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50" tabRatio="596" activeTab="0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LRAM and SSM Rate Rider" sheetId="10" r:id="rId10"/>
    <sheet name="2011 Rate Rider" sheetId="11" r:id="rId11"/>
    <sheet name="Distribution Rate Schedule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  <sheet name="Appendix 2-O Table a" sheetId="19" r:id="rId19"/>
    <sheet name="Appendix 2-O Table b" sheetId="20" r:id="rId20"/>
    <sheet name="Appendix 2-O Table c" sheetId="21" r:id="rId21"/>
    <sheet name="Appendix 2-O Table d" sheetId="22" r:id="rId22"/>
    <sheet name="Appendix 2-Q Resid" sheetId="23" r:id="rId23"/>
    <sheet name="Appendix 2-Q GS&lt;50" sheetId="24" r:id="rId24"/>
    <sheet name="Appendix 2-Q GS&gt;50-999" sheetId="25" r:id="rId25"/>
    <sheet name="Appendix 2-Q GS&gt;1000-4999 " sheetId="26" r:id="rId26"/>
    <sheet name="Appendix 2-Q Large User" sheetId="27" r:id="rId27"/>
    <sheet name="Appendix 2-Q Streetlighting" sheetId="28" r:id="rId28"/>
    <sheet name="Appendix 2-Q Sentinel" sheetId="29" r:id="rId29"/>
    <sheet name="Appendix 2-Q USL" sheetId="30" r:id="rId30"/>
    <sheet name="Bill Impact Summary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3">'2010 Existing Rates'!$A$1:$E$65</definedName>
    <definedName name="_xlnm.Print_Area" localSheetId="10">'2011 Rate Rider'!$A$1:$D$14</definedName>
    <definedName name="_xlnm.Print_Area" localSheetId="4">'2011 Test Yr On Existing Rates'!$A$1:$N$36</definedName>
    <definedName name="_xlnm.Print_Area" localSheetId="7">'Allocation Low Voltage Costs'!$A$1:$F$16</definedName>
    <definedName name="_xlnm.Print_Area" localSheetId="18">'Appendix 2-O Table a'!$A$1:$E$13</definedName>
    <definedName name="_xlnm.Print_Area" localSheetId="19">'Appendix 2-O Table b'!$A$2:$E$14</definedName>
    <definedName name="_xlnm.Print_Area" localSheetId="20">'Appendix 2-O Table c'!$A$1:$D$14</definedName>
    <definedName name="_xlnm.Print_Area" localSheetId="21">'Appendix 2-O Table d'!$A$1:$E$13</definedName>
    <definedName name="_xlnm.Print_Area" localSheetId="23">'Appendix 2-Q GS&lt;50'!$A$1:$Q$243</definedName>
    <definedName name="_xlnm.Print_Area" localSheetId="25">'Appendix 2-Q GS&gt;1000-4999 '!$A$1:$Q$149</definedName>
    <definedName name="_xlnm.Print_Area" localSheetId="24">'Appendix 2-Q GS&gt;50-999'!$A$1:$Q$196</definedName>
    <definedName name="_xlnm.Print_Area" localSheetId="26">'Appendix 2-Q Large User'!$A$1:$Q$196</definedName>
    <definedName name="_xlnm.Print_Area" localSheetId="22">'Appendix 2-Q Resid'!$A$1:$Q$337</definedName>
    <definedName name="_xlnm.Print_Area" localSheetId="28">'Appendix 2-Q Sentinel'!$A$1:$Q$55</definedName>
    <definedName name="_xlnm.Print_Area" localSheetId="27">'Appendix 2-Q Streetlighting'!$A$1:$Q$55</definedName>
    <definedName name="_xlnm.Print_Area" localSheetId="29">'Appendix 2-Q USL'!$A$1:$Q$55</definedName>
    <definedName name="_xlnm.Print_Area" localSheetId="30">'Bill Impact Summary'!$A$1:$E$10</definedName>
    <definedName name="_xlnm.Print_Area" localSheetId="13">'BILL IMPACTS'!$A$5:$P$719</definedName>
    <definedName name="_xlnm.Print_Area" localSheetId="5">'Cost Allocation Study'!$A$1:$M$19</definedName>
    <definedName name="_xlnm.Print_Area" localSheetId="16">'Dist. Rev. Reconciliation'!$A$5:$F$20</definedName>
    <definedName name="_xlnm.Print_Area" localSheetId="11">'Distribution Rate Schedule'!$A$1:$E$54</definedName>
    <definedName name="_xlnm.Print_Area" localSheetId="2">'Forecast Data For 2011'!$A$1:$C$30</definedName>
    <definedName name="_xlnm.Print_Area" localSheetId="8">'Low Voltage Rates'!$A$1:$G$16</definedName>
    <definedName name="_xlnm.Print_Area" localSheetId="9">'LRAM and SSM Rate Rider'!$A$1:$L$17</definedName>
    <definedName name="_xlnm.Print_Area" localSheetId="12">'Other Electriciy Rates'!$A$1:$L$32</definedName>
    <definedName name="_xlnm.Print_Area" localSheetId="14">'Rate Schedule (Part 1)'!$A$5:$E$69</definedName>
    <definedName name="_xlnm.Print_Area" localSheetId="15">'Rate Schedule (Part 2)'!$A$5:$D$51</definedName>
    <definedName name="_xlnm.Print_Area" localSheetId="6">'Rates By Rate Class'!$A$1:$K$76</definedName>
    <definedName name="_xlnm.Print_Area" localSheetId="17">'Revenue Deficiency Analysis'!$A$5:$I$30</definedName>
    <definedName name="_xlnm.Print_Area" localSheetId="0">'Revenue Input'!$A$1:$B$14</definedName>
    <definedName name="_xlnm.Print_Area" localSheetId="1">'Transformer Allowance'!$A$1:$C$31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<sst xmlns="http://schemas.openxmlformats.org/spreadsheetml/2006/main" count="5217" uniqueCount="419">
  <si>
    <t>Customer Class</t>
  </si>
  <si>
    <t>TOTAL</t>
  </si>
  <si>
    <t>Proposed Fixed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</si>
  <si>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</si>
  <si>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</si>
  <si>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</si>
  <si>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</si>
  <si>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</si>
  <si>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</si>
  <si>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</si>
  <si>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</si>
  <si>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</si>
  <si>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</si>
  <si>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</si>
  <si>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</si>
  <si>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</si>
  <si>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</si>
  <si>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</si>
  <si>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</si>
  <si>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</si>
  <si>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</si>
  <si>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</si>
  <si>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</si>
  <si>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</si>
  <si>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</si>
  <si>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</si>
  <si>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</si>
  <si>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</si>
  <si>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</si>
  <si>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</si>
  <si>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</si>
  <si>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</si>
  <si>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</si>
  <si>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</si>
  <si>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</si>
  <si>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</si>
  <si>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</si>
  <si>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</si>
  <si>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</si>
  <si>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</si>
  <si>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</si>
  <si>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</si>
  <si>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</si>
  <si>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</si>
  <si>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</si>
  <si>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</si>
  <si>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</si>
  <si>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</si>
  <si>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</si>
  <si>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</si>
  <si>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</si>
  <si>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</si>
  <si>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per KW</t>
  </si>
  <si>
    <t>per kWh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</si>
  <si>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</si>
  <si>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</si>
  <si>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</si>
  <si>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</si>
  <si>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</si>
  <si>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</si>
  <si>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</si>
  <si>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</si>
  <si>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</si>
  <si>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</si>
  <si>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</si>
  <si>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</si>
  <si>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</si>
  <si>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</si>
  <si>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</si>
  <si>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</si>
  <si>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</si>
  <si>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</si>
  <si>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</si>
  <si>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</si>
  <si>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</si>
  <si>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</si>
  <si>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</si>
  <si>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</si>
  <si>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</si>
  <si>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 xml:space="preserve"> Sentinel Lighting</t>
  </si>
  <si>
    <t xml:space="preserve"> Street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</si>
  <si>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</si>
  <si>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</si>
  <si>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</si>
  <si>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</si>
  <si>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</si>
  <si>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</si>
  <si>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</si>
  <si>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Item Description (Rate Code)</t>
  </si>
  <si>
    <t>Calculation Basis</t>
  </si>
  <si>
    <t>Arrears certificate  (1)</t>
  </si>
  <si>
    <t>Statement of account (2)</t>
  </si>
  <si>
    <t>Pulling post dated cheques (3)</t>
  </si>
  <si>
    <t>Duplicate invoices for previous billing  (4)</t>
  </si>
  <si>
    <t>Request for other billing information (5)</t>
  </si>
  <si>
    <t>Easement letter (6)</t>
  </si>
  <si>
    <t>Income tax letter  (7)</t>
  </si>
  <si>
    <t>Notification charge (8)</t>
  </si>
  <si>
    <t>Account history (9)</t>
  </si>
  <si>
    <t>Credit reference/credit check (plus credit agency costs) (10)</t>
  </si>
  <si>
    <t>Returned cheque charge (plus bank charges) (11)</t>
  </si>
  <si>
    <t>Charge to certify cheque (12)</t>
  </si>
  <si>
    <t>Legal letter charge (13)</t>
  </si>
  <si>
    <t>Account set up charge/change of occupancy charge (plus credit agency costs if applicable) (14)</t>
  </si>
  <si>
    <t>Special meter reads (15)</t>
  </si>
  <si>
    <t>Collection of account charge - no disconnection (16)</t>
  </si>
  <si>
    <t>Collection of account charge  - no disconnection - after regular hours (17)</t>
  </si>
  <si>
    <t>Disconnect/Reconnect at meter - during regular hours  (18)</t>
  </si>
  <si>
    <t>Install/Remove load control device - during regular hours (19)</t>
  </si>
  <si>
    <t>Disconnect/Reconnect at meter - after regular hours (20)</t>
  </si>
  <si>
    <t>Install/Remove load control device - after regular hours (21)</t>
  </si>
  <si>
    <t>Disconnect/Reconnect at pole - during regular hours  (22)</t>
  </si>
  <si>
    <t>Disconnect/Reconnect at pole - after regular hours  (23)</t>
  </si>
  <si>
    <t>Meter dispute charge plus Measurement Canada fees (if meter found correct) (24)</t>
  </si>
  <si>
    <t>Service call - customer-owned equipment (25)</t>
  </si>
  <si>
    <t>Service call - after regular hours (26)</t>
  </si>
  <si>
    <t>Temporary service install &amp; remove - overhead - no transformer (27)</t>
  </si>
  <si>
    <t>Temporary service install &amp; remove - underground - no transformer (28)</t>
  </si>
  <si>
    <t>Temporary service install &amp; remove - overhead - with transformer (29)</t>
  </si>
  <si>
    <t>Specific Charge for Access to the Power Poles $/pole/year (30)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</si>
  <si>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</si>
  <si>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</si>
  <si>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</si>
  <si>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</si>
  <si>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</si>
  <si>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</si>
  <si>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</si>
  <si>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</si>
  <si>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</si>
  <si>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</si>
  <si>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</si>
  <si>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</si>
  <si>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</si>
  <si>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</si>
  <si>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</si>
  <si>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</si>
  <si>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</si>
  <si>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</si>
  <si>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</si>
  <si>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</si>
  <si>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</si>
  <si>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</si>
  <si>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</si>
  <si>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</si>
  <si>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</si>
  <si>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</si>
  <si>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</si>
  <si>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</si>
  <si>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</si>
  <si>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</si>
  <si>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</si>
  <si>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</si>
  <si>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</si>
  <si>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</si>
  <si>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</si>
  <si>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</si>
  <si>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</si>
  <si>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</si>
  <si>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</si>
  <si>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</si>
  <si>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</si>
  <si>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</si>
  <si>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</si>
  <si>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</si>
  <si>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 ($)
per Metered Cust./Month</t>
  </si>
  <si>
    <t>Smart Meter Rate Rider</t>
  </si>
  <si>
    <t>Smart Meter Rider (per month)</t>
  </si>
  <si>
    <t>Difference Due to Rate Rounding</t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</si>
  <si>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</si>
  <si>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</si>
  <si>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</si>
  <si>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</si>
  <si>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</si>
  <si>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</si>
  <si>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</si>
  <si>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</si>
  <si>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</si>
  <si>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</si>
  <si>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</si>
  <si>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r>
      <t>BILL IMPACTS</t>
    </r>
    <r>
      <rPr>
        <b/>
        <i/>
        <sz val="16"/>
        <rFont val="Arial"/>
        <family val="2"/>
      </rPr>
      <t xml:space="preserve">  (Monthly Consumptions)</t>
    </r>
  </si>
  <si>
    <t>Rate ($)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</si>
  <si>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</si>
  <si>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</si>
  <si>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</si>
  <si>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</si>
  <si>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</si>
  <si>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</si>
  <si>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</si>
  <si>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</si>
  <si>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</si>
  <si>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</si>
  <si>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</si>
  <si>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Deferral and Variance 
Account Rate Riders 
($) per kWh</t>
  </si>
  <si>
    <t>Deferral and Variance 
Account Rate Riders 
($) per kW</t>
  </si>
  <si>
    <t>2010 BILL</t>
  </si>
  <si>
    <t>Proposed Revenue to Cost Ratio</t>
  </si>
  <si>
    <t>Proposed Revenue</t>
  </si>
  <si>
    <t xml:space="preserve">Miscellaneous Revenue </t>
  </si>
  <si>
    <t>Proposed Base Revenue</t>
  </si>
  <si>
    <t>Amounts (Up to 2009)</t>
  </si>
  <si>
    <t>Residential</t>
  </si>
  <si>
    <t>GS &lt; 50 kW</t>
  </si>
  <si>
    <t>Large Use</t>
  </si>
  <si>
    <t>Sentinel Lights</t>
  </si>
  <si>
    <t>Street Lighting</t>
  </si>
  <si>
    <t>USL</t>
  </si>
  <si>
    <t>Forecast Data For 2011 Test Year Projection</t>
  </si>
  <si>
    <t>2011 Test Year Normalized</t>
  </si>
  <si>
    <t>Total Check</t>
  </si>
  <si>
    <t># of Cust/Con</t>
  </si>
  <si>
    <t>Low Voltage Rate Component For 2010</t>
  </si>
  <si>
    <t>Smart Meter Adder - 2010</t>
  </si>
  <si>
    <t>EXISTING 2010 DISTRIBUTION VOLUMETRIC EXCL LV</t>
  </si>
  <si>
    <t>2011 Test</t>
  </si>
  <si>
    <t>Forecast Class Billing Determinants for 2011 Test Year Based on Existing Class Revenue Proportions</t>
  </si>
  <si>
    <t>Miscellaneous Revenue Allocated from 2011 Cost Allocation Model</t>
  </si>
  <si>
    <t>Board Target Low</t>
  </si>
  <si>
    <t>Board Target High</t>
  </si>
  <si>
    <t>Distribution Rate Allocation Between Fixed &amp; Variable Rates For 2011 Test Year</t>
  </si>
  <si>
    <t>2011 TEST YEAR - BASE REVENUE DISTRIBUTION RATES</t>
  </si>
  <si>
    <t>2011 TEST YEAR - Low Voltage Distribution Rates</t>
  </si>
  <si>
    <t>2011 Test Year - LRAM and SSM Rider</t>
  </si>
  <si>
    <t>Billing Units (2011)</t>
  </si>
  <si>
    <t>2011 Test Year - Rate Rider</t>
  </si>
  <si>
    <t>Effective May 1, 2011</t>
  </si>
  <si>
    <t>Deferral and Variance Account Rider</t>
  </si>
  <si>
    <t>Smart Meter Rate Adder</t>
  </si>
  <si>
    <t>Low Voltage Rider</t>
  </si>
  <si>
    <t>y</t>
  </si>
  <si>
    <t>2010 Rates</t>
  </si>
  <si>
    <t>2011 Rates</t>
  </si>
  <si>
    <t>2011 BILL</t>
  </si>
  <si>
    <t>Deferrral &amp; Variance Acct (kWh)</t>
  </si>
  <si>
    <t>Low Voltage Rider (kWh)</t>
  </si>
  <si>
    <t>Distribution Sub-Total</t>
  </si>
  <si>
    <t>Retail Transmisssion (kWh)</t>
  </si>
  <si>
    <t>Delivery Sub-Total</t>
  </si>
  <si>
    <t>Low Voltage Rider (kW)</t>
  </si>
  <si>
    <t>LRAM &amp; SSM Rider (kW)</t>
  </si>
  <si>
    <t>Deferrral &amp; Variance Acct (kW)</t>
  </si>
  <si>
    <t>Retail Transmisssion (kW)</t>
  </si>
  <si>
    <t>GS &gt;50 to 999 kW</t>
  </si>
  <si>
    <t>GS &gt;1000 to 4999 kW</t>
  </si>
  <si>
    <t>Deferral Variance Rate Rider For 2010, if applicable</t>
  </si>
  <si>
    <t>Deferral Variance Rate Riders ($)
per kWh</t>
  </si>
  <si>
    <t>Deferral Variance Rate Riders ($)
per kW</t>
  </si>
  <si>
    <t>GENERAL SERVICE &gt; 50  to 999kW</t>
  </si>
  <si>
    <t>GENERAL SERVICE &gt; 1000  to 4999kW</t>
  </si>
  <si>
    <t>Check Revenue Cost Ratios from 2011 Cost Allocation Model</t>
  </si>
  <si>
    <t>2010 Rates From OEB Approved Tariff</t>
  </si>
  <si>
    <t>2011 Test Year Distribution Revenue Reconciliation</t>
  </si>
  <si>
    <t>Forecast Revenue For 2011 Test Year Based on Existing Rates (Less Low Voltage Rate Component)</t>
  </si>
  <si>
    <t>Forecast Class Billing Determinants for 2010 Bridge Year Based on Existing Class Revenue Proportions</t>
  </si>
  <si>
    <t>for internal  purposes only</t>
  </si>
  <si>
    <t>2010 Bridge</t>
  </si>
  <si>
    <t>(for internal purposes only)</t>
  </si>
  <si>
    <t>ask if connections and Kwh are correct????</t>
  </si>
  <si>
    <t>Gross Revenue</t>
  </si>
  <si>
    <t>Transformer Discounts</t>
  </si>
  <si>
    <t>Base Revenue</t>
  </si>
  <si>
    <t>Allocation of Gross Revenue and Base Revenue Requirement</t>
  </si>
  <si>
    <t>Proposed Proportionate share of Base Revenue</t>
  </si>
  <si>
    <t>Fixed Charges</t>
  </si>
  <si>
    <t>Volumetric Charges</t>
  </si>
  <si>
    <t>Existing 2010 Rate Year - Distribution Revenue Rates excluding Smart Meter Rider</t>
  </si>
  <si>
    <t>Current Revenue Splits -  Fixed and Variable - 2010</t>
  </si>
  <si>
    <t>Unmetered and Scattered</t>
  </si>
  <si>
    <t>Proposed Fixed Distribution Charges - 2011</t>
  </si>
  <si>
    <t>Milton Hydro 2010 Rates from OEB Approved Tariff</t>
  </si>
  <si>
    <t>Cost Allocation</t>
  </si>
  <si>
    <t>Appendix 2-O</t>
  </si>
  <si>
    <t>Classes</t>
  </si>
  <si>
    <t>%</t>
  </si>
  <si>
    <t>Cost Allocated in Test Year Study (Column 7A)</t>
  </si>
  <si>
    <t>GS&lt; 50kW</t>
  </si>
  <si>
    <t>GS &gt; 50 - 999 kW</t>
  </si>
  <si>
    <t>GS &gt; 1000 - 4999 kW</t>
  </si>
  <si>
    <t>Large Users</t>
  </si>
  <si>
    <t>Streetlights</t>
  </si>
  <si>
    <t>Unmetered &amp; Scattered</t>
  </si>
  <si>
    <t>Table a)</t>
  </si>
  <si>
    <t>Table b)</t>
  </si>
  <si>
    <t>Calculated Class Revenues</t>
  </si>
  <si>
    <t>L.F x current approved rates</t>
  </si>
  <si>
    <t>Column 7B</t>
  </si>
  <si>
    <t>Column 7C</t>
  </si>
  <si>
    <t>Column 7D</t>
  </si>
  <si>
    <t>Column 7E</t>
  </si>
  <si>
    <t>L.F x existing rates x (1 + d)</t>
  </si>
  <si>
    <t>L.F. x proposed rates</t>
  </si>
  <si>
    <t>Miscellaneous Revenue</t>
  </si>
  <si>
    <t>Previously Approved Ratios</t>
  </si>
  <si>
    <t>Status Quo Ratios</t>
  </si>
  <si>
    <t>Proposed Ratios</t>
  </si>
  <si>
    <t>= (Column 7C + Column 7E) / (Column 7A)</t>
  </si>
  <si>
    <t>=(Column 7D + column 7E)/(Column 7A)</t>
  </si>
  <si>
    <t>Table c)</t>
  </si>
  <si>
    <t>Proposed Revenue to Cost Ratios</t>
  </si>
  <si>
    <t>Policy Range</t>
  </si>
  <si>
    <t>Table d)</t>
  </si>
  <si>
    <t>85-115</t>
  </si>
  <si>
    <t>80-120</t>
  </si>
  <si>
    <t>80-180</t>
  </si>
  <si>
    <t>70-120</t>
  </si>
  <si>
    <t>MILTON HYDRO DISTRIBUTION INC.</t>
  </si>
  <si>
    <t>Updated 2011 Cost Allocation Model</t>
  </si>
  <si>
    <t>Revenue to Cost Ratios from Milton Hydro’s</t>
  </si>
  <si>
    <t>Revenue (A)</t>
  </si>
  <si>
    <t>Cost (B)</t>
  </si>
  <si>
    <t>Revenue to Cost Ratio (A)/(B)</t>
  </si>
  <si>
    <t>Total Revenue  (B)</t>
  </si>
  <si>
    <t>Revenue Cost Ratio (A)/(B)</t>
  </si>
  <si>
    <t>Revenue Requirement - 2011 Cost Allocation Model (A)</t>
  </si>
  <si>
    <t>d = Revenue Deficiency / Base Revenue Requirement</t>
  </si>
  <si>
    <t>Most Recent Year: 2006</t>
  </si>
  <si>
    <t>Re-balancing Revenue-to-Cost Ratios</t>
  </si>
  <si>
    <t xml:space="preserve"> Smart Meter Disposition</t>
  </si>
  <si>
    <t>Dist. Rev After Smart Meter Disposition</t>
  </si>
  <si>
    <t>Variable Distribution Charge Calculation</t>
  </si>
  <si>
    <t>Variable Revenue Proportion</t>
  </si>
  <si>
    <t>2011 Test Year Volumetric Billing Determinant</t>
  </si>
  <si>
    <t>Proposed Volumetric Distribution Charge</t>
  </si>
  <si>
    <t>Proposed Rate Schedule - 2011 Test Year Filing</t>
  </si>
  <si>
    <t>GST/HST</t>
  </si>
  <si>
    <t>File Number:</t>
  </si>
  <si>
    <t>EB-2010-0137</t>
  </si>
  <si>
    <t>Exhibit:</t>
  </si>
  <si>
    <t>Page:</t>
  </si>
  <si>
    <t>xx</t>
  </si>
  <si>
    <t>Date:</t>
  </si>
  <si>
    <t>monthly</t>
  </si>
  <si>
    <t>Customer Class:</t>
  </si>
  <si>
    <t xml:space="preserve"> kWh</t>
  </si>
  <si>
    <t>Current Board-Approved</t>
  </si>
  <si>
    <t>Proposed</t>
  </si>
  <si>
    <t>Impact</t>
  </si>
  <si>
    <t>Charge Unit</t>
  </si>
  <si>
    <t>Rate</t>
  </si>
  <si>
    <t>Charge</t>
  </si>
  <si>
    <t>$ Change</t>
  </si>
  <si>
    <t>% Change</t>
  </si>
  <si>
    <t>($)</t>
  </si>
  <si>
    <t>Service Charge Rate Adder(s)</t>
  </si>
  <si>
    <t>Service Charge Rate Rider(s)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</si>
  <si>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</si>
  <si>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</si>
  <si>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</si>
  <si>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</si>
  <si>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</si>
  <si>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</si>
  <si>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</si>
  <si>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</si>
  <si>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</si>
  <si>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</si>
  <si>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</si>
  <si>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</si>
  <si>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</si>
  <si>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</si>
  <si>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</si>
  <si>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</si>
  <si>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</si>
  <si>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</si>
  <si>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</si>
  <si>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t>Loss Factor (%)</t>
  </si>
  <si>
    <t>Notes:</t>
  </si>
  <si>
    <t>Energy Second Block</t>
  </si>
  <si>
    <t>Energy First Block</t>
  </si>
  <si>
    <t>Appendix 2-Q-Residential</t>
  </si>
  <si>
    <t>Appendix 2-Q GS&lt;50</t>
  </si>
  <si>
    <t>General Service &lt; 50</t>
  </si>
  <si>
    <t>Appendix 2-Q GS&gt;50 to 999</t>
  </si>
  <si>
    <t>General Service &gt; 50 to 999kW</t>
  </si>
  <si>
    <t>General Service &gt; 1000 to 4999kW</t>
  </si>
  <si>
    <t>Appendix 2-Q GS&gt;1000 to 4999kW</t>
  </si>
  <si>
    <t>Appendix 2-Q Large User</t>
  </si>
  <si>
    <t>Large User &gt;5000kW</t>
  </si>
  <si>
    <t>Appendix 2-Q -Streetlighting</t>
  </si>
  <si>
    <t>Streetlighting</t>
  </si>
  <si>
    <t>Sentinel</t>
  </si>
  <si>
    <t>Appendix 2-Q -Sentinel</t>
  </si>
  <si>
    <t>Appendix 2-Q -USL</t>
  </si>
  <si>
    <t>Supply Facilities Loss Factor (3 year average)</t>
  </si>
  <si>
    <t>Bill Impact Summary</t>
  </si>
  <si>
    <t>Total Bill Impact %</t>
  </si>
  <si>
    <t>Monthly $ Impact</t>
  </si>
  <si>
    <t>General Service &lt; 50kW</t>
  </si>
  <si>
    <t>General Service &gt; 50 - 999kW</t>
  </si>
  <si>
    <t>Typical kWh Usage</t>
  </si>
  <si>
    <t>Typical kW Demand</t>
  </si>
  <si>
    <t>General Service &gt; 1000 - 4999kW</t>
  </si>
  <si>
    <t>Sentinel Lighting</t>
  </si>
  <si>
    <t>Proposed Variable Rate</t>
  </si>
  <si>
    <t>Cost Allocated in 2006 Informational Filing</t>
  </si>
  <si>
    <t>1 + d =</t>
  </si>
  <si>
    <t>2011 Base Revenue Allocated based on Proportion of Revenue at Existing Rates</t>
  </si>
  <si>
    <t>2011 Test Year Cost Allocation Study</t>
  </si>
  <si>
    <t>Milton Hydro Proposed Targets</t>
  </si>
  <si>
    <t>Fixed Revenue Proportion</t>
  </si>
  <si>
    <t>Total Volumetric Proportion</t>
  </si>
  <si>
    <t>Distribution Revenue Requirement</t>
  </si>
  <si>
    <t>Proposed Charge Revenue Split</t>
  </si>
  <si>
    <t>Proposed Variable Charge Split</t>
  </si>
  <si>
    <t>Current Fixed Charge Split</t>
  </si>
  <si>
    <t>Current Variable Charge Split</t>
  </si>
  <si>
    <t>Fixed Charge Calculation</t>
  </si>
  <si>
    <t>Total Fixed Distribution Revenue</t>
  </si>
  <si>
    <t>Proposed Fixed Distribution Revenue %</t>
  </si>
  <si>
    <t>2011 Test Year # Customers / Connections</t>
  </si>
  <si>
    <t>2011 Test Year Fixed Distribution Charge</t>
  </si>
  <si>
    <t>Dist Rev Proportion At Existing Rates %</t>
  </si>
  <si>
    <t>Dist Rev Proportion At Proposed Rates %</t>
  </si>
  <si>
    <t>2011 Test Year at Existing Rates</t>
  </si>
  <si>
    <t>Fixed Distribution Percent</t>
  </si>
  <si>
    <t>Variable Distribution Percent</t>
  </si>
  <si>
    <t>Fixed Rate Proposed for 2011 Test Year to Maintain Existing Fixed/Variable Revenue Splits</t>
  </si>
  <si>
    <t>Variable Distribution Revenue Before Tx Allow</t>
  </si>
  <si>
    <t>@ Existing Rtes Dist. Rev. Excluding Transformer</t>
  </si>
  <si>
    <t>Filed - August 26, 2010</t>
  </si>
  <si>
    <t>LV Charges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</si>
</sst>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&quot;$&quot;* #,##0.0000_-;\-&quot;$&quot;* #,##0.0000_-;_-&quot;$&quot;* &quot;-&quot;??_-;_-@_-"/>
    <numFmt numFmtId="175" formatCode="_-* #,##0.00000000_-;\-* #,##0.00000000_-;_-* &quot;-&quot;??_-;_-@_-"/>
    <numFmt numFmtId="176" formatCode="#,##0.0000_);\(#,##0.0000\)"/>
    <numFmt numFmtId="177" formatCode="#,##0.0000"/>
    <numFmt numFmtId="178" formatCode="0.0%"/>
    <numFmt numFmtId="179" formatCode="0.00000"/>
    <numFmt numFmtId="180" formatCode="0_ ;\-0\ "/>
    <numFmt numFmtId="181" formatCode="#,##0.00;[Red]\(#,##0.00\)"/>
    <numFmt numFmtId="182" formatCode="#,##0.00_ ;\-#,##0.00\ "/>
    <numFmt numFmtId="183" formatCode="&quot;$&quot;#,##0.0000_);[Red]\(#,##0.0000\)"/>
    <numFmt numFmtId="184" formatCode="#,##0.00%;[Red]\(#,##0.00%\)"/>
    <numFmt numFmtId="185" formatCode="&quot;$&quot;#,##0.00;\(&quot;$&quot;###0.00\)"/>
    <numFmt numFmtId="186" formatCode="&quot;$&quot;#,##0;\(&quot;$&quot;#,##0\)"/>
    <numFmt numFmtId="187" formatCode="&quot;$&quot;#,##0.00_);[Red]\(#,##0.00\)"/>
    <numFmt numFmtId="188" formatCode="0.0"/>
    <numFmt numFmtId="189" formatCode="_-&quot;$&quot;* #,##0.0000000_-;\-&quot;$&quot;* #,##0.0000000_-;_-&quot;$&quot;* &quot;-&quot;??_-;_-@_-"/>
    <numFmt numFmtId="190" formatCode="0.0000%"/>
    <numFmt numFmtId="191" formatCode="#,##0.000;[Red]\(#,##0.000\)"/>
    <numFmt numFmtId="192" formatCode="_-* #,##0.0000_-;\-* #,##0.0000_-;_-* &quot;-&quot;??_-;_-@_-"/>
    <numFmt numFmtId="193" formatCode="_-* #,##0.00000000000_-;\-* #,##0.00000000000_-;_-* &quot;-&quot;??_-;_-@_-"/>
    <numFmt numFmtId="194" formatCode="#,##0.0000;\-#,##0.0000"/>
    <numFmt numFmtId="195" formatCode="#,##0.00_);\(#,##0.00\)"/>
    <numFmt numFmtId="196" formatCode="_-&quot;$&quot;* #,##0.000_-;\-&quot;$&quot;* #,##0.000_-;_-&quot;$&quot;* &quot;-&quot;??_-;_-@_-"/>
    <numFmt numFmtId="197" formatCode="#,##0.0"/>
    <numFmt numFmtId="198" formatCode="#,##0.00%_);\(#,##0.00%\)"/>
    <numFmt numFmtId="199" formatCode="#,##0.000_);\(#,##0.000\)"/>
  </numFmts>
  <fonts count="57">
    <font>
      <sz val="10"/>
      <name val="Arial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b/>
      <i/>
      <sz val="16"/>
      <name val="Arial"/>
      <family val="2"/>
    </font>
    <font>
      <b/>
      <i/>
      <sz val="20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6"/>
      <color indexed="12"/>
      <name val="Algerian"/>
      <family val="5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0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37" fontId="5" fillId="0" borderId="0" xfId="0" applyNumberFormat="1" applyFont="1" applyFill="1" applyBorder="1" applyAlignment="1">
      <alignment horizontal="left" vertical="center" wrapText="1"/>
    </xf>
    <xf numFmtId="170" fontId="0" fillId="0" borderId="0" xfId="45" applyNumberFormat="1" applyFont="1" applyFill="1" applyBorder="1" applyAlignment="1">
      <alignment/>
    </xf>
    <xf numFmtId="174" fontId="0" fillId="0" borderId="0" xfId="45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70" fontId="5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9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0" fontId="3" fillId="0" borderId="11" xfId="45" applyNumberFormat="1" applyFont="1" applyFill="1" applyBorder="1" applyAlignment="1">
      <alignment/>
    </xf>
    <xf numFmtId="170" fontId="3" fillId="0" borderId="12" xfId="45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indent="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9" fontId="17" fillId="0" borderId="0" xfId="47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9" fontId="17" fillId="0" borderId="0" xfId="47" applyNumberFormat="1" applyFont="1" applyFill="1" applyBorder="1" applyAlignment="1">
      <alignment horizontal="center" vertical="center"/>
    </xf>
    <xf numFmtId="10" fontId="0" fillId="0" borderId="0" xfId="64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5" fontId="0" fillId="0" borderId="0" xfId="42" applyNumberFormat="1" applyFont="1" applyFill="1" applyBorder="1" applyAlignment="1">
      <alignment/>
    </xf>
    <xf numFmtId="168" fontId="5" fillId="0" borderId="0" xfId="42" applyNumberFormat="1" applyFont="1" applyAlignment="1">
      <alignment/>
    </xf>
    <xf numFmtId="43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37" fontId="5" fillId="0" borderId="23" xfId="0" applyNumberFormat="1" applyFont="1" applyFill="1" applyBorder="1" applyAlignment="1">
      <alignment horizontal="center"/>
    </xf>
    <xf numFmtId="10" fontId="5" fillId="0" borderId="23" xfId="64" applyNumberFormat="1" applyFont="1" applyFill="1" applyBorder="1" applyAlignment="1">
      <alignment horizontal="center"/>
    </xf>
    <xf numFmtId="10" fontId="0" fillId="0" borderId="20" xfId="64" applyNumberFormat="1" applyFont="1" applyFill="1" applyBorder="1" applyAlignment="1">
      <alignment horizontal="center"/>
    </xf>
    <xf numFmtId="4" fontId="0" fillId="0" borderId="20" xfId="42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0" fontId="0" fillId="0" borderId="20" xfId="64" applyNumberFormat="1" applyFont="1" applyFill="1" applyBorder="1" applyAlignment="1">
      <alignment horizontal="center"/>
    </xf>
    <xf numFmtId="9" fontId="5" fillId="0" borderId="12" xfId="64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indent="1"/>
    </xf>
    <xf numFmtId="168" fontId="5" fillId="0" borderId="12" xfId="0" applyNumberFormat="1" applyFont="1" applyFill="1" applyBorder="1" applyAlignment="1">
      <alignment horizontal="left" indent="1"/>
    </xf>
    <xf numFmtId="173" fontId="5" fillId="0" borderId="25" xfId="64" applyNumberFormat="1" applyFont="1" applyFill="1" applyBorder="1" applyAlignment="1">
      <alignment/>
    </xf>
    <xf numFmtId="170" fontId="5" fillId="0" borderId="12" xfId="45" applyNumberFormat="1" applyFont="1" applyFill="1" applyBorder="1" applyAlignment="1">
      <alignment horizontal="center"/>
    </xf>
    <xf numFmtId="10" fontId="5" fillId="0" borderId="12" xfId="64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37" fontId="5" fillId="0" borderId="20" xfId="0" applyNumberFormat="1" applyFont="1" applyFill="1" applyBorder="1" applyAlignment="1">
      <alignment/>
    </xf>
    <xf numFmtId="171" fontId="0" fillId="0" borderId="20" xfId="45" applyNumberFormat="1" applyFont="1" applyFill="1" applyBorder="1" applyAlignment="1">
      <alignment horizontal="center"/>
    </xf>
    <xf numFmtId="170" fontId="0" fillId="0" borderId="20" xfId="45" applyNumberFormat="1" applyFont="1" applyFill="1" applyBorder="1" applyAlignment="1">
      <alignment/>
    </xf>
    <xf numFmtId="174" fontId="0" fillId="0" borderId="20" xfId="45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center"/>
    </xf>
    <xf numFmtId="168" fontId="5" fillId="0" borderId="26" xfId="0" applyNumberFormat="1" applyFont="1" applyFill="1" applyBorder="1" applyAlignment="1">
      <alignment horizontal="left" indent="1"/>
    </xf>
    <xf numFmtId="168" fontId="0" fillId="0" borderId="20" xfId="42" applyNumberFormat="1" applyFont="1" applyFill="1" applyBorder="1" applyAlignment="1">
      <alignment horizontal="center"/>
    </xf>
    <xf numFmtId="3" fontId="0" fillId="0" borderId="20" xfId="42" applyNumberFormat="1" applyFont="1" applyFill="1" applyBorder="1" applyAlignment="1">
      <alignment horizontal="center"/>
    </xf>
    <xf numFmtId="177" fontId="0" fillId="0" borderId="20" xfId="42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77" fontId="0" fillId="0" borderId="20" xfId="0" applyNumberFormat="1" applyFont="1" applyFill="1" applyBorder="1" applyAlignment="1">
      <alignment horizontal="center"/>
    </xf>
    <xf numFmtId="183" fontId="0" fillId="0" borderId="27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172" fontId="0" fillId="1" borderId="28" xfId="0" applyNumberFormat="1" applyFont="1" applyFill="1" applyBorder="1" applyAlignment="1" applyProtection="1">
      <alignment horizontal="center"/>
      <protection/>
    </xf>
    <xf numFmtId="172" fontId="5" fillId="1" borderId="20" xfId="0" applyNumberFormat="1" applyFont="1" applyFill="1" applyBorder="1" applyAlignment="1" applyProtection="1">
      <alignment horizontal="center"/>
      <protection/>
    </xf>
    <xf numFmtId="172" fontId="0" fillId="1" borderId="20" xfId="0" applyNumberFormat="1" applyFill="1" applyBorder="1" applyAlignment="1" applyProtection="1">
      <alignment horizontal="center"/>
      <protection/>
    </xf>
    <xf numFmtId="172" fontId="0" fillId="1" borderId="28" xfId="0" applyNumberForma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0" fontId="0" fillId="0" borderId="30" xfId="0" applyBorder="1" applyAlignment="1">
      <alignment/>
    </xf>
    <xf numFmtId="0" fontId="0" fillId="0" borderId="9" xfId="0" applyBorder="1" applyAlignment="1">
      <alignment/>
    </xf>
    <xf numFmtId="3" fontId="16" fillId="35" borderId="31" xfId="0" applyNumberFormat="1" applyFont="1" applyFill="1" applyBorder="1" applyAlignment="1">
      <alignment horizontal="right" vertical="center"/>
    </xf>
    <xf numFmtId="3" fontId="16" fillId="35" borderId="32" xfId="0" applyNumberFormat="1" applyFont="1" applyFill="1" applyBorder="1" applyAlignment="1">
      <alignment horizontal="left" vertical="center"/>
    </xf>
    <xf numFmtId="3" fontId="16" fillId="35" borderId="30" xfId="0" applyNumberFormat="1" applyFont="1" applyFill="1" applyBorder="1" applyAlignment="1">
      <alignment horizontal="right" vertical="center"/>
    </xf>
    <xf numFmtId="0" fontId="3" fillId="35" borderId="9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34" xfId="0" applyBorder="1" applyAlignment="1">
      <alignment/>
    </xf>
    <xf numFmtId="10" fontId="21" fillId="0" borderId="0" xfId="64" applyNumberFormat="1" applyFont="1" applyFill="1" applyBorder="1" applyAlignment="1">
      <alignment horizontal="center" vertical="center"/>
    </xf>
    <xf numFmtId="10" fontId="17" fillId="0" borderId="0" xfId="64" applyNumberFormat="1" applyFont="1" applyFill="1" applyBorder="1" applyAlignment="1">
      <alignment horizontal="center" vertical="center"/>
    </xf>
    <xf numFmtId="39" fontId="5" fillId="0" borderId="0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indent="5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39" fontId="17" fillId="0" borderId="10" xfId="47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39" fontId="17" fillId="0" borderId="10" xfId="47" applyNumberFormat="1" applyFont="1" applyFill="1" applyBorder="1" applyAlignment="1">
      <alignment horizontal="center" vertical="center"/>
    </xf>
    <xf numFmtId="10" fontId="21" fillId="0" borderId="10" xfId="64" applyNumberFormat="1" applyFont="1" applyFill="1" applyBorder="1" applyAlignment="1">
      <alignment horizontal="center" vertical="center"/>
    </xf>
    <xf numFmtId="10" fontId="17" fillId="0" borderId="10" xfId="64" applyNumberFormat="1" applyFont="1" applyFill="1" applyBorder="1" applyAlignment="1">
      <alignment horizontal="center" vertical="center"/>
    </xf>
    <xf numFmtId="39" fontId="5" fillId="0" borderId="10" xfId="47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 wrapText="1"/>
    </xf>
    <xf numFmtId="2" fontId="5" fillId="35" borderId="37" xfId="0" applyNumberFormat="1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wrapText="1"/>
    </xf>
    <xf numFmtId="2" fontId="5" fillId="35" borderId="39" xfId="0" applyNumberFormat="1" applyFont="1" applyFill="1" applyBorder="1" applyAlignment="1">
      <alignment horizontal="center" vertical="center" wrapText="1"/>
    </xf>
    <xf numFmtId="2" fontId="5" fillId="35" borderId="32" xfId="0" applyNumberFormat="1" applyFont="1" applyFill="1" applyBorder="1" applyAlignment="1">
      <alignment horizontal="center" vertical="center" wrapText="1"/>
    </xf>
    <xf numFmtId="176" fontId="0" fillId="0" borderId="20" xfId="47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39" fontId="0" fillId="0" borderId="45" xfId="47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39" fontId="0" fillId="0" borderId="47" xfId="47" applyNumberFormat="1" applyFont="1" applyFill="1" applyBorder="1" applyAlignment="1">
      <alignment horizontal="center" vertical="center"/>
    </xf>
    <xf numFmtId="0" fontId="0" fillId="1" borderId="48" xfId="0" applyFont="1" applyFill="1" applyBorder="1" applyAlignment="1">
      <alignment horizontal="center" vertical="center"/>
    </xf>
    <xf numFmtId="0" fontId="0" fillId="1" borderId="49" xfId="0" applyFont="1" applyFill="1" applyBorder="1" applyAlignment="1">
      <alignment horizontal="center" vertical="center"/>
    </xf>
    <xf numFmtId="39" fontId="0" fillId="0" borderId="50" xfId="47" applyNumberFormat="1" applyFont="1" applyFill="1" applyBorder="1" applyAlignment="1">
      <alignment horizontal="center" vertical="center"/>
    </xf>
    <xf numFmtId="39" fontId="0" fillId="0" borderId="51" xfId="47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181" fontId="0" fillId="0" borderId="50" xfId="47" applyNumberFormat="1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181" fontId="0" fillId="0" borderId="51" xfId="47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 wrapText="1"/>
    </xf>
    <xf numFmtId="2" fontId="5" fillId="35" borderId="54" xfId="0" applyNumberFormat="1" applyFont="1" applyFill="1" applyBorder="1" applyAlignment="1">
      <alignment horizontal="center" vertical="center" wrapText="1"/>
    </xf>
    <xf numFmtId="2" fontId="5" fillId="35" borderId="29" xfId="0" applyNumberFormat="1" applyFont="1" applyFill="1" applyBorder="1" applyAlignment="1">
      <alignment horizontal="center" vertical="center" wrapText="1"/>
    </xf>
    <xf numFmtId="184" fontId="0" fillId="0" borderId="20" xfId="64" applyNumberFormat="1" applyFont="1" applyFill="1" applyBorder="1" applyAlignment="1">
      <alignment horizontal="center" vertical="center"/>
    </xf>
    <xf numFmtId="0" fontId="0" fillId="1" borderId="20" xfId="0" applyFont="1" applyFill="1" applyBorder="1" applyAlignment="1">
      <alignment horizontal="center" vertical="center"/>
    </xf>
    <xf numFmtId="0" fontId="0" fillId="1" borderId="28" xfId="0" applyFont="1" applyFill="1" applyBorder="1" applyAlignment="1">
      <alignment horizontal="center" vertical="center"/>
    </xf>
    <xf numFmtId="181" fontId="0" fillId="0" borderId="48" xfId="47" applyNumberFormat="1" applyFont="1" applyFill="1" applyBorder="1" applyAlignment="1">
      <alignment horizontal="center" vertical="center"/>
    </xf>
    <xf numFmtId="184" fontId="0" fillId="0" borderId="49" xfId="64" applyNumberFormat="1" applyFont="1" applyFill="1" applyBorder="1" applyAlignment="1">
      <alignment horizontal="center" vertical="center"/>
    </xf>
    <xf numFmtId="184" fontId="0" fillId="0" borderId="50" xfId="64" applyNumberFormat="1" applyFont="1" applyFill="1" applyBorder="1" applyAlignment="1">
      <alignment horizontal="center" vertical="center"/>
    </xf>
    <xf numFmtId="181" fontId="0" fillId="0" borderId="28" xfId="47" applyNumberFormat="1" applyFont="1" applyFill="1" applyBorder="1" applyAlignment="1">
      <alignment horizontal="center" vertical="center"/>
    </xf>
    <xf numFmtId="184" fontId="0" fillId="0" borderId="51" xfId="64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 wrapText="1"/>
    </xf>
    <xf numFmtId="176" fontId="0" fillId="0" borderId="46" xfId="0" applyNumberFormat="1" applyFont="1" applyFill="1" applyBorder="1" applyAlignment="1">
      <alignment horizontal="center" vertical="center"/>
    </xf>
    <xf numFmtId="181" fontId="0" fillId="0" borderId="47" xfId="47" applyNumberFormat="1" applyFont="1" applyFill="1" applyBorder="1" applyAlignment="1">
      <alignment horizontal="center" vertical="center"/>
    </xf>
    <xf numFmtId="181" fontId="0" fillId="0" borderId="52" xfId="47" applyNumberFormat="1" applyFont="1" applyFill="1" applyBorder="1" applyAlignment="1">
      <alignment horizontal="center" vertical="center"/>
    </xf>
    <xf numFmtId="184" fontId="0" fillId="0" borderId="46" xfId="64" applyNumberFormat="1" applyFont="1" applyFill="1" applyBorder="1" applyAlignment="1">
      <alignment horizontal="center" vertical="center"/>
    </xf>
    <xf numFmtId="181" fontId="0" fillId="0" borderId="45" xfId="47" applyNumberFormat="1" applyFont="1" applyFill="1" applyBorder="1" applyAlignment="1">
      <alignment horizontal="center" vertical="center"/>
    </xf>
    <xf numFmtId="181" fontId="0" fillId="0" borderId="44" xfId="47" applyNumberFormat="1" applyFont="1" applyFill="1" applyBorder="1" applyAlignment="1">
      <alignment horizontal="center" vertical="center"/>
    </xf>
    <xf numFmtId="184" fontId="0" fillId="0" borderId="21" xfId="64" applyNumberFormat="1" applyFont="1" applyFill="1" applyBorder="1" applyAlignment="1">
      <alignment horizontal="center" vertical="center"/>
    </xf>
    <xf numFmtId="184" fontId="0" fillId="0" borderId="45" xfId="64" applyNumberFormat="1" applyFont="1" applyFill="1" applyBorder="1" applyAlignment="1">
      <alignment horizontal="center" vertical="center"/>
    </xf>
    <xf numFmtId="184" fontId="0" fillId="0" borderId="55" xfId="64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wrapText="1"/>
    </xf>
    <xf numFmtId="39" fontId="6" fillId="0" borderId="8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0" fontId="19" fillId="0" borderId="30" xfId="0" applyFont="1" applyFill="1" applyBorder="1" applyAlignment="1">
      <alignment wrapText="1"/>
    </xf>
    <xf numFmtId="169" fontId="6" fillId="0" borderId="1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0" fontId="15" fillId="33" borderId="20" xfId="0" applyFont="1" applyFill="1" applyBorder="1" applyAlignment="1">
      <alignment horizontal="left" vertical="center" wrapText="1"/>
    </xf>
    <xf numFmtId="171" fontId="0" fillId="0" borderId="20" xfId="0" applyNumberFormat="1" applyFont="1" applyFill="1" applyBorder="1" applyAlignment="1">
      <alignment horizontal="center" vertical="center"/>
    </xf>
    <xf numFmtId="39" fontId="0" fillId="0" borderId="2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71" fontId="20" fillId="0" borderId="0" xfId="0" applyNumberFormat="1" applyFont="1" applyFill="1" applyBorder="1" applyAlignment="1">
      <alignment horizontal="left" vertical="center"/>
    </xf>
    <xf numFmtId="39" fontId="6" fillId="0" borderId="0" xfId="0" applyNumberFormat="1" applyFont="1" applyFill="1" applyBorder="1" applyAlignment="1">
      <alignment horizontal="left" vertical="center"/>
    </xf>
    <xf numFmtId="170" fontId="5" fillId="0" borderId="12" xfId="45" applyNumberFormat="1" applyFont="1" applyFill="1" applyBorder="1" applyAlignment="1">
      <alignment/>
    </xf>
    <xf numFmtId="38" fontId="0" fillId="0" borderId="20" xfId="0" applyNumberFormat="1" applyFill="1" applyBorder="1" applyAlignment="1">
      <alignment horizontal="center"/>
    </xf>
    <xf numFmtId="38" fontId="5" fillId="0" borderId="12" xfId="0" applyNumberFormat="1" applyFont="1" applyFill="1" applyBorder="1" applyAlignment="1">
      <alignment horizontal="center"/>
    </xf>
    <xf numFmtId="166" fontId="5" fillId="0" borderId="12" xfId="45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left" vertical="center" indent="5"/>
    </xf>
    <xf numFmtId="0" fontId="17" fillId="0" borderId="5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39" fontId="17" fillId="0" borderId="56" xfId="47" applyNumberFormat="1" applyFont="1" applyFill="1" applyBorder="1" applyAlignment="1">
      <alignment vertical="center"/>
    </xf>
    <xf numFmtId="0" fontId="17" fillId="0" borderId="56" xfId="0" applyFont="1" applyFill="1" applyBorder="1" applyAlignment="1">
      <alignment horizontal="left" vertical="center"/>
    </xf>
    <xf numFmtId="10" fontId="21" fillId="0" borderId="56" xfId="64" applyNumberFormat="1" applyFont="1" applyFill="1" applyBorder="1" applyAlignment="1">
      <alignment horizontal="center" vertical="center"/>
    </xf>
    <xf numFmtId="10" fontId="17" fillId="0" borderId="56" xfId="64" applyNumberFormat="1" applyFont="1" applyFill="1" applyBorder="1" applyAlignment="1">
      <alignment horizontal="center" vertical="center"/>
    </xf>
    <xf numFmtId="168" fontId="5" fillId="34" borderId="27" xfId="42" applyNumberFormat="1" applyFont="1" applyFill="1" applyBorder="1" applyAlignment="1">
      <alignment horizontal="center"/>
    </xf>
    <xf numFmtId="37" fontId="3" fillId="0" borderId="57" xfId="0" applyNumberFormat="1" applyFont="1" applyFill="1" applyBorder="1" applyAlignment="1">
      <alignment/>
    </xf>
    <xf numFmtId="37" fontId="3" fillId="0" borderId="58" xfId="0" applyNumberFormat="1" applyFont="1" applyFill="1" applyBorder="1" applyAlignment="1">
      <alignment/>
    </xf>
    <xf numFmtId="0" fontId="26" fillId="0" borderId="0" xfId="0" applyFont="1" applyAlignment="1">
      <alignment/>
    </xf>
    <xf numFmtId="4" fontId="16" fillId="35" borderId="30" xfId="0" applyNumberFormat="1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vertical="center" wrapText="1"/>
    </xf>
    <xf numFmtId="3" fontId="0" fillId="0" borderId="53" xfId="0" applyNumberFormat="1" applyFont="1" applyFill="1" applyBorder="1" applyAlignment="1">
      <alignment horizontal="center" vertical="center"/>
    </xf>
    <xf numFmtId="39" fontId="0" fillId="0" borderId="37" xfId="47" applyNumberFormat="1" applyFont="1" applyFill="1" applyBorder="1" applyAlignment="1">
      <alignment horizontal="center" vertical="center"/>
    </xf>
    <xf numFmtId="181" fontId="0" fillId="0" borderId="37" xfId="47" applyNumberFormat="1" applyFont="1" applyFill="1" applyBorder="1" applyAlignment="1">
      <alignment horizontal="center" vertical="center"/>
    </xf>
    <xf numFmtId="184" fontId="0" fillId="0" borderId="59" xfId="64" applyNumberFormat="1" applyFont="1" applyFill="1" applyBorder="1" applyAlignment="1">
      <alignment horizontal="center" vertical="center"/>
    </xf>
    <xf numFmtId="10" fontId="0" fillId="0" borderId="36" xfId="0" applyNumberFormat="1" applyFont="1" applyFill="1" applyBorder="1" applyAlignment="1">
      <alignment horizontal="center" vertical="center"/>
    </xf>
    <xf numFmtId="10" fontId="0" fillId="0" borderId="8" xfId="0" applyNumberFormat="1" applyBorder="1" applyAlignment="1">
      <alignment/>
    </xf>
    <xf numFmtId="3" fontId="3" fillId="0" borderId="20" xfId="0" applyNumberFormat="1" applyFont="1" applyFill="1" applyBorder="1" applyAlignment="1">
      <alignment/>
    </xf>
    <xf numFmtId="37" fontId="0" fillId="0" borderId="20" xfId="0" applyNumberFormat="1" applyFont="1" applyFill="1" applyBorder="1" applyAlignment="1">
      <alignment/>
    </xf>
    <xf numFmtId="37" fontId="0" fillId="0" borderId="20" xfId="0" applyNumberFormat="1" applyFill="1" applyBorder="1" applyAlignment="1">
      <alignment/>
    </xf>
    <xf numFmtId="3" fontId="0" fillId="0" borderId="20" xfId="42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center"/>
    </xf>
    <xf numFmtId="165" fontId="0" fillId="0" borderId="20" xfId="45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66" fontId="0" fillId="0" borderId="0" xfId="45" applyNumberFormat="1" applyFont="1" applyFill="1" applyBorder="1" applyAlignment="1">
      <alignment/>
    </xf>
    <xf numFmtId="170" fontId="5" fillId="0" borderId="60" xfId="45" applyNumberFormat="1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45" applyNumberFormat="1" applyFont="1" applyFill="1" applyBorder="1" applyAlignment="1">
      <alignment/>
    </xf>
    <xf numFmtId="170" fontId="5" fillId="0" borderId="23" xfId="45" applyNumberFormat="1" applyFont="1" applyFill="1" applyBorder="1" applyAlignment="1">
      <alignment/>
    </xf>
    <xf numFmtId="170" fontId="0" fillId="0" borderId="0" xfId="45" applyNumberFormat="1" applyFont="1" applyFill="1" applyAlignment="1">
      <alignment/>
    </xf>
    <xf numFmtId="173" fontId="5" fillId="0" borderId="0" xfId="64" applyNumberFormat="1" applyFont="1" applyFill="1" applyBorder="1" applyAlignment="1">
      <alignment/>
    </xf>
    <xf numFmtId="186" fontId="0" fillId="0" borderId="20" xfId="45" applyNumberFormat="1" applyFont="1" applyFill="1" applyBorder="1" applyAlignment="1">
      <alignment/>
    </xf>
    <xf numFmtId="186" fontId="5" fillId="0" borderId="12" xfId="45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0" xfId="64" applyNumberFormat="1" applyFont="1" applyFill="1" applyBorder="1" applyAlignment="1">
      <alignment horizontal="center"/>
    </xf>
    <xf numFmtId="178" fontId="0" fillId="0" borderId="20" xfId="42" applyNumberFormat="1" applyFont="1" applyFill="1" applyBorder="1" applyAlignment="1">
      <alignment horizontal="center"/>
    </xf>
    <xf numFmtId="178" fontId="5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" fillId="0" borderId="12" xfId="45" applyNumberFormat="1" applyFont="1" applyFill="1" applyBorder="1" applyAlignment="1">
      <alignment horizontal="center"/>
    </xf>
    <xf numFmtId="3" fontId="0" fillId="0" borderId="20" xfId="64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left" indent="1"/>
    </xf>
    <xf numFmtId="37" fontId="0" fillId="0" borderId="54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37" fontId="0" fillId="0" borderId="36" xfId="0" applyNumberFormat="1" applyFont="1" applyFill="1" applyBorder="1" applyAlignment="1">
      <alignment horizontal="center"/>
    </xf>
    <xf numFmtId="37" fontId="0" fillId="0" borderId="38" xfId="0" applyNumberFormat="1" applyFont="1" applyFill="1" applyBorder="1" applyAlignment="1">
      <alignment horizontal="center"/>
    </xf>
    <xf numFmtId="9" fontId="0" fillId="0" borderId="20" xfId="64" applyNumberFormat="1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37" fontId="3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/>
    </xf>
    <xf numFmtId="3" fontId="16" fillId="35" borderId="0" xfId="0" applyNumberFormat="1" applyFont="1" applyFill="1" applyBorder="1" applyAlignment="1">
      <alignment horizontal="right" vertical="center"/>
    </xf>
    <xf numFmtId="3" fontId="16" fillId="35" borderId="0" xfId="0" applyNumberFormat="1" applyFont="1" applyFill="1" applyBorder="1" applyAlignment="1">
      <alignment horizontal="left" vertical="center"/>
    </xf>
    <xf numFmtId="3" fontId="0" fillId="0" borderId="53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81" fontId="0" fillId="0" borderId="64" xfId="47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65" xfId="0" applyBorder="1" applyAlignment="1">
      <alignment/>
    </xf>
    <xf numFmtId="0" fontId="3" fillId="35" borderId="0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1" xfId="47" applyNumberFormat="1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 wrapText="1"/>
    </xf>
    <xf numFmtId="2" fontId="5" fillId="35" borderId="66" xfId="0" applyNumberFormat="1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39" fontId="17" fillId="0" borderId="56" xfId="47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69" xfId="0" applyBorder="1" applyAlignment="1">
      <alignment/>
    </xf>
    <xf numFmtId="10" fontId="0" fillId="0" borderId="69" xfId="64" applyNumberFormat="1" applyFont="1" applyBorder="1" applyAlignment="1">
      <alignment/>
    </xf>
    <xf numFmtId="10" fontId="0" fillId="0" borderId="29" xfId="6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7" fontId="0" fillId="0" borderId="20" xfId="42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indent="1"/>
    </xf>
    <xf numFmtId="3" fontId="5" fillId="0" borderId="11" xfId="45" applyNumberFormat="1" applyFont="1" applyFill="1" applyBorder="1" applyAlignment="1">
      <alignment horizontal="center"/>
    </xf>
    <xf numFmtId="37" fontId="5" fillId="0" borderId="11" xfId="45" applyNumberFormat="1" applyFont="1" applyFill="1" applyBorder="1" applyAlignment="1">
      <alignment horizontal="center"/>
    </xf>
    <xf numFmtId="3" fontId="5" fillId="0" borderId="68" xfId="45" applyNumberFormat="1" applyFont="1" applyFill="1" applyBorder="1" applyAlignment="1">
      <alignment horizontal="center"/>
    </xf>
    <xf numFmtId="10" fontId="0" fillId="0" borderId="20" xfId="42" applyNumberFormat="1" applyFont="1" applyFill="1" applyBorder="1" applyAlignment="1">
      <alignment horizontal="center"/>
    </xf>
    <xf numFmtId="9" fontId="5" fillId="0" borderId="68" xfId="45" applyNumberFormat="1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176" fontId="5" fillId="25" borderId="27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wrapText="1"/>
    </xf>
    <xf numFmtId="0" fontId="5" fillId="25" borderId="20" xfId="0" applyFont="1" applyFill="1" applyBorder="1" applyAlignment="1">
      <alignment horizontal="center" wrapText="1"/>
    </xf>
    <xf numFmtId="3" fontId="5" fillId="25" borderId="20" xfId="0" applyNumberFormat="1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 horizontal="right"/>
    </xf>
    <xf numFmtId="39" fontId="0" fillId="0" borderId="21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center"/>
    </xf>
    <xf numFmtId="0" fontId="5" fillId="25" borderId="20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5" fillId="25" borderId="21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 wrapText="1"/>
    </xf>
    <xf numFmtId="0" fontId="5" fillId="25" borderId="20" xfId="0" applyFont="1" applyFill="1" applyBorder="1" applyAlignment="1" quotePrefix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64" applyNumberFormat="1" applyFont="1" applyAlignment="1">
      <alignment horizontal="center"/>
    </xf>
    <xf numFmtId="0" fontId="0" fillId="0" borderId="0" xfId="0" applyAlignment="1">
      <alignment horizontal="center"/>
    </xf>
    <xf numFmtId="178" fontId="0" fillId="0" borderId="20" xfId="64" applyNumberFormat="1" applyFont="1" applyBorder="1" applyAlignment="1">
      <alignment horizontal="center"/>
    </xf>
    <xf numFmtId="0" fontId="5" fillId="25" borderId="0" xfId="0" applyFont="1" applyFill="1" applyAlignment="1">
      <alignment/>
    </xf>
    <xf numFmtId="3" fontId="0" fillId="0" borderId="20" xfId="0" applyNumberFormat="1" applyBorder="1" applyAlignment="1">
      <alignment/>
    </xf>
    <xf numFmtId="10" fontId="0" fillId="0" borderId="20" xfId="64" applyNumberFormat="1" applyFont="1" applyBorder="1" applyAlignment="1">
      <alignment/>
    </xf>
    <xf numFmtId="0" fontId="5" fillId="25" borderId="21" xfId="0" applyFont="1" applyFill="1" applyBorder="1" applyAlignment="1">
      <alignment wrapText="1"/>
    </xf>
    <xf numFmtId="168" fontId="0" fillId="0" borderId="20" xfId="42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20" xfId="64" applyNumberFormat="1" applyFont="1" applyBorder="1" applyAlignment="1">
      <alignment/>
    </xf>
    <xf numFmtId="10" fontId="0" fillId="0" borderId="22" xfId="64" applyNumberFormat="1" applyFont="1" applyFill="1" applyBorder="1" applyAlignment="1">
      <alignment horizontal="center"/>
    </xf>
    <xf numFmtId="9" fontId="5" fillId="0" borderId="70" xfId="64" applyFont="1" applyFill="1" applyBorder="1" applyAlignment="1">
      <alignment horizontal="center"/>
    </xf>
    <xf numFmtId="0" fontId="0" fillId="0" borderId="71" xfId="0" applyBorder="1" applyAlignment="1">
      <alignment/>
    </xf>
    <xf numFmtId="37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72" xfId="0" applyFont="1" applyBorder="1" applyAlignment="1">
      <alignment/>
    </xf>
    <xf numFmtId="3" fontId="5" fillId="0" borderId="73" xfId="0" applyNumberFormat="1" applyFont="1" applyBorder="1" applyAlignment="1">
      <alignment/>
    </xf>
    <xf numFmtId="37" fontId="5" fillId="0" borderId="73" xfId="0" applyNumberFormat="1" applyFont="1" applyBorder="1" applyAlignment="1">
      <alignment/>
    </xf>
    <xf numFmtId="0" fontId="5" fillId="0" borderId="73" xfId="0" applyFont="1" applyBorder="1" applyAlignment="1">
      <alignment/>
    </xf>
    <xf numFmtId="3" fontId="0" fillId="0" borderId="73" xfId="0" applyNumberFormat="1" applyBorder="1" applyAlignment="1">
      <alignment/>
    </xf>
    <xf numFmtId="37" fontId="0" fillId="0" borderId="73" xfId="0" applyNumberFormat="1" applyBorder="1" applyAlignment="1">
      <alignment/>
    </xf>
    <xf numFmtId="0" fontId="0" fillId="0" borderId="73" xfId="0" applyFont="1" applyBorder="1" applyAlignment="1">
      <alignment horizontal="center"/>
    </xf>
    <xf numFmtId="168" fontId="5" fillId="25" borderId="20" xfId="42" applyNumberFormat="1" applyFont="1" applyFill="1" applyBorder="1" applyAlignment="1">
      <alignment horizontal="center"/>
    </xf>
    <xf numFmtId="10" fontId="5" fillId="25" borderId="20" xfId="64" applyNumberFormat="1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27" fillId="33" borderId="0" xfId="0" applyFont="1" applyFill="1" applyAlignment="1" applyProtection="1">
      <alignment vertical="top" wrapText="1"/>
      <protection/>
    </xf>
    <xf numFmtId="0" fontId="0" fillId="25" borderId="0" xfId="0" applyFill="1" applyAlignment="1">
      <alignment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indent="7"/>
      <protection/>
    </xf>
    <xf numFmtId="0" fontId="0" fillId="33" borderId="0" xfId="0" applyFill="1" applyBorder="1" applyAlignment="1" applyProtection="1">
      <alignment horizontal="left" indent="1"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74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5" fillId="0" borderId="67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36" xfId="0" applyFill="1" applyBorder="1" applyAlignment="1" applyProtection="1">
      <alignment vertical="top"/>
      <protection/>
    </xf>
    <xf numFmtId="44" fontId="0" fillId="0" borderId="19" xfId="45" applyNumberFormat="1" applyFont="1" applyBorder="1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44" fontId="0" fillId="0" borderId="36" xfId="0" applyNumberFormat="1" applyBorder="1" applyAlignment="1" applyProtection="1">
      <alignment vertical="top"/>
      <protection/>
    </xf>
    <xf numFmtId="10" fontId="0" fillId="0" borderId="19" xfId="64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44" fontId="5" fillId="0" borderId="32" xfId="0" applyNumberFormat="1" applyFont="1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4" fontId="5" fillId="0" borderId="64" xfId="0" applyNumberFormat="1" applyFont="1" applyBorder="1" applyAlignment="1" applyProtection="1">
      <alignment/>
      <protection/>
    </xf>
    <xf numFmtId="10" fontId="5" fillId="0" borderId="32" xfId="64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44" fontId="0" fillId="0" borderId="19" xfId="45" applyNumberFormat="1" applyFont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44" fontId="0" fillId="0" borderId="36" xfId="0" applyNumberFormat="1" applyBorder="1" applyAlignment="1" applyProtection="1">
      <alignment vertical="center"/>
      <protection/>
    </xf>
    <xf numFmtId="10" fontId="0" fillId="0" borderId="19" xfId="64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64" xfId="0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44" fontId="5" fillId="0" borderId="32" xfId="0" applyNumberFormat="1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64" xfId="0" applyFont="1" applyBorder="1" applyAlignment="1" applyProtection="1">
      <alignment vertical="top"/>
      <protection/>
    </xf>
    <xf numFmtId="0" fontId="5" fillId="0" borderId="75" xfId="0" applyFont="1" applyBorder="1" applyAlignment="1" applyProtection="1">
      <alignment vertical="top"/>
      <protection/>
    </xf>
    <xf numFmtId="44" fontId="5" fillId="0" borderId="64" xfId="0" applyNumberFormat="1" applyFont="1" applyBorder="1" applyAlignment="1" applyProtection="1">
      <alignment vertical="top"/>
      <protection/>
    </xf>
    <xf numFmtId="10" fontId="5" fillId="0" borderId="32" xfId="64" applyNumberFormat="1" applyFont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9" fontId="0" fillId="0" borderId="64" xfId="0" applyNumberFormat="1" applyBorder="1" applyAlignment="1" applyProtection="1">
      <alignment vertical="top"/>
      <protection/>
    </xf>
    <xf numFmtId="9" fontId="0" fillId="0" borderId="39" xfId="0" applyNumberFormat="1" applyBorder="1" applyAlignment="1" applyProtection="1">
      <alignment vertical="top"/>
      <protection/>
    </xf>
    <xf numFmtId="9" fontId="5" fillId="0" borderId="64" xfId="0" applyNumberFormat="1" applyFont="1" applyBorder="1" applyAlignment="1" applyProtection="1">
      <alignment vertical="top"/>
      <protection/>
    </xf>
    <xf numFmtId="9" fontId="5" fillId="0" borderId="75" xfId="0" applyNumberFormat="1" applyFont="1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44" fontId="0" fillId="0" borderId="19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191" fontId="0" fillId="0" borderId="44" xfId="47" applyNumberFormat="1" applyFont="1" applyFill="1" applyBorder="1" applyAlignment="1">
      <alignment horizontal="center" vertical="center"/>
    </xf>
    <xf numFmtId="191" fontId="0" fillId="0" borderId="52" xfId="47" applyNumberFormat="1" applyFont="1" applyFill="1" applyBorder="1" applyAlignment="1">
      <alignment horizontal="center" vertical="center"/>
    </xf>
    <xf numFmtId="0" fontId="0" fillId="25" borderId="0" xfId="0" applyFill="1" applyBorder="1" applyAlignment="1" applyProtection="1">
      <alignment/>
      <protection/>
    </xf>
    <xf numFmtId="0" fontId="5" fillId="25" borderId="0" xfId="0" applyFont="1" applyFill="1" applyAlignment="1">
      <alignment/>
    </xf>
    <xf numFmtId="0" fontId="5" fillId="25" borderId="31" xfId="0" applyFont="1" applyFill="1" applyBorder="1" applyAlignment="1">
      <alignment horizontal="center"/>
    </xf>
    <xf numFmtId="0" fontId="5" fillId="25" borderId="20" xfId="0" applyFont="1" applyFill="1" applyBorder="1" applyAlignment="1">
      <alignment/>
    </xf>
    <xf numFmtId="0" fontId="15" fillId="7" borderId="20" xfId="0" applyFont="1" applyFill="1" applyBorder="1" applyAlignment="1">
      <alignment horizontal="left" vertical="center" wrapText="1"/>
    </xf>
    <xf numFmtId="171" fontId="24" fillId="7" borderId="20" xfId="0" applyNumberFormat="1" applyFont="1" applyFill="1" applyBorder="1" applyAlignment="1">
      <alignment horizontal="left" vertical="center"/>
    </xf>
    <xf numFmtId="39" fontId="6" fillId="7" borderId="20" xfId="0" applyNumberFormat="1" applyFont="1" applyFill="1" applyBorder="1" applyAlignment="1">
      <alignment horizontal="left" vertical="center"/>
    </xf>
    <xf numFmtId="37" fontId="5" fillId="0" borderId="20" xfId="0" applyNumberFormat="1" applyFont="1" applyFill="1" applyBorder="1" applyAlignment="1">
      <alignment wrapText="1"/>
    </xf>
    <xf numFmtId="172" fontId="0" fillId="0" borderId="20" xfId="0" applyNumberFormat="1" applyFont="1" applyFill="1" applyBorder="1" applyAlignment="1">
      <alignment wrapText="1"/>
    </xf>
    <xf numFmtId="172" fontId="0" fillId="0" borderId="20" xfId="0" applyNumberFormat="1" applyFont="1" applyFill="1" applyBorder="1" applyAlignment="1">
      <alignment horizontal="center" wrapText="1"/>
    </xf>
    <xf numFmtId="172" fontId="0" fillId="0" borderId="46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center" wrapText="1"/>
    </xf>
    <xf numFmtId="4" fontId="5" fillId="0" borderId="26" xfId="0" applyNumberFormat="1" applyFont="1" applyFill="1" applyBorder="1" applyAlignment="1">
      <alignment horizontal="center" wrapText="1"/>
    </xf>
    <xf numFmtId="4" fontId="5" fillId="0" borderId="26" xfId="0" applyNumberFormat="1" applyFont="1" applyFill="1" applyBorder="1" applyAlignment="1">
      <alignment wrapText="1"/>
    </xf>
    <xf numFmtId="168" fontId="0" fillId="0" borderId="0" xfId="0" applyNumberFormat="1" applyAlignment="1">
      <alignment/>
    </xf>
    <xf numFmtId="175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5" fillId="25" borderId="28" xfId="0" applyFont="1" applyFill="1" applyBorder="1" applyAlignment="1">
      <alignment horizontal="center" wrapText="1"/>
    </xf>
    <xf numFmtId="0" fontId="5" fillId="25" borderId="22" xfId="0" applyFont="1" applyFill="1" applyBorder="1" applyAlignment="1">
      <alignment horizontal="center" wrapText="1"/>
    </xf>
    <xf numFmtId="37" fontId="5" fillId="25" borderId="20" xfId="64" applyNumberFormat="1" applyFont="1" applyFill="1" applyBorder="1" applyAlignment="1">
      <alignment horizontal="center" wrapText="1"/>
    </xf>
    <xf numFmtId="37" fontId="5" fillId="25" borderId="68" xfId="64" applyNumberFormat="1" applyFont="1" applyFill="1" applyBorder="1" applyAlignment="1">
      <alignment horizontal="center" wrapText="1"/>
    </xf>
    <xf numFmtId="10" fontId="0" fillId="0" borderId="20" xfId="0" applyNumberFormat="1" applyBorder="1" applyAlignment="1">
      <alignment/>
    </xf>
    <xf numFmtId="0" fontId="5" fillId="25" borderId="20" xfId="0" applyFont="1" applyFill="1" applyBorder="1" applyAlignment="1">
      <alignment horizontal="center" wrapText="1"/>
    </xf>
    <xf numFmtId="0" fontId="5" fillId="25" borderId="0" xfId="0" applyFont="1" applyFill="1" applyAlignment="1">
      <alignment/>
    </xf>
    <xf numFmtId="0" fontId="5" fillId="25" borderId="2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/>
    </xf>
    <xf numFmtId="188" fontId="0" fillId="0" borderId="20" xfId="64" applyNumberFormat="1" applyFont="1" applyBorder="1" applyAlignment="1">
      <alignment/>
    </xf>
    <xf numFmtId="185" fontId="0" fillId="13" borderId="27" xfId="0" applyNumberForma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6" fillId="25" borderId="20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68" xfId="0" applyFont="1" applyFill="1" applyBorder="1" applyAlignment="1">
      <alignment horizontal="center"/>
    </xf>
    <xf numFmtId="0" fontId="5" fillId="25" borderId="46" xfId="0" applyFont="1" applyFill="1" applyBorder="1" applyAlignment="1">
      <alignment horizontal="center" vertical="center" wrapText="1"/>
    </xf>
    <xf numFmtId="0" fontId="5" fillId="25" borderId="76" xfId="0" applyFont="1" applyFill="1" applyBorder="1" applyAlignment="1">
      <alignment horizontal="center" vertical="center" wrapText="1"/>
    </xf>
    <xf numFmtId="3" fontId="0" fillId="13" borderId="20" xfId="45" applyNumberFormat="1" applyFont="1" applyFill="1" applyBorder="1" applyAlignment="1">
      <alignment horizontal="center"/>
    </xf>
    <xf numFmtId="178" fontId="0" fillId="13" borderId="20" xfId="45" applyNumberFormat="1" applyFont="1" applyFill="1" applyBorder="1" applyAlignment="1">
      <alignment horizontal="center"/>
    </xf>
    <xf numFmtId="178" fontId="0" fillId="13" borderId="20" xfId="64" applyNumberFormat="1" applyFont="1" applyFill="1" applyBorder="1" applyAlignment="1">
      <alignment horizontal="center"/>
    </xf>
    <xf numFmtId="3" fontId="0" fillId="13" borderId="0" xfId="0" applyNumberFormat="1" applyFill="1" applyAlignment="1">
      <alignment horizontal="center"/>
    </xf>
    <xf numFmtId="44" fontId="5" fillId="25" borderId="20" xfId="45" applyFont="1" applyFill="1" applyBorder="1" applyAlignment="1">
      <alignment horizontal="center" wrapText="1"/>
    </xf>
    <xf numFmtId="179" fontId="5" fillId="25" borderId="20" xfId="0" applyNumberFormat="1" applyFont="1" applyFill="1" applyBorder="1" applyAlignment="1">
      <alignment horizontal="center" wrapText="1"/>
    </xf>
    <xf numFmtId="180" fontId="5" fillId="25" borderId="20" xfId="0" applyNumberFormat="1" applyFont="1" applyFill="1" applyBorder="1" applyAlignment="1">
      <alignment horizontal="center" wrapText="1"/>
    </xf>
    <xf numFmtId="0" fontId="17" fillId="25" borderId="77" xfId="0" applyFont="1" applyFill="1" applyBorder="1" applyAlignment="1">
      <alignment horizontal="center" wrapText="1"/>
    </xf>
    <xf numFmtId="176" fontId="5" fillId="25" borderId="20" xfId="0" applyNumberFormat="1" applyFont="1" applyFill="1" applyBorder="1" applyAlignment="1">
      <alignment horizontal="center"/>
    </xf>
    <xf numFmtId="172" fontId="7" fillId="25" borderId="41" xfId="0" applyNumberFormat="1" applyFont="1" applyFill="1" applyBorder="1" applyAlignment="1">
      <alignment horizontal="center" vertical="center" wrapText="1"/>
    </xf>
    <xf numFmtId="176" fontId="0" fillId="25" borderId="28" xfId="0" applyNumberForma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172" fontId="0" fillId="25" borderId="20" xfId="0" applyNumberForma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172" fontId="0" fillId="25" borderId="40" xfId="0" applyNumberFormat="1" applyFill="1" applyBorder="1" applyAlignment="1">
      <alignment horizontal="center" vertical="center" wrapText="1"/>
    </xf>
    <xf numFmtId="172" fontId="0" fillId="25" borderId="78" xfId="0" applyNumberFormat="1" applyFill="1" applyBorder="1" applyAlignment="1">
      <alignment horizontal="center" vertical="center" wrapText="1"/>
    </xf>
    <xf numFmtId="0" fontId="0" fillId="25" borderId="28" xfId="0" applyFill="1" applyBorder="1" applyAlignment="1" quotePrefix="1">
      <alignment horizontal="center" vertical="center" wrapText="1"/>
    </xf>
    <xf numFmtId="176" fontId="0" fillId="25" borderId="28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72" fontId="0" fillId="25" borderId="20" xfId="0" applyNumberForma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172" fontId="0" fillId="25" borderId="40" xfId="0" applyNumberFormat="1" applyFill="1" applyBorder="1" applyAlignment="1">
      <alignment horizontal="center" vertical="center"/>
    </xf>
    <xf numFmtId="172" fontId="0" fillId="25" borderId="78" xfId="0" applyNumberFormat="1" applyFill="1" applyBorder="1" applyAlignment="1">
      <alignment horizontal="center" vertical="center"/>
    </xf>
    <xf numFmtId="0" fontId="0" fillId="25" borderId="28" xfId="0" applyFill="1" applyBorder="1" applyAlignment="1">
      <alignment vertical="center"/>
    </xf>
    <xf numFmtId="177" fontId="5" fillId="13" borderId="31" xfId="0" applyNumberFormat="1" applyFont="1" applyFill="1" applyBorder="1" applyAlignment="1">
      <alignment horizontal="center" vertical="center"/>
    </xf>
    <xf numFmtId="39" fontId="5" fillId="13" borderId="66" xfId="47" applyNumberFormat="1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center" vertical="center"/>
    </xf>
    <xf numFmtId="39" fontId="17" fillId="13" borderId="66" xfId="47" applyNumberFormat="1" applyFont="1" applyFill="1" applyBorder="1" applyAlignment="1">
      <alignment horizontal="center" vertical="center"/>
    </xf>
    <xf numFmtId="181" fontId="5" fillId="13" borderId="64" xfId="47" applyNumberFormat="1" applyFont="1" applyFill="1" applyBorder="1" applyAlignment="1">
      <alignment horizontal="center" vertical="center"/>
    </xf>
    <xf numFmtId="184" fontId="5" fillId="13" borderId="39" xfId="64" applyNumberFormat="1" applyFont="1" applyFill="1" applyBorder="1" applyAlignment="1">
      <alignment horizontal="center" vertical="center"/>
    </xf>
    <xf numFmtId="184" fontId="5" fillId="13" borderId="66" xfId="64" applyNumberFormat="1" applyFont="1" applyFill="1" applyBorder="1" applyAlignment="1">
      <alignment horizontal="center" vertical="center"/>
    </xf>
    <xf numFmtId="184" fontId="5" fillId="13" borderId="50" xfId="64" applyNumberFormat="1" applyFont="1" applyFill="1" applyBorder="1" applyAlignment="1">
      <alignment horizontal="center" vertical="center"/>
    </xf>
    <xf numFmtId="184" fontId="17" fillId="13" borderId="39" xfId="64" applyNumberFormat="1" applyFont="1" applyFill="1" applyBorder="1" applyAlignment="1">
      <alignment horizontal="center" vertical="center"/>
    </xf>
    <xf numFmtId="184" fontId="17" fillId="13" borderId="66" xfId="64" applyNumberFormat="1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center" vertical="center"/>
    </xf>
    <xf numFmtId="39" fontId="17" fillId="13" borderId="66" xfId="47" applyNumberFormat="1" applyFont="1" applyFill="1" applyBorder="1" applyAlignment="1">
      <alignment horizontal="center" vertical="center"/>
    </xf>
    <xf numFmtId="187" fontId="5" fillId="13" borderId="66" xfId="47" applyNumberFormat="1" applyFont="1" applyFill="1" applyBorder="1" applyAlignment="1">
      <alignment horizontal="center" vertical="center"/>
    </xf>
    <xf numFmtId="166" fontId="17" fillId="13" borderId="66" xfId="47" applyNumberFormat="1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7" fillId="13" borderId="77" xfId="0" applyFont="1" applyFill="1" applyBorder="1" applyAlignment="1">
      <alignment horizontal="center" vertical="center"/>
    </xf>
    <xf numFmtId="39" fontId="5" fillId="13" borderId="59" xfId="47" applyNumberFormat="1" applyFont="1" applyFill="1" applyBorder="1" applyAlignment="1">
      <alignment horizontal="center" vertical="center"/>
    </xf>
    <xf numFmtId="184" fontId="5" fillId="13" borderId="54" xfId="64" applyNumberFormat="1" applyFont="1" applyFill="1" applyBorder="1" applyAlignment="1">
      <alignment horizontal="center" vertical="center"/>
    </xf>
    <xf numFmtId="184" fontId="5" fillId="13" borderId="59" xfId="64" applyNumberFormat="1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/>
    </xf>
    <xf numFmtId="168" fontId="5" fillId="13" borderId="20" xfId="42" applyNumberFormat="1" applyFont="1" applyFill="1" applyBorder="1" applyAlignment="1">
      <alignment/>
    </xf>
    <xf numFmtId="9" fontId="5" fillId="13" borderId="20" xfId="64" applyFont="1" applyFill="1" applyBorder="1" applyAlignment="1">
      <alignment/>
    </xf>
    <xf numFmtId="188" fontId="5" fillId="13" borderId="20" xfId="64" applyNumberFormat="1" applyFont="1" applyFill="1" applyBorder="1" applyAlignment="1">
      <alignment/>
    </xf>
    <xf numFmtId="0" fontId="0" fillId="13" borderId="0" xfId="0" applyFill="1" applyAlignment="1" applyProtection="1">
      <alignment vertical="top"/>
      <protection locked="0"/>
    </xf>
    <xf numFmtId="0" fontId="0" fillId="13" borderId="0" xfId="0" applyFill="1" applyAlignment="1" applyProtection="1">
      <alignment vertical="top"/>
      <protection/>
    </xf>
    <xf numFmtId="0" fontId="5" fillId="13" borderId="0" xfId="0" applyFont="1" applyFill="1" applyAlignment="1" applyProtection="1">
      <alignment vertical="top"/>
      <protection/>
    </xf>
    <xf numFmtId="0" fontId="5" fillId="13" borderId="20" xfId="0" applyFont="1" applyFill="1" applyBorder="1" applyAlignment="1" applyProtection="1">
      <alignment/>
      <protection locked="0"/>
    </xf>
    <xf numFmtId="174" fontId="0" fillId="13" borderId="36" xfId="45" applyNumberFormat="1" applyFont="1" applyFill="1" applyBorder="1" applyAlignment="1" applyProtection="1">
      <alignment vertical="top"/>
      <protection locked="0"/>
    </xf>
    <xf numFmtId="174" fontId="0" fillId="13" borderId="36" xfId="45" applyNumberFormat="1" applyFont="1" applyFill="1" applyBorder="1" applyAlignment="1" applyProtection="1">
      <alignment vertical="center"/>
      <protection locked="0"/>
    </xf>
    <xf numFmtId="0" fontId="0" fillId="13" borderId="36" xfId="0" applyFill="1" applyBorder="1" applyAlignment="1" applyProtection="1">
      <alignment vertical="top"/>
      <protection locked="0"/>
    </xf>
    <xf numFmtId="189" fontId="0" fillId="13" borderId="36" xfId="45" applyNumberFormat="1" applyFont="1" applyFill="1" applyBorder="1" applyAlignment="1" applyProtection="1">
      <alignment vertical="top"/>
      <protection locked="0"/>
    </xf>
    <xf numFmtId="0" fontId="0" fillId="13" borderId="36" xfId="0" applyFill="1" applyBorder="1" applyAlignment="1" applyProtection="1">
      <alignment vertical="top"/>
      <protection/>
    </xf>
    <xf numFmtId="0" fontId="0" fillId="13" borderId="19" xfId="0" applyFill="1" applyBorder="1" applyAlignment="1" applyProtection="1">
      <alignment vertical="top"/>
      <protection locked="0"/>
    </xf>
    <xf numFmtId="9" fontId="0" fillId="13" borderId="36" xfId="0" applyNumberFormat="1" applyFill="1" applyBorder="1" applyAlignment="1" applyProtection="1">
      <alignment vertical="top"/>
      <protection locked="0"/>
    </xf>
    <xf numFmtId="190" fontId="0" fillId="13" borderId="20" xfId="64" applyNumberFormat="1" applyFont="1" applyFill="1" applyBorder="1" applyAlignment="1" applyProtection="1">
      <alignment/>
      <protection locked="0"/>
    </xf>
    <xf numFmtId="10" fontId="0" fillId="13" borderId="20" xfId="64" applyNumberFormat="1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vertical="top"/>
      <protection locked="0"/>
    </xf>
    <xf numFmtId="0" fontId="0" fillId="7" borderId="0" xfId="0" applyFill="1" applyAlignment="1" applyProtection="1">
      <alignment vertical="center"/>
      <protection locked="0"/>
    </xf>
    <xf numFmtId="168" fontId="5" fillId="13" borderId="20" xfId="42" applyNumberFormat="1" applyFont="1" applyFill="1" applyBorder="1" applyAlignment="1" applyProtection="1">
      <alignment/>
      <protection locked="0"/>
    </xf>
    <xf numFmtId="3" fontId="5" fillId="25" borderId="20" xfId="0" applyNumberFormat="1" applyFont="1" applyFill="1" applyBorder="1" applyAlignment="1">
      <alignment horizontal="center" wrapText="1"/>
    </xf>
    <xf numFmtId="170" fontId="5" fillId="13" borderId="12" xfId="45" applyNumberFormat="1" applyFont="1" applyFill="1" applyBorder="1" applyAlignment="1">
      <alignment/>
    </xf>
    <xf numFmtId="172" fontId="7" fillId="25" borderId="4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/>
    </xf>
    <xf numFmtId="194" fontId="0" fillId="0" borderId="19" xfId="0" applyNumberFormat="1" applyBorder="1" applyAlignment="1">
      <alignment/>
    </xf>
    <xf numFmtId="194" fontId="0" fillId="0" borderId="67" xfId="0" applyNumberFormat="1" applyBorder="1" applyAlignment="1">
      <alignment/>
    </xf>
    <xf numFmtId="3" fontId="5" fillId="0" borderId="67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7" fontId="0" fillId="0" borderId="46" xfId="0" applyNumberFormat="1" applyFont="1" applyFill="1" applyBorder="1" applyAlignment="1">
      <alignment horizontal="center"/>
    </xf>
    <xf numFmtId="37" fontId="0" fillId="0" borderId="21" xfId="0" applyNumberFormat="1" applyFont="1" applyFill="1" applyBorder="1" applyAlignment="1">
      <alignment horizontal="center"/>
    </xf>
    <xf numFmtId="37" fontId="0" fillId="0" borderId="36" xfId="0" applyNumberFormat="1" applyFont="1" applyFill="1" applyBorder="1" applyAlignment="1">
      <alignment horizontal="center"/>
    </xf>
    <xf numFmtId="37" fontId="0" fillId="0" borderId="54" xfId="0" applyNumberFormat="1" applyFont="1" applyFill="1" applyBorder="1" applyAlignment="1">
      <alignment horizontal="center"/>
    </xf>
    <xf numFmtId="37" fontId="0" fillId="0" borderId="79" xfId="0" applyNumberFormat="1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center"/>
    </xf>
    <xf numFmtId="37" fontId="0" fillId="0" borderId="71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4" fontId="0" fillId="0" borderId="20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wrapText="1"/>
    </xf>
    <xf numFmtId="3" fontId="0" fillId="0" borderId="46" xfId="0" applyNumberFormat="1" applyFont="1" applyFill="1" applyBorder="1" applyAlignment="1">
      <alignment horizontal="center" wrapText="1"/>
    </xf>
    <xf numFmtId="176" fontId="0" fillId="0" borderId="57" xfId="45" applyNumberFormat="1" applyFont="1" applyFill="1" applyBorder="1" applyAlignment="1" applyProtection="1">
      <alignment horizontal="center"/>
      <protection locked="0"/>
    </xf>
    <xf numFmtId="176" fontId="0" fillId="0" borderId="41" xfId="45" applyNumberFormat="1" applyFont="1" applyFill="1" applyBorder="1" applyAlignment="1" applyProtection="1">
      <alignment horizontal="center"/>
      <protection locked="0"/>
    </xf>
    <xf numFmtId="176" fontId="0" fillId="0" borderId="40" xfId="45" applyNumberFormat="1" applyFont="1" applyFill="1" applyBorder="1" applyAlignment="1" applyProtection="1">
      <alignment horizontal="center"/>
      <protection locked="0"/>
    </xf>
    <xf numFmtId="176" fontId="0" fillId="0" borderId="42" xfId="45" applyNumberFormat="1" applyFont="1" applyFill="1" applyBorder="1" applyAlignment="1" applyProtection="1">
      <alignment horizontal="center"/>
      <protection locked="0"/>
    </xf>
    <xf numFmtId="39" fontId="0" fillId="0" borderId="40" xfId="45" applyNumberFormat="1" applyFont="1" applyFill="1" applyBorder="1" applyAlignment="1" applyProtection="1">
      <alignment horizontal="center"/>
      <protection locked="0"/>
    </xf>
    <xf numFmtId="176" fontId="0" fillId="0" borderId="28" xfId="0" applyNumberFormat="1" applyFont="1" applyFill="1" applyBorder="1" applyAlignment="1" applyProtection="1">
      <alignment horizontal="center"/>
      <protection/>
    </xf>
    <xf numFmtId="172" fontId="0" fillId="0" borderId="20" xfId="0" applyNumberFormat="1" applyFont="1" applyFill="1" applyBorder="1" applyAlignment="1" applyProtection="1">
      <alignment horizontal="center"/>
      <protection locked="0"/>
    </xf>
    <xf numFmtId="176" fontId="0" fillId="0" borderId="28" xfId="0" applyNumberFormat="1" applyFill="1" applyBorder="1" applyAlignment="1" applyProtection="1">
      <alignment horizontal="center"/>
      <protection/>
    </xf>
    <xf numFmtId="172" fontId="0" fillId="0" borderId="20" xfId="0" applyNumberFormat="1" applyFill="1" applyBorder="1" applyAlignment="1" applyProtection="1">
      <alignment horizontal="center"/>
      <protection locked="0"/>
    </xf>
    <xf numFmtId="172" fontId="0" fillId="0" borderId="28" xfId="0" applyNumberFormat="1" applyFill="1" applyBorder="1" applyAlignment="1" applyProtection="1">
      <alignment horizontal="center"/>
      <protection/>
    </xf>
    <xf numFmtId="172" fontId="0" fillId="0" borderId="40" xfId="0" applyNumberFormat="1" applyFont="1" applyFill="1" applyBorder="1" applyAlignment="1" applyProtection="1">
      <alignment horizontal="center"/>
      <protection locked="0"/>
    </xf>
    <xf numFmtId="172" fontId="0" fillId="0" borderId="78" xfId="0" applyNumberFormat="1" applyFont="1" applyFill="1" applyBorder="1" applyAlignment="1" applyProtection="1">
      <alignment horizontal="center"/>
      <protection locked="0"/>
    </xf>
    <xf numFmtId="172" fontId="0" fillId="0" borderId="28" xfId="0" applyNumberFormat="1" applyFont="1" applyFill="1" applyBorder="1" applyAlignment="1" applyProtection="1">
      <alignment horizontal="center"/>
      <protection locked="0"/>
    </xf>
    <xf numFmtId="172" fontId="0" fillId="0" borderId="28" xfId="0" applyNumberFormat="1" applyFill="1" applyBorder="1" applyAlignment="1" applyProtection="1">
      <alignment horizontal="center"/>
      <protection locked="0"/>
    </xf>
    <xf numFmtId="172" fontId="0" fillId="25" borderId="28" xfId="0" applyNumberFormat="1" applyFill="1" applyBorder="1" applyAlignment="1">
      <alignment horizontal="center" vertical="center" wrapText="1"/>
    </xf>
    <xf numFmtId="172" fontId="0" fillId="25" borderId="80" xfId="0" applyNumberFormat="1" applyFill="1" applyBorder="1" applyAlignment="1">
      <alignment horizontal="center" vertical="center" wrapText="1"/>
    </xf>
    <xf numFmtId="172" fontId="0" fillId="25" borderId="28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23" xfId="0" applyNumberFormat="1" applyFill="1" applyBorder="1" applyAlignment="1">
      <alignment/>
    </xf>
    <xf numFmtId="188" fontId="0" fillId="0" borderId="20" xfId="64" applyNumberFormat="1" applyFont="1" applyBorder="1" applyAlignment="1">
      <alignment/>
    </xf>
    <xf numFmtId="3" fontId="5" fillId="25" borderId="20" xfId="0" applyNumberFormat="1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/>
    </xf>
    <xf numFmtId="37" fontId="5" fillId="13" borderId="20" xfId="0" applyNumberFormat="1" applyFont="1" applyFill="1" applyBorder="1" applyAlignment="1" applyProtection="1">
      <alignment/>
      <protection locked="0"/>
    </xf>
    <xf numFmtId="37" fontId="5" fillId="0" borderId="21" xfId="0" applyNumberFormat="1" applyFont="1" applyFill="1" applyBorder="1" applyAlignment="1">
      <alignment/>
    </xf>
    <xf numFmtId="3" fontId="0" fillId="0" borderId="21" xfId="64" applyNumberFormat="1" applyFont="1" applyFill="1" applyBorder="1" applyAlignment="1">
      <alignment horizontal="center"/>
    </xf>
    <xf numFmtId="10" fontId="0" fillId="0" borderId="20" xfId="64" applyNumberFormat="1" applyFont="1" applyBorder="1" applyAlignment="1">
      <alignment horizontal="center"/>
    </xf>
    <xf numFmtId="3" fontId="5" fillId="25" borderId="28" xfId="0" applyNumberFormat="1" applyFont="1" applyFill="1" applyBorder="1" applyAlignment="1">
      <alignment horizontal="center" wrapText="1"/>
    </xf>
    <xf numFmtId="10" fontId="0" fillId="0" borderId="28" xfId="64" applyNumberFormat="1" applyFont="1" applyBorder="1" applyAlignment="1">
      <alignment horizontal="center"/>
    </xf>
    <xf numFmtId="10" fontId="0" fillId="0" borderId="68" xfId="64" applyNumberFormat="1" applyFont="1" applyBorder="1" applyAlignment="1">
      <alignment horizontal="center"/>
    </xf>
    <xf numFmtId="10" fontId="0" fillId="0" borderId="67" xfId="64" applyNumberFormat="1" applyFont="1" applyFill="1" applyBorder="1" applyAlignment="1">
      <alignment horizontal="center"/>
    </xf>
    <xf numFmtId="10" fontId="0" fillId="0" borderId="51" xfId="64" applyNumberFormat="1" applyFont="1" applyFill="1" applyBorder="1" applyAlignment="1">
      <alignment horizontal="center"/>
    </xf>
    <xf numFmtId="10" fontId="0" fillId="0" borderId="45" xfId="64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7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168" fontId="0" fillId="0" borderId="20" xfId="0" applyNumberForma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75" fontId="0" fillId="0" borderId="20" xfId="42" applyNumberFormat="1" applyFont="1" applyFill="1" applyBorder="1" applyAlignment="1">
      <alignment/>
    </xf>
    <xf numFmtId="43" fontId="0" fillId="0" borderId="20" xfId="42" applyNumberFormat="1" applyFont="1" applyFill="1" applyBorder="1" applyAlignment="1">
      <alignment/>
    </xf>
    <xf numFmtId="168" fontId="0" fillId="0" borderId="20" xfId="42" applyNumberFormat="1" applyFont="1" applyFill="1" applyBorder="1" applyAlignment="1">
      <alignment/>
    </xf>
    <xf numFmtId="192" fontId="0" fillId="0" borderId="20" xfId="42" applyNumberFormat="1" applyFont="1" applyFill="1" applyBorder="1" applyAlignment="1">
      <alignment/>
    </xf>
    <xf numFmtId="195" fontId="0" fillId="0" borderId="20" xfId="42" applyNumberFormat="1" applyFont="1" applyBorder="1" applyAlignment="1">
      <alignment/>
    </xf>
    <xf numFmtId="0" fontId="5" fillId="25" borderId="20" xfId="0" applyFont="1" applyFill="1" applyBorder="1" applyAlignment="1">
      <alignment horizontal="center" wrapText="1"/>
    </xf>
    <xf numFmtId="195" fontId="6" fillId="0" borderId="8" xfId="0" applyNumberFormat="1" applyFont="1" applyBorder="1" applyAlignment="1">
      <alignment horizontal="center"/>
    </xf>
    <xf numFmtId="44" fontId="0" fillId="13" borderId="36" xfId="45" applyNumberFormat="1" applyFont="1" applyFill="1" applyBorder="1" applyAlignment="1" applyProtection="1">
      <alignment vertical="top"/>
      <protection locked="0"/>
    </xf>
    <xf numFmtId="3" fontId="0" fillId="0" borderId="0" xfId="0" applyNumberFormat="1" applyAlignment="1">
      <alignment horizontal="right"/>
    </xf>
    <xf numFmtId="198" fontId="0" fillId="0" borderId="20" xfId="0" applyNumberFormat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5" fillId="0" borderId="26" xfId="42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center" wrapText="1"/>
    </xf>
    <xf numFmtId="177" fontId="0" fillId="0" borderId="20" xfId="42" applyNumberFormat="1" applyFont="1" applyFill="1" applyBorder="1" applyAlignment="1">
      <alignment horizontal="right"/>
    </xf>
    <xf numFmtId="170" fontId="5" fillId="0" borderId="26" xfId="45" applyNumberFormat="1" applyFont="1" applyFill="1" applyBorder="1" applyAlignment="1">
      <alignment horizontal="right" indent="1"/>
    </xf>
    <xf numFmtId="168" fontId="5" fillId="0" borderId="26" xfId="0" applyNumberFormat="1" applyFont="1" applyFill="1" applyBorder="1" applyAlignment="1">
      <alignment horizontal="right" indent="1"/>
    </xf>
    <xf numFmtId="0" fontId="5" fillId="25" borderId="2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10" fontId="0" fillId="25" borderId="20" xfId="64" applyNumberFormat="1" applyFont="1" applyFill="1" applyBorder="1" applyAlignment="1">
      <alignment/>
    </xf>
    <xf numFmtId="10" fontId="0" fillId="0" borderId="20" xfId="64" applyNumberFormat="1" applyFont="1" applyBorder="1" applyAlignment="1">
      <alignment/>
    </xf>
    <xf numFmtId="0" fontId="5" fillId="25" borderId="2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25" borderId="20" xfId="0" applyFont="1" applyFill="1" applyBorder="1" applyAlignment="1">
      <alignment horizontal="center" wrapText="1"/>
    </xf>
    <xf numFmtId="195" fontId="0" fillId="0" borderId="42" xfId="45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70" fontId="3" fillId="0" borderId="60" xfId="45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25" borderId="46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25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76" fontId="0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6" fontId="5" fillId="25" borderId="31" xfId="0" applyNumberFormat="1" applyFont="1" applyFill="1" applyBorder="1" applyAlignment="1">
      <alignment horizontal="center" wrapText="1"/>
    </xf>
    <xf numFmtId="0" fontId="0" fillId="25" borderId="32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20" xfId="0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0" fontId="5" fillId="25" borderId="0" xfId="0" applyFont="1" applyFill="1" applyAlignment="1">
      <alignment/>
    </xf>
    <xf numFmtId="176" fontId="5" fillId="25" borderId="3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5" fillId="25" borderId="20" xfId="0" applyNumberFormat="1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73" xfId="0" applyFont="1" applyBorder="1" applyAlignment="1">
      <alignment horizontal="center"/>
    </xf>
    <xf numFmtId="0" fontId="5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/>
    </xf>
    <xf numFmtId="0" fontId="7" fillId="0" borderId="7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5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37" fontId="5" fillId="25" borderId="2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Alignment="1">
      <alignment horizontal="center" vertical="center" wrapText="1"/>
    </xf>
    <xf numFmtId="37" fontId="5" fillId="25" borderId="2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25" borderId="46" xfId="0" applyFont="1" applyFill="1" applyBorder="1" applyAlignment="1">
      <alignment horizontal="center" wrapText="1"/>
    </xf>
    <xf numFmtId="0" fontId="5" fillId="25" borderId="36" xfId="0" applyFont="1" applyFill="1" applyBorder="1" applyAlignment="1">
      <alignment horizontal="center" wrapText="1"/>
    </xf>
    <xf numFmtId="0" fontId="5" fillId="25" borderId="2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76" fontId="7" fillId="25" borderId="41" xfId="0" applyNumberFormat="1" applyFont="1" applyFill="1" applyBorder="1" applyAlignment="1">
      <alignment horizontal="center" vertical="center" wrapText="1"/>
    </xf>
    <xf numFmtId="176" fontId="7" fillId="25" borderId="82" xfId="0" applyNumberFormat="1" applyFont="1" applyFill="1" applyBorder="1" applyAlignment="1">
      <alignment horizontal="center" vertical="center" wrapText="1"/>
    </xf>
    <xf numFmtId="0" fontId="7" fillId="25" borderId="41" xfId="0" applyFont="1" applyFill="1" applyBorder="1" applyAlignment="1">
      <alignment horizontal="center" vertical="center" wrapText="1"/>
    </xf>
    <xf numFmtId="0" fontId="7" fillId="25" borderId="82" xfId="0" applyFont="1" applyFill="1" applyBorder="1" applyAlignment="1">
      <alignment horizontal="center" vertical="center" wrapText="1"/>
    </xf>
    <xf numFmtId="172" fontId="7" fillId="25" borderId="41" xfId="0" applyNumberFormat="1" applyFont="1" applyFill="1" applyBorder="1" applyAlignment="1">
      <alignment horizontal="center" vertical="center" wrapText="1"/>
    </xf>
    <xf numFmtId="172" fontId="7" fillId="25" borderId="83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/>
    </xf>
    <xf numFmtId="0" fontId="8" fillId="25" borderId="77" xfId="0" applyFont="1" applyFill="1" applyBorder="1" applyAlignment="1">
      <alignment horizontal="center"/>
    </xf>
    <xf numFmtId="0" fontId="8" fillId="25" borderId="65" xfId="0" applyFont="1" applyFill="1" applyBorder="1" applyAlignment="1">
      <alignment horizontal="center"/>
    </xf>
    <xf numFmtId="0" fontId="8" fillId="25" borderId="84" xfId="0" applyFont="1" applyFill="1" applyBorder="1" applyAlignment="1">
      <alignment horizontal="center"/>
    </xf>
    <xf numFmtId="0" fontId="17" fillId="25" borderId="0" xfId="0" applyFont="1" applyFill="1" applyAlignment="1">
      <alignment horizont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8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" fillId="25" borderId="69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7" fillId="0" borderId="6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7" fontId="3" fillId="0" borderId="34" xfId="0" applyNumberFormat="1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6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22" xfId="0" applyFont="1" applyBorder="1" applyAlignment="1">
      <alignment/>
    </xf>
    <xf numFmtId="170" fontId="0" fillId="0" borderId="0" xfId="0" applyNumberFormat="1" applyFill="1" applyAlignment="1">
      <alignment/>
    </xf>
    <xf numFmtId="0" fontId="25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0" fontId="5" fillId="13" borderId="0" xfId="0" applyFont="1" applyFill="1" applyAlignment="1">
      <alignment/>
    </xf>
    <xf numFmtId="0" fontId="5" fillId="0" borderId="76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0" fillId="13" borderId="76" xfId="0" applyFill="1" applyBorder="1" applyAlignment="1" applyProtection="1">
      <alignment vertical="top" wrapText="1"/>
      <protection locked="0"/>
    </xf>
    <xf numFmtId="0" fontId="0" fillId="13" borderId="81" xfId="0" applyFill="1" applyBorder="1" applyAlignment="1" applyProtection="1">
      <alignment vertical="top" wrapText="1"/>
      <protection locked="0"/>
    </xf>
    <xf numFmtId="0" fontId="0" fillId="13" borderId="74" xfId="0" applyFill="1" applyBorder="1" applyAlignment="1" applyProtection="1">
      <alignment vertical="top" wrapText="1"/>
      <protection locked="0"/>
    </xf>
    <xf numFmtId="0" fontId="0" fillId="13" borderId="18" xfId="0" applyFill="1" applyBorder="1" applyAlignment="1" applyProtection="1">
      <alignment vertical="top" wrapText="1"/>
      <protection locked="0"/>
    </xf>
    <xf numFmtId="0" fontId="0" fillId="13" borderId="0" xfId="0" applyFill="1" applyBorder="1" applyAlignment="1" applyProtection="1">
      <alignment vertical="top" wrapText="1"/>
      <protection locked="0"/>
    </xf>
    <xf numFmtId="0" fontId="0" fillId="13" borderId="19" xfId="0" applyFill="1" applyBorder="1" applyAlignment="1" applyProtection="1">
      <alignment vertical="top" wrapText="1"/>
      <protection locked="0"/>
    </xf>
    <xf numFmtId="0" fontId="0" fillId="13" borderId="72" xfId="0" applyFill="1" applyBorder="1" applyAlignment="1" applyProtection="1">
      <alignment vertical="top" wrapText="1"/>
      <protection locked="0"/>
    </xf>
    <xf numFmtId="0" fontId="0" fillId="13" borderId="73" xfId="0" applyFill="1" applyBorder="1" applyAlignment="1" applyProtection="1">
      <alignment vertical="top" wrapText="1"/>
      <protection locked="0"/>
    </xf>
    <xf numFmtId="0" fontId="0" fillId="13" borderId="67" xfId="0" applyFill="1" applyBorder="1" applyAlignment="1" applyProtection="1">
      <alignment vertical="top" wrapText="1"/>
      <protection locked="0"/>
    </xf>
    <xf numFmtId="0" fontId="3" fillId="25" borderId="0" xfId="0" applyFont="1" applyFill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36" xfId="0" applyFont="1" applyFill="1" applyBorder="1" applyAlignment="1" applyProtection="1">
      <alignment horizontal="center" wrapText="1"/>
      <protection/>
    </xf>
    <xf numFmtId="0" fontId="0" fillId="0" borderId="21" xfId="0" applyBorder="1" applyAlignment="1">
      <alignment wrapText="1"/>
    </xf>
    <xf numFmtId="0" fontId="5" fillId="0" borderId="19" xfId="0" applyFont="1" applyFill="1" applyBorder="1" applyAlignment="1" applyProtection="1">
      <alignment horizontal="center" wrapText="1"/>
      <protection/>
    </xf>
    <xf numFmtId="0" fontId="0" fillId="0" borderId="67" xfId="0" applyBorder="1" applyAlignment="1">
      <alignment wrapText="1"/>
    </xf>
    <xf numFmtId="0" fontId="5" fillId="0" borderId="46" xfId="0" applyFont="1" applyFill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2011%20Cost%20of%20Service%20Application\Live_Models_20100702\Revenue%20Forecast%202010%202011%20Rebase%20using%20May%202010%20rates%202010-04-26_V2_20100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2011%20Cost%20of%20Service%20Application\Live_Models_20100702\Milton_Hydro_%20Weather_%20Normalization_%20Regression%20Model_2011_by%20_customer_class_V3_201007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2011%20Cost%20of%20Service%20Application\2011%20Rate%20Rider%20Calculation_2010_07_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Revenue_%20Requirement_%20Model%20-%202011_20100512_V2_20100702_with_S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Copy%20of%20Milton%20CA_MODEL_VERSION_1.2_%20RUN2_2011_V2_20100702_FINAL_with_S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Milton%20Hydro_%20Smart%20meter%20Model_2010072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2011%20RTSR%20Adjustment%20Workform_2010_07_29_with_S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Supporting%20Data\Line%20Loss%20Calculations_V2_Appendix%202-Q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Milton_SM%20Adder_To_April_30_2011_For_Disposition_20100709_V1_with_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 2010"/>
      <sheetName val="Summ 2011"/>
      <sheetName val="COP"/>
      <sheetName val="Rates Breakdown"/>
      <sheetName val="Res Total"/>
      <sheetName val="GS&lt;50"/>
      <sheetName val="GS&gt;50"/>
      <sheetName val="GS&gt;1000"/>
      <sheetName val="GS&gt;5000"/>
      <sheetName val="Street"/>
      <sheetName val="Sentinel"/>
      <sheetName val="Transformer"/>
      <sheetName val="Retail"/>
      <sheetName val="Var An"/>
      <sheetName val="A vs B"/>
      <sheetName val="Graph"/>
      <sheetName val="Graph 05"/>
      <sheetName val="Sheet3"/>
      <sheetName val="Res Total w 2005"/>
      <sheetName val="B2009"/>
      <sheetName val="A2009"/>
    </sheetNames>
    <sheetDataSet>
      <sheetData sheetId="12">
        <row r="22">
          <cell r="D22">
            <v>67697.09827356956</v>
          </cell>
          <cell r="H22">
            <v>196788.52687954606</v>
          </cell>
          <cell r="L22">
            <v>152542.2755559694</v>
          </cell>
        </row>
        <row r="40">
          <cell r="D40">
            <v>68915.36528953328</v>
          </cell>
          <cell r="H40">
            <v>185095.84121600015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Init"/>
      <sheetName val="Summary"/>
      <sheetName val="Residential"/>
      <sheetName val="GS &lt; 50 kW"/>
      <sheetName val="GS &gt; 50 kW"/>
      <sheetName val="Rate Class Energy Model"/>
      <sheetName val="Rate Class Customer Model"/>
      <sheetName val="Rate Class Load Model"/>
      <sheetName val="GS&gt;1000 kW"/>
      <sheetName val="Large User"/>
    </sheetNames>
    <sheetDataSet>
      <sheetData sheetId="1">
        <row r="12">
          <cell r="K12">
            <v>24832</v>
          </cell>
          <cell r="L12">
            <v>26332</v>
          </cell>
          <cell r="M12">
            <v>27832</v>
          </cell>
        </row>
        <row r="13">
          <cell r="L13">
            <v>249747032.7319093</v>
          </cell>
          <cell r="M13">
            <v>258520605.95410493</v>
          </cell>
        </row>
        <row r="16">
          <cell r="K16">
            <v>2203</v>
          </cell>
          <cell r="L16">
            <v>2258.203635152583</v>
          </cell>
          <cell r="M16">
            <v>2314.7905845739174</v>
          </cell>
        </row>
        <row r="17">
          <cell r="L17">
            <v>73958012.7558797</v>
          </cell>
          <cell r="M17">
            <v>75044766.85043971</v>
          </cell>
        </row>
        <row r="20">
          <cell r="K20">
            <v>275</v>
          </cell>
          <cell r="L20">
            <v>286.7464868457334</v>
          </cell>
          <cell r="M20">
            <v>298.99471897589217</v>
          </cell>
        </row>
        <row r="21">
          <cell r="L21">
            <v>183863312.91460758</v>
          </cell>
          <cell r="M21">
            <v>187300109.05913255</v>
          </cell>
        </row>
        <row r="22">
          <cell r="L22">
            <v>498608.89772400813</v>
          </cell>
          <cell r="M22">
            <v>507928.9578826085</v>
          </cell>
        </row>
        <row r="25">
          <cell r="K25">
            <v>12.334</v>
          </cell>
          <cell r="L25">
            <v>11.497907084541469</v>
          </cell>
          <cell r="M25">
            <v>10.999999999992571</v>
          </cell>
        </row>
        <row r="26">
          <cell r="L26">
            <v>104583288.80890228</v>
          </cell>
          <cell r="M26">
            <v>94342583.94811662</v>
          </cell>
        </row>
        <row r="27">
          <cell r="L27">
            <v>214222.36340180616</v>
          </cell>
          <cell r="M27">
            <v>193245.89552474002</v>
          </cell>
        </row>
        <row r="30">
          <cell r="K30">
            <v>2</v>
          </cell>
          <cell r="L30">
            <v>2</v>
          </cell>
          <cell r="M30">
            <v>2</v>
          </cell>
        </row>
        <row r="31">
          <cell r="L31">
            <v>69292233.64711687</v>
          </cell>
          <cell r="M31">
            <v>78821751.02614906</v>
          </cell>
        </row>
        <row r="32">
          <cell r="L32">
            <v>152542.27555596942</v>
          </cell>
          <cell r="M32">
            <v>173520.87863219183</v>
          </cell>
        </row>
        <row r="35">
          <cell r="K35">
            <v>2774</v>
          </cell>
          <cell r="L35">
            <v>2833.9507631542415</v>
          </cell>
          <cell r="M35">
            <v>2895.197162214314</v>
          </cell>
        </row>
        <row r="36">
          <cell r="L36">
            <v>5863007.384719074</v>
          </cell>
          <cell r="M36">
            <v>6320786.875695491</v>
          </cell>
        </row>
        <row r="37">
          <cell r="L37">
            <v>16519.794968496117</v>
          </cell>
          <cell r="M37">
            <v>17809.64893515205</v>
          </cell>
        </row>
        <row r="40">
          <cell r="K40">
            <v>279</v>
          </cell>
          <cell r="L40">
            <v>274.5220537260221</v>
          </cell>
          <cell r="M40">
            <v>270.1159784299389</v>
          </cell>
        </row>
        <row r="41">
          <cell r="L41">
            <v>169915.25788221895</v>
          </cell>
          <cell r="M41">
            <v>167188.12026241363</v>
          </cell>
        </row>
        <row r="42">
          <cell r="L42">
            <v>472.8119761064526</v>
          </cell>
          <cell r="M42">
            <v>465.2233502043091</v>
          </cell>
        </row>
        <row r="45">
          <cell r="K45">
            <v>182.99999999999997</v>
          </cell>
          <cell r="L45">
            <v>195.0219031734995</v>
          </cell>
          <cell r="M45">
            <v>207.83356676182416</v>
          </cell>
        </row>
        <row r="46">
          <cell r="L46">
            <v>1383738.1881631506</v>
          </cell>
          <cell r="M46">
            <v>1519815.0354853482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ate Rider Calc"/>
      <sheetName val="Rate Rider"/>
    </sheetNames>
    <sheetDataSet>
      <sheetData sheetId="2">
        <row r="3">
          <cell r="D3">
            <v>-0.0006676344696067126</v>
          </cell>
        </row>
        <row r="4">
          <cell r="D4">
            <v>-0.0007654152677371481</v>
          </cell>
        </row>
        <row r="5">
          <cell r="D5">
            <v>-0.34053261641201166</v>
          </cell>
        </row>
        <row r="6">
          <cell r="D6">
            <v>-0.41100197330267557</v>
          </cell>
        </row>
        <row r="7">
          <cell r="D7">
            <v>-0.3563803210846431</v>
          </cell>
        </row>
        <row r="8">
          <cell r="D8">
            <v>-0.28275737528032935</v>
          </cell>
        </row>
        <row r="9">
          <cell r="D9">
            <v>-0.3347942462419059</v>
          </cell>
        </row>
        <row r="10">
          <cell r="D10">
            <v>-0.0006837836880171018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5"/>
      <sheetName val="Depr Continuity 2005"/>
      <sheetName val="FA Continuity 2006"/>
      <sheetName val="Depr Continuity 2006"/>
      <sheetName val="FA Continuity 2007"/>
      <sheetName val="Depr Continuity 2007"/>
      <sheetName val="FA Continuity 2008"/>
      <sheetName val="Depr Continuity 2008"/>
      <sheetName val="FA Continuity 2009"/>
      <sheetName val="Depr Continuity 2009"/>
      <sheetName val="FA Continuity 2010"/>
      <sheetName val="Depr Continuity 2010"/>
      <sheetName val="FA Continuity 2011"/>
      <sheetName val="Depr Continuity 2011"/>
      <sheetName val="Trial Balance"/>
      <sheetName val="2005 Balance Sheet"/>
      <sheetName val="2005 Income Statement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BS IS Summary (2)"/>
      <sheetName val="Return on Capital"/>
      <sheetName val="Debt &amp; Capital Structure"/>
      <sheetName val="Tax rates"/>
      <sheetName val="CCA Continuity 2010"/>
      <sheetName val="CCA Continuity 2011"/>
      <sheetName val="Reserves Continuity"/>
      <sheetName val="Corporation Loss Continuity"/>
      <sheetName val="Tax Adjustments 2010"/>
      <sheetName val="Tax Adjustments 2011"/>
      <sheetName val="2011 Rev Deficiency"/>
      <sheetName val="Capital Tax &amp; Expense Schedules"/>
      <sheetName val="Revenue Requirement"/>
      <sheetName val="Sheet1"/>
    </sheetNames>
    <sheetDataSet>
      <sheetData sheetId="15">
        <row r="271">
          <cell r="P271">
            <v>139073.7612267</v>
          </cell>
        </row>
      </sheetData>
      <sheetData sheetId="42">
        <row r="53">
          <cell r="D53">
            <v>15061832.283097586</v>
          </cell>
        </row>
        <row r="54">
          <cell r="D54">
            <v>1453649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Sheet1"/>
    </sheetNames>
    <sheetDataSet>
      <sheetData sheetId="10">
        <row r="19">
          <cell r="D19">
            <v>951506.2924588042</v>
          </cell>
          <cell r="E19">
            <v>185595.76591825564</v>
          </cell>
          <cell r="F19">
            <v>191823.08437234786</v>
          </cell>
          <cell r="H19">
            <v>52972.20796583443</v>
          </cell>
          <cell r="I19">
            <v>37264.677765510016</v>
          </cell>
          <cell r="J19">
            <v>27582.63098455305</v>
          </cell>
          <cell r="K19">
            <v>1883.6807336115046</v>
          </cell>
          <cell r="L19">
            <v>5020.659801083389</v>
          </cell>
        </row>
        <row r="35">
          <cell r="D35">
            <v>9317732.734378543</v>
          </cell>
          <cell r="E35">
            <v>1984035.2617746547</v>
          </cell>
          <cell r="F35">
            <v>2165182.979200719</v>
          </cell>
          <cell r="H35">
            <v>622046.7207290027</v>
          </cell>
          <cell r="I35">
            <v>524425.4850359296</v>
          </cell>
          <cell r="J35">
            <v>374778.8988381113</v>
          </cell>
          <cell r="K35">
            <v>26739.495665338465</v>
          </cell>
          <cell r="L35">
            <v>46890.70747528825</v>
          </cell>
        </row>
        <row r="70">
          <cell r="D70">
            <v>1.0535997176878007</v>
          </cell>
          <cell r="E70">
            <v>0.9993969446882507</v>
          </cell>
          <cell r="F70">
            <v>0.8318828492658803</v>
          </cell>
          <cell r="H70">
            <v>1.1500014502566929</v>
          </cell>
          <cell r="I70">
            <v>1.2199467257782177</v>
          </cell>
          <cell r="J70">
            <v>0.12830758753150096</v>
          </cell>
          <cell r="K70">
            <v>0.18630513048783462</v>
          </cell>
          <cell r="L70">
            <v>1.1187690877994503</v>
          </cell>
        </row>
      </sheetData>
      <sheetData sheetId="11">
        <row r="17">
          <cell r="D17">
            <v>19.586552832354435</v>
          </cell>
          <cell r="E17">
            <v>36.4544635664449</v>
          </cell>
          <cell r="F17">
            <v>94.3636026795664</v>
          </cell>
          <cell r="H17">
            <v>513.2445724216122</v>
          </cell>
          <cell r="I17">
            <v>295.39564406380157</v>
          </cell>
          <cell r="J17">
            <v>8.459794194821308</v>
          </cell>
          <cell r="K17">
            <v>8.108773153047542</v>
          </cell>
          <cell r="L17">
            <v>13.097397686797999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&amp; Adder"/>
      <sheetName val="5. Clearing Actual"/>
      <sheetName val="7. 2011 Smart Meter Rate Calc"/>
      <sheetName val="8A. 2011 PILs"/>
      <sheetName val="9. 2011 SM Avg Nt Fix Ass &amp;UCC"/>
      <sheetName val="Sheet1"/>
    </sheetNames>
    <sheetDataSet>
      <sheetData sheetId="3">
        <row r="70">
          <cell r="F70">
            <v>-0.43193202035146244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ate Class And RTSR Rates"/>
      <sheetName val="B1.2 Dist Billing Determinants"/>
      <sheetName val="B1.3 UTR's and Sub-Transmission"/>
      <sheetName val="C1.1 Historical Wholesale"/>
      <sheetName val="C1.2 Current Wholesale"/>
      <sheetName val="C1.3 Forecast Wholesale"/>
      <sheetName val="D1.1 Adj Network to Curr Whsl"/>
      <sheetName val="D1.2 Adj Conn to Curr Whsl"/>
      <sheetName val="E1.1 Adj Network to Fcst Whsl"/>
      <sheetName val="E1.2 Adj Conn to Fcst Whsl"/>
      <sheetName val="Z1.0 OEB Control Sheet"/>
    </sheetNames>
    <sheetDataSet>
      <sheetData sheetId="10">
        <row r="22">
          <cell r="S22">
            <v>0.005484115818898886</v>
          </cell>
        </row>
        <row r="23">
          <cell r="S23">
            <v>0.005019360241026099</v>
          </cell>
        </row>
        <row r="24">
          <cell r="S24">
            <v>2.259176864039617</v>
          </cell>
        </row>
        <row r="25">
          <cell r="S25">
            <v>2.2219964178097937</v>
          </cell>
        </row>
        <row r="26">
          <cell r="S26">
            <v>2.406132577762992</v>
          </cell>
        </row>
        <row r="27">
          <cell r="S27">
            <v>1.530068313472789</v>
          </cell>
        </row>
        <row r="28">
          <cell r="S28">
            <v>1.5378762071810521</v>
          </cell>
        </row>
        <row r="29">
          <cell r="S29">
            <v>0.005019360241026099</v>
          </cell>
        </row>
      </sheetData>
      <sheetData sheetId="11">
        <row r="22">
          <cell r="S22">
            <v>0.004641093626279696</v>
          </cell>
        </row>
        <row r="23">
          <cell r="S23">
            <v>0.004147360261781856</v>
          </cell>
        </row>
        <row r="24">
          <cell r="S24">
            <v>1.9140067608123263</v>
          </cell>
        </row>
        <row r="25">
          <cell r="S25">
            <v>1.8827040655031633</v>
          </cell>
        </row>
        <row r="26">
          <cell r="S26">
            <v>2.1055753062374882</v>
          </cell>
        </row>
        <row r="27">
          <cell r="S27">
            <v>1.2874591212645676</v>
          </cell>
        </row>
        <row r="28">
          <cell r="S28">
            <v>1.3145157096390492</v>
          </cell>
        </row>
        <row r="29">
          <cell r="S29">
            <v>0.004147360261781856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4 Supply Facility Loss Fctrs"/>
      <sheetName val="Ex4 Total Loss Factors"/>
      <sheetName val="Summary Loss Factors"/>
    </sheetNames>
    <sheetDataSet>
      <sheetData sheetId="1">
        <row r="18">
          <cell r="G18">
            <v>1.0048380019325205</v>
          </cell>
        </row>
        <row r="20">
          <cell r="G20">
            <v>1.0361912479267281</v>
          </cell>
        </row>
      </sheetData>
      <sheetData sheetId="2">
        <row r="6">
          <cell r="B6">
            <v>1.0048380019325205</v>
          </cell>
        </row>
        <row r="10">
          <cell r="B10">
            <v>1.031202289258476</v>
          </cell>
        </row>
        <row r="11">
          <cell r="B11">
            <v>1.01</v>
          </cell>
        </row>
        <row r="12">
          <cell r="B12">
            <v>1.0208902663658912</v>
          </cell>
        </row>
        <row r="13">
          <cell r="B13">
            <v>1</v>
          </cell>
        </row>
        <row r="17">
          <cell r="B17">
            <v>1.0361912479267281</v>
          </cell>
        </row>
        <row r="18">
          <cell r="B18">
            <v>1.0148863819518457</v>
          </cell>
        </row>
        <row r="19">
          <cell r="B19">
            <v>1.0258293354474608</v>
          </cell>
        </row>
        <row r="20">
          <cell r="B20">
            <v>1.0048380019325205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mart Meter Rider"/>
      <sheetName val="2006-2010 Revenue Requirement"/>
      <sheetName val="SM FA Continuity"/>
      <sheetName val="SM UCC Continuity"/>
      <sheetName val="Journal Entry for Disposition"/>
      <sheetName val="Sheet1"/>
      <sheetName val="Sheet2"/>
      <sheetName val="Smart Meter Recon"/>
      <sheetName val="JE for Filing"/>
      <sheetName val="Operating Expenses"/>
      <sheetName val="Sheet3"/>
    </sheetNames>
    <sheetDataSet>
      <sheetData sheetId="0">
        <row r="12">
          <cell r="G12">
            <v>1919226.3443273294</v>
          </cell>
          <cell r="H12">
            <v>177996.42108201547</v>
          </cell>
          <cell r="I12">
            <v>22710.847154337658</v>
          </cell>
          <cell r="J12">
            <v>1055.825178947159</v>
          </cell>
          <cell r="K12">
            <v>166.3742488946795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8">
      <c r="A1" s="606" t="s">
        <v>304</v>
      </c>
      <c r="B1" s="606"/>
    </row>
    <row r="2" spans="1:2" ht="12.75">
      <c r="A2" s="607"/>
      <c r="B2" s="607"/>
    </row>
    <row r="3" spans="1:2" ht="18">
      <c r="A3" s="608" t="s">
        <v>417</v>
      </c>
      <c r="B3" s="608"/>
    </row>
    <row r="4" spans="1:2" ht="12.75">
      <c r="A4" s="609"/>
      <c r="B4" s="609"/>
    </row>
    <row r="5" spans="1:2" ht="30.75" customHeight="1">
      <c r="A5" s="605" t="s">
        <v>39</v>
      </c>
      <c r="B5" s="605"/>
    </row>
    <row r="6" ht="7.5" customHeight="1">
      <c r="A6" s="6"/>
    </row>
    <row r="7" spans="1:12" ht="18">
      <c r="A7" s="6"/>
      <c r="D7" s="56"/>
      <c r="E7" s="8"/>
      <c r="F7" s="8"/>
      <c r="G7" s="8"/>
      <c r="H7" s="8"/>
      <c r="I7" s="8"/>
      <c r="J7" s="8"/>
      <c r="K7" s="8"/>
      <c r="L7" s="8"/>
    </row>
    <row r="8" spans="1:12" ht="15.75">
      <c r="A8" s="5" t="s">
        <v>38</v>
      </c>
      <c r="B8" s="7">
        <f>+'[4]Revenue Requirement'!$D$53</f>
        <v>15061832.283097586</v>
      </c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42</v>
      </c>
      <c r="B9" s="7">
        <f>+'[4]Revenue Requirement'!$D$54</f>
        <v>1453649</v>
      </c>
      <c r="E9" s="8"/>
      <c r="F9" s="8"/>
      <c r="G9" s="8"/>
      <c r="H9" s="8"/>
      <c r="I9" s="8"/>
      <c r="J9" s="8"/>
      <c r="K9" s="8"/>
      <c r="L9" s="8"/>
    </row>
    <row r="10" spans="1:12" ht="15.75">
      <c r="A10" s="5" t="s">
        <v>181</v>
      </c>
      <c r="B10" s="47">
        <f>+B8-B9</f>
        <v>13608183.283097586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.75">
      <c r="A12" s="5"/>
      <c r="E12" s="8"/>
      <c r="F12" s="8"/>
      <c r="G12" s="8"/>
      <c r="H12" s="8"/>
      <c r="I12" s="8"/>
      <c r="J12" s="8"/>
      <c r="K12" s="8"/>
      <c r="L12" s="8"/>
    </row>
    <row r="13" spans="1:2" ht="15.75">
      <c r="A13" s="5" t="s">
        <v>43</v>
      </c>
      <c r="B13" s="7">
        <f>-'Transformer Allowance'!C16</f>
        <v>152406.72390332006</v>
      </c>
    </row>
    <row r="14" spans="1:2" ht="16.5" thickBot="1">
      <c r="A14" s="5" t="s">
        <v>44</v>
      </c>
      <c r="B14" s="48">
        <f>+B10+B13</f>
        <v>13760590.007000906</v>
      </c>
    </row>
    <row r="15" ht="13.5" thickTop="1"/>
    <row r="16" spans="1:4" s="16" customFormat="1" ht="16.5" thickBot="1">
      <c r="A16" s="602" t="s">
        <v>418</v>
      </c>
      <c r="B16" s="603">
        <f>+'[4]Trial Balance'!$P$271</f>
        <v>139073.7612267</v>
      </c>
      <c r="D16"/>
    </row>
    <row r="17" spans="1:4" s="16" customFormat="1" ht="16.5" thickTop="1">
      <c r="A17" s="20"/>
      <c r="B17" s="21"/>
      <c r="D17"/>
    </row>
    <row r="18" spans="1:2" s="16" customFormat="1" ht="15.75">
      <c r="A18" s="20"/>
      <c r="B18" s="21"/>
    </row>
    <row r="19" spans="1:2" s="16" customFormat="1" ht="15.75">
      <c r="A19" s="20"/>
      <c r="B19" s="21"/>
    </row>
    <row r="20" spans="1:2" ht="15.75">
      <c r="A20" s="5"/>
      <c r="B20" s="7"/>
    </row>
    <row r="22" spans="1:2" ht="15.75">
      <c r="A22" s="5"/>
      <c r="B22" s="7"/>
    </row>
    <row r="23" spans="1:2" ht="15.75">
      <c r="A23" s="5"/>
      <c r="B23" s="7"/>
    </row>
    <row r="24" spans="1:2" ht="15.75">
      <c r="A24" s="5"/>
      <c r="B24" s="7"/>
    </row>
    <row r="25" ht="12.75">
      <c r="B25" s="8"/>
    </row>
  </sheetData>
  <sheetProtection/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7109375" style="302" customWidth="1"/>
    <col min="2" max="2" width="12.421875" style="302" customWidth="1"/>
    <col min="3" max="3" width="11.57421875" style="302" bestFit="1" customWidth="1"/>
    <col min="4" max="4" width="15.140625" style="302" customWidth="1"/>
    <col min="5" max="5" width="8.28125" style="302" customWidth="1"/>
    <col min="6" max="6" width="11.7109375" style="302" customWidth="1"/>
    <col min="7" max="7" width="13.57421875" style="302" customWidth="1"/>
    <col min="8" max="8" width="12.421875" style="302" customWidth="1"/>
    <col min="9" max="9" width="13.7109375" style="302" customWidth="1"/>
    <col min="10" max="10" width="13.00390625" style="302" customWidth="1"/>
    <col min="11" max="11" width="15.00390625" style="302" customWidth="1"/>
    <col min="12" max="12" width="13.00390625" style="302" customWidth="1"/>
    <col min="13" max="13" width="2.28125" style="302" customWidth="1"/>
    <col min="14" max="14" width="22.28125" style="302" customWidth="1"/>
    <col min="15" max="16384" width="9.140625" style="302" customWidth="1"/>
  </cols>
  <sheetData>
    <row r="1" spans="1:12" ht="12.75">
      <c r="A1" s="643" t="str">
        <f>+'Revenue Input'!A1</f>
        <v>MILTON HYDRO DISTRIBUTION INC.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</row>
    <row r="2" spans="1:12" ht="12.75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</row>
    <row r="3" spans="1:12" ht="12.75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1:12" ht="13.5" thickBot="1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</row>
    <row r="5" spans="1:15" ht="21" thickBot="1">
      <c r="A5" s="655" t="s">
        <v>221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N5" s="56" t="s">
        <v>163</v>
      </c>
      <c r="O5" s="111" t="str">
        <f>'Distribution Rate Schedule'!H5</f>
        <v>y</v>
      </c>
    </row>
    <row r="6" spans="1:12" ht="25.5">
      <c r="A6" s="657" t="s">
        <v>150</v>
      </c>
      <c r="B6" s="638" t="s">
        <v>199</v>
      </c>
      <c r="C6" s="638"/>
      <c r="D6" s="442" t="s">
        <v>222</v>
      </c>
      <c r="E6" s="442"/>
      <c r="F6" s="638" t="s">
        <v>151</v>
      </c>
      <c r="G6" s="638"/>
      <c r="H6" s="638"/>
      <c r="I6" s="442" t="s">
        <v>152</v>
      </c>
      <c r="J6" s="442" t="s">
        <v>153</v>
      </c>
      <c r="K6" s="442" t="s">
        <v>160</v>
      </c>
      <c r="L6" s="442" t="s">
        <v>161</v>
      </c>
    </row>
    <row r="7" spans="1:12" ht="12.75">
      <c r="A7" s="658"/>
      <c r="B7" s="442" t="s">
        <v>154</v>
      </c>
      <c r="C7" s="442" t="s">
        <v>155</v>
      </c>
      <c r="D7" s="442"/>
      <c r="E7" s="442"/>
      <c r="F7" s="442" t="s">
        <v>154</v>
      </c>
      <c r="G7" s="442" t="s">
        <v>155</v>
      </c>
      <c r="H7" s="442" t="s">
        <v>40</v>
      </c>
      <c r="I7" s="442" t="s">
        <v>40</v>
      </c>
      <c r="J7" s="442" t="s">
        <v>40</v>
      </c>
      <c r="K7" s="442" t="s">
        <v>162</v>
      </c>
      <c r="L7" s="442" t="s">
        <v>40</v>
      </c>
    </row>
    <row r="8" spans="1:12" ht="24.75" customHeight="1">
      <c r="A8" s="659"/>
      <c r="B8" s="456" t="s">
        <v>156</v>
      </c>
      <c r="C8" s="456" t="s">
        <v>156</v>
      </c>
      <c r="D8" s="456"/>
      <c r="E8" s="456" t="s">
        <v>178</v>
      </c>
      <c r="F8" s="442" t="s">
        <v>157</v>
      </c>
      <c r="G8" s="442" t="s">
        <v>157</v>
      </c>
      <c r="H8" s="457" t="s">
        <v>157</v>
      </c>
      <c r="I8" s="457" t="s">
        <v>157</v>
      </c>
      <c r="J8" s="457" t="s">
        <v>157</v>
      </c>
      <c r="K8" s="458">
        <v>3</v>
      </c>
      <c r="L8" s="457" t="s">
        <v>157</v>
      </c>
    </row>
    <row r="9" spans="1:12" ht="19.5" customHeight="1">
      <c r="A9" s="425" t="str">
        <f>'Distribution Rate Schedule'!A11</f>
        <v>Residential</v>
      </c>
      <c r="B9" s="534"/>
      <c r="C9" s="534"/>
      <c r="D9" s="535">
        <f>'Low Voltage Rates'!C8</f>
        <v>258520605.95410493</v>
      </c>
      <c r="E9" s="536" t="str">
        <f>'Low Voltage Rates'!E8</f>
        <v>kWh</v>
      </c>
      <c r="F9" s="427">
        <f>B9/D9</f>
        <v>0</v>
      </c>
      <c r="G9" s="427">
        <f>C9/D9</f>
        <v>0</v>
      </c>
      <c r="H9" s="427">
        <f>F9+G9</f>
        <v>0</v>
      </c>
      <c r="I9" s="427">
        <f>H9/2</f>
        <v>0</v>
      </c>
      <c r="J9" s="427">
        <f>H9/3</f>
        <v>0</v>
      </c>
      <c r="K9" s="426"/>
      <c r="L9" s="427">
        <f>IF($O$5="Y",ROUND(IF($K$8=2,I9,IF($K$8=3,J9,0)),4),IF($K$8=2,I9,IF($K$8=3,J9,0)))</f>
        <v>0</v>
      </c>
    </row>
    <row r="10" spans="1:15" ht="19.5" customHeight="1">
      <c r="A10" s="425" t="str">
        <f>'Distribution Rate Schedule'!A12</f>
        <v>GS &lt; 50 kW</v>
      </c>
      <c r="B10" s="534"/>
      <c r="C10" s="534"/>
      <c r="D10" s="535">
        <f>'Low Voltage Rates'!C9</f>
        <v>75044766.85043971</v>
      </c>
      <c r="E10" s="536" t="str">
        <f>'Low Voltage Rates'!E9</f>
        <v>kWh</v>
      </c>
      <c r="F10" s="427">
        <f aca="true" t="shared" si="0" ref="F10:F16">B10/D10</f>
        <v>0</v>
      </c>
      <c r="G10" s="427">
        <f aca="true" t="shared" si="1" ref="G10:G16">C10/D10</f>
        <v>0</v>
      </c>
      <c r="H10" s="427">
        <f aca="true" t="shared" si="2" ref="H10:H16">F10+G10</f>
        <v>0</v>
      </c>
      <c r="I10" s="427">
        <f aca="true" t="shared" si="3" ref="I10:I16">H10/2</f>
        <v>0</v>
      </c>
      <c r="J10" s="427">
        <f aca="true" t="shared" si="4" ref="J10:J16">H10/3</f>
        <v>0</v>
      </c>
      <c r="K10" s="426"/>
      <c r="L10" s="427">
        <f aca="true" t="shared" si="5" ref="L10:L16">IF($O$5="Y",ROUND(IF($K$8=2,I10,IF($K$8=3,J10,0)),4),IF($K$8=2,I10,IF($K$8=3,J10,0)))</f>
        <v>0</v>
      </c>
      <c r="M10" s="56"/>
      <c r="N10" s="65"/>
      <c r="O10" s="65"/>
    </row>
    <row r="11" spans="1:12" ht="19.5" customHeight="1">
      <c r="A11" s="425" t="str">
        <f>'Distribution Rate Schedule'!A13</f>
        <v>GS &gt;50 to 999 kW</v>
      </c>
      <c r="B11" s="534"/>
      <c r="C11" s="534"/>
      <c r="D11" s="535">
        <f>'Low Voltage Rates'!D10</f>
        <v>507928.9578826085</v>
      </c>
      <c r="E11" s="536" t="str">
        <f>'Low Voltage Rates'!E10</f>
        <v>kW</v>
      </c>
      <c r="F11" s="427">
        <f t="shared" si="0"/>
        <v>0</v>
      </c>
      <c r="G11" s="427">
        <f t="shared" si="1"/>
        <v>0</v>
      </c>
      <c r="H11" s="427">
        <f t="shared" si="2"/>
        <v>0</v>
      </c>
      <c r="I11" s="427">
        <f t="shared" si="3"/>
        <v>0</v>
      </c>
      <c r="J11" s="427">
        <f t="shared" si="4"/>
        <v>0</v>
      </c>
      <c r="K11" s="426"/>
      <c r="L11" s="427">
        <f t="shared" si="5"/>
        <v>0</v>
      </c>
    </row>
    <row r="12" spans="1:12" ht="19.5" customHeight="1">
      <c r="A12" s="425" t="str">
        <f>'Distribution Rate Schedule'!A14</f>
        <v>GS &gt;1000 to 4999 kW</v>
      </c>
      <c r="B12" s="534"/>
      <c r="C12" s="534"/>
      <c r="D12" s="535">
        <f>'Low Voltage Rates'!D11</f>
        <v>193245.89552474002</v>
      </c>
      <c r="E12" s="536" t="str">
        <f>'Low Voltage Rates'!E11</f>
        <v>kW</v>
      </c>
      <c r="F12" s="427">
        <f>B12/D12</f>
        <v>0</v>
      </c>
      <c r="G12" s="427">
        <f>C12/D12</f>
        <v>0</v>
      </c>
      <c r="H12" s="427">
        <f>F12+G12</f>
        <v>0</v>
      </c>
      <c r="I12" s="427">
        <f>H12/2</f>
        <v>0</v>
      </c>
      <c r="J12" s="427">
        <f>H12/3</f>
        <v>0</v>
      </c>
      <c r="K12" s="426"/>
      <c r="L12" s="427">
        <f t="shared" si="5"/>
        <v>0</v>
      </c>
    </row>
    <row r="13" spans="1:12" ht="19.5" customHeight="1">
      <c r="A13" s="425" t="str">
        <f>'Distribution Rate Schedule'!A15</f>
        <v>Large Use</v>
      </c>
      <c r="B13" s="534"/>
      <c r="C13" s="534"/>
      <c r="D13" s="535">
        <f>'Low Voltage Rates'!D12</f>
        <v>173520.87863219183</v>
      </c>
      <c r="E13" s="536" t="str">
        <f>'Low Voltage Rates'!E12</f>
        <v>kW</v>
      </c>
      <c r="F13" s="427">
        <f t="shared" si="0"/>
        <v>0</v>
      </c>
      <c r="G13" s="427">
        <f t="shared" si="1"/>
        <v>0</v>
      </c>
      <c r="H13" s="427">
        <f t="shared" si="2"/>
        <v>0</v>
      </c>
      <c r="I13" s="427">
        <f t="shared" si="3"/>
        <v>0</v>
      </c>
      <c r="J13" s="427">
        <f t="shared" si="4"/>
        <v>0</v>
      </c>
      <c r="K13" s="426"/>
      <c r="L13" s="427">
        <f t="shared" si="5"/>
        <v>0</v>
      </c>
    </row>
    <row r="14" spans="1:12" ht="19.5" customHeight="1">
      <c r="A14" s="425" t="str">
        <f>'Distribution Rate Schedule'!A16</f>
        <v>Sentinel Lights</v>
      </c>
      <c r="B14" s="534"/>
      <c r="C14" s="534"/>
      <c r="D14" s="537">
        <f>'Low Voltage Rates'!D13</f>
        <v>465.2233502043091</v>
      </c>
      <c r="E14" s="536" t="str">
        <f>'Low Voltage Rates'!E13</f>
        <v>kW</v>
      </c>
      <c r="F14" s="427">
        <f t="shared" si="0"/>
        <v>0</v>
      </c>
      <c r="G14" s="427">
        <f t="shared" si="1"/>
        <v>0</v>
      </c>
      <c r="H14" s="427">
        <f t="shared" si="2"/>
        <v>0</v>
      </c>
      <c r="I14" s="427">
        <f t="shared" si="3"/>
        <v>0</v>
      </c>
      <c r="J14" s="427">
        <f t="shared" si="4"/>
        <v>0</v>
      </c>
      <c r="K14" s="428"/>
      <c r="L14" s="427">
        <f t="shared" si="5"/>
        <v>0</v>
      </c>
    </row>
    <row r="15" spans="1:12" ht="19.5" customHeight="1">
      <c r="A15" s="425" t="str">
        <f>'Distribution Rate Schedule'!A17</f>
        <v>Street Lighting</v>
      </c>
      <c r="B15" s="534"/>
      <c r="C15" s="534"/>
      <c r="D15" s="537">
        <f>'Low Voltage Rates'!D14</f>
        <v>17809.64893515205</v>
      </c>
      <c r="E15" s="536" t="str">
        <f>'Low Voltage Rates'!E14</f>
        <v>kW</v>
      </c>
      <c r="F15" s="427">
        <f t="shared" si="0"/>
        <v>0</v>
      </c>
      <c r="G15" s="427">
        <f t="shared" si="1"/>
        <v>0</v>
      </c>
      <c r="H15" s="427">
        <f t="shared" si="2"/>
        <v>0</v>
      </c>
      <c r="I15" s="427">
        <f t="shared" si="3"/>
        <v>0</v>
      </c>
      <c r="J15" s="427">
        <f t="shared" si="4"/>
        <v>0</v>
      </c>
      <c r="K15" s="428"/>
      <c r="L15" s="427">
        <f t="shared" si="5"/>
        <v>0</v>
      </c>
    </row>
    <row r="16" spans="1:12" ht="19.5" customHeight="1">
      <c r="A16" s="425" t="str">
        <f>'Distribution Rate Schedule'!A18</f>
        <v>Unmetered and Scattered</v>
      </c>
      <c r="B16" s="534"/>
      <c r="C16" s="534"/>
      <c r="D16" s="537">
        <f>'Low Voltage Rates'!C15</f>
        <v>1519815.0354853482</v>
      </c>
      <c r="E16" s="536" t="str">
        <f>'Low Voltage Rates'!E15</f>
        <v>kWh</v>
      </c>
      <c r="F16" s="427">
        <f t="shared" si="0"/>
        <v>0</v>
      </c>
      <c r="G16" s="427">
        <f t="shared" si="1"/>
        <v>0</v>
      </c>
      <c r="H16" s="427">
        <f t="shared" si="2"/>
        <v>0</v>
      </c>
      <c r="I16" s="427">
        <f t="shared" si="3"/>
        <v>0</v>
      </c>
      <c r="J16" s="427">
        <f t="shared" si="4"/>
        <v>0</v>
      </c>
      <c r="K16" s="428"/>
      <c r="L16" s="427">
        <f t="shared" si="5"/>
        <v>0</v>
      </c>
    </row>
    <row r="17" spans="1:12" ht="19.5" customHeight="1" thickBot="1">
      <c r="A17" s="429" t="s">
        <v>40</v>
      </c>
      <c r="B17" s="430">
        <f>SUM(B9:B13)</f>
        <v>0</v>
      </c>
      <c r="C17" s="430">
        <f>SUM(C9:C13)</f>
        <v>0</v>
      </c>
      <c r="D17" s="430"/>
      <c r="E17" s="431"/>
      <c r="F17" s="430"/>
      <c r="G17" s="430"/>
      <c r="H17" s="430"/>
      <c r="I17" s="430"/>
      <c r="J17" s="430"/>
      <c r="K17" s="430"/>
      <c r="L17" s="430"/>
    </row>
    <row r="18" ht="13.5" thickTop="1"/>
  </sheetData>
  <sheetProtection/>
  <mergeCells count="8">
    <mergeCell ref="B6:C6"/>
    <mergeCell ref="F6:H6"/>
    <mergeCell ref="A1:L1"/>
    <mergeCell ref="A2:L2"/>
    <mergeCell ref="A3:L3"/>
    <mergeCell ref="A4:L4"/>
    <mergeCell ref="A5:L5"/>
    <mergeCell ref="A6:A8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9.57421875" style="0" bestFit="1" customWidth="1"/>
    <col min="2" max="2" width="38.421875" style="0" customWidth="1"/>
    <col min="3" max="3" width="35.57421875" style="0" customWidth="1"/>
    <col min="4" max="4" width="30.140625" style="0" customWidth="1"/>
    <col min="5" max="5" width="22.00390625" style="0" customWidth="1"/>
    <col min="6" max="9" width="10.00390625" style="0" customWidth="1"/>
  </cols>
  <sheetData>
    <row r="1" spans="1:4" ht="12.75">
      <c r="A1" s="617" t="str">
        <f>+'Revenue Input'!A1</f>
        <v>MILTON HYDRO DISTRIBUTION INC.</v>
      </c>
      <c r="B1" s="617"/>
      <c r="C1" s="617"/>
      <c r="D1" s="617"/>
    </row>
    <row r="2" spans="1:4" ht="12.75">
      <c r="A2" s="644"/>
      <c r="B2" s="644"/>
      <c r="C2" s="644"/>
      <c r="D2" s="644"/>
    </row>
    <row r="3" spans="1:4" ht="12.75">
      <c r="A3" s="644"/>
      <c r="B3" s="644"/>
      <c r="C3" s="644"/>
      <c r="D3" s="644"/>
    </row>
    <row r="4" spans="1:4" ht="13.5" thickBot="1">
      <c r="A4" s="633"/>
      <c r="B4" s="633"/>
      <c r="C4" s="633"/>
      <c r="D4" s="633"/>
    </row>
    <row r="5" spans="1:6" ht="21" thickBot="1">
      <c r="A5" s="660" t="s">
        <v>223</v>
      </c>
      <c r="B5" s="660"/>
      <c r="C5" s="660"/>
      <c r="D5" s="660"/>
      <c r="E5" s="56" t="s">
        <v>163</v>
      </c>
      <c r="F5" s="111" t="str">
        <f>'Distribution Rate Schedule'!H5</f>
        <v>y</v>
      </c>
    </row>
    <row r="6" spans="1:4" ht="45.75" thickBot="1">
      <c r="A6" s="459" t="s">
        <v>0</v>
      </c>
      <c r="B6" s="459" t="s">
        <v>192</v>
      </c>
      <c r="C6" s="459" t="s">
        <v>193</v>
      </c>
      <c r="D6" s="459" t="s">
        <v>164</v>
      </c>
    </row>
    <row r="7" spans="1:9" ht="16.5" thickBot="1">
      <c r="A7" s="216" t="str">
        <f>'Distribution Rate Schedule'!A11</f>
        <v>Residential</v>
      </c>
      <c r="B7" s="538">
        <f>+'[3]Rate Rider'!$D$3</f>
        <v>-0.0006676344696067126</v>
      </c>
      <c r="C7" s="539"/>
      <c r="D7" s="601">
        <f>+'[6]4. Smart Meter Rev &amp; Adder'!$F$70</f>
        <v>-0.43193202035146244</v>
      </c>
      <c r="E7" s="56"/>
      <c r="F7" s="56"/>
      <c r="G7" s="56"/>
      <c r="H7" s="56"/>
      <c r="I7" s="56"/>
    </row>
    <row r="8" spans="1:4" ht="16.5" thickBot="1">
      <c r="A8" s="216" t="str">
        <f>'Distribution Rate Schedule'!A12</f>
        <v>GS &lt; 50 kW</v>
      </c>
      <c r="B8" s="540">
        <f>+'[3]Rate Rider'!$D$4</f>
        <v>-0.0007654152677371481</v>
      </c>
      <c r="C8" s="541"/>
      <c r="D8" s="601">
        <f>+'[6]4. Smart Meter Rev &amp; Adder'!$F$70</f>
        <v>-0.43193202035146244</v>
      </c>
    </row>
    <row r="9" spans="1:4" ht="16.5" thickBot="1">
      <c r="A9" s="216" t="str">
        <f>'Distribution Rate Schedule'!A13</f>
        <v>GS &gt;50 to 999 kW</v>
      </c>
      <c r="B9" s="540"/>
      <c r="C9" s="541">
        <f>+'[3]Rate Rider'!$D$5</f>
        <v>-0.34053261641201166</v>
      </c>
      <c r="D9" s="601">
        <f>+'[6]4. Smart Meter Rev &amp; Adder'!$F$70</f>
        <v>-0.43193202035146244</v>
      </c>
    </row>
    <row r="10" spans="1:4" ht="16.5" thickBot="1">
      <c r="A10" s="216" t="str">
        <f>'Distribution Rate Schedule'!A14</f>
        <v>GS &gt;1000 to 4999 kW</v>
      </c>
      <c r="B10" s="540"/>
      <c r="C10" s="541">
        <f>+'[3]Rate Rider'!$D$6</f>
        <v>-0.41100197330267557</v>
      </c>
      <c r="D10" s="601">
        <f>+'[6]4. Smart Meter Rev &amp; Adder'!$F$70</f>
        <v>-0.43193202035146244</v>
      </c>
    </row>
    <row r="11" spans="1:4" ht="16.5" thickBot="1">
      <c r="A11" s="216" t="str">
        <f>'Distribution Rate Schedule'!A15</f>
        <v>Large Use</v>
      </c>
      <c r="B11" s="540"/>
      <c r="C11" s="541">
        <f>+'[3]Rate Rider'!$D$7</f>
        <v>-0.3563803210846431</v>
      </c>
      <c r="D11" s="601">
        <f>+'[6]4. Smart Meter Rev &amp; Adder'!$F$70</f>
        <v>-0.43193202035146244</v>
      </c>
    </row>
    <row r="12" spans="1:4" ht="16.5" thickBot="1">
      <c r="A12" s="216" t="str">
        <f>'Distribution Rate Schedule'!A16</f>
        <v>Sentinel Lights</v>
      </c>
      <c r="B12" s="540"/>
      <c r="C12" s="541">
        <f>+'[3]Rate Rider'!$D$8</f>
        <v>-0.28275737528032935</v>
      </c>
      <c r="D12" s="542"/>
    </row>
    <row r="13" spans="1:4" ht="16.5" thickBot="1">
      <c r="A13" s="216" t="str">
        <f>'Distribution Rate Schedule'!A17</f>
        <v>Street Lighting</v>
      </c>
      <c r="B13" s="540"/>
      <c r="C13" s="541">
        <f>+'[3]Rate Rider'!$D$9</f>
        <v>-0.3347942462419059</v>
      </c>
      <c r="D13" s="542"/>
    </row>
    <row r="14" spans="1:4" ht="15.75">
      <c r="A14" s="216" t="str">
        <f>'Distribution Rate Schedule'!A18</f>
        <v>Unmetered and Scattered</v>
      </c>
      <c r="B14" s="540">
        <f>+'[3]Rate Rider'!$D$10</f>
        <v>-0.0006837836880171018</v>
      </c>
      <c r="C14" s="541"/>
      <c r="D14" s="542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355" verticalDpi="355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32.7109375" style="0" bestFit="1" customWidth="1"/>
    <col min="2" max="2" width="16.7109375" style="0" customWidth="1"/>
    <col min="3" max="3" width="13.57421875" style="0" customWidth="1"/>
    <col min="4" max="4" width="15.00390625" style="0" customWidth="1"/>
    <col min="5" max="5" width="19.28125" style="0" customWidth="1"/>
    <col min="6" max="6" width="2.7109375" style="0" customWidth="1"/>
    <col min="7" max="7" width="19.00390625" style="1" bestFit="1" customWidth="1"/>
    <col min="8" max="8" width="23.7109375" style="1" bestFit="1" customWidth="1"/>
    <col min="9" max="9" width="11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617" t="str">
        <f>+'Revenue Input'!A1</f>
        <v>MILTON HYDRO DISTRIBUTION INC.</v>
      </c>
      <c r="B1" s="617"/>
      <c r="C1" s="617"/>
      <c r="D1" s="617"/>
      <c r="E1" s="617"/>
    </row>
    <row r="2" spans="1:5" ht="12.75">
      <c r="A2" s="644"/>
      <c r="B2" s="644"/>
      <c r="C2" s="644"/>
      <c r="D2" s="644"/>
      <c r="E2" s="644"/>
    </row>
    <row r="3" spans="1:5" ht="12.75">
      <c r="A3" s="644"/>
      <c r="B3" s="644"/>
      <c r="C3" s="644"/>
      <c r="D3" s="644"/>
      <c r="E3" s="644"/>
    </row>
    <row r="4" spans="1:5" ht="13.5" thickBot="1">
      <c r="A4" s="633"/>
      <c r="B4" s="633"/>
      <c r="C4" s="633"/>
      <c r="D4" s="633"/>
      <c r="E4" s="633"/>
    </row>
    <row r="5" spans="1:8" ht="21" thickBot="1">
      <c r="A5" s="663" t="s">
        <v>322</v>
      </c>
      <c r="B5" s="663"/>
      <c r="C5" s="663"/>
      <c r="D5" s="663"/>
      <c r="E5" s="663"/>
      <c r="G5" s="60" t="s">
        <v>143</v>
      </c>
      <c r="H5" s="215" t="s">
        <v>228</v>
      </c>
    </row>
    <row r="6" spans="1:5" ht="15.75">
      <c r="A6" s="661"/>
      <c r="B6" s="661"/>
      <c r="C6" s="661"/>
      <c r="D6" s="661"/>
      <c r="E6" s="661"/>
    </row>
    <row r="7" spans="1:11" ht="12.75">
      <c r="A7" s="664"/>
      <c r="B7" s="664"/>
      <c r="C7" s="664"/>
      <c r="D7" s="664"/>
      <c r="E7" s="664"/>
      <c r="F7" s="57"/>
      <c r="G7" s="57"/>
      <c r="H7" s="57"/>
      <c r="I7" s="57"/>
      <c r="J7" s="57"/>
      <c r="K7" s="57"/>
    </row>
    <row r="8" spans="1:5" ht="15.75">
      <c r="A8" s="661"/>
      <c r="B8" s="661"/>
      <c r="C8" s="661"/>
      <c r="D8" s="661"/>
      <c r="E8" s="661"/>
    </row>
    <row r="9" spans="1:12" s="8" customFormat="1" ht="18">
      <c r="A9" s="624" t="s">
        <v>219</v>
      </c>
      <c r="B9" s="624"/>
      <c r="C9" s="624"/>
      <c r="D9" s="624"/>
      <c r="E9" s="624"/>
      <c r="G9" s="18"/>
      <c r="H9" s="18"/>
      <c r="I9" s="18"/>
      <c r="J9" s="18"/>
      <c r="K9" s="18"/>
      <c r="L9" s="18"/>
    </row>
    <row r="10" spans="1:12" s="8" customFormat="1" ht="12.75">
      <c r="A10" s="443" t="s">
        <v>0</v>
      </c>
      <c r="B10" s="460" t="s">
        <v>24</v>
      </c>
      <c r="C10" s="460" t="s">
        <v>25</v>
      </c>
      <c r="D10" s="460" t="s">
        <v>16</v>
      </c>
      <c r="E10" s="460" t="s">
        <v>15</v>
      </c>
      <c r="G10" s="19"/>
      <c r="H10" s="19"/>
      <c r="I10" s="19"/>
      <c r="J10" s="19"/>
      <c r="K10" s="19"/>
      <c r="L10" s="19"/>
    </row>
    <row r="11" spans="1:12" s="8" customFormat="1" ht="18" customHeight="1">
      <c r="A11" s="94" t="str">
        <f>'Low Voltage Rates'!A8</f>
        <v>Residential</v>
      </c>
      <c r="B11" s="233">
        <v>0</v>
      </c>
      <c r="C11" s="233">
        <f>IF(+$H$5="Y",+ROUND(+'Rates By Rate Class'!D8,2),+'Rates By Rate Class'!D8)</f>
        <v>15.36</v>
      </c>
      <c r="D11" s="109"/>
      <c r="E11" s="109">
        <f>IF(+$H$5="Y",ROUND(+'Rates By Rate Class'!E8,4),+'Rates By Rate Class'!E8)</f>
        <v>0.0143</v>
      </c>
      <c r="G11" s="59"/>
      <c r="H11" s="59"/>
      <c r="I11" s="18"/>
      <c r="J11" s="18"/>
      <c r="K11" s="18"/>
      <c r="L11" s="18"/>
    </row>
    <row r="12" spans="1:12" s="8" customFormat="1" ht="18" customHeight="1">
      <c r="A12" s="94" t="str">
        <f>'Low Voltage Rates'!A9</f>
        <v>GS &lt; 50 kW</v>
      </c>
      <c r="B12" s="233">
        <v>0</v>
      </c>
      <c r="C12" s="233">
        <f>IF(+$H$5="Y",+ROUND(+'Rates By Rate Class'!D9,2),+'Rates By Rate Class'!D9)</f>
        <v>16.78</v>
      </c>
      <c r="D12" s="109"/>
      <c r="E12" s="109">
        <f>IF(+$H$5="Y",ROUND(+'Rates By Rate Class'!E9,4),+'Rates By Rate Class'!E9)</f>
        <v>0.0178</v>
      </c>
      <c r="G12" s="59"/>
      <c r="H12" s="59"/>
      <c r="I12" s="18"/>
      <c r="J12" s="18"/>
      <c r="K12" s="18"/>
      <c r="L12" s="18"/>
    </row>
    <row r="13" spans="1:12" s="8" customFormat="1" ht="18" customHeight="1">
      <c r="A13" s="94" t="str">
        <f>'Low Voltage Rates'!A10</f>
        <v>GS &gt;50 to 999 kW</v>
      </c>
      <c r="B13" s="233">
        <v>0</v>
      </c>
      <c r="C13" s="233">
        <f>IF(+$H$5="Y",+ROUND(+'Rates By Rate Class'!D10,2),+'Rates By Rate Class'!D10)</f>
        <v>88.37</v>
      </c>
      <c r="D13" s="109">
        <f>IF(+$H$5="Y",ROUND(+'Rates By Rate Class'!E10,4),+'Rates By Rate Class'!E10)</f>
        <v>2.9288</v>
      </c>
      <c r="E13" s="109"/>
      <c r="G13" s="59"/>
      <c r="H13" s="59"/>
      <c r="I13" s="18"/>
      <c r="J13" s="18"/>
      <c r="K13" s="18"/>
      <c r="L13" s="18"/>
    </row>
    <row r="14" spans="1:12" s="8" customFormat="1" ht="18" customHeight="1">
      <c r="A14" s="94" t="str">
        <f>'Low Voltage Rates'!A11</f>
        <v>GS &gt;1000 to 4999 kW</v>
      </c>
      <c r="B14" s="233">
        <v>0</v>
      </c>
      <c r="C14" s="233">
        <f>IF(+$H$5="Y",+ROUND(+'Rates By Rate Class'!D11,2),+'Rates By Rate Class'!D11)</f>
        <v>1008.02</v>
      </c>
      <c r="D14" s="109">
        <f>IF(+$H$5="Y",ROUND(+'Rates By Rate Class'!E11,4),+'Rates By Rate Class'!E11)</f>
        <v>3.1373</v>
      </c>
      <c r="E14" s="109"/>
      <c r="G14" s="59"/>
      <c r="H14" s="59"/>
      <c r="I14" s="18"/>
      <c r="J14" s="18"/>
      <c r="K14" s="18"/>
      <c r="L14" s="18"/>
    </row>
    <row r="15" spans="1:12" s="8" customFormat="1" ht="18" customHeight="1">
      <c r="A15" s="94" t="str">
        <f>'Low Voltage Rates'!A12</f>
        <v>Large Use</v>
      </c>
      <c r="B15" s="233">
        <v>0</v>
      </c>
      <c r="C15" s="233">
        <f>IF(+$H$5="Y",+ROUND(+'Rates By Rate Class'!D12,2),+'Rates By Rate Class'!D12)</f>
        <v>4219.51</v>
      </c>
      <c r="D15" s="109">
        <f>IF(+$H$5="Y",ROUND(+'Rates By Rate Class'!E12,4),+'Rates By Rate Class'!E12)</f>
        <v>2.5261</v>
      </c>
      <c r="E15" s="109"/>
      <c r="G15" s="59"/>
      <c r="H15" s="59"/>
      <c r="I15" s="18"/>
      <c r="J15" s="18"/>
      <c r="K15" s="18"/>
      <c r="L15" s="18"/>
    </row>
    <row r="16" spans="1:12" s="8" customFormat="1" ht="18" customHeight="1">
      <c r="A16" s="94" t="str">
        <f>'Low Voltage Rates'!A13</f>
        <v>Sentinel Lights</v>
      </c>
      <c r="B16" s="233">
        <f>IF(+$H$5="Y",+ROUND(+'Rates By Rate Class'!D13,4),+'Rates By Rate Class'!D13)</f>
        <v>1.4692</v>
      </c>
      <c r="C16" s="233"/>
      <c r="D16" s="109">
        <f>IF(+$H$5="Y",ROUND(+'Rates By Rate Class'!E13,4),+'Rates By Rate Class'!E13)</f>
        <v>11.1018</v>
      </c>
      <c r="E16" s="109"/>
      <c r="G16" s="59"/>
      <c r="H16" s="59"/>
      <c r="I16" s="18"/>
      <c r="J16" s="18"/>
      <c r="K16" s="18"/>
      <c r="L16" s="18"/>
    </row>
    <row r="17" spans="1:12" s="8" customFormat="1" ht="18" customHeight="1">
      <c r="A17" s="94" t="str">
        <f>'Low Voltage Rates'!A14</f>
        <v>Street Lighting</v>
      </c>
      <c r="B17" s="233">
        <f>IF(+$H$5="Y",+ROUND(+'Rates By Rate Class'!D14,4),+'Rates By Rate Class'!D14)</f>
        <v>1.1372</v>
      </c>
      <c r="C17" s="233"/>
      <c r="D17" s="109">
        <f>IF(+$H$5="Y",ROUND(+'Rates By Rate Class'!E14,4),+'Rates By Rate Class'!E14)</f>
        <v>4.9716</v>
      </c>
      <c r="E17" s="109"/>
      <c r="G17" s="59"/>
      <c r="H17" s="59"/>
      <c r="I17" s="18"/>
      <c r="J17" s="18"/>
      <c r="K17" s="18"/>
      <c r="L17" s="18"/>
    </row>
    <row r="18" spans="1:12" s="8" customFormat="1" ht="18" customHeight="1">
      <c r="A18" s="94" t="str">
        <f>'Low Voltage Rates'!A15</f>
        <v>Unmetered and Scattered</v>
      </c>
      <c r="B18" s="233">
        <f>IF(+$H$5="Y",+ROUND(+'Rates By Rate Class'!D15,4),+'Rates By Rate Class'!D15)</f>
        <v>8.2702</v>
      </c>
      <c r="C18" s="233"/>
      <c r="D18" s="109"/>
      <c r="E18" s="109">
        <f>IF(+$H$5="Y",ROUND(+'Rates By Rate Class'!E15,4),+'Rates By Rate Class'!E15)</f>
        <v>0.0175</v>
      </c>
      <c r="G18" s="59"/>
      <c r="H18" s="59"/>
      <c r="I18" s="18"/>
      <c r="J18" s="18"/>
      <c r="K18" s="18"/>
      <c r="L18" s="18"/>
    </row>
    <row r="19" spans="1:12" ht="18.75" customHeight="1">
      <c r="A19" s="661"/>
      <c r="B19" s="661"/>
      <c r="C19" s="661"/>
      <c r="D19" s="661"/>
      <c r="E19" s="661"/>
      <c r="G19" s="18"/>
      <c r="H19" s="18"/>
      <c r="I19" s="18"/>
      <c r="J19" s="18"/>
      <c r="K19" s="18"/>
      <c r="L19" s="18"/>
    </row>
    <row r="20" spans="1:12" s="8" customFormat="1" ht="18">
      <c r="A20" s="624" t="s">
        <v>220</v>
      </c>
      <c r="B20" s="624"/>
      <c r="C20" s="624"/>
      <c r="D20" s="624"/>
      <c r="E20" s="624"/>
      <c r="G20" s="18"/>
      <c r="H20" s="18"/>
      <c r="I20" s="18"/>
      <c r="J20" s="18"/>
      <c r="K20" s="18"/>
      <c r="L20" s="18"/>
    </row>
    <row r="21" spans="1:12" s="8" customFormat="1" ht="12.75">
      <c r="A21" s="443" t="s">
        <v>0</v>
      </c>
      <c r="B21" s="460" t="s">
        <v>24</v>
      </c>
      <c r="C21" s="460" t="s">
        <v>25</v>
      </c>
      <c r="D21" s="460" t="s">
        <v>16</v>
      </c>
      <c r="E21" s="460" t="s">
        <v>15</v>
      </c>
      <c r="G21" s="18"/>
      <c r="H21" s="18"/>
      <c r="I21" s="18"/>
      <c r="J21" s="18"/>
      <c r="K21" s="18"/>
      <c r="L21" s="18"/>
    </row>
    <row r="22" spans="1:12" s="8" customFormat="1" ht="18" customHeight="1">
      <c r="A22" s="94" t="str">
        <f aca="true" t="shared" si="0" ref="A22:A29">A11</f>
        <v>Residential</v>
      </c>
      <c r="B22" s="233"/>
      <c r="C22" s="233"/>
      <c r="D22" s="109"/>
      <c r="E22" s="109">
        <f>IF(+$H$5="Y",+ROUND(+'Low Voltage Rates'!F8,4),+'Low Voltage Rates'!F8)</f>
        <v>0.0002</v>
      </c>
      <c r="G22" s="59"/>
      <c r="H22" s="59"/>
      <c r="I22" s="18"/>
      <c r="J22" s="18"/>
      <c r="K22" s="18"/>
      <c r="L22" s="18"/>
    </row>
    <row r="23" spans="1:12" s="8" customFormat="1" ht="18" customHeight="1">
      <c r="A23" s="94" t="str">
        <f t="shared" si="0"/>
        <v>GS &lt; 50 kW</v>
      </c>
      <c r="B23" s="233"/>
      <c r="C23" s="233"/>
      <c r="D23" s="109"/>
      <c r="E23" s="109">
        <f>IF(+$H$5="Y",+ROUND(+'Low Voltage Rates'!F9,4),+'Low Voltage Rates'!F9)</f>
        <v>0.0002</v>
      </c>
      <c r="G23" s="59"/>
      <c r="H23" s="59"/>
      <c r="I23" s="18"/>
      <c r="J23" s="18"/>
      <c r="K23" s="18"/>
      <c r="L23" s="18"/>
    </row>
    <row r="24" spans="1:12" s="8" customFormat="1" ht="18" customHeight="1">
      <c r="A24" s="94" t="str">
        <f t="shared" si="0"/>
        <v>GS &gt;50 to 999 kW</v>
      </c>
      <c r="B24" s="233"/>
      <c r="C24" s="233"/>
      <c r="D24" s="109">
        <f>IF(+$H$5="Y",+ROUND(+'Low Voltage Rates'!G10,4),+'Low Voltage Rates'!G10)</f>
        <v>0.0821</v>
      </c>
      <c r="E24" s="109"/>
      <c r="G24" s="59"/>
      <c r="H24" s="59"/>
      <c r="I24" s="18"/>
      <c r="J24" s="18"/>
      <c r="K24" s="18"/>
      <c r="L24" s="18"/>
    </row>
    <row r="25" spans="1:12" s="8" customFormat="1" ht="18" customHeight="1">
      <c r="A25" s="94" t="str">
        <f t="shared" si="0"/>
        <v>GS &gt;1000 to 4999 kW</v>
      </c>
      <c r="B25" s="233"/>
      <c r="C25" s="233"/>
      <c r="D25" s="109">
        <f>IF(+$H$5="Y",+ROUND(+'Low Voltage Rates'!G11,4),+'Low Voltage Rates'!G11)</f>
        <v>0.0808</v>
      </c>
      <c r="E25" s="109"/>
      <c r="G25" s="59"/>
      <c r="H25" s="59"/>
      <c r="I25" s="18"/>
      <c r="J25" s="18"/>
      <c r="K25" s="18"/>
      <c r="L25" s="18"/>
    </row>
    <row r="26" spans="1:12" s="8" customFormat="1" ht="18" customHeight="1">
      <c r="A26" s="94" t="str">
        <f t="shared" si="0"/>
        <v>Large Use</v>
      </c>
      <c r="B26" s="233"/>
      <c r="C26" s="233"/>
      <c r="D26" s="109">
        <f>IF(+$H$5="Y",+ROUND(+'Low Voltage Rates'!G12,4),+'Low Voltage Rates'!G12)</f>
        <v>0.0903</v>
      </c>
      <c r="E26" s="109"/>
      <c r="G26" s="59"/>
      <c r="H26" s="59"/>
      <c r="I26" s="18"/>
      <c r="J26" s="18"/>
      <c r="K26" s="18"/>
      <c r="L26" s="18"/>
    </row>
    <row r="27" spans="1:12" s="8" customFormat="1" ht="18" customHeight="1">
      <c r="A27" s="94" t="str">
        <f t="shared" si="0"/>
        <v>Sentinel Lights</v>
      </c>
      <c r="B27" s="233"/>
      <c r="C27" s="233"/>
      <c r="D27" s="109">
        <f>IF(+$H$5="Y",+ROUND(+'Low Voltage Rates'!G13,4),+'Low Voltage Rates'!G13)</f>
        <v>0.0564</v>
      </c>
      <c r="E27" s="109"/>
      <c r="G27" s="59"/>
      <c r="H27" s="59"/>
      <c r="I27" s="18"/>
      <c r="J27" s="18"/>
      <c r="K27" s="18"/>
      <c r="L27" s="18"/>
    </row>
    <row r="28" spans="1:12" s="8" customFormat="1" ht="18" customHeight="1">
      <c r="A28" s="94" t="str">
        <f t="shared" si="0"/>
        <v>Street Lighting</v>
      </c>
      <c r="B28" s="233"/>
      <c r="C28" s="233"/>
      <c r="D28" s="109">
        <f>IF(+$H$5="Y",+ROUND(+'Low Voltage Rates'!G14,4),+'Low Voltage Rates'!G14)</f>
        <v>0.0552</v>
      </c>
      <c r="E28" s="109"/>
      <c r="G28" s="59"/>
      <c r="H28" s="59"/>
      <c r="I28" s="18"/>
      <c r="J28" s="18"/>
      <c r="K28" s="18"/>
      <c r="L28" s="18"/>
    </row>
    <row r="29" spans="1:12" s="8" customFormat="1" ht="18" customHeight="1">
      <c r="A29" s="94" t="str">
        <f t="shared" si="0"/>
        <v>Unmetered and Scattered</v>
      </c>
      <c r="B29" s="233"/>
      <c r="C29" s="233"/>
      <c r="D29" s="109"/>
      <c r="E29" s="109">
        <f>IF(+$H$5="Y",+ROUND(+'Low Voltage Rates'!F15,4),+'Low Voltage Rates'!F15)</f>
        <v>0.0002</v>
      </c>
      <c r="G29" s="59"/>
      <c r="H29" s="59"/>
      <c r="I29" s="18"/>
      <c r="J29" s="18"/>
      <c r="K29" s="18"/>
      <c r="L29" s="18"/>
    </row>
    <row r="30" spans="1:12" s="8" customFormat="1" ht="15.75">
      <c r="A30" s="661"/>
      <c r="B30" s="661"/>
      <c r="C30" s="661"/>
      <c r="D30" s="661"/>
      <c r="E30" s="661"/>
      <c r="G30" s="18"/>
      <c r="H30" s="18"/>
      <c r="I30" s="18"/>
      <c r="J30" s="18"/>
      <c r="K30" s="18"/>
      <c r="L30" s="18"/>
    </row>
    <row r="31" spans="1:12" s="8" customFormat="1" ht="18">
      <c r="A31" s="624"/>
      <c r="B31" s="624"/>
      <c r="C31" s="624"/>
      <c r="D31" s="624"/>
      <c r="E31" s="624"/>
      <c r="G31" s="18"/>
      <c r="H31" s="18"/>
      <c r="I31" s="18"/>
      <c r="J31" s="18"/>
      <c r="K31" s="18"/>
      <c r="L31" s="18"/>
    </row>
    <row r="32" spans="1:12" s="8" customFormat="1" ht="15" customHeight="1">
      <c r="A32" s="443" t="s">
        <v>0</v>
      </c>
      <c r="B32" s="460" t="s">
        <v>24</v>
      </c>
      <c r="C32" s="460" t="s">
        <v>25</v>
      </c>
      <c r="D32" s="460" t="s">
        <v>16</v>
      </c>
      <c r="E32" s="460" t="s">
        <v>15</v>
      </c>
      <c r="G32" s="19"/>
      <c r="H32" s="560" t="s">
        <v>0</v>
      </c>
      <c r="I32" s="460" t="s">
        <v>25</v>
      </c>
      <c r="J32" s="460" t="s">
        <v>24</v>
      </c>
      <c r="K32" s="460" t="s">
        <v>15</v>
      </c>
      <c r="L32" s="460" t="s">
        <v>16</v>
      </c>
    </row>
    <row r="33" spans="1:13" s="8" customFormat="1" ht="15" customHeight="1">
      <c r="A33" s="94" t="str">
        <f aca="true" t="shared" si="1" ref="A33:A40">A22</f>
        <v>Residential</v>
      </c>
      <c r="B33" s="233"/>
      <c r="C33" s="233"/>
      <c r="D33" s="109"/>
      <c r="E33" s="109"/>
      <c r="G33" s="59"/>
      <c r="H33" s="576" t="str">
        <f>+A33</f>
        <v>Residential</v>
      </c>
      <c r="I33" s="577">
        <f>+C11</f>
        <v>15.36</v>
      </c>
      <c r="J33" s="578"/>
      <c r="K33" s="579">
        <f>+E11</f>
        <v>0.0143</v>
      </c>
      <c r="L33" s="578"/>
      <c r="M33" s="108"/>
    </row>
    <row r="34" spans="1:13" s="8" customFormat="1" ht="15" customHeight="1">
      <c r="A34" s="94" t="str">
        <f t="shared" si="1"/>
        <v>GS &lt; 50 kW</v>
      </c>
      <c r="B34" s="233"/>
      <c r="C34" s="233"/>
      <c r="D34" s="109"/>
      <c r="E34" s="109"/>
      <c r="G34" s="59"/>
      <c r="H34" s="576" t="str">
        <f aca="true" t="shared" si="2" ref="H34:H40">+A34</f>
        <v>GS &lt; 50 kW</v>
      </c>
      <c r="I34" s="577">
        <f>+C12</f>
        <v>16.78</v>
      </c>
      <c r="J34" s="578"/>
      <c r="K34" s="579">
        <f>+E12</f>
        <v>0.0178</v>
      </c>
      <c r="L34" s="578"/>
      <c r="M34" s="108"/>
    </row>
    <row r="35" spans="1:13" s="8" customFormat="1" ht="15" customHeight="1">
      <c r="A35" s="94" t="str">
        <f t="shared" si="1"/>
        <v>GS &gt;50 to 999 kW</v>
      </c>
      <c r="B35" s="233"/>
      <c r="C35" s="233"/>
      <c r="D35" s="109"/>
      <c r="E35" s="109"/>
      <c r="G35" s="59"/>
      <c r="H35" s="576" t="str">
        <f t="shared" si="2"/>
        <v>GS &gt;50 to 999 kW</v>
      </c>
      <c r="I35" s="577">
        <f>+C13</f>
        <v>88.37</v>
      </c>
      <c r="J35" s="578"/>
      <c r="K35" s="578"/>
      <c r="L35" s="579">
        <f>+D13</f>
        <v>2.9288</v>
      </c>
      <c r="M35" s="108"/>
    </row>
    <row r="36" spans="1:13" s="8" customFormat="1" ht="15" customHeight="1">
      <c r="A36" s="94" t="str">
        <f t="shared" si="1"/>
        <v>GS &gt;1000 to 4999 kW</v>
      </c>
      <c r="B36" s="233"/>
      <c r="C36" s="233"/>
      <c r="D36" s="109"/>
      <c r="E36" s="109"/>
      <c r="G36" s="59"/>
      <c r="H36" s="576" t="str">
        <f t="shared" si="2"/>
        <v>GS &gt;1000 to 4999 kW</v>
      </c>
      <c r="I36" s="577">
        <f>+C14</f>
        <v>1008.02</v>
      </c>
      <c r="J36" s="578"/>
      <c r="K36" s="578"/>
      <c r="L36" s="579">
        <f>+D14</f>
        <v>3.1373</v>
      </c>
      <c r="M36" s="108"/>
    </row>
    <row r="37" spans="1:13" s="8" customFormat="1" ht="15" customHeight="1">
      <c r="A37" s="94" t="str">
        <f t="shared" si="1"/>
        <v>Large Use</v>
      </c>
      <c r="B37" s="233"/>
      <c r="C37" s="233"/>
      <c r="D37" s="109"/>
      <c r="E37" s="109"/>
      <c r="G37" s="59"/>
      <c r="H37" s="576" t="str">
        <f t="shared" si="2"/>
        <v>Large Use</v>
      </c>
      <c r="I37" s="577">
        <f>+C15</f>
        <v>4219.51</v>
      </c>
      <c r="J37" s="578"/>
      <c r="K37" s="578"/>
      <c r="L37" s="579">
        <f>+D15</f>
        <v>2.5261</v>
      </c>
      <c r="M37" s="108"/>
    </row>
    <row r="38" spans="1:13" s="8" customFormat="1" ht="15" customHeight="1">
      <c r="A38" s="94" t="str">
        <f t="shared" si="1"/>
        <v>Sentinel Lights</v>
      </c>
      <c r="B38" s="233"/>
      <c r="C38" s="233"/>
      <c r="D38" s="109"/>
      <c r="E38" s="109"/>
      <c r="G38" s="59"/>
      <c r="H38" s="576" t="str">
        <f t="shared" si="2"/>
        <v>Sentinel Lights</v>
      </c>
      <c r="I38" s="578"/>
      <c r="J38" s="577">
        <f>+B16</f>
        <v>1.4692</v>
      </c>
      <c r="K38" s="578"/>
      <c r="L38" s="579">
        <f>+D16</f>
        <v>11.1018</v>
      </c>
      <c r="M38" s="108"/>
    </row>
    <row r="39" spans="1:13" s="8" customFormat="1" ht="15" customHeight="1">
      <c r="A39" s="94" t="str">
        <f t="shared" si="1"/>
        <v>Street Lighting</v>
      </c>
      <c r="B39" s="233"/>
      <c r="C39" s="233"/>
      <c r="D39" s="109"/>
      <c r="E39" s="109"/>
      <c r="G39" s="59"/>
      <c r="H39" s="576" t="str">
        <f t="shared" si="2"/>
        <v>Street Lighting</v>
      </c>
      <c r="I39" s="578"/>
      <c r="J39" s="577">
        <f>+B17</f>
        <v>1.1372</v>
      </c>
      <c r="K39" s="578"/>
      <c r="L39" s="579">
        <f>+D17</f>
        <v>4.9716</v>
      </c>
      <c r="M39" s="108"/>
    </row>
    <row r="40" spans="1:13" s="8" customFormat="1" ht="15" customHeight="1">
      <c r="A40" s="94" t="str">
        <f t="shared" si="1"/>
        <v>Unmetered and Scattered</v>
      </c>
      <c r="B40" s="233"/>
      <c r="C40" s="233"/>
      <c r="D40" s="109"/>
      <c r="E40" s="109"/>
      <c r="G40" s="59"/>
      <c r="H40" s="576" t="str">
        <f t="shared" si="2"/>
        <v>Unmetered and Scattered</v>
      </c>
      <c r="I40" s="578"/>
      <c r="J40" s="577">
        <f>+B18</f>
        <v>8.2702</v>
      </c>
      <c r="K40" s="579">
        <f>+E18</f>
        <v>0.0175</v>
      </c>
      <c r="L40" s="578"/>
      <c r="M40" s="108"/>
    </row>
    <row r="41" spans="1:12" s="8" customFormat="1" ht="15" customHeight="1" thickBot="1">
      <c r="A41" s="661"/>
      <c r="B41" s="661"/>
      <c r="C41" s="661"/>
      <c r="D41" s="661"/>
      <c r="E41" s="661"/>
      <c r="G41" s="18"/>
      <c r="H41" s="18"/>
      <c r="I41" s="18"/>
      <c r="J41" s="18"/>
      <c r="K41" s="18"/>
      <c r="L41" s="18"/>
    </row>
    <row r="42" spans="1:12" s="8" customFormat="1" ht="18" customHeight="1" thickBot="1">
      <c r="A42" s="56" t="s">
        <v>149</v>
      </c>
      <c r="B42" s="65"/>
      <c r="C42" s="65"/>
      <c r="D42" s="110">
        <f>'Transformer Allowance'!B18</f>
        <v>-0.6</v>
      </c>
      <c r="E42" s="65"/>
      <c r="G42" s="18"/>
      <c r="H42" s="18"/>
      <c r="I42" s="18"/>
      <c r="J42" s="18"/>
      <c r="K42" s="18"/>
      <c r="L42" s="18"/>
    </row>
    <row r="45" spans="1:12" s="8" customFormat="1" ht="15">
      <c r="A45" s="662" t="s">
        <v>267</v>
      </c>
      <c r="B45" s="662"/>
      <c r="C45" s="662"/>
      <c r="D45" s="662"/>
      <c r="E45" s="662"/>
      <c r="G45" s="18"/>
      <c r="H45" s="18"/>
      <c r="I45" s="18"/>
      <c r="J45" s="18"/>
      <c r="K45" s="18"/>
      <c r="L45" s="18"/>
    </row>
    <row r="46" spans="1:11" s="8" customFormat="1" ht="90.75" customHeight="1">
      <c r="A46" s="317"/>
      <c r="B46" s="313" t="s">
        <v>148</v>
      </c>
      <c r="C46" s="313" t="s">
        <v>268</v>
      </c>
      <c r="D46" s="592" t="s">
        <v>414</v>
      </c>
      <c r="F46" s="19"/>
      <c r="G46" s="19"/>
      <c r="H46" s="19"/>
      <c r="I46" s="19"/>
      <c r="J46" s="19"/>
      <c r="K46" s="19"/>
    </row>
    <row r="47" spans="1:11" s="8" customFormat="1" ht="18" customHeight="1">
      <c r="A47" s="94" t="str">
        <f>+A22</f>
        <v>Residential</v>
      </c>
      <c r="B47" s="233">
        <f>+'Rates By Rate Class'!G25</f>
        <v>19.586552832354435</v>
      </c>
      <c r="C47" s="233">
        <f>+'2010 Existing Rates'!C8</f>
        <v>13.71</v>
      </c>
      <c r="D47" s="233">
        <f>+C11</f>
        <v>15.36</v>
      </c>
      <c r="F47" s="59"/>
      <c r="G47" s="59"/>
      <c r="H47" s="18"/>
      <c r="I47" s="18"/>
      <c r="J47" s="18"/>
      <c r="K47" s="18"/>
    </row>
    <row r="48" spans="1:11" s="8" customFormat="1" ht="18" customHeight="1">
      <c r="A48" s="94" t="str">
        <f aca="true" t="shared" si="3" ref="A48:A54">+A23</f>
        <v>GS &lt; 50 kW</v>
      </c>
      <c r="B48" s="233">
        <f>+'Rates By Rate Class'!G26</f>
        <v>36.4544635664449</v>
      </c>
      <c r="C48" s="233">
        <f>+'2010 Existing Rates'!C9</f>
        <v>14.7</v>
      </c>
      <c r="D48" s="233">
        <f>+C12</f>
        <v>16.78</v>
      </c>
      <c r="F48" s="59"/>
      <c r="G48" s="59"/>
      <c r="H48" s="18"/>
      <c r="I48" s="18"/>
      <c r="J48" s="18"/>
      <c r="K48" s="18"/>
    </row>
    <row r="49" spans="1:11" s="8" customFormat="1" ht="18" customHeight="1">
      <c r="A49" s="94" t="str">
        <f t="shared" si="3"/>
        <v>GS &gt;50 to 999 kW</v>
      </c>
      <c r="B49" s="233">
        <f>+'Rates By Rate Class'!G27</f>
        <v>94.3636026795664</v>
      </c>
      <c r="C49" s="233">
        <f>+'2010 Existing Rates'!C10</f>
        <v>70.9</v>
      </c>
      <c r="D49" s="233">
        <f>+C13</f>
        <v>88.37</v>
      </c>
      <c r="F49" s="59"/>
      <c r="G49" s="59"/>
      <c r="H49" s="18"/>
      <c r="I49" s="18"/>
      <c r="J49" s="18"/>
      <c r="K49" s="18"/>
    </row>
    <row r="50" spans="1:11" s="8" customFormat="1" ht="18" customHeight="1">
      <c r="A50" s="94" t="str">
        <f t="shared" si="3"/>
        <v>GS &gt;1000 to 4999 kW</v>
      </c>
      <c r="B50" s="233">
        <f>+'Rates By Rate Class'!G28</f>
        <v>513.2445724216122</v>
      </c>
      <c r="C50" s="233">
        <f>+'2010 Existing Rates'!C11</f>
        <v>926.33</v>
      </c>
      <c r="D50" s="233">
        <f>+C14</f>
        <v>1008.02</v>
      </c>
      <c r="F50" s="59"/>
      <c r="G50" s="59"/>
      <c r="H50" s="18"/>
      <c r="I50" s="18"/>
      <c r="J50" s="18"/>
      <c r="K50" s="18"/>
    </row>
    <row r="51" spans="1:11" s="8" customFormat="1" ht="18" customHeight="1">
      <c r="A51" s="94" t="str">
        <f t="shared" si="3"/>
        <v>Large Use</v>
      </c>
      <c r="B51" s="233">
        <f>+'Rates By Rate Class'!G29</f>
        <v>295.39564406380157</v>
      </c>
      <c r="C51" s="233">
        <f>+'2010 Existing Rates'!C12</f>
        <v>4126.26</v>
      </c>
      <c r="D51" s="233">
        <f>+C15</f>
        <v>4219.51</v>
      </c>
      <c r="F51" s="59"/>
      <c r="G51" s="59"/>
      <c r="H51" s="18"/>
      <c r="I51" s="18"/>
      <c r="J51" s="18"/>
      <c r="K51" s="18"/>
    </row>
    <row r="52" spans="1:11" s="8" customFormat="1" ht="18" customHeight="1">
      <c r="A52" s="94" t="str">
        <f t="shared" si="3"/>
        <v>Sentinel Lights</v>
      </c>
      <c r="B52" s="233">
        <f>+'Rates By Rate Class'!G30</f>
        <v>8.108773153047542</v>
      </c>
      <c r="C52" s="233">
        <f>+'2010 Existing Rates'!B13</f>
        <v>0.4</v>
      </c>
      <c r="D52" s="233">
        <f>+B16</f>
        <v>1.4692</v>
      </c>
      <c r="F52" s="59"/>
      <c r="G52" s="59"/>
      <c r="H52" s="18"/>
      <c r="I52" s="18"/>
      <c r="J52" s="18"/>
      <c r="K52" s="18"/>
    </row>
    <row r="53" spans="1:11" s="8" customFormat="1" ht="18" customHeight="1">
      <c r="A53" s="94" t="str">
        <f t="shared" si="3"/>
        <v>Street Lighting</v>
      </c>
      <c r="B53" s="233">
        <f>+'Rates By Rate Class'!G31</f>
        <v>8.459794194821308</v>
      </c>
      <c r="C53" s="233">
        <f>+'2010 Existing Rates'!B14</f>
        <v>0.16</v>
      </c>
      <c r="D53" s="233">
        <f>+B17</f>
        <v>1.1372</v>
      </c>
      <c r="F53" s="59"/>
      <c r="G53" s="59"/>
      <c r="H53" s="18"/>
      <c r="I53" s="18"/>
      <c r="J53" s="18"/>
      <c r="K53" s="18"/>
    </row>
    <row r="54" spans="1:11" s="8" customFormat="1" ht="18" customHeight="1">
      <c r="A54" s="94" t="str">
        <f t="shared" si="3"/>
        <v>Unmetered and Scattered</v>
      </c>
      <c r="B54" s="233">
        <f>+'Rates By Rate Class'!G32</f>
        <v>13.097397686797999</v>
      </c>
      <c r="C54" s="233">
        <f>+'2010 Existing Rates'!B15</f>
        <v>7.38</v>
      </c>
      <c r="D54" s="233">
        <f>+B18</f>
        <v>8.2702</v>
      </c>
      <c r="F54" s="59"/>
      <c r="G54" s="59"/>
      <c r="H54" s="18"/>
      <c r="I54" s="18"/>
      <c r="J54" s="18"/>
      <c r="K54" s="18"/>
    </row>
  </sheetData>
  <sheetProtection/>
  <mergeCells count="15">
    <mergeCell ref="A1:E1"/>
    <mergeCell ref="A2:E2"/>
    <mergeCell ref="A3:E3"/>
    <mergeCell ref="A4:E4"/>
    <mergeCell ref="A9:E9"/>
    <mergeCell ref="A5:E5"/>
    <mergeCell ref="A7:E7"/>
    <mergeCell ref="A6:E6"/>
    <mergeCell ref="A8:E8"/>
    <mergeCell ref="A19:E19"/>
    <mergeCell ref="A30:E30"/>
    <mergeCell ref="A41:E41"/>
    <mergeCell ref="A20:E20"/>
    <mergeCell ref="A31:E31"/>
    <mergeCell ref="A45:E45"/>
  </mergeCells>
  <printOptions/>
  <pageMargins left="0.75" right="0.75" top="1" bottom="1" header="0.5" footer="0.5"/>
  <pageSetup fitToHeight="1" fitToWidth="1" horizontalDpi="355" verticalDpi="355" orientation="portrait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2.8515625" style="0" bestFit="1" customWidth="1"/>
    <col min="2" max="5" width="11.7109375" style="0" customWidth="1"/>
    <col min="6" max="6" width="13.7109375" style="0" customWidth="1"/>
    <col min="7" max="7" width="13.421875" style="0" bestFit="1" customWidth="1"/>
    <col min="8" max="8" width="10.8515625" style="0" customWidth="1"/>
    <col min="9" max="9" width="7.28125" style="0" bestFit="1" customWidth="1"/>
    <col min="10" max="11" width="13.00390625" style="0" customWidth="1"/>
    <col min="12" max="12" width="15.7109375" style="0" customWidth="1"/>
    <col min="13" max="13" width="1.57421875" style="0" customWidth="1"/>
  </cols>
  <sheetData>
    <row r="1" spans="1:12" ht="15">
      <c r="A1" s="675" t="str">
        <f>+'Revenue Input'!A1</f>
        <v>MILTON HYDRO DISTRIBUTION INC.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</row>
    <row r="2" spans="1:12" ht="12.7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12.75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12.75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</row>
    <row r="5" spans="1:12" ht="20.25">
      <c r="A5" s="655" t="s">
        <v>62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</row>
    <row r="6" spans="1:12" ht="21" thickBot="1">
      <c r="A6" s="671" t="s">
        <v>229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</row>
    <row r="7" spans="1:12" ht="54">
      <c r="A7" s="672" t="s">
        <v>0</v>
      </c>
      <c r="B7" s="665" t="s">
        <v>46</v>
      </c>
      <c r="C7" s="666"/>
      <c r="D7" s="666"/>
      <c r="E7" s="666"/>
      <c r="F7" s="667" t="s">
        <v>47</v>
      </c>
      <c r="G7" s="668"/>
      <c r="H7" s="668"/>
      <c r="I7" s="668"/>
      <c r="J7" s="669" t="s">
        <v>48</v>
      </c>
      <c r="K7" s="670"/>
      <c r="L7" s="461" t="s">
        <v>49</v>
      </c>
    </row>
    <row r="8" spans="1:12" ht="51.75" customHeight="1">
      <c r="A8" s="673"/>
      <c r="B8" s="462" t="s">
        <v>132</v>
      </c>
      <c r="C8" s="463" t="s">
        <v>51</v>
      </c>
      <c r="D8" s="463" t="s">
        <v>168</v>
      </c>
      <c r="E8" s="464" t="s">
        <v>40</v>
      </c>
      <c r="F8" s="465" t="s">
        <v>50</v>
      </c>
      <c r="G8" s="463" t="s">
        <v>51</v>
      </c>
      <c r="H8" s="463" t="s">
        <v>168</v>
      </c>
      <c r="I8" s="464" t="s">
        <v>40</v>
      </c>
      <c r="J8" s="466" t="s">
        <v>144</v>
      </c>
      <c r="K8" s="467" t="s">
        <v>145</v>
      </c>
      <c r="L8" s="468">
        <v>2010</v>
      </c>
    </row>
    <row r="9" spans="1:12" ht="13.5" thickBot="1">
      <c r="A9" s="674"/>
      <c r="B9" s="469" t="s">
        <v>21</v>
      </c>
      <c r="C9" s="470" t="s">
        <v>21</v>
      </c>
      <c r="D9" s="470" t="s">
        <v>21</v>
      </c>
      <c r="E9" s="471" t="s">
        <v>21</v>
      </c>
      <c r="F9" s="472" t="s">
        <v>52</v>
      </c>
      <c r="G9" s="470" t="s">
        <v>52</v>
      </c>
      <c r="H9" s="470" t="s">
        <v>52</v>
      </c>
      <c r="I9" s="471" t="s">
        <v>52</v>
      </c>
      <c r="J9" s="473" t="s">
        <v>53</v>
      </c>
      <c r="K9" s="474" t="s">
        <v>53</v>
      </c>
      <c r="L9" s="475"/>
    </row>
    <row r="10" spans="1:12" ht="18" customHeight="1">
      <c r="A10" s="217" t="str">
        <f>'2011 Rate Rider'!A7</f>
        <v>Residential</v>
      </c>
      <c r="B10" s="543">
        <f>0.0059+0.0047</f>
        <v>0.0106</v>
      </c>
      <c r="C10" s="544">
        <f aca="true" t="shared" si="0" ref="C10:C17">0.0052+0.0013</f>
        <v>0.0065</v>
      </c>
      <c r="D10" s="544">
        <v>0.007</v>
      </c>
      <c r="E10" s="112">
        <f>SUM(B10:D10)</f>
        <v>0.0241</v>
      </c>
      <c r="F10" s="113">
        <v>0</v>
      </c>
      <c r="G10" s="114"/>
      <c r="H10" s="114"/>
      <c r="I10" s="115"/>
      <c r="J10" s="548">
        <v>0.065</v>
      </c>
      <c r="K10" s="549">
        <v>0.075</v>
      </c>
      <c r="L10" s="550">
        <v>1.0351</v>
      </c>
    </row>
    <row r="11" spans="1:12" ht="18" customHeight="1">
      <c r="A11" s="217" t="str">
        <f>'2011 Rate Rider'!A8</f>
        <v>GS &lt; 50 kW</v>
      </c>
      <c r="B11" s="545">
        <f>0.0054+0.0042</f>
        <v>0.009600000000000001</v>
      </c>
      <c r="C11" s="544">
        <f t="shared" si="0"/>
        <v>0.0065</v>
      </c>
      <c r="D11" s="544">
        <v>0.007</v>
      </c>
      <c r="E11" s="112">
        <f aca="true" t="shared" si="1" ref="E11:E17">SUM(B11:D11)</f>
        <v>0.0231</v>
      </c>
      <c r="F11" s="116">
        <v>0</v>
      </c>
      <c r="G11" s="115"/>
      <c r="H11" s="115"/>
      <c r="I11" s="115"/>
      <c r="J11" s="548">
        <v>0.065</v>
      </c>
      <c r="K11" s="549">
        <v>0.075</v>
      </c>
      <c r="L11" s="550">
        <v>1.0351</v>
      </c>
    </row>
    <row r="12" spans="1:12" ht="18" customHeight="1">
      <c r="A12" s="217" t="str">
        <f>'2011 Rate Rider'!A9</f>
        <v>GS &gt;50 to 999 kW</v>
      </c>
      <c r="B12" s="115"/>
      <c r="C12" s="544">
        <f t="shared" si="0"/>
        <v>0.0065</v>
      </c>
      <c r="D12" s="544">
        <v>0.007</v>
      </c>
      <c r="E12" s="112">
        <f t="shared" si="1"/>
        <v>0.0135</v>
      </c>
      <c r="F12" s="547">
        <f>2.4305+1.9383</f>
        <v>4.3688</v>
      </c>
      <c r="G12" s="115"/>
      <c r="H12" s="115"/>
      <c r="I12" s="112">
        <f>SUM(F12:H12)</f>
        <v>4.3688</v>
      </c>
      <c r="J12" s="548">
        <v>0.065</v>
      </c>
      <c r="K12" s="549">
        <v>0.075</v>
      </c>
      <c r="L12" s="550">
        <v>1.0351</v>
      </c>
    </row>
    <row r="13" spans="1:12" ht="18" customHeight="1">
      <c r="A13" s="217" t="str">
        <f>'2011 Rate Rider'!A10</f>
        <v>GS &gt;1000 to 4999 kW</v>
      </c>
      <c r="B13" s="115"/>
      <c r="C13" s="544">
        <f t="shared" si="0"/>
        <v>0.0065</v>
      </c>
      <c r="D13" s="544">
        <v>0.007</v>
      </c>
      <c r="E13" s="112">
        <f t="shared" si="1"/>
        <v>0.0135</v>
      </c>
      <c r="F13" s="547">
        <f>2.3905+1.9066</f>
        <v>4.2971</v>
      </c>
      <c r="G13" s="115"/>
      <c r="H13" s="115"/>
      <c r="I13" s="112">
        <f>SUM(F13:H13)</f>
        <v>4.2971</v>
      </c>
      <c r="J13" s="548">
        <v>0.065</v>
      </c>
      <c r="K13" s="549"/>
      <c r="L13" s="550">
        <v>1.0351</v>
      </c>
    </row>
    <row r="14" spans="1:12" ht="18" customHeight="1">
      <c r="A14" s="217" t="str">
        <f>'2011 Rate Rider'!A11</f>
        <v>Large Use</v>
      </c>
      <c r="B14" s="115"/>
      <c r="C14" s="544">
        <f t="shared" si="0"/>
        <v>0.0065</v>
      </c>
      <c r="D14" s="544">
        <v>0.007</v>
      </c>
      <c r="E14" s="112">
        <f>SUM(B14:D14)</f>
        <v>0.0135</v>
      </c>
      <c r="F14" s="547">
        <f>2.5886+2.1323</f>
        <v>4.7209</v>
      </c>
      <c r="G14" s="115"/>
      <c r="H14" s="115"/>
      <c r="I14" s="112">
        <f>SUM(F14:H14)</f>
        <v>4.7209</v>
      </c>
      <c r="J14" s="548">
        <v>0.065</v>
      </c>
      <c r="K14" s="549"/>
      <c r="L14" s="551">
        <v>1.0145</v>
      </c>
    </row>
    <row r="15" spans="1:12" ht="18" customHeight="1">
      <c r="A15" s="217" t="str">
        <f>'2011 Rate Rider'!A12</f>
        <v>Sentinel Lights</v>
      </c>
      <c r="B15" s="115"/>
      <c r="C15" s="544">
        <f t="shared" si="0"/>
        <v>0.0065</v>
      </c>
      <c r="D15" s="544">
        <v>0.007</v>
      </c>
      <c r="E15" s="112">
        <f t="shared" si="1"/>
        <v>0.0135</v>
      </c>
      <c r="F15" s="547">
        <f>1.6545+1.3312</f>
        <v>2.9857</v>
      </c>
      <c r="G15" s="115"/>
      <c r="H15" s="115"/>
      <c r="I15" s="112">
        <f>SUM(F15:H15)</f>
        <v>2.9857</v>
      </c>
      <c r="J15" s="548">
        <v>0.065</v>
      </c>
      <c r="K15" s="549">
        <v>0.075</v>
      </c>
      <c r="L15" s="551">
        <v>1.0351</v>
      </c>
    </row>
    <row r="16" spans="1:12" ht="18" customHeight="1">
      <c r="A16" s="217" t="str">
        <f>'2011 Rate Rider'!A13</f>
        <v>Street Lighting</v>
      </c>
      <c r="B16" s="115"/>
      <c r="C16" s="544">
        <f t="shared" si="0"/>
        <v>0.0065</v>
      </c>
      <c r="D16" s="546">
        <v>0.007</v>
      </c>
      <c r="E16" s="112">
        <f t="shared" si="1"/>
        <v>0.0135</v>
      </c>
      <c r="F16" s="547">
        <f>1.5031+1.3982</f>
        <v>2.9013</v>
      </c>
      <c r="G16" s="115"/>
      <c r="H16" s="115"/>
      <c r="I16" s="112">
        <f>SUM(F16:H16)</f>
        <v>2.9013</v>
      </c>
      <c r="J16" s="548">
        <v>0.065</v>
      </c>
      <c r="K16" s="549">
        <v>0.075</v>
      </c>
      <c r="L16" s="550">
        <v>1.0351</v>
      </c>
    </row>
    <row r="17" spans="1:12" ht="18" customHeight="1">
      <c r="A17" s="217" t="str">
        <f>'2011 Rate Rider'!A14</f>
        <v>Unmetered and Scattered</v>
      </c>
      <c r="B17" s="545">
        <f>0.0054+0.0042</f>
        <v>0.009600000000000001</v>
      </c>
      <c r="C17" s="544">
        <f t="shared" si="0"/>
        <v>0.0065</v>
      </c>
      <c r="D17" s="546">
        <v>0.007</v>
      </c>
      <c r="E17" s="112">
        <f t="shared" si="1"/>
        <v>0.0231</v>
      </c>
      <c r="F17" s="116">
        <v>0</v>
      </c>
      <c r="G17" s="115"/>
      <c r="H17" s="115"/>
      <c r="I17" s="115"/>
      <c r="J17" s="548">
        <v>0.065</v>
      </c>
      <c r="K17" s="549">
        <v>0.075</v>
      </c>
      <c r="L17" s="550">
        <v>1.0351</v>
      </c>
    </row>
    <row r="18" spans="1:12" ht="18" customHeight="1">
      <c r="A18" s="265"/>
      <c r="B18" s="267"/>
      <c r="C18" s="268"/>
      <c r="D18" s="269"/>
      <c r="E18" s="266"/>
      <c r="F18" s="270"/>
      <c r="G18" s="270"/>
      <c r="H18" s="270"/>
      <c r="I18" s="270"/>
      <c r="J18" s="268"/>
      <c r="K18" s="268"/>
      <c r="L18" s="268"/>
    </row>
    <row r="19" spans="1:12" ht="18" customHeight="1">
      <c r="A19" s="265"/>
      <c r="B19" s="267"/>
      <c r="C19" s="268"/>
      <c r="D19" s="269"/>
      <c r="E19" s="266"/>
      <c r="F19" s="270"/>
      <c r="G19" s="270"/>
      <c r="H19" s="270"/>
      <c r="I19" s="270"/>
      <c r="J19" s="268"/>
      <c r="K19" s="268"/>
      <c r="L19" s="268"/>
    </row>
    <row r="20" spans="1:12" ht="15">
      <c r="A20" s="26"/>
      <c r="B20" s="27"/>
      <c r="E20" s="28"/>
      <c r="I20" s="28"/>
      <c r="J20" s="28"/>
      <c r="K20" s="28"/>
      <c r="L20" s="25"/>
    </row>
    <row r="21" spans="1:12" ht="21" thickBot="1">
      <c r="A21" s="671" t="s">
        <v>230</v>
      </c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</row>
    <row r="22" spans="1:12" ht="54">
      <c r="A22" s="672" t="s">
        <v>0</v>
      </c>
      <c r="B22" s="665" t="s">
        <v>46</v>
      </c>
      <c r="C22" s="666"/>
      <c r="D22" s="666"/>
      <c r="E22" s="666"/>
      <c r="F22" s="667" t="s">
        <v>47</v>
      </c>
      <c r="G22" s="668"/>
      <c r="H22" s="668"/>
      <c r="I22" s="668"/>
      <c r="J22" s="669" t="s">
        <v>48</v>
      </c>
      <c r="K22" s="670"/>
      <c r="L22" s="519" t="s">
        <v>49</v>
      </c>
    </row>
    <row r="23" spans="1:12" ht="51">
      <c r="A23" s="673"/>
      <c r="B23" s="462" t="s">
        <v>132</v>
      </c>
      <c r="C23" s="463" t="s">
        <v>51</v>
      </c>
      <c r="D23" s="463" t="s">
        <v>168</v>
      </c>
      <c r="E23" s="464" t="s">
        <v>40</v>
      </c>
      <c r="F23" s="465" t="s">
        <v>50</v>
      </c>
      <c r="G23" s="463" t="s">
        <v>51</v>
      </c>
      <c r="H23" s="463" t="s">
        <v>168</v>
      </c>
      <c r="I23" s="464" t="s">
        <v>40</v>
      </c>
      <c r="J23" s="552" t="s">
        <v>144</v>
      </c>
      <c r="K23" s="553" t="s">
        <v>145</v>
      </c>
      <c r="L23" s="468">
        <v>2011</v>
      </c>
    </row>
    <row r="24" spans="1:12" ht="13.5" thickBot="1">
      <c r="A24" s="674"/>
      <c r="B24" s="469" t="s">
        <v>21</v>
      </c>
      <c r="C24" s="470" t="s">
        <v>21</v>
      </c>
      <c r="D24" s="470" t="s">
        <v>21</v>
      </c>
      <c r="E24" s="471" t="s">
        <v>21</v>
      </c>
      <c r="F24" s="472" t="s">
        <v>52</v>
      </c>
      <c r="G24" s="470" t="s">
        <v>52</v>
      </c>
      <c r="H24" s="470" t="s">
        <v>52</v>
      </c>
      <c r="I24" s="471" t="s">
        <v>52</v>
      </c>
      <c r="J24" s="554" t="s">
        <v>53</v>
      </c>
      <c r="K24" s="474" t="s">
        <v>53</v>
      </c>
      <c r="L24" s="475"/>
    </row>
    <row r="25" spans="1:12" ht="15.75">
      <c r="A25" s="217" t="str">
        <f aca="true" t="shared" si="2" ref="A25:A32">A10</f>
        <v>Residential</v>
      </c>
      <c r="B25" s="543">
        <f>+'[7]E1.1 Adj Network to Fcst Whsl'!$S$22+'[7]E1.2 Adj Conn to Fcst Whsl'!$S$22</f>
        <v>0.010125209445178581</v>
      </c>
      <c r="C25" s="544">
        <f aca="true" t="shared" si="3" ref="C25:C32">0.0052+0.0013</f>
        <v>0.0065</v>
      </c>
      <c r="D25" s="544">
        <v>0.007</v>
      </c>
      <c r="E25" s="112">
        <f aca="true" t="shared" si="4" ref="E25:E32">SUM(B25:D25)</f>
        <v>0.02362520944517858</v>
      </c>
      <c r="F25" s="113">
        <v>0</v>
      </c>
      <c r="G25" s="114"/>
      <c r="H25" s="114"/>
      <c r="I25" s="115"/>
      <c r="J25" s="548">
        <v>0.065</v>
      </c>
      <c r="K25" s="549">
        <v>0.075</v>
      </c>
      <c r="L25" s="550">
        <f>+'[8]Ex4 Total Loss Factors'!$G$20</f>
        <v>1.0361912479267281</v>
      </c>
    </row>
    <row r="26" spans="1:12" ht="15.75">
      <c r="A26" s="217" t="str">
        <f t="shared" si="2"/>
        <v>GS &lt; 50 kW</v>
      </c>
      <c r="B26" s="545">
        <f>+'[7]E1.1 Adj Network to Fcst Whsl'!$S$23+'[7]E1.2 Adj Conn to Fcst Whsl'!$S$23</f>
        <v>0.009166720502807955</v>
      </c>
      <c r="C26" s="544">
        <f t="shared" si="3"/>
        <v>0.0065</v>
      </c>
      <c r="D26" s="544">
        <v>0.007</v>
      </c>
      <c r="E26" s="112">
        <f t="shared" si="4"/>
        <v>0.022666720502807953</v>
      </c>
      <c r="F26" s="116">
        <v>0</v>
      </c>
      <c r="G26" s="115"/>
      <c r="H26" s="115"/>
      <c r="I26" s="115"/>
      <c r="J26" s="548">
        <v>0.065</v>
      </c>
      <c r="K26" s="549">
        <v>0.075</v>
      </c>
      <c r="L26" s="550">
        <f>+'[8]Ex4 Total Loss Factors'!$G$20</f>
        <v>1.0361912479267281</v>
      </c>
    </row>
    <row r="27" spans="1:12" ht="15.75">
      <c r="A27" s="217" t="str">
        <f t="shared" si="2"/>
        <v>GS &gt;50 to 999 kW</v>
      </c>
      <c r="B27" s="115"/>
      <c r="C27" s="544">
        <f t="shared" si="3"/>
        <v>0.0065</v>
      </c>
      <c r="D27" s="544">
        <v>0.007</v>
      </c>
      <c r="E27" s="112">
        <f t="shared" si="4"/>
        <v>0.0135</v>
      </c>
      <c r="F27" s="547">
        <f>+'[7]E1.1 Adj Network to Fcst Whsl'!$S$24+'[7]E1.2 Adj Conn to Fcst Whsl'!$S$24</f>
        <v>4.173183624851943</v>
      </c>
      <c r="G27" s="115"/>
      <c r="H27" s="115"/>
      <c r="I27" s="112">
        <f>SUM(F27:H27)</f>
        <v>4.173183624851943</v>
      </c>
      <c r="J27" s="548">
        <v>0.065</v>
      </c>
      <c r="K27" s="549">
        <v>0.075</v>
      </c>
      <c r="L27" s="550">
        <f>+'[8]Ex4 Total Loss Factors'!$G$20</f>
        <v>1.0361912479267281</v>
      </c>
    </row>
    <row r="28" spans="1:12" ht="15.75">
      <c r="A28" s="217" t="str">
        <f t="shared" si="2"/>
        <v>GS &gt;1000 to 4999 kW</v>
      </c>
      <c r="B28" s="115"/>
      <c r="C28" s="544">
        <f t="shared" si="3"/>
        <v>0.0065</v>
      </c>
      <c r="D28" s="544">
        <v>0.007</v>
      </c>
      <c r="E28" s="112">
        <f t="shared" si="4"/>
        <v>0.0135</v>
      </c>
      <c r="F28" s="547">
        <f>+'[7]E1.1 Adj Network to Fcst Whsl'!$S$25+'[7]E1.2 Adj Conn to Fcst Whsl'!$S$25</f>
        <v>4.104700483312957</v>
      </c>
      <c r="G28" s="115"/>
      <c r="H28" s="115"/>
      <c r="I28" s="112">
        <f>SUM(F28:H28)</f>
        <v>4.104700483312957</v>
      </c>
      <c r="J28" s="548">
        <v>0.065</v>
      </c>
      <c r="K28" s="549"/>
      <c r="L28" s="550">
        <f>+'[8]Ex4 Total Loss Factors'!$G$20</f>
        <v>1.0361912479267281</v>
      </c>
    </row>
    <row r="29" spans="1:15" ht="15.75">
      <c r="A29" s="217" t="str">
        <f t="shared" si="2"/>
        <v>Large Use</v>
      </c>
      <c r="B29" s="115"/>
      <c r="C29" s="544">
        <f t="shared" si="3"/>
        <v>0.0065</v>
      </c>
      <c r="D29" s="544">
        <v>0.007</v>
      </c>
      <c r="E29" s="112">
        <f t="shared" si="4"/>
        <v>0.0135</v>
      </c>
      <c r="F29" s="547">
        <f>+'[7]E1.1 Adj Network to Fcst Whsl'!$S$26+'[7]E1.2 Adj Conn to Fcst Whsl'!$S$26</f>
        <v>4.51170788400048</v>
      </c>
      <c r="G29" s="115"/>
      <c r="H29" s="115"/>
      <c r="I29" s="112">
        <f>SUM(F29:H29)</f>
        <v>4.51170788400048</v>
      </c>
      <c r="J29" s="548">
        <v>0.065</v>
      </c>
      <c r="K29" s="549"/>
      <c r="L29" s="550">
        <f>+'[8]Ex4 Total Loss Factors'!$G$18</f>
        <v>1.0048380019325205</v>
      </c>
      <c r="O29" s="25"/>
    </row>
    <row r="30" spans="1:12" ht="15.75">
      <c r="A30" s="217" t="str">
        <f t="shared" si="2"/>
        <v>Sentinel Lights</v>
      </c>
      <c r="B30" s="115"/>
      <c r="C30" s="544">
        <f t="shared" si="3"/>
        <v>0.0065</v>
      </c>
      <c r="D30" s="544">
        <v>0.007</v>
      </c>
      <c r="E30" s="112">
        <f t="shared" si="4"/>
        <v>0.0135</v>
      </c>
      <c r="F30" s="547">
        <f>+'[7]E1.1 Adj Network to Fcst Whsl'!$S$28+'[7]E1.2 Adj Conn to Fcst Whsl'!$S$28</f>
        <v>2.8523919168201015</v>
      </c>
      <c r="G30" s="115"/>
      <c r="H30" s="115"/>
      <c r="I30" s="112">
        <f>SUM(F30:H30)</f>
        <v>2.8523919168201015</v>
      </c>
      <c r="J30" s="548">
        <v>0.065</v>
      </c>
      <c r="K30" s="549">
        <v>0.075</v>
      </c>
      <c r="L30" s="550">
        <f>+'[8]Ex4 Total Loss Factors'!$G$20</f>
        <v>1.0361912479267281</v>
      </c>
    </row>
    <row r="31" spans="1:12" ht="15.75">
      <c r="A31" s="217" t="str">
        <f t="shared" si="2"/>
        <v>Street Lighting</v>
      </c>
      <c r="B31" s="115"/>
      <c r="C31" s="544">
        <f t="shared" si="3"/>
        <v>0.0065</v>
      </c>
      <c r="D31" s="546">
        <v>0.007</v>
      </c>
      <c r="E31" s="112">
        <f t="shared" si="4"/>
        <v>0.0135</v>
      </c>
      <c r="F31" s="547">
        <f>+'[7]E1.1 Adj Network to Fcst Whsl'!$S$27+'[7]E1.2 Adj Conn to Fcst Whsl'!$S$27</f>
        <v>2.8175274347373565</v>
      </c>
      <c r="G31" s="115"/>
      <c r="H31" s="115"/>
      <c r="I31" s="112">
        <f>SUM(F31:H31)</f>
        <v>2.8175274347373565</v>
      </c>
      <c r="J31" s="548">
        <v>0.065</v>
      </c>
      <c r="K31" s="549">
        <v>0.075</v>
      </c>
      <c r="L31" s="550">
        <f>+'[8]Ex4 Total Loss Factors'!$G$20</f>
        <v>1.0361912479267281</v>
      </c>
    </row>
    <row r="32" spans="1:12" ht="15.75">
      <c r="A32" s="217" t="str">
        <f t="shared" si="2"/>
        <v>Unmetered and Scattered</v>
      </c>
      <c r="B32" s="545">
        <f>+'[7]E1.1 Adj Network to Fcst Whsl'!$S$29+'[7]E1.2 Adj Conn to Fcst Whsl'!$S$29</f>
        <v>0.009166720502807955</v>
      </c>
      <c r="C32" s="544">
        <f t="shared" si="3"/>
        <v>0.0065</v>
      </c>
      <c r="D32" s="546">
        <v>0.007</v>
      </c>
      <c r="E32" s="112">
        <f t="shared" si="4"/>
        <v>0.022666720502807953</v>
      </c>
      <c r="F32" s="116">
        <v>0</v>
      </c>
      <c r="G32" s="115"/>
      <c r="H32" s="115"/>
      <c r="I32" s="115"/>
      <c r="J32" s="548">
        <v>0.065</v>
      </c>
      <c r="K32" s="549">
        <v>0.075</v>
      </c>
      <c r="L32" s="550">
        <f>+'[8]Ex4 Total Loss Factors'!$G$20</f>
        <v>1.0361912479267281</v>
      </c>
    </row>
  </sheetData>
  <sheetProtection/>
  <mergeCells count="15">
    <mergeCell ref="A1:L1"/>
    <mergeCell ref="A2:L2"/>
    <mergeCell ref="A3:L3"/>
    <mergeCell ref="A4:L4"/>
    <mergeCell ref="A5:L5"/>
    <mergeCell ref="A7:A9"/>
    <mergeCell ref="B7:E7"/>
    <mergeCell ref="F7:I7"/>
    <mergeCell ref="J7:K7"/>
    <mergeCell ref="A6:L6"/>
    <mergeCell ref="A21:L21"/>
    <mergeCell ref="A22:A24"/>
    <mergeCell ref="B22:E22"/>
    <mergeCell ref="F22:I22"/>
    <mergeCell ref="J22:K22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19"/>
  <sheetViews>
    <sheetView zoomScalePageLayoutView="0" workbookViewId="0" topLeftCell="A68">
      <selection activeCell="A68" sqref="A68"/>
    </sheetView>
  </sheetViews>
  <sheetFormatPr defaultColWidth="9.140625" defaultRowHeight="12.75"/>
  <cols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1.00390625" style="0" bestFit="1" customWidth="1"/>
    <col min="8" max="8" width="9.7109375" style="0" bestFit="1" customWidth="1"/>
    <col min="9" max="9" width="15.57421875" style="0" bestFit="1" customWidth="1"/>
    <col min="10" max="10" width="11.00390625" style="0" bestFit="1" customWidth="1"/>
    <col min="11" max="11" width="12.7109375" style="0" bestFit="1" customWidth="1"/>
    <col min="12" max="12" width="15.57421875" style="0" bestFit="1" customWidth="1"/>
    <col min="13" max="13" width="15.140625" style="0" bestFit="1" customWidth="1"/>
    <col min="14" max="14" width="13.421875" style="0" bestFit="1" customWidth="1"/>
    <col min="15" max="15" width="14.00390625" style="0" bestFit="1" customWidth="1"/>
    <col min="16" max="16" width="1.57421875" style="0" customWidth="1"/>
  </cols>
  <sheetData>
    <row r="1" spans="1:15" ht="12.75">
      <c r="A1" s="8"/>
      <c r="B1" s="617" t="str">
        <f>+'Revenue Input'!A1</f>
        <v>MILTON HYDRO DISTRIBUTION INC.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ht="12.75">
      <c r="A2" s="8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3" spans="1:15" ht="12.75">
      <c r="A3" s="8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4" spans="1:15" ht="12.75">
      <c r="A4" s="8"/>
      <c r="B4" s="8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</row>
    <row r="5" spans="1:15" ht="20.25">
      <c r="A5" s="8"/>
      <c r="B5" s="8"/>
      <c r="C5" s="655" t="s">
        <v>179</v>
      </c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</row>
    <row r="6" spans="1:15" ht="18">
      <c r="A6" s="8"/>
      <c r="B6" s="8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</row>
    <row r="7" spans="1:15" ht="18" customHeight="1" thickBot="1">
      <c r="A7" s="8"/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</row>
    <row r="8" spans="2:16" ht="21.75" customHeight="1">
      <c r="B8" s="127"/>
      <c r="C8" s="690" t="s">
        <v>45</v>
      </c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117"/>
    </row>
    <row r="9" spans="2:16" ht="21.75" customHeight="1" thickBot="1">
      <c r="B9" s="125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118"/>
    </row>
    <row r="10" spans="2:16" ht="21.75" customHeight="1" thickBot="1">
      <c r="B10" s="125"/>
      <c r="C10" s="126"/>
      <c r="D10" s="126"/>
      <c r="E10" s="31"/>
      <c r="F10" s="37"/>
      <c r="G10" s="678" t="s">
        <v>194</v>
      </c>
      <c r="H10" s="679"/>
      <c r="I10" s="680"/>
      <c r="J10" s="678" t="s">
        <v>231</v>
      </c>
      <c r="K10" s="679"/>
      <c r="L10" s="680"/>
      <c r="M10" s="678" t="s">
        <v>69</v>
      </c>
      <c r="N10" s="679"/>
      <c r="O10" s="680"/>
      <c r="P10" s="118"/>
    </row>
    <row r="11" spans="2:16" ht="26.25" thickBot="1">
      <c r="B11" s="125"/>
      <c r="C11" s="31"/>
      <c r="D11" s="31"/>
      <c r="E11" s="33"/>
      <c r="F11" s="38"/>
      <c r="G11" s="167" t="s">
        <v>63</v>
      </c>
      <c r="H11" s="142" t="s">
        <v>64</v>
      </c>
      <c r="I11" s="143" t="s">
        <v>65</v>
      </c>
      <c r="J11" s="167" t="s">
        <v>63</v>
      </c>
      <c r="K11" s="142" t="s">
        <v>64</v>
      </c>
      <c r="L11" s="143" t="s">
        <v>65</v>
      </c>
      <c r="M11" s="169" t="s">
        <v>70</v>
      </c>
      <c r="N11" s="170" t="s">
        <v>71</v>
      </c>
      <c r="O11" s="171" t="s">
        <v>72</v>
      </c>
      <c r="P11" s="118"/>
    </row>
    <row r="12" spans="2:16" ht="21.75" customHeight="1" thickBot="1">
      <c r="B12" s="125"/>
      <c r="C12" s="681" t="s">
        <v>66</v>
      </c>
      <c r="D12" s="682"/>
      <c r="E12" s="31"/>
      <c r="F12" s="151" t="s">
        <v>67</v>
      </c>
      <c r="G12" s="161"/>
      <c r="H12" s="162"/>
      <c r="I12" s="163">
        <f>+'2010 Existing Rates'!$C$8</f>
        <v>13.71</v>
      </c>
      <c r="J12" s="161"/>
      <c r="K12" s="162"/>
      <c r="L12" s="166">
        <f>'Rate Schedule (Part 1)'!$E$12</f>
        <v>15.36</v>
      </c>
      <c r="M12" s="175">
        <f aca="true" t="shared" si="0" ref="M12:M17">+L12-I12</f>
        <v>1.6499999999999986</v>
      </c>
      <c r="N12" s="176">
        <f aca="true" t="shared" si="1" ref="N12:N22">+M12/I12</f>
        <v>0.12035010940919026</v>
      </c>
      <c r="O12" s="177">
        <f>L12/L25</f>
        <v>0.5331692093725529</v>
      </c>
      <c r="P12" s="118"/>
    </row>
    <row r="13" spans="2:16" ht="21.75" customHeight="1" thickBot="1">
      <c r="B13" s="125"/>
      <c r="C13" s="121">
        <v>100</v>
      </c>
      <c r="D13" s="122" t="s">
        <v>15</v>
      </c>
      <c r="E13" s="31"/>
      <c r="F13" s="152" t="s">
        <v>68</v>
      </c>
      <c r="G13" s="155">
        <f>+C13</f>
        <v>100</v>
      </c>
      <c r="H13" s="149">
        <f>'2010 Existing Rates'!$B$58</f>
        <v>0.0128</v>
      </c>
      <c r="I13" s="164">
        <f>+G13*H13</f>
        <v>1.28</v>
      </c>
      <c r="J13" s="155">
        <f>+C13</f>
        <v>100</v>
      </c>
      <c r="K13" s="148">
        <f>'Rate Schedule (Part 1)'!$E$13</f>
        <v>0.0143</v>
      </c>
      <c r="L13" s="168">
        <f>+J13*K13</f>
        <v>1.43</v>
      </c>
      <c r="M13" s="178">
        <f t="shared" si="0"/>
        <v>0.1499999999999999</v>
      </c>
      <c r="N13" s="176">
        <f t="shared" si="1"/>
        <v>0.11718749999999993</v>
      </c>
      <c r="O13" s="179">
        <f>L13/L25</f>
        <v>0.049637498007991575</v>
      </c>
      <c r="P13" s="118"/>
    </row>
    <row r="14" spans="2:16" ht="21.75" customHeight="1" thickBot="1">
      <c r="B14" s="125"/>
      <c r="C14" s="271"/>
      <c r="D14" s="272"/>
      <c r="E14" s="31"/>
      <c r="F14" s="152" t="s">
        <v>233</v>
      </c>
      <c r="G14" s="155">
        <f>G13</f>
        <v>100</v>
      </c>
      <c r="H14" s="149">
        <f>'2010 Existing Rates'!$B$33</f>
        <v>0.0003</v>
      </c>
      <c r="I14" s="164">
        <f>+G14*H14</f>
        <v>0.03</v>
      </c>
      <c r="J14" s="155">
        <f>J13</f>
        <v>100</v>
      </c>
      <c r="K14" s="148">
        <f>'Rate Schedule (Part 1)'!$E$14</f>
        <v>0.0002</v>
      </c>
      <c r="L14" s="168">
        <f>+J14*K14</f>
        <v>0.02</v>
      </c>
      <c r="M14" s="178">
        <f t="shared" si="0"/>
        <v>-0.009999999999999998</v>
      </c>
      <c r="N14" s="176">
        <f t="shared" si="1"/>
        <v>-0.3333333333333333</v>
      </c>
      <c r="O14" s="179">
        <f>L14/L25</f>
        <v>0.0006942307413705115</v>
      </c>
      <c r="P14" s="118"/>
    </row>
    <row r="15" spans="2:16" ht="21.75" customHeight="1" thickBot="1">
      <c r="B15" s="125"/>
      <c r="C15" s="62"/>
      <c r="D15" s="63"/>
      <c r="E15" s="31"/>
      <c r="F15" s="152" t="s">
        <v>166</v>
      </c>
      <c r="G15" s="174"/>
      <c r="H15" s="173"/>
      <c r="I15" s="164">
        <f>'2010 Existing Rates'!$B$45</f>
        <v>2.16</v>
      </c>
      <c r="J15" s="174"/>
      <c r="K15" s="173"/>
      <c r="L15" s="168">
        <f>'Rate Schedule (Part 1)'!$E$16</f>
        <v>-0.43193202035146244</v>
      </c>
      <c r="M15" s="178">
        <f t="shared" si="0"/>
        <v>-2.5919320203514626</v>
      </c>
      <c r="N15" s="176">
        <f t="shared" si="1"/>
        <v>-1.199968527940492</v>
      </c>
      <c r="O15" s="179">
        <f>L15/L25</f>
        <v>-0.014993024335512932</v>
      </c>
      <c r="P15" s="118"/>
    </row>
    <row r="16" spans="2:16" ht="21.75" customHeight="1" thickBot="1">
      <c r="B16" s="125"/>
      <c r="C16" s="62"/>
      <c r="D16" s="63"/>
      <c r="E16" s="31"/>
      <c r="F16" s="152" t="s">
        <v>158</v>
      </c>
      <c r="G16" s="155">
        <f>C13</f>
        <v>100</v>
      </c>
      <c r="H16" s="149"/>
      <c r="I16" s="160">
        <f>+G16*H16</f>
        <v>0</v>
      </c>
      <c r="J16" s="155">
        <f>C13</f>
        <v>100</v>
      </c>
      <c r="K16" s="148">
        <f>'Rate Schedule (Part 1)'!$E$15</f>
        <v>0</v>
      </c>
      <c r="L16" s="168">
        <f>J16*K16</f>
        <v>0</v>
      </c>
      <c r="M16" s="178">
        <f t="shared" si="0"/>
        <v>0</v>
      </c>
      <c r="N16" s="176">
        <v>0</v>
      </c>
      <c r="O16" s="179">
        <f>L16/L25</f>
        <v>0</v>
      </c>
      <c r="P16" s="118"/>
    </row>
    <row r="17" spans="2:16" ht="21.75" customHeight="1" thickBot="1">
      <c r="B17" s="125"/>
      <c r="C17" s="31"/>
      <c r="D17" s="31"/>
      <c r="E17" s="31"/>
      <c r="F17" s="153" t="s">
        <v>232</v>
      </c>
      <c r="G17" s="180">
        <f>+C13</f>
        <v>100</v>
      </c>
      <c r="H17" s="181">
        <f>+'2010 Existing Rates'!$B$21</f>
        <v>-0.0039</v>
      </c>
      <c r="I17" s="182">
        <f>+G17*H17</f>
        <v>-0.38999999999999996</v>
      </c>
      <c r="J17" s="180">
        <f>+C13</f>
        <v>100</v>
      </c>
      <c r="K17" s="181">
        <f>'Rate Schedule (Part 1)'!$E$17</f>
        <v>-0.0006676344696067126</v>
      </c>
      <c r="L17" s="182">
        <f>+J17*K17</f>
        <v>-0.06676344696067127</v>
      </c>
      <c r="M17" s="178">
        <f t="shared" si="0"/>
        <v>0.3232365530393287</v>
      </c>
      <c r="N17" s="176">
        <f t="shared" si="1"/>
        <v>-0.8288116744598173</v>
      </c>
      <c r="O17" s="179">
        <f>L17/L25</f>
        <v>-0.002317461863997882</v>
      </c>
      <c r="P17" s="118"/>
    </row>
    <row r="18" spans="2:16" ht="21.75" customHeight="1" thickBot="1">
      <c r="B18" s="125"/>
      <c r="C18" s="31"/>
      <c r="D18" s="31"/>
      <c r="E18" s="31"/>
      <c r="F18" s="476" t="s">
        <v>234</v>
      </c>
      <c r="G18" s="676"/>
      <c r="H18" s="677"/>
      <c r="I18" s="477">
        <f>SUM(I12:I17)</f>
        <v>16.79</v>
      </c>
      <c r="J18" s="676"/>
      <c r="K18" s="677"/>
      <c r="L18" s="477">
        <f>SUM(L12:L17)</f>
        <v>16.311304532687867</v>
      </c>
      <c r="M18" s="480">
        <f>SUM(M12:M17)</f>
        <v>-0.47869546731213547</v>
      </c>
      <c r="N18" s="481">
        <f t="shared" si="1"/>
        <v>-0.028510748499829392</v>
      </c>
      <c r="O18" s="482">
        <f>L18/L25</f>
        <v>0.5661904519224041</v>
      </c>
      <c r="P18" s="118"/>
    </row>
    <row r="19" spans="2:16" ht="21.75" customHeight="1" thickBot="1">
      <c r="B19" s="125"/>
      <c r="C19" s="31"/>
      <c r="D19" s="31"/>
      <c r="E19" s="31"/>
      <c r="F19" s="152" t="s">
        <v>235</v>
      </c>
      <c r="G19" s="273">
        <f>C13*'Other Electriciy Rates'!$L$10</f>
        <v>103.50999999999999</v>
      </c>
      <c r="H19" s="274">
        <f>'Other Electriciy Rates'!$B$10</f>
        <v>0.0106</v>
      </c>
      <c r="I19" s="164">
        <f>+G19*H19</f>
        <v>1.097206</v>
      </c>
      <c r="J19" s="273">
        <f>'BILL IMPACTS'!C13*'Other Electriciy Rates'!$L$25</f>
        <v>103.6191247926728</v>
      </c>
      <c r="K19" s="274">
        <f>'Other Electriciy Rates'!$B$25</f>
        <v>0.010125209445178581</v>
      </c>
      <c r="L19" s="164">
        <f>+J19*K19</f>
        <v>1.0491653410519088</v>
      </c>
      <c r="M19" s="275">
        <f>+L19-I19</f>
        <v>-0.048040658948091064</v>
      </c>
      <c r="N19" s="176">
        <f t="shared" si="1"/>
        <v>-0.04378453904562231</v>
      </c>
      <c r="O19" s="177">
        <f>L19/L25</f>
        <v>0.036418141626935616</v>
      </c>
      <c r="P19" s="118"/>
    </row>
    <row r="20" spans="2:16" ht="21.75" customHeight="1" thickBot="1">
      <c r="B20" s="125"/>
      <c r="C20" s="31"/>
      <c r="D20" s="31"/>
      <c r="E20" s="31"/>
      <c r="F20" s="476" t="s">
        <v>236</v>
      </c>
      <c r="G20" s="676"/>
      <c r="H20" s="677"/>
      <c r="I20" s="477">
        <f>I18+I19</f>
        <v>17.887206</v>
      </c>
      <c r="J20" s="676"/>
      <c r="K20" s="677"/>
      <c r="L20" s="477">
        <f>L18+L19</f>
        <v>17.360469873739774</v>
      </c>
      <c r="M20" s="480">
        <f>+M18+M19</f>
        <v>-0.5267361262602266</v>
      </c>
      <c r="N20" s="481">
        <f aca="true" t="shared" si="2" ref="N20:N25">+M20/I20</f>
        <v>-0.02944764689690646</v>
      </c>
      <c r="O20" s="483">
        <f>L20/L25</f>
        <v>0.6026085935493397</v>
      </c>
      <c r="P20" s="118"/>
    </row>
    <row r="21" spans="2:16" ht="21.75" customHeight="1" thickBot="1">
      <c r="B21" s="125"/>
      <c r="C21" s="31"/>
      <c r="D21" s="31"/>
      <c r="E21" s="31"/>
      <c r="F21" s="154" t="s">
        <v>73</v>
      </c>
      <c r="G21" s="156">
        <f>+'Other Electriciy Rates'!$L$10*C13</f>
        <v>103.50999999999999</v>
      </c>
      <c r="H21" s="157">
        <f>'Other Electriciy Rates'!$C$10+'Other Electriciy Rates'!$D$10</f>
        <v>0.0135</v>
      </c>
      <c r="I21" s="158">
        <f>+G21*H21</f>
        <v>1.3973849999999999</v>
      </c>
      <c r="J21" s="156">
        <f>J19</f>
        <v>103.6191247926728</v>
      </c>
      <c r="K21" s="157">
        <f>'Other Electriciy Rates'!$C$25+'Other Electriciy Rates'!$D$25</f>
        <v>0.0135</v>
      </c>
      <c r="L21" s="185">
        <f>+J21*K21</f>
        <v>1.3988581847010828</v>
      </c>
      <c r="M21" s="416">
        <f>+L21-I21</f>
        <v>0.0014731847010829302</v>
      </c>
      <c r="N21" s="176">
        <f t="shared" si="1"/>
        <v>0.001054243963605542</v>
      </c>
      <c r="O21" s="226">
        <f>L21/L25</f>
        <v>0.04855651773186204</v>
      </c>
      <c r="P21" s="118"/>
    </row>
    <row r="22" spans="2:16" ht="21.75" customHeight="1" thickBot="1">
      <c r="B22" s="125"/>
      <c r="C22" s="31"/>
      <c r="D22" s="31"/>
      <c r="E22" s="31"/>
      <c r="F22" s="152" t="s">
        <v>74</v>
      </c>
      <c r="G22" s="165">
        <f>+'Other Electriciy Rates'!$L$10*C13</f>
        <v>103.50999999999999</v>
      </c>
      <c r="H22" s="159">
        <f>'Other Electriciy Rates'!$J$10</f>
        <v>0.065</v>
      </c>
      <c r="I22" s="160">
        <f>+G22*H22</f>
        <v>6.728149999999999</v>
      </c>
      <c r="J22" s="165">
        <f>J21</f>
        <v>103.6191247926728</v>
      </c>
      <c r="K22" s="159">
        <f>'Other Electriciy Rates'!$J$25</f>
        <v>0.065</v>
      </c>
      <c r="L22" s="182">
        <f>+J22*K22</f>
        <v>6.735243111523733</v>
      </c>
      <c r="M22" s="417">
        <f>+L22-I22</f>
        <v>0.007093111523733597</v>
      </c>
      <c r="N22" s="176">
        <f t="shared" si="1"/>
        <v>0.0010542439636056862</v>
      </c>
      <c r="O22" s="189">
        <f>L22/L25</f>
        <v>0.2337906409311876</v>
      </c>
      <c r="P22" s="118"/>
    </row>
    <row r="23" spans="2:16" ht="21.75" customHeight="1" thickBot="1">
      <c r="B23" s="125"/>
      <c r="C23" s="31"/>
      <c r="D23" s="31"/>
      <c r="E23" s="31"/>
      <c r="F23" s="476" t="s">
        <v>191</v>
      </c>
      <c r="G23" s="676"/>
      <c r="H23" s="677"/>
      <c r="I23" s="477">
        <f>SUM(I20:I22)</f>
        <v>26.012741</v>
      </c>
      <c r="J23" s="676"/>
      <c r="K23" s="677"/>
      <c r="L23" s="477">
        <f>SUM(L20:L22)</f>
        <v>25.49457116996459</v>
      </c>
      <c r="M23" s="477">
        <f>SUM(M20:M22)</f>
        <v>-0.5181698300354101</v>
      </c>
      <c r="N23" s="481">
        <f>+M23/I23</f>
        <v>-0.019919847356163277</v>
      </c>
      <c r="O23" s="483">
        <f>L23/L25</f>
        <v>0.8849557522123893</v>
      </c>
      <c r="P23" s="228"/>
    </row>
    <row r="24" spans="2:16" ht="21.75" customHeight="1" thickBot="1">
      <c r="B24" s="125"/>
      <c r="C24" s="31"/>
      <c r="D24" s="31"/>
      <c r="E24" s="31"/>
      <c r="F24" s="222" t="s">
        <v>323</v>
      </c>
      <c r="G24" s="223"/>
      <c r="H24" s="227">
        <v>0.13</v>
      </c>
      <c r="I24" s="224">
        <f>I23*H24</f>
        <v>3.3816563299999998</v>
      </c>
      <c r="J24" s="223"/>
      <c r="K24" s="227">
        <v>0.13</v>
      </c>
      <c r="L24" s="225">
        <f>L23*K24</f>
        <v>3.314294252095397</v>
      </c>
      <c r="M24" s="183">
        <f>+L24-I24</f>
        <v>-0.06736207790460291</v>
      </c>
      <c r="N24" s="187">
        <f t="shared" si="2"/>
        <v>-0.019919847356163162</v>
      </c>
      <c r="O24" s="189">
        <f>L24/L25</f>
        <v>0.11504424778761062</v>
      </c>
      <c r="P24" s="118"/>
    </row>
    <row r="25" spans="2:16" s="280" customFormat="1" ht="21.75" customHeight="1" thickBot="1">
      <c r="B25" s="276"/>
      <c r="C25" s="277"/>
      <c r="D25" s="277"/>
      <c r="E25" s="278"/>
      <c r="F25" s="478" t="s">
        <v>75</v>
      </c>
      <c r="G25" s="693"/>
      <c r="H25" s="694"/>
      <c r="I25" s="479">
        <f>I23+I24</f>
        <v>29.394397329999997</v>
      </c>
      <c r="J25" s="693"/>
      <c r="K25" s="694"/>
      <c r="L25" s="479">
        <f>L23+L24</f>
        <v>28.808865422059988</v>
      </c>
      <c r="M25" s="479">
        <f>M23+M24</f>
        <v>-0.585531907940013</v>
      </c>
      <c r="N25" s="484">
        <f t="shared" si="2"/>
        <v>-0.019919847356163266</v>
      </c>
      <c r="O25" s="485">
        <f>O23+O24</f>
        <v>0.9999999999999999</v>
      </c>
      <c r="P25" s="279"/>
    </row>
    <row r="26" spans="2:16" ht="9.75" customHeight="1" thickBot="1">
      <c r="B26" s="119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120"/>
    </row>
    <row r="27" ht="18" customHeight="1" thickBot="1"/>
    <row r="28" spans="2:16" ht="21.75" customHeight="1">
      <c r="B28" s="127"/>
      <c r="C28" s="690" t="s">
        <v>45</v>
      </c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117"/>
    </row>
    <row r="29" spans="2:16" ht="21.75" customHeight="1" thickBot="1">
      <c r="B29" s="125"/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118"/>
    </row>
    <row r="30" spans="2:16" ht="21.75" customHeight="1" thickBot="1">
      <c r="B30" s="125"/>
      <c r="C30" s="126"/>
      <c r="D30" s="126"/>
      <c r="E30" s="31"/>
      <c r="F30" s="37"/>
      <c r="G30" s="678" t="s">
        <v>194</v>
      </c>
      <c r="H30" s="679"/>
      <c r="I30" s="680"/>
      <c r="J30" s="678" t="s">
        <v>231</v>
      </c>
      <c r="K30" s="679"/>
      <c r="L30" s="680"/>
      <c r="M30" s="678" t="s">
        <v>69</v>
      </c>
      <c r="N30" s="679"/>
      <c r="O30" s="680"/>
      <c r="P30" s="118"/>
    </row>
    <row r="31" spans="2:16" ht="26.25" thickBot="1">
      <c r="B31" s="125"/>
      <c r="C31" s="31"/>
      <c r="D31" s="31"/>
      <c r="E31" s="33"/>
      <c r="F31" s="38"/>
      <c r="G31" s="167" t="s">
        <v>63</v>
      </c>
      <c r="H31" s="142" t="s">
        <v>64</v>
      </c>
      <c r="I31" s="143" t="s">
        <v>65</v>
      </c>
      <c r="J31" s="167" t="s">
        <v>63</v>
      </c>
      <c r="K31" s="142" t="s">
        <v>64</v>
      </c>
      <c r="L31" s="143" t="s">
        <v>65</v>
      </c>
      <c r="M31" s="169" t="s">
        <v>70</v>
      </c>
      <c r="N31" s="170" t="s">
        <v>71</v>
      </c>
      <c r="O31" s="171" t="s">
        <v>72</v>
      </c>
      <c r="P31" s="118"/>
    </row>
    <row r="32" spans="2:16" ht="21.75" customHeight="1" thickBot="1">
      <c r="B32" s="125"/>
      <c r="C32" s="681" t="s">
        <v>66</v>
      </c>
      <c r="D32" s="682"/>
      <c r="E32" s="31"/>
      <c r="F32" s="151" t="s">
        <v>67</v>
      </c>
      <c r="G32" s="161"/>
      <c r="H32" s="162"/>
      <c r="I32" s="163">
        <f>+'2010 Existing Rates'!$C$8</f>
        <v>13.71</v>
      </c>
      <c r="J32" s="161"/>
      <c r="K32" s="162"/>
      <c r="L32" s="166">
        <f>'Rate Schedule (Part 1)'!$E$12</f>
        <v>15.36</v>
      </c>
      <c r="M32" s="175">
        <f aca="true" t="shared" si="3" ref="M32:M37">+L32-I32</f>
        <v>1.6499999999999986</v>
      </c>
      <c r="N32" s="176">
        <f aca="true" t="shared" si="4" ref="N32:N40">+M32/I32</f>
        <v>0.12035010940919026</v>
      </c>
      <c r="O32" s="177">
        <f>L32/L45</f>
        <v>0.3287735388075473</v>
      </c>
      <c r="P32" s="118"/>
    </row>
    <row r="33" spans="2:16" ht="21.75" customHeight="1" thickBot="1">
      <c r="B33" s="125"/>
      <c r="C33" s="121">
        <v>250</v>
      </c>
      <c r="D33" s="122" t="s">
        <v>15</v>
      </c>
      <c r="E33" s="31"/>
      <c r="F33" s="152" t="s">
        <v>68</v>
      </c>
      <c r="G33" s="155">
        <f>+C33</f>
        <v>250</v>
      </c>
      <c r="H33" s="149">
        <f>'2010 Existing Rates'!$B$58</f>
        <v>0.0128</v>
      </c>
      <c r="I33" s="164">
        <f>+G33*H33</f>
        <v>3.2</v>
      </c>
      <c r="J33" s="155">
        <f>+C33</f>
        <v>250</v>
      </c>
      <c r="K33" s="148">
        <f>'Rate Schedule (Part 1)'!$E$13</f>
        <v>0.0143</v>
      </c>
      <c r="L33" s="168">
        <f>+J33*K33</f>
        <v>3.575</v>
      </c>
      <c r="M33" s="178">
        <f t="shared" si="3"/>
        <v>0.375</v>
      </c>
      <c r="N33" s="176">
        <f t="shared" si="4"/>
        <v>0.1171875</v>
      </c>
      <c r="O33" s="179">
        <f>L33/L45</f>
        <v>0.076521184976366</v>
      </c>
      <c r="P33" s="118"/>
    </row>
    <row r="34" spans="2:16" ht="21.75" customHeight="1" thickBot="1">
      <c r="B34" s="125"/>
      <c r="C34" s="271"/>
      <c r="D34" s="272"/>
      <c r="E34" s="31"/>
      <c r="F34" s="152" t="s">
        <v>233</v>
      </c>
      <c r="G34" s="155">
        <f>G33</f>
        <v>250</v>
      </c>
      <c r="H34" s="149">
        <f>'2010 Existing Rates'!$B$33</f>
        <v>0.0003</v>
      </c>
      <c r="I34" s="164">
        <f>+G34*H34</f>
        <v>0.075</v>
      </c>
      <c r="J34" s="155">
        <f>J33</f>
        <v>250</v>
      </c>
      <c r="K34" s="148">
        <f>'Rate Schedule (Part 1)'!$E$14</f>
        <v>0.0002</v>
      </c>
      <c r="L34" s="168">
        <f>+J34*K34</f>
        <v>0.05</v>
      </c>
      <c r="M34" s="178">
        <f t="shared" si="3"/>
        <v>-0.024999999999999994</v>
      </c>
      <c r="N34" s="176">
        <f t="shared" si="4"/>
        <v>-0.33333333333333326</v>
      </c>
      <c r="O34" s="179">
        <f>L34/L45</f>
        <v>0.001070226363305818</v>
      </c>
      <c r="P34" s="118"/>
    </row>
    <row r="35" spans="2:16" ht="21.75" customHeight="1" thickBot="1">
      <c r="B35" s="125"/>
      <c r="C35" s="62"/>
      <c r="D35" s="63"/>
      <c r="E35" s="31"/>
      <c r="F35" s="152" t="s">
        <v>166</v>
      </c>
      <c r="G35" s="174"/>
      <c r="H35" s="173"/>
      <c r="I35" s="164">
        <f>'2010 Existing Rates'!$B$45</f>
        <v>2.16</v>
      </c>
      <c r="J35" s="174"/>
      <c r="K35" s="173"/>
      <c r="L35" s="168">
        <f>'Rate Schedule (Part 1)'!$E$16</f>
        <v>-0.43193202035146244</v>
      </c>
      <c r="M35" s="178">
        <f t="shared" si="3"/>
        <v>-2.5919320203514626</v>
      </c>
      <c r="N35" s="176">
        <f t="shared" si="4"/>
        <v>-1.199968527940492</v>
      </c>
      <c r="O35" s="179">
        <f>L35/L45</f>
        <v>-0.009245300706721605</v>
      </c>
      <c r="P35" s="118"/>
    </row>
    <row r="36" spans="2:16" ht="21.75" customHeight="1" thickBot="1">
      <c r="B36" s="125"/>
      <c r="C36" s="62"/>
      <c r="D36" s="63"/>
      <c r="E36" s="31"/>
      <c r="F36" s="152" t="s">
        <v>158</v>
      </c>
      <c r="G36" s="155">
        <f>C33</f>
        <v>250</v>
      </c>
      <c r="H36" s="149"/>
      <c r="I36" s="160">
        <f>+G36*H36</f>
        <v>0</v>
      </c>
      <c r="J36" s="155">
        <f>C33</f>
        <v>250</v>
      </c>
      <c r="K36" s="148">
        <f>'Rate Schedule (Part 1)'!$E$15</f>
        <v>0</v>
      </c>
      <c r="L36" s="168">
        <f>J36*K36</f>
        <v>0</v>
      </c>
      <c r="M36" s="178">
        <f t="shared" si="3"/>
        <v>0</v>
      </c>
      <c r="N36" s="176">
        <v>0</v>
      </c>
      <c r="O36" s="179">
        <f>L36/L45</f>
        <v>0</v>
      </c>
      <c r="P36" s="118"/>
    </row>
    <row r="37" spans="2:16" ht="21.75" customHeight="1" thickBot="1">
      <c r="B37" s="125"/>
      <c r="C37" s="31"/>
      <c r="D37" s="31"/>
      <c r="E37" s="31"/>
      <c r="F37" s="153" t="s">
        <v>232</v>
      </c>
      <c r="G37" s="180">
        <f>+C33</f>
        <v>250</v>
      </c>
      <c r="H37" s="181">
        <f>+'2010 Existing Rates'!$B$21</f>
        <v>-0.0039</v>
      </c>
      <c r="I37" s="182">
        <f>+G37*H37</f>
        <v>-0.975</v>
      </c>
      <c r="J37" s="180">
        <f>+C33</f>
        <v>250</v>
      </c>
      <c r="K37" s="181">
        <f>'Rate Schedule (Part 1)'!$E$17</f>
        <v>-0.0006676344696067126</v>
      </c>
      <c r="L37" s="182">
        <f>+J37*K37</f>
        <v>-0.16690861740167814</v>
      </c>
      <c r="M37" s="178">
        <f t="shared" si="3"/>
        <v>0.8080913825983218</v>
      </c>
      <c r="N37" s="176">
        <f t="shared" si="4"/>
        <v>-0.8288116744598173</v>
      </c>
      <c r="O37" s="179">
        <f>L37/L45</f>
        <v>-0.0035726000521240035</v>
      </c>
      <c r="P37" s="118"/>
    </row>
    <row r="38" spans="2:16" ht="21.75" customHeight="1" thickBot="1">
      <c r="B38" s="125"/>
      <c r="C38" s="31"/>
      <c r="D38" s="31"/>
      <c r="E38" s="31"/>
      <c r="F38" s="476" t="s">
        <v>234</v>
      </c>
      <c r="G38" s="676"/>
      <c r="H38" s="677"/>
      <c r="I38" s="477">
        <f>SUM(I32:I37)</f>
        <v>18.169999999999998</v>
      </c>
      <c r="J38" s="676"/>
      <c r="K38" s="677"/>
      <c r="L38" s="477">
        <f>SUM(L32:L37)</f>
        <v>18.38615936224686</v>
      </c>
      <c r="M38" s="480">
        <f aca="true" t="shared" si="5" ref="M38:M44">+L38-I38</f>
        <v>0.21615936224686294</v>
      </c>
      <c r="N38" s="481">
        <f t="shared" si="4"/>
        <v>0.011896497647048044</v>
      </c>
      <c r="O38" s="482">
        <f>L38/L45</f>
        <v>0.39354704938837354</v>
      </c>
      <c r="P38" s="118"/>
    </row>
    <row r="39" spans="2:16" ht="21.75" customHeight="1" thickBot="1">
      <c r="B39" s="125"/>
      <c r="C39" s="31"/>
      <c r="D39" s="31"/>
      <c r="E39" s="31"/>
      <c r="F39" s="152" t="s">
        <v>235</v>
      </c>
      <c r="G39" s="273">
        <f>C33*'Other Electriciy Rates'!$L$10</f>
        <v>258.775</v>
      </c>
      <c r="H39" s="274">
        <f>'Other Electriciy Rates'!$B$10</f>
        <v>0.0106</v>
      </c>
      <c r="I39" s="164">
        <f>+G39*H39</f>
        <v>2.7430149999999998</v>
      </c>
      <c r="J39" s="273">
        <f>'BILL IMPACTS'!C33*'Other Electriciy Rates'!$L$25</f>
        <v>259.047811981682</v>
      </c>
      <c r="K39" s="274">
        <f>'Other Electriciy Rates'!$B$25</f>
        <v>0.010125209445178581</v>
      </c>
      <c r="L39" s="164">
        <f>+J39*K39</f>
        <v>2.6229133526297717</v>
      </c>
      <c r="M39" s="275">
        <f t="shared" si="5"/>
        <v>-0.1201016473702281</v>
      </c>
      <c r="N39" s="176">
        <f t="shared" si="4"/>
        <v>-0.04378453904562247</v>
      </c>
      <c r="O39" s="177">
        <f>L39/L45</f>
        <v>0.056142220373024625</v>
      </c>
      <c r="P39" s="118"/>
    </row>
    <row r="40" spans="2:16" ht="21.75" customHeight="1" thickBot="1">
      <c r="B40" s="125"/>
      <c r="C40" s="31"/>
      <c r="D40" s="31"/>
      <c r="E40" s="31"/>
      <c r="F40" s="476" t="s">
        <v>236</v>
      </c>
      <c r="G40" s="676"/>
      <c r="H40" s="677"/>
      <c r="I40" s="477">
        <f>I38+I39</f>
        <v>20.913014999999998</v>
      </c>
      <c r="J40" s="676"/>
      <c r="K40" s="677"/>
      <c r="L40" s="477">
        <f>L38+L39</f>
        <v>21.009072714876634</v>
      </c>
      <c r="M40" s="480">
        <f t="shared" si="5"/>
        <v>0.09605771487663617</v>
      </c>
      <c r="N40" s="481">
        <f t="shared" si="4"/>
        <v>0.004593202600229387</v>
      </c>
      <c r="O40" s="483">
        <f>L40/L45</f>
        <v>0.44968926976139817</v>
      </c>
      <c r="P40" s="118"/>
    </row>
    <row r="41" spans="2:16" ht="21.75" customHeight="1" thickBot="1">
      <c r="B41" s="125"/>
      <c r="C41" s="31"/>
      <c r="D41" s="31"/>
      <c r="E41" s="31"/>
      <c r="F41" s="154" t="s">
        <v>73</v>
      </c>
      <c r="G41" s="156">
        <f>+'Other Electriciy Rates'!$L$10*C33</f>
        <v>258.775</v>
      </c>
      <c r="H41" s="157">
        <f>'Other Electriciy Rates'!$C$10+'Other Electriciy Rates'!$D$10</f>
        <v>0.0135</v>
      </c>
      <c r="I41" s="158">
        <f>+G41*H41</f>
        <v>3.4934624999999997</v>
      </c>
      <c r="J41" s="156">
        <f>J39</f>
        <v>259.047811981682</v>
      </c>
      <c r="K41" s="157">
        <f>'Other Electriciy Rates'!$C$25+'Other Electriciy Rates'!$D$25</f>
        <v>0.0135</v>
      </c>
      <c r="L41" s="185">
        <f>+J41*K41</f>
        <v>3.497145461752707</v>
      </c>
      <c r="M41" s="416">
        <f t="shared" si="5"/>
        <v>0.0036829617527072145</v>
      </c>
      <c r="N41" s="176">
        <f>+M41/I41</f>
        <v>0.0010542439636055103</v>
      </c>
      <c r="O41" s="226">
        <f>L41/L45</f>
        <v>0.0748547453896609</v>
      </c>
      <c r="P41" s="118"/>
    </row>
    <row r="42" spans="2:16" ht="21.75" customHeight="1" thickBot="1">
      <c r="B42" s="125"/>
      <c r="C42" s="31"/>
      <c r="D42" s="31"/>
      <c r="E42" s="31"/>
      <c r="F42" s="152" t="s">
        <v>74</v>
      </c>
      <c r="G42" s="165">
        <f>+'Other Electriciy Rates'!$L$10*C33</f>
        <v>258.775</v>
      </c>
      <c r="H42" s="159">
        <f>'Other Electriciy Rates'!$J$10</f>
        <v>0.065</v>
      </c>
      <c r="I42" s="160">
        <f>+G42*H42</f>
        <v>16.820375</v>
      </c>
      <c r="J42" s="165">
        <f>J41</f>
        <v>259.047811981682</v>
      </c>
      <c r="K42" s="159">
        <f>'Other Electriciy Rates'!$J$25</f>
        <v>0.065</v>
      </c>
      <c r="L42" s="182">
        <f>+J42*K42</f>
        <v>16.83810777880933</v>
      </c>
      <c r="M42" s="417">
        <f t="shared" si="5"/>
        <v>0.017732778809332217</v>
      </c>
      <c r="N42" s="176">
        <f>+M42/I42</f>
        <v>0.0010542439636055806</v>
      </c>
      <c r="O42" s="189">
        <f>L42/L45</f>
        <v>0.3604117370613303</v>
      </c>
      <c r="P42" s="118"/>
    </row>
    <row r="43" spans="2:16" ht="21.75" customHeight="1" thickBot="1">
      <c r="B43" s="125"/>
      <c r="C43" s="31"/>
      <c r="D43" s="31"/>
      <c r="E43" s="31"/>
      <c r="F43" s="476" t="s">
        <v>191</v>
      </c>
      <c r="G43" s="676"/>
      <c r="H43" s="677"/>
      <c r="I43" s="477">
        <f>SUM(I40:I42)</f>
        <v>41.22685249999999</v>
      </c>
      <c r="J43" s="676"/>
      <c r="K43" s="677"/>
      <c r="L43" s="477">
        <f>SUM(L40:L42)</f>
        <v>41.34432595543867</v>
      </c>
      <c r="M43" s="477">
        <f t="shared" si="5"/>
        <v>0.11747345543867738</v>
      </c>
      <c r="N43" s="481">
        <f>+M43/I43</f>
        <v>0.00284944031171619</v>
      </c>
      <c r="O43" s="483">
        <f>L43/L45</f>
        <v>0.8849557522123893</v>
      </c>
      <c r="P43" s="228"/>
    </row>
    <row r="44" spans="2:16" ht="21.75" customHeight="1" thickBot="1">
      <c r="B44" s="125"/>
      <c r="C44" s="31"/>
      <c r="D44" s="31"/>
      <c r="E44" s="31"/>
      <c r="F44" s="222" t="s">
        <v>323</v>
      </c>
      <c r="G44" s="223"/>
      <c r="H44" s="227">
        <v>0.13</v>
      </c>
      <c r="I44" s="224">
        <f>I43*H44</f>
        <v>5.359490824999999</v>
      </c>
      <c r="J44" s="223"/>
      <c r="K44" s="227">
        <v>0.13</v>
      </c>
      <c r="L44" s="225">
        <f>L43*K44</f>
        <v>5.374762374207028</v>
      </c>
      <c r="M44" s="183">
        <f t="shared" si="5"/>
        <v>0.015271549207028556</v>
      </c>
      <c r="N44" s="187">
        <f>+M44/I44</f>
        <v>0.002849440311716283</v>
      </c>
      <c r="O44" s="189">
        <f>L44/L45</f>
        <v>0.11504424778761062</v>
      </c>
      <c r="P44" s="118"/>
    </row>
    <row r="45" spans="2:16" s="280" customFormat="1" ht="21.75" customHeight="1" thickBot="1">
      <c r="B45" s="276"/>
      <c r="C45" s="277"/>
      <c r="D45" s="277"/>
      <c r="E45" s="278"/>
      <c r="F45" s="478" t="s">
        <v>75</v>
      </c>
      <c r="G45" s="693"/>
      <c r="H45" s="694"/>
      <c r="I45" s="479">
        <f>I43+I44</f>
        <v>46.586343324999994</v>
      </c>
      <c r="J45" s="693"/>
      <c r="K45" s="694"/>
      <c r="L45" s="479">
        <f>L43+L44</f>
        <v>46.7190883296457</v>
      </c>
      <c r="M45" s="479">
        <f>M43+M44</f>
        <v>0.13274500464570593</v>
      </c>
      <c r="N45" s="484">
        <f>+M45/I45</f>
        <v>0.002849440311716201</v>
      </c>
      <c r="O45" s="485">
        <f>O43+O44</f>
        <v>0.9999999999999999</v>
      </c>
      <c r="P45" s="279"/>
    </row>
    <row r="46" spans="2:16" ht="9.75" customHeight="1" thickBot="1">
      <c r="B46" s="119"/>
      <c r="C46" s="692"/>
      <c r="D46" s="692"/>
      <c r="E46" s="692"/>
      <c r="F46" s="692"/>
      <c r="G46" s="692"/>
      <c r="H46" s="692"/>
      <c r="I46" s="692"/>
      <c r="J46" s="692"/>
      <c r="K46" s="692"/>
      <c r="L46" s="692"/>
      <c r="M46" s="692"/>
      <c r="N46" s="692"/>
      <c r="O46" s="692"/>
      <c r="P46" s="120"/>
    </row>
    <row r="47" ht="21.75" customHeight="1" thickBot="1"/>
    <row r="48" spans="2:16" ht="21.75" customHeight="1">
      <c r="B48" s="127"/>
      <c r="C48" s="690" t="s">
        <v>45</v>
      </c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117"/>
    </row>
    <row r="49" spans="2:16" ht="21.75" customHeight="1" thickBot="1">
      <c r="B49" s="125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118"/>
    </row>
    <row r="50" spans="2:16" ht="21.75" customHeight="1" thickBot="1">
      <c r="B50" s="125"/>
      <c r="C50" s="126"/>
      <c r="D50" s="126"/>
      <c r="E50" s="31"/>
      <c r="F50" s="37"/>
      <c r="G50" s="678" t="s">
        <v>194</v>
      </c>
      <c r="H50" s="679"/>
      <c r="I50" s="680"/>
      <c r="J50" s="678" t="s">
        <v>231</v>
      </c>
      <c r="K50" s="679"/>
      <c r="L50" s="680"/>
      <c r="M50" s="678" t="s">
        <v>69</v>
      </c>
      <c r="N50" s="679"/>
      <c r="O50" s="680"/>
      <c r="P50" s="118"/>
    </row>
    <row r="51" spans="2:16" ht="26.25" thickBot="1">
      <c r="B51" s="125"/>
      <c r="C51" s="31"/>
      <c r="D51" s="31"/>
      <c r="E51" s="33"/>
      <c r="F51" s="38"/>
      <c r="G51" s="167" t="s">
        <v>63</v>
      </c>
      <c r="H51" s="142" t="s">
        <v>64</v>
      </c>
      <c r="I51" s="143" t="s">
        <v>65</v>
      </c>
      <c r="J51" s="167" t="s">
        <v>63</v>
      </c>
      <c r="K51" s="142" t="s">
        <v>64</v>
      </c>
      <c r="L51" s="143" t="s">
        <v>65</v>
      </c>
      <c r="M51" s="169" t="s">
        <v>70</v>
      </c>
      <c r="N51" s="170" t="s">
        <v>71</v>
      </c>
      <c r="O51" s="171" t="s">
        <v>72</v>
      </c>
      <c r="P51" s="118"/>
    </row>
    <row r="52" spans="2:16" ht="21.75" customHeight="1" thickBot="1">
      <c r="B52" s="125"/>
      <c r="C52" s="681" t="s">
        <v>66</v>
      </c>
      <c r="D52" s="682"/>
      <c r="E52" s="31"/>
      <c r="F52" s="151" t="s">
        <v>67</v>
      </c>
      <c r="G52" s="161"/>
      <c r="H52" s="162"/>
      <c r="I52" s="163">
        <f>+'2010 Existing Rates'!$C$8</f>
        <v>13.71</v>
      </c>
      <c r="J52" s="161"/>
      <c r="K52" s="162"/>
      <c r="L52" s="166">
        <f>'Rate Schedule (Part 1)'!$E$12</f>
        <v>15.36</v>
      </c>
      <c r="M52" s="175">
        <f aca="true" t="shared" si="6" ref="M52:M57">+L52-I52</f>
        <v>1.6499999999999986</v>
      </c>
      <c r="N52" s="176">
        <f>+M52/I52</f>
        <v>0.12035010940919026</v>
      </c>
      <c r="O52" s="177">
        <f>L52/L65</f>
        <v>0.20060217261081975</v>
      </c>
      <c r="P52" s="118"/>
    </row>
    <row r="53" spans="2:16" ht="21.75" customHeight="1" thickBot="1">
      <c r="B53" s="125"/>
      <c r="C53" s="121">
        <v>500</v>
      </c>
      <c r="D53" s="122" t="s">
        <v>15</v>
      </c>
      <c r="E53" s="31"/>
      <c r="F53" s="152" t="s">
        <v>68</v>
      </c>
      <c r="G53" s="155">
        <f>+C53</f>
        <v>500</v>
      </c>
      <c r="H53" s="149">
        <f>'2010 Existing Rates'!$B$58</f>
        <v>0.0128</v>
      </c>
      <c r="I53" s="164">
        <f>+G53*H53</f>
        <v>6.4</v>
      </c>
      <c r="J53" s="155">
        <f>+C53</f>
        <v>500</v>
      </c>
      <c r="K53" s="148">
        <f>'Rate Schedule (Part 1)'!$E$13</f>
        <v>0.0143</v>
      </c>
      <c r="L53" s="168">
        <f>+J53*K53</f>
        <v>7.15</v>
      </c>
      <c r="M53" s="178">
        <f t="shared" si="6"/>
        <v>0.75</v>
      </c>
      <c r="N53" s="176">
        <f>+M53/I53</f>
        <v>0.1171875</v>
      </c>
      <c r="O53" s="179">
        <f>L53/L65</f>
        <v>0.09337926654735425</v>
      </c>
      <c r="P53" s="118"/>
    </row>
    <row r="54" spans="2:16" ht="21.75" customHeight="1" thickBot="1">
      <c r="B54" s="125"/>
      <c r="C54" s="271"/>
      <c r="D54" s="272"/>
      <c r="E54" s="31"/>
      <c r="F54" s="152" t="s">
        <v>233</v>
      </c>
      <c r="G54" s="155">
        <f>G53</f>
        <v>500</v>
      </c>
      <c r="H54" s="149">
        <f>'2010 Existing Rates'!$B$33</f>
        <v>0.0003</v>
      </c>
      <c r="I54" s="164">
        <f>+G54*H54</f>
        <v>0.15</v>
      </c>
      <c r="J54" s="155">
        <f>J53</f>
        <v>500</v>
      </c>
      <c r="K54" s="148">
        <f>'Rate Schedule (Part 1)'!$E$14</f>
        <v>0.0002</v>
      </c>
      <c r="L54" s="168">
        <f>+J54*K54</f>
        <v>0.1</v>
      </c>
      <c r="M54" s="178">
        <f t="shared" si="6"/>
        <v>-0.04999999999999999</v>
      </c>
      <c r="N54" s="176">
        <f>+M54/I54</f>
        <v>-0.33333333333333326</v>
      </c>
      <c r="O54" s="179">
        <f>L54/L65</f>
        <v>0.0013060037279350246</v>
      </c>
      <c r="P54" s="118"/>
    </row>
    <row r="55" spans="2:16" ht="21.75" customHeight="1" thickBot="1">
      <c r="B55" s="125"/>
      <c r="C55" s="62"/>
      <c r="D55" s="63"/>
      <c r="E55" s="31"/>
      <c r="F55" s="152" t="s">
        <v>166</v>
      </c>
      <c r="G55" s="174"/>
      <c r="H55" s="173"/>
      <c r="I55" s="164">
        <f>'2010 Existing Rates'!$B$45</f>
        <v>2.16</v>
      </c>
      <c r="J55" s="174"/>
      <c r="K55" s="173"/>
      <c r="L55" s="168">
        <f>'Rate Schedule (Part 1)'!$E$16</f>
        <v>-0.43193202035146244</v>
      </c>
      <c r="M55" s="178">
        <f t="shared" si="6"/>
        <v>-2.5919320203514626</v>
      </c>
      <c r="N55" s="176">
        <f>+M55/I55</f>
        <v>-1.199968527940492</v>
      </c>
      <c r="O55" s="179">
        <f>L55/L65</f>
        <v>-0.005641048287935168</v>
      </c>
      <c r="P55" s="118"/>
    </row>
    <row r="56" spans="2:16" ht="21.75" customHeight="1" thickBot="1">
      <c r="B56" s="125"/>
      <c r="C56" s="62"/>
      <c r="D56" s="63"/>
      <c r="E56" s="31"/>
      <c r="F56" s="152" t="s">
        <v>158</v>
      </c>
      <c r="G56" s="155">
        <f>C53</f>
        <v>500</v>
      </c>
      <c r="H56" s="149"/>
      <c r="I56" s="160">
        <f>+G56*H56</f>
        <v>0</v>
      </c>
      <c r="J56" s="155">
        <f>C53</f>
        <v>500</v>
      </c>
      <c r="K56" s="148">
        <f>'Rate Schedule (Part 1)'!$E$15</f>
        <v>0</v>
      </c>
      <c r="L56" s="168">
        <f>J56*K56</f>
        <v>0</v>
      </c>
      <c r="M56" s="178">
        <f t="shared" si="6"/>
        <v>0</v>
      </c>
      <c r="N56" s="176">
        <v>0</v>
      </c>
      <c r="O56" s="179">
        <f>L56/L65</f>
        <v>0</v>
      </c>
      <c r="P56" s="118"/>
    </row>
    <row r="57" spans="2:16" ht="21.75" customHeight="1" thickBot="1">
      <c r="B57" s="125"/>
      <c r="C57" s="31"/>
      <c r="D57" s="31"/>
      <c r="E57" s="31"/>
      <c r="F57" s="153" t="s">
        <v>232</v>
      </c>
      <c r="G57" s="180">
        <f>+C53</f>
        <v>500</v>
      </c>
      <c r="H57" s="181">
        <f>+'2010 Existing Rates'!$B$21</f>
        <v>-0.0039</v>
      </c>
      <c r="I57" s="182">
        <f>+G57*H57</f>
        <v>-1.95</v>
      </c>
      <c r="J57" s="180">
        <f>+C53</f>
        <v>500</v>
      </c>
      <c r="K57" s="181">
        <f>'Rate Schedule (Part 1)'!$E$17</f>
        <v>-0.0006676344696067126</v>
      </c>
      <c r="L57" s="182">
        <f>+J57*K57</f>
        <v>-0.3338172348033563</v>
      </c>
      <c r="M57" s="178">
        <f t="shared" si="6"/>
        <v>1.6161827651966436</v>
      </c>
      <c r="N57" s="176">
        <f aca="true" t="shared" si="7" ref="N57:N65">+M57/I57</f>
        <v>-0.8288116744598173</v>
      </c>
      <c r="O57" s="179">
        <f>L57/L65</f>
        <v>-0.004359665531021447</v>
      </c>
      <c r="P57" s="118"/>
    </row>
    <row r="58" spans="2:16" ht="21.75" customHeight="1" thickBot="1">
      <c r="B58" s="125"/>
      <c r="C58" s="31"/>
      <c r="D58" s="31"/>
      <c r="E58" s="31"/>
      <c r="F58" s="476" t="s">
        <v>234</v>
      </c>
      <c r="G58" s="676"/>
      <c r="H58" s="677"/>
      <c r="I58" s="477">
        <f>SUM(I52:I57)</f>
        <v>20.47</v>
      </c>
      <c r="J58" s="676"/>
      <c r="K58" s="677"/>
      <c r="L58" s="477">
        <f>SUM(L52:L57)</f>
        <v>21.844250744845183</v>
      </c>
      <c r="M58" s="480">
        <f aca="true" t="shared" si="8" ref="M58:M64">+L58-I58</f>
        <v>1.3742507448451846</v>
      </c>
      <c r="N58" s="481">
        <f t="shared" si="7"/>
        <v>0.06713486784783511</v>
      </c>
      <c r="O58" s="482">
        <f>L58/L65</f>
        <v>0.28528672906715247</v>
      </c>
      <c r="P58" s="118"/>
    </row>
    <row r="59" spans="2:16" ht="21.75" customHeight="1" thickBot="1">
      <c r="B59" s="125"/>
      <c r="C59" s="31"/>
      <c r="D59" s="31"/>
      <c r="E59" s="31"/>
      <c r="F59" s="152" t="s">
        <v>235</v>
      </c>
      <c r="G59" s="273">
        <f>C53*'Other Electriciy Rates'!$L$10</f>
        <v>517.55</v>
      </c>
      <c r="H59" s="274">
        <f>'Other Electriciy Rates'!$B$10</f>
        <v>0.0106</v>
      </c>
      <c r="I59" s="164">
        <f>+G59*H59</f>
        <v>5.4860299999999995</v>
      </c>
      <c r="J59" s="273">
        <f>'BILL IMPACTS'!C53*'Other Electriciy Rates'!$L$25</f>
        <v>518.095623963364</v>
      </c>
      <c r="K59" s="274">
        <f>'Other Electriciy Rates'!$B$25</f>
        <v>0.010125209445178581</v>
      </c>
      <c r="L59" s="164">
        <f>+J59*K59</f>
        <v>5.245826705259543</v>
      </c>
      <c r="M59" s="275">
        <f t="shared" si="8"/>
        <v>-0.2402032947404562</v>
      </c>
      <c r="N59" s="176">
        <f t="shared" si="7"/>
        <v>-0.04378453904562247</v>
      </c>
      <c r="O59" s="177">
        <f>L59/L65</f>
        <v>0.0685106923317007</v>
      </c>
      <c r="P59" s="118"/>
    </row>
    <row r="60" spans="2:16" ht="21.75" customHeight="1" thickBot="1">
      <c r="B60" s="125"/>
      <c r="C60" s="31"/>
      <c r="D60" s="31"/>
      <c r="E60" s="31"/>
      <c r="F60" s="476" t="s">
        <v>236</v>
      </c>
      <c r="G60" s="676"/>
      <c r="H60" s="677"/>
      <c r="I60" s="477">
        <f>I58+I59</f>
        <v>25.95603</v>
      </c>
      <c r="J60" s="676"/>
      <c r="K60" s="677"/>
      <c r="L60" s="477">
        <f>L58+L59</f>
        <v>27.090077450104726</v>
      </c>
      <c r="M60" s="480">
        <f t="shared" si="8"/>
        <v>1.1340474501047275</v>
      </c>
      <c r="N60" s="481">
        <f t="shared" si="7"/>
        <v>0.04369109798781738</v>
      </c>
      <c r="O60" s="483">
        <f>L60/L65</f>
        <v>0.3537974213988531</v>
      </c>
      <c r="P60" s="118"/>
    </row>
    <row r="61" spans="2:16" ht="21.75" customHeight="1" thickBot="1">
      <c r="B61" s="125"/>
      <c r="C61" s="31"/>
      <c r="D61" s="31"/>
      <c r="E61" s="31"/>
      <c r="F61" s="154" t="s">
        <v>73</v>
      </c>
      <c r="G61" s="156">
        <f>+'Other Electriciy Rates'!$L$10*C53</f>
        <v>517.55</v>
      </c>
      <c r="H61" s="157">
        <f>'Other Electriciy Rates'!$C$10+'Other Electriciy Rates'!$D$10</f>
        <v>0.0135</v>
      </c>
      <c r="I61" s="158">
        <f>+G61*H61</f>
        <v>6.986924999999999</v>
      </c>
      <c r="J61" s="156">
        <f>J59</f>
        <v>518.095623963364</v>
      </c>
      <c r="K61" s="157">
        <f>'Other Electriciy Rates'!$C$25+'Other Electriciy Rates'!$D$25</f>
        <v>0.0135</v>
      </c>
      <c r="L61" s="185">
        <f>+J61*K61</f>
        <v>6.994290923505414</v>
      </c>
      <c r="M61" s="416">
        <f t="shared" si="8"/>
        <v>0.007365923505414429</v>
      </c>
      <c r="N61" s="176">
        <f t="shared" si="7"/>
        <v>0.0010542439636055103</v>
      </c>
      <c r="O61" s="226">
        <f>L61/L65</f>
        <v>0.09134570020360176</v>
      </c>
      <c r="P61" s="118"/>
    </row>
    <row r="62" spans="2:16" ht="21.75" customHeight="1" thickBot="1">
      <c r="B62" s="125"/>
      <c r="C62" s="31"/>
      <c r="D62" s="31"/>
      <c r="E62" s="31"/>
      <c r="F62" s="152" t="s">
        <v>74</v>
      </c>
      <c r="G62" s="165">
        <f>+'Other Electriciy Rates'!$L$10*C53</f>
        <v>517.55</v>
      </c>
      <c r="H62" s="159">
        <f>'Other Electriciy Rates'!$J$10</f>
        <v>0.065</v>
      </c>
      <c r="I62" s="160">
        <f>+G62*H62</f>
        <v>33.64075</v>
      </c>
      <c r="J62" s="165">
        <f>J61</f>
        <v>518.095623963364</v>
      </c>
      <c r="K62" s="159">
        <f>'Other Electriciy Rates'!$J$25</f>
        <v>0.065</v>
      </c>
      <c r="L62" s="182">
        <f>+J62*K62</f>
        <v>33.67621555761866</v>
      </c>
      <c r="M62" s="417">
        <f t="shared" si="8"/>
        <v>0.035465557618664434</v>
      </c>
      <c r="N62" s="176">
        <f t="shared" si="7"/>
        <v>0.0010542439636055806</v>
      </c>
      <c r="O62" s="189">
        <f>L62/L65</f>
        <v>0.4398126306099344</v>
      </c>
      <c r="P62" s="118"/>
    </row>
    <row r="63" spans="2:16" ht="21.75" customHeight="1" thickBot="1">
      <c r="B63" s="125"/>
      <c r="C63" s="31"/>
      <c r="D63" s="31"/>
      <c r="E63" s="31"/>
      <c r="F63" s="476" t="s">
        <v>191</v>
      </c>
      <c r="G63" s="676"/>
      <c r="H63" s="677"/>
      <c r="I63" s="477">
        <f>SUM(I60:I62)</f>
        <v>66.583705</v>
      </c>
      <c r="J63" s="676"/>
      <c r="K63" s="677"/>
      <c r="L63" s="477">
        <f>SUM(L60:L62)</f>
        <v>67.76058393122881</v>
      </c>
      <c r="M63" s="477">
        <f t="shared" si="8"/>
        <v>1.1768789312288135</v>
      </c>
      <c r="N63" s="481">
        <f t="shared" si="7"/>
        <v>0.017675179403561482</v>
      </c>
      <c r="O63" s="483">
        <f>L63/L65</f>
        <v>0.8849557522123894</v>
      </c>
      <c r="P63" s="228"/>
    </row>
    <row r="64" spans="2:16" ht="21.75" customHeight="1" thickBot="1">
      <c r="B64" s="125"/>
      <c r="C64" s="31"/>
      <c r="D64" s="31"/>
      <c r="E64" s="31"/>
      <c r="F64" s="222" t="s">
        <v>323</v>
      </c>
      <c r="G64" s="223"/>
      <c r="H64" s="227">
        <v>0.13</v>
      </c>
      <c r="I64" s="224">
        <f>I63*H64</f>
        <v>8.65588165</v>
      </c>
      <c r="J64" s="223"/>
      <c r="K64" s="227">
        <v>0.13</v>
      </c>
      <c r="L64" s="225">
        <f>L63*K64</f>
        <v>8.808875911059745</v>
      </c>
      <c r="M64" s="183">
        <f t="shared" si="8"/>
        <v>0.1529942610597459</v>
      </c>
      <c r="N64" s="187">
        <f t="shared" si="7"/>
        <v>0.017675179403561496</v>
      </c>
      <c r="O64" s="189">
        <f>L64/L65</f>
        <v>0.11504424778761063</v>
      </c>
      <c r="P64" s="118"/>
    </row>
    <row r="65" spans="2:16" s="280" customFormat="1" ht="21.75" customHeight="1" thickBot="1">
      <c r="B65" s="276"/>
      <c r="C65" s="277"/>
      <c r="D65" s="277"/>
      <c r="E65" s="278"/>
      <c r="F65" s="478" t="s">
        <v>75</v>
      </c>
      <c r="G65" s="693"/>
      <c r="H65" s="694"/>
      <c r="I65" s="479">
        <f>I63+I64</f>
        <v>75.23958664999999</v>
      </c>
      <c r="J65" s="693"/>
      <c r="K65" s="694"/>
      <c r="L65" s="479">
        <f>L63+L64</f>
        <v>76.56945984228855</v>
      </c>
      <c r="M65" s="479">
        <f>M63+M64</f>
        <v>1.3298731922885594</v>
      </c>
      <c r="N65" s="484">
        <f t="shared" si="7"/>
        <v>0.017675179403561482</v>
      </c>
      <c r="O65" s="485">
        <f>O63+O64</f>
        <v>1</v>
      </c>
      <c r="P65" s="279"/>
    </row>
    <row r="66" spans="2:16" ht="9.75" customHeight="1" thickBot="1">
      <c r="B66" s="119"/>
      <c r="C66" s="692"/>
      <c r="D66" s="692"/>
      <c r="E66" s="692"/>
      <c r="F66" s="692"/>
      <c r="G66" s="692"/>
      <c r="H66" s="692"/>
      <c r="I66" s="692"/>
      <c r="J66" s="692"/>
      <c r="K66" s="692"/>
      <c r="L66" s="692"/>
      <c r="M66" s="692"/>
      <c r="N66" s="692"/>
      <c r="O66" s="692"/>
      <c r="P66" s="120"/>
    </row>
    <row r="67" ht="18" customHeight="1" thickBot="1"/>
    <row r="68" spans="2:16" ht="6.75" customHeight="1" thickBot="1">
      <c r="B68" s="127"/>
      <c r="C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117"/>
    </row>
    <row r="69" spans="2:16" ht="21.75" customHeight="1">
      <c r="B69" s="127"/>
      <c r="C69" s="690" t="s">
        <v>45</v>
      </c>
      <c r="D69" s="690"/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117"/>
    </row>
    <row r="70" spans="2:16" ht="21.75" customHeight="1" thickBot="1">
      <c r="B70" s="125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118"/>
    </row>
    <row r="71" spans="2:16" ht="21.75" customHeight="1" thickBot="1">
      <c r="B71" s="125"/>
      <c r="C71" s="126"/>
      <c r="D71" s="126"/>
      <c r="E71" s="31"/>
      <c r="F71" s="37"/>
      <c r="G71" s="678" t="str">
        <f>$G$10</f>
        <v>2010 BILL</v>
      </c>
      <c r="H71" s="679"/>
      <c r="I71" s="680"/>
      <c r="J71" s="678" t="str">
        <f>$J$10</f>
        <v>2011 BILL</v>
      </c>
      <c r="K71" s="679"/>
      <c r="L71" s="680"/>
      <c r="M71" s="678" t="s">
        <v>69</v>
      </c>
      <c r="N71" s="679"/>
      <c r="O71" s="680"/>
      <c r="P71" s="118"/>
    </row>
    <row r="72" spans="2:16" ht="26.25" thickBot="1">
      <c r="B72" s="125"/>
      <c r="C72" s="31"/>
      <c r="D72" s="31"/>
      <c r="E72" s="33"/>
      <c r="F72" s="38"/>
      <c r="G72" s="167" t="s">
        <v>63</v>
      </c>
      <c r="H72" s="142" t="s">
        <v>64</v>
      </c>
      <c r="I72" s="143" t="s">
        <v>65</v>
      </c>
      <c r="J72" s="167" t="s">
        <v>63</v>
      </c>
      <c r="K72" s="142" t="s">
        <v>64</v>
      </c>
      <c r="L72" s="143" t="s">
        <v>65</v>
      </c>
      <c r="M72" s="169" t="s">
        <v>76</v>
      </c>
      <c r="N72" s="170" t="s">
        <v>77</v>
      </c>
      <c r="O72" s="171" t="s">
        <v>72</v>
      </c>
      <c r="P72" s="118"/>
    </row>
    <row r="73" spans="2:16" ht="21.75" customHeight="1" thickBot="1">
      <c r="B73" s="125"/>
      <c r="C73" s="681" t="s">
        <v>66</v>
      </c>
      <c r="D73" s="682"/>
      <c r="E73" s="31"/>
      <c r="F73" s="151" t="s">
        <v>67</v>
      </c>
      <c r="G73" s="161"/>
      <c r="H73" s="162"/>
      <c r="I73" s="163">
        <f>+'2010 Existing Rates'!$C$8</f>
        <v>13.71</v>
      </c>
      <c r="J73" s="161"/>
      <c r="K73" s="162"/>
      <c r="L73" s="166">
        <f>'Rate Schedule (Part 1)'!$E$12</f>
        <v>15.36</v>
      </c>
      <c r="M73" s="175">
        <f aca="true" t="shared" si="9" ref="M73:M78">+L73-I73</f>
        <v>1.6499999999999986</v>
      </c>
      <c r="N73" s="176">
        <f>+M73/I73</f>
        <v>0.12035010940919026</v>
      </c>
      <c r="O73" s="177">
        <f>L73/L86</f>
        <v>0.13666707797419053</v>
      </c>
      <c r="P73" s="118"/>
    </row>
    <row r="74" spans="2:16" ht="21.75" customHeight="1" thickBot="1">
      <c r="B74" s="125"/>
      <c r="C74" s="121">
        <v>800</v>
      </c>
      <c r="D74" s="122" t="s">
        <v>15</v>
      </c>
      <c r="E74" s="31"/>
      <c r="F74" s="152" t="s">
        <v>68</v>
      </c>
      <c r="G74" s="155">
        <f>+C74</f>
        <v>800</v>
      </c>
      <c r="H74" s="149">
        <f>'2010 Existing Rates'!$B$58</f>
        <v>0.0128</v>
      </c>
      <c r="I74" s="164">
        <f>+G74*H74</f>
        <v>10.24</v>
      </c>
      <c r="J74" s="155">
        <f>+C74</f>
        <v>800</v>
      </c>
      <c r="K74" s="148">
        <f>'Rate Schedule (Part 1)'!$E$13</f>
        <v>0.0143</v>
      </c>
      <c r="L74" s="168">
        <f>+J74*K74</f>
        <v>11.44</v>
      </c>
      <c r="M74" s="178">
        <f t="shared" si="9"/>
        <v>1.1999999999999993</v>
      </c>
      <c r="N74" s="176">
        <f>+M74/I74</f>
        <v>0.11718749999999993</v>
      </c>
      <c r="O74" s="179">
        <f>L74/L86</f>
        <v>0.10178850078286067</v>
      </c>
      <c r="P74" s="118"/>
    </row>
    <row r="75" spans="2:16" ht="21.75" customHeight="1" thickBot="1">
      <c r="B75" s="125"/>
      <c r="C75" s="271"/>
      <c r="D75" s="272"/>
      <c r="E75" s="31"/>
      <c r="F75" s="152" t="s">
        <v>233</v>
      </c>
      <c r="G75" s="155">
        <f>G74</f>
        <v>800</v>
      </c>
      <c r="H75" s="149">
        <f>'2010 Existing Rates'!$B$33</f>
        <v>0.0003</v>
      </c>
      <c r="I75" s="164">
        <f>+G75*H75</f>
        <v>0.24</v>
      </c>
      <c r="J75" s="155">
        <f>J74</f>
        <v>800</v>
      </c>
      <c r="K75" s="148">
        <f>'Rate Schedule (Part 1)'!$E$14</f>
        <v>0.0002</v>
      </c>
      <c r="L75" s="168">
        <f>+J75*K75</f>
        <v>0.16</v>
      </c>
      <c r="M75" s="178">
        <f t="shared" si="9"/>
        <v>-0.07999999999999999</v>
      </c>
      <c r="N75" s="176">
        <f>+M75/I75</f>
        <v>-0.3333333333333333</v>
      </c>
      <c r="O75" s="179">
        <f>L75/L86</f>
        <v>0.0014236153955644848</v>
      </c>
      <c r="P75" s="118"/>
    </row>
    <row r="76" spans="2:16" ht="21.75" customHeight="1" thickBot="1">
      <c r="B76" s="125"/>
      <c r="C76" s="62"/>
      <c r="D76" s="63"/>
      <c r="E76" s="31"/>
      <c r="F76" s="152" t="s">
        <v>166</v>
      </c>
      <c r="G76" s="174"/>
      <c r="H76" s="173"/>
      <c r="I76" s="164">
        <f>'2010 Existing Rates'!$B$45</f>
        <v>2.16</v>
      </c>
      <c r="J76" s="174"/>
      <c r="K76" s="173"/>
      <c r="L76" s="168">
        <f>'Rate Schedule (Part 1)'!$E$16</f>
        <v>-0.43193202035146244</v>
      </c>
      <c r="M76" s="178">
        <f t="shared" si="9"/>
        <v>-2.5919320203514626</v>
      </c>
      <c r="N76" s="176">
        <f>+M76/I76</f>
        <v>-1.199968527940492</v>
      </c>
      <c r="O76" s="179">
        <f>L76/L86</f>
        <v>-0.0038431567125600894</v>
      </c>
      <c r="P76" s="118"/>
    </row>
    <row r="77" spans="2:16" ht="21.75" customHeight="1" thickBot="1">
      <c r="B77" s="125"/>
      <c r="C77" s="62"/>
      <c r="D77" s="63"/>
      <c r="E77" s="31"/>
      <c r="F77" s="152" t="s">
        <v>158</v>
      </c>
      <c r="G77" s="155">
        <f>C74</f>
        <v>800</v>
      </c>
      <c r="H77" s="149"/>
      <c r="I77" s="160">
        <f>+G77*H77</f>
        <v>0</v>
      </c>
      <c r="J77" s="155">
        <f>C74</f>
        <v>800</v>
      </c>
      <c r="K77" s="148">
        <f>'Rate Schedule (Part 1)'!$E$15</f>
        <v>0</v>
      </c>
      <c r="L77" s="168">
        <f>J77*K77</f>
        <v>0</v>
      </c>
      <c r="M77" s="178">
        <f t="shared" si="9"/>
        <v>0</v>
      </c>
      <c r="N77" s="176">
        <v>0</v>
      </c>
      <c r="O77" s="179">
        <f>L77/L86</f>
        <v>0</v>
      </c>
      <c r="P77" s="118"/>
    </row>
    <row r="78" spans="2:16" ht="21.75" customHeight="1" thickBot="1">
      <c r="B78" s="125"/>
      <c r="C78" s="31"/>
      <c r="D78" s="31"/>
      <c r="E78" s="31"/>
      <c r="F78" s="153" t="s">
        <v>232</v>
      </c>
      <c r="G78" s="180">
        <f>+C74</f>
        <v>800</v>
      </c>
      <c r="H78" s="181">
        <f>+'2010 Existing Rates'!$B$21</f>
        <v>-0.0039</v>
      </c>
      <c r="I78" s="182">
        <f>+G78*H78</f>
        <v>-3.1199999999999997</v>
      </c>
      <c r="J78" s="180">
        <f>+C74</f>
        <v>800</v>
      </c>
      <c r="K78" s="181">
        <f>'Rate Schedule (Part 1)'!$E$17</f>
        <v>-0.0006676344696067126</v>
      </c>
      <c r="L78" s="182">
        <f>+J78*K78</f>
        <v>-0.5341075756853702</v>
      </c>
      <c r="M78" s="178">
        <f t="shared" si="9"/>
        <v>2.5858924243146295</v>
      </c>
      <c r="N78" s="176">
        <f aca="true" t="shared" si="10" ref="N78:N86">+M78/I78</f>
        <v>-0.8288116744598173</v>
      </c>
      <c r="O78" s="179">
        <f>L78/L86</f>
        <v>-0.004752273547708226</v>
      </c>
      <c r="P78" s="118"/>
    </row>
    <row r="79" spans="2:16" ht="21.75" customHeight="1" thickBot="1">
      <c r="B79" s="125"/>
      <c r="C79" s="31"/>
      <c r="D79" s="31"/>
      <c r="E79" s="31"/>
      <c r="F79" s="476" t="s">
        <v>234</v>
      </c>
      <c r="G79" s="676"/>
      <c r="H79" s="677"/>
      <c r="I79" s="477">
        <f>SUM(I73:I78)</f>
        <v>23.23</v>
      </c>
      <c r="J79" s="676"/>
      <c r="K79" s="677"/>
      <c r="L79" s="477">
        <f>SUM(L73:L78)</f>
        <v>25.993960403963165</v>
      </c>
      <c r="M79" s="480">
        <f aca="true" t="shared" si="11" ref="M79:M85">+L79-I79</f>
        <v>2.7639604039631642</v>
      </c>
      <c r="N79" s="481">
        <f t="shared" si="10"/>
        <v>0.11898236779867259</v>
      </c>
      <c r="O79" s="482">
        <f>L79/L86</f>
        <v>0.23128376389234737</v>
      </c>
      <c r="P79" s="118"/>
    </row>
    <row r="80" spans="2:16" ht="21.75" customHeight="1" thickBot="1">
      <c r="B80" s="125"/>
      <c r="C80" s="31"/>
      <c r="D80" s="31"/>
      <c r="E80" s="31"/>
      <c r="F80" s="152" t="s">
        <v>235</v>
      </c>
      <c r="G80" s="273">
        <f>C74*'Other Electriciy Rates'!$L$10</f>
        <v>828.0799999999999</v>
      </c>
      <c r="H80" s="274">
        <f>'Other Electriciy Rates'!$B$10</f>
        <v>0.0106</v>
      </c>
      <c r="I80" s="164">
        <f>+G80*H80</f>
        <v>8.777648</v>
      </c>
      <c r="J80" s="273">
        <f>'BILL IMPACTS'!C74*'Other Electriciy Rates'!$L$25</f>
        <v>828.9529983413825</v>
      </c>
      <c r="K80" s="274">
        <f>'Other Electriciy Rates'!$B$25</f>
        <v>0.010125209445178581</v>
      </c>
      <c r="L80" s="164">
        <f>+J80*K80</f>
        <v>8.39332272841527</v>
      </c>
      <c r="M80" s="275">
        <f t="shared" si="11"/>
        <v>-0.3843252715847285</v>
      </c>
      <c r="N80" s="176">
        <f t="shared" si="10"/>
        <v>-0.04378453904562231</v>
      </c>
      <c r="O80" s="177">
        <f>L80/L86</f>
        <v>0.07468039660070805</v>
      </c>
      <c r="P80" s="118"/>
    </row>
    <row r="81" spans="2:16" ht="21.75" customHeight="1" thickBot="1">
      <c r="B81" s="125"/>
      <c r="C81" s="31"/>
      <c r="D81" s="31"/>
      <c r="E81" s="31"/>
      <c r="F81" s="476" t="s">
        <v>236</v>
      </c>
      <c r="G81" s="676"/>
      <c r="H81" s="677"/>
      <c r="I81" s="477">
        <f>I79+I80</f>
        <v>32.007648</v>
      </c>
      <c r="J81" s="676"/>
      <c r="K81" s="677"/>
      <c r="L81" s="477">
        <f>L79+L80</f>
        <v>34.387283132378435</v>
      </c>
      <c r="M81" s="480">
        <f t="shared" si="11"/>
        <v>2.379635132378432</v>
      </c>
      <c r="N81" s="481">
        <f t="shared" si="10"/>
        <v>0.07434582923363915</v>
      </c>
      <c r="O81" s="483">
        <f>L81/L86</f>
        <v>0.3059641604930554</v>
      </c>
      <c r="P81" s="118"/>
    </row>
    <row r="82" spans="2:16" ht="21.75" customHeight="1" thickBot="1">
      <c r="B82" s="125"/>
      <c r="C82" s="31"/>
      <c r="D82" s="31"/>
      <c r="E82" s="31"/>
      <c r="F82" s="154" t="s">
        <v>73</v>
      </c>
      <c r="G82" s="156">
        <f>+'Other Electriciy Rates'!$L$10*C74</f>
        <v>828.0799999999999</v>
      </c>
      <c r="H82" s="157">
        <f>'Other Electriciy Rates'!$C$10+'Other Electriciy Rates'!$D$10</f>
        <v>0.0135</v>
      </c>
      <c r="I82" s="158">
        <f>+G82*H82</f>
        <v>11.179079999999999</v>
      </c>
      <c r="J82" s="156">
        <f>J80</f>
        <v>828.9529983413825</v>
      </c>
      <c r="K82" s="157">
        <f>'Other Electriciy Rates'!$C$25+'Other Electriciy Rates'!$D$25</f>
        <v>0.0135</v>
      </c>
      <c r="L82" s="185">
        <f>+J82*K82</f>
        <v>11.190865477608662</v>
      </c>
      <c r="M82" s="416">
        <f t="shared" si="11"/>
        <v>0.011785477608663442</v>
      </c>
      <c r="N82" s="176">
        <f t="shared" si="10"/>
        <v>0.001054243963605542</v>
      </c>
      <c r="O82" s="226">
        <f>L82/L86</f>
        <v>0.09957180239759246</v>
      </c>
      <c r="P82" s="118"/>
    </row>
    <row r="83" spans="2:16" ht="21.75" customHeight="1" thickBot="1">
      <c r="B83" s="125"/>
      <c r="C83" s="31"/>
      <c r="D83" s="31"/>
      <c r="E83" s="31"/>
      <c r="F83" s="152" t="s">
        <v>74</v>
      </c>
      <c r="G83" s="165">
        <f>+'Other Electriciy Rates'!$L$10*C74</f>
        <v>828.0799999999999</v>
      </c>
      <c r="H83" s="159">
        <f>'Other Electriciy Rates'!$J$10</f>
        <v>0.065</v>
      </c>
      <c r="I83" s="160">
        <f>+G83*H83</f>
        <v>53.825199999999995</v>
      </c>
      <c r="J83" s="165">
        <f>J82</f>
        <v>828.9529983413825</v>
      </c>
      <c r="K83" s="159">
        <f>'Other Electriciy Rates'!$J$25</f>
        <v>0.065</v>
      </c>
      <c r="L83" s="182">
        <f>+J83*K83</f>
        <v>53.881944892189864</v>
      </c>
      <c r="M83" s="417">
        <f t="shared" si="11"/>
        <v>0.05674489218986878</v>
      </c>
      <c r="N83" s="176">
        <f t="shared" si="10"/>
        <v>0.0010542439636056862</v>
      </c>
      <c r="O83" s="189">
        <f>L83/L86</f>
        <v>0.47941978932174156</v>
      </c>
      <c r="P83" s="118"/>
    </row>
    <row r="84" spans="2:16" ht="21.75" customHeight="1" thickBot="1">
      <c r="B84" s="125"/>
      <c r="C84" s="31"/>
      <c r="D84" s="31"/>
      <c r="E84" s="31"/>
      <c r="F84" s="476" t="s">
        <v>191</v>
      </c>
      <c r="G84" s="676"/>
      <c r="H84" s="677"/>
      <c r="I84" s="477">
        <f>SUM(I81:I83)</f>
        <v>97.011928</v>
      </c>
      <c r="J84" s="676"/>
      <c r="K84" s="677"/>
      <c r="L84" s="477">
        <f>SUM(L81:L83)</f>
        <v>99.46009350217696</v>
      </c>
      <c r="M84" s="477">
        <f t="shared" si="11"/>
        <v>2.4481655021769626</v>
      </c>
      <c r="N84" s="481">
        <f t="shared" si="10"/>
        <v>0.025235716397440967</v>
      </c>
      <c r="O84" s="483">
        <f>L84/L86</f>
        <v>0.8849557522123894</v>
      </c>
      <c r="P84" s="228"/>
    </row>
    <row r="85" spans="2:16" ht="21.75" customHeight="1" thickBot="1">
      <c r="B85" s="125"/>
      <c r="C85" s="31"/>
      <c r="D85" s="31"/>
      <c r="E85" s="31"/>
      <c r="F85" s="222" t="s">
        <v>323</v>
      </c>
      <c r="G85" s="223"/>
      <c r="H85" s="227">
        <v>0.13</v>
      </c>
      <c r="I85" s="224">
        <f>I84*H85</f>
        <v>12.61155064</v>
      </c>
      <c r="J85" s="223"/>
      <c r="K85" s="227">
        <v>0.13</v>
      </c>
      <c r="L85" s="225">
        <f>L84*K85</f>
        <v>12.929812155283006</v>
      </c>
      <c r="M85" s="183">
        <f t="shared" si="11"/>
        <v>0.3182615152830053</v>
      </c>
      <c r="N85" s="187">
        <f t="shared" si="10"/>
        <v>0.025235716397440978</v>
      </c>
      <c r="O85" s="189">
        <f>L85/L86</f>
        <v>0.11504424778761063</v>
      </c>
      <c r="P85" s="118"/>
    </row>
    <row r="86" spans="2:16" s="280" customFormat="1" ht="21.75" customHeight="1" thickBot="1">
      <c r="B86" s="276"/>
      <c r="C86" s="277"/>
      <c r="D86" s="277"/>
      <c r="E86" s="278"/>
      <c r="F86" s="478" t="s">
        <v>75</v>
      </c>
      <c r="G86" s="693"/>
      <c r="H86" s="694"/>
      <c r="I86" s="479">
        <f>I84+I85</f>
        <v>109.62347864</v>
      </c>
      <c r="J86" s="693"/>
      <c r="K86" s="694"/>
      <c r="L86" s="479">
        <f>L84+L85</f>
        <v>112.38990565745996</v>
      </c>
      <c r="M86" s="479">
        <f>M84+M85</f>
        <v>2.766427017459968</v>
      </c>
      <c r="N86" s="484">
        <f t="shared" si="10"/>
        <v>0.02523571639744097</v>
      </c>
      <c r="O86" s="485">
        <f>O84+O85</f>
        <v>1</v>
      </c>
      <c r="P86" s="279"/>
    </row>
    <row r="87" spans="2:16" ht="18" customHeight="1">
      <c r="B87" s="125"/>
      <c r="C87" s="31"/>
      <c r="D87" s="31"/>
      <c r="E87" s="35"/>
      <c r="P87" s="118"/>
    </row>
    <row r="88" spans="2:16" ht="6.75" customHeight="1" thickBot="1">
      <c r="B88" s="119"/>
      <c r="C88" s="131"/>
      <c r="D88" s="131"/>
      <c r="E88" s="131"/>
      <c r="F88" s="132"/>
      <c r="G88" s="133"/>
      <c r="H88" s="134"/>
      <c r="I88" s="135"/>
      <c r="J88" s="133"/>
      <c r="K88" s="136"/>
      <c r="L88" s="135"/>
      <c r="M88" s="140"/>
      <c r="N88" s="138"/>
      <c r="O88" s="139"/>
      <c r="P88" s="120"/>
    </row>
    <row r="89" ht="18" customHeight="1" thickBot="1"/>
    <row r="90" spans="2:16" ht="18" customHeight="1" thickBot="1">
      <c r="B90" s="127"/>
      <c r="C90" s="684"/>
      <c r="D90" s="684"/>
      <c r="E90" s="684"/>
      <c r="F90" s="684"/>
      <c r="G90" s="684"/>
      <c r="H90" s="684"/>
      <c r="I90" s="684"/>
      <c r="J90" s="684"/>
      <c r="K90" s="684"/>
      <c r="L90" s="684"/>
      <c r="M90" s="684"/>
      <c r="N90" s="684"/>
      <c r="O90" s="684"/>
      <c r="P90" s="117"/>
    </row>
    <row r="91" spans="2:16" ht="21.75" customHeight="1">
      <c r="B91" s="127"/>
      <c r="C91" s="690" t="s">
        <v>45</v>
      </c>
      <c r="D91" s="690"/>
      <c r="E91" s="690"/>
      <c r="F91" s="690"/>
      <c r="G91" s="690"/>
      <c r="H91" s="690"/>
      <c r="I91" s="690"/>
      <c r="J91" s="690"/>
      <c r="K91" s="690"/>
      <c r="L91" s="690"/>
      <c r="M91" s="690"/>
      <c r="N91" s="690"/>
      <c r="O91" s="690"/>
      <c r="P91" s="117"/>
    </row>
    <row r="92" spans="2:16" ht="21.75" customHeight="1" thickBot="1">
      <c r="B92" s="125"/>
      <c r="C92" s="691"/>
      <c r="D92" s="691"/>
      <c r="E92" s="691"/>
      <c r="F92" s="691"/>
      <c r="G92" s="691"/>
      <c r="H92" s="691"/>
      <c r="I92" s="691"/>
      <c r="J92" s="691"/>
      <c r="K92" s="691"/>
      <c r="L92" s="691"/>
      <c r="M92" s="691"/>
      <c r="N92" s="691"/>
      <c r="O92" s="691"/>
      <c r="P92" s="118"/>
    </row>
    <row r="93" spans="2:16" ht="21.75" customHeight="1" thickBot="1">
      <c r="B93" s="125"/>
      <c r="C93" s="126"/>
      <c r="D93" s="126"/>
      <c r="E93" s="31"/>
      <c r="F93" s="37"/>
      <c r="G93" s="678" t="str">
        <f>$G$10</f>
        <v>2010 BILL</v>
      </c>
      <c r="H93" s="679"/>
      <c r="I93" s="680"/>
      <c r="J93" s="678" t="str">
        <f>$J$10</f>
        <v>2011 BILL</v>
      </c>
      <c r="K93" s="679"/>
      <c r="L93" s="680"/>
      <c r="M93" s="678" t="s">
        <v>69</v>
      </c>
      <c r="N93" s="679"/>
      <c r="O93" s="680"/>
      <c r="P93" s="118"/>
    </row>
    <row r="94" spans="2:16" ht="26.25" thickBot="1">
      <c r="B94" s="125"/>
      <c r="C94" s="31"/>
      <c r="D94" s="31"/>
      <c r="E94" s="33"/>
      <c r="F94" s="38"/>
      <c r="G94" s="167" t="s">
        <v>63</v>
      </c>
      <c r="H94" s="142" t="s">
        <v>64</v>
      </c>
      <c r="I94" s="143" t="s">
        <v>65</v>
      </c>
      <c r="J94" s="167" t="s">
        <v>63</v>
      </c>
      <c r="K94" s="142" t="s">
        <v>64</v>
      </c>
      <c r="L94" s="143" t="s">
        <v>65</v>
      </c>
      <c r="M94" s="169" t="s">
        <v>76</v>
      </c>
      <c r="N94" s="170" t="s">
        <v>77</v>
      </c>
      <c r="O94" s="171" t="s">
        <v>72</v>
      </c>
      <c r="P94" s="118"/>
    </row>
    <row r="95" spans="2:16" ht="21.75" customHeight="1" thickBot="1">
      <c r="B95" s="125"/>
      <c r="C95" s="681" t="s">
        <v>66</v>
      </c>
      <c r="D95" s="682"/>
      <c r="E95" s="31"/>
      <c r="F95" s="151" t="s">
        <v>67</v>
      </c>
      <c r="G95" s="161"/>
      <c r="H95" s="162"/>
      <c r="I95" s="163">
        <f>+'2010 Existing Rates'!$C$8</f>
        <v>13.71</v>
      </c>
      <c r="J95" s="161"/>
      <c r="K95" s="162"/>
      <c r="L95" s="166">
        <f>'Rate Schedule (Part 1)'!$E$12</f>
        <v>15.36</v>
      </c>
      <c r="M95" s="175">
        <f aca="true" t="shared" si="12" ref="M95:M100">+L95-I95</f>
        <v>1.6499999999999986</v>
      </c>
      <c r="N95" s="176">
        <f>+M95/I95</f>
        <v>0.12035010940919026</v>
      </c>
      <c r="O95" s="177">
        <f>L95/L108</f>
        <v>0.11271723147669092</v>
      </c>
      <c r="P95" s="118"/>
    </row>
    <row r="96" spans="2:16" ht="21.75" customHeight="1" thickBot="1">
      <c r="B96" s="125"/>
      <c r="C96" s="121">
        <v>1000</v>
      </c>
      <c r="D96" s="122" t="s">
        <v>15</v>
      </c>
      <c r="E96" s="31"/>
      <c r="F96" s="152" t="s">
        <v>68</v>
      </c>
      <c r="G96" s="155">
        <f>+C96</f>
        <v>1000</v>
      </c>
      <c r="H96" s="149">
        <f>'2010 Existing Rates'!$B$58</f>
        <v>0.0128</v>
      </c>
      <c r="I96" s="164">
        <f>+G96*H96</f>
        <v>12.8</v>
      </c>
      <c r="J96" s="155">
        <f>+C96</f>
        <v>1000</v>
      </c>
      <c r="K96" s="148">
        <f>'Rate Schedule (Part 1)'!$E$13</f>
        <v>0.0143</v>
      </c>
      <c r="L96" s="168">
        <f>+J96*K96</f>
        <v>14.3</v>
      </c>
      <c r="M96" s="178">
        <f t="shared" si="12"/>
        <v>1.5</v>
      </c>
      <c r="N96" s="176">
        <f>+M96/I96</f>
        <v>0.1171875</v>
      </c>
      <c r="O96" s="179">
        <f>L96/L108</f>
        <v>0.10493856836697138</v>
      </c>
      <c r="P96" s="118"/>
    </row>
    <row r="97" spans="2:16" ht="21.75" customHeight="1" thickBot="1">
      <c r="B97" s="125"/>
      <c r="C97" s="271"/>
      <c r="D97" s="272"/>
      <c r="E97" s="31"/>
      <c r="F97" s="152" t="s">
        <v>233</v>
      </c>
      <c r="G97" s="155">
        <f>G96</f>
        <v>1000</v>
      </c>
      <c r="H97" s="149">
        <f>'2010 Existing Rates'!$B$33</f>
        <v>0.0003</v>
      </c>
      <c r="I97" s="164">
        <f>+G97*H97</f>
        <v>0.3</v>
      </c>
      <c r="J97" s="155">
        <f>J96</f>
        <v>1000</v>
      </c>
      <c r="K97" s="148">
        <f>'Rate Schedule (Part 1)'!$E$14</f>
        <v>0.0002</v>
      </c>
      <c r="L97" s="168">
        <f>+J97*K97</f>
        <v>0.2</v>
      </c>
      <c r="M97" s="178">
        <f t="shared" si="12"/>
        <v>-0.09999999999999998</v>
      </c>
      <c r="N97" s="176">
        <f>+M97/I97</f>
        <v>-0.33333333333333326</v>
      </c>
      <c r="O97" s="179">
        <f>L97/L108</f>
        <v>0.0014676722848527466</v>
      </c>
      <c r="P97" s="118"/>
    </row>
    <row r="98" spans="2:16" ht="21.75" customHeight="1" thickBot="1">
      <c r="B98" s="125"/>
      <c r="C98" s="62"/>
      <c r="D98" s="63"/>
      <c r="E98" s="31"/>
      <c r="F98" s="152" t="s">
        <v>166</v>
      </c>
      <c r="G98" s="174"/>
      <c r="H98" s="173"/>
      <c r="I98" s="164">
        <f>'2010 Existing Rates'!$B$45</f>
        <v>2.16</v>
      </c>
      <c r="J98" s="174"/>
      <c r="K98" s="173"/>
      <c r="L98" s="168">
        <f>'Rate Schedule (Part 1)'!$E$16</f>
        <v>-0.43193202035146244</v>
      </c>
      <c r="M98" s="178">
        <f t="shared" si="12"/>
        <v>-2.5919320203514626</v>
      </c>
      <c r="N98" s="176">
        <f>+M98/I98</f>
        <v>-1.199968527940492</v>
      </c>
      <c r="O98" s="179">
        <f>L98/L108</f>
        <v>-0.0031696732760514695</v>
      </c>
      <c r="P98" s="118"/>
    </row>
    <row r="99" spans="2:16" ht="21.75" customHeight="1" thickBot="1">
      <c r="B99" s="125"/>
      <c r="C99" s="62"/>
      <c r="D99" s="63"/>
      <c r="E99" s="31"/>
      <c r="F99" s="152" t="s">
        <v>158</v>
      </c>
      <c r="G99" s="155">
        <f>C96</f>
        <v>1000</v>
      </c>
      <c r="H99" s="149"/>
      <c r="I99" s="160">
        <f>+G99*H99</f>
        <v>0</v>
      </c>
      <c r="J99" s="155">
        <f>C96</f>
        <v>1000</v>
      </c>
      <c r="K99" s="148">
        <f>'Rate Schedule (Part 1)'!$E$15</f>
        <v>0</v>
      </c>
      <c r="L99" s="168">
        <f>J99*K99</f>
        <v>0</v>
      </c>
      <c r="M99" s="178">
        <f t="shared" si="12"/>
        <v>0</v>
      </c>
      <c r="N99" s="176">
        <v>0</v>
      </c>
      <c r="O99" s="179">
        <f>L99/L108</f>
        <v>0</v>
      </c>
      <c r="P99" s="118"/>
    </row>
    <row r="100" spans="2:16" ht="21.75" customHeight="1" thickBot="1">
      <c r="B100" s="125"/>
      <c r="C100" s="31"/>
      <c r="D100" s="31"/>
      <c r="E100" s="31"/>
      <c r="F100" s="153" t="s">
        <v>232</v>
      </c>
      <c r="G100" s="180">
        <f>+C96</f>
        <v>1000</v>
      </c>
      <c r="H100" s="181">
        <f>+'2010 Existing Rates'!$B$21</f>
        <v>-0.0039</v>
      </c>
      <c r="I100" s="182">
        <f>+G100*H100</f>
        <v>-3.9</v>
      </c>
      <c r="J100" s="180">
        <f>+C96</f>
        <v>1000</v>
      </c>
      <c r="K100" s="181">
        <f>'Rate Schedule (Part 1)'!$E$17</f>
        <v>-0.0006676344696067126</v>
      </c>
      <c r="L100" s="182">
        <f>+J100*K100</f>
        <v>-0.6676344696067126</v>
      </c>
      <c r="M100" s="178">
        <f t="shared" si="12"/>
        <v>3.2323655303932872</v>
      </c>
      <c r="N100" s="176">
        <f aca="true" t="shared" si="13" ref="N100:N108">+M100/I100</f>
        <v>-0.8288116744598173</v>
      </c>
      <c r="O100" s="179">
        <f>L100/L108</f>
        <v>-0.0048993430372706774</v>
      </c>
      <c r="P100" s="118"/>
    </row>
    <row r="101" spans="2:16" ht="21.75" customHeight="1" thickBot="1">
      <c r="B101" s="125"/>
      <c r="C101" s="31"/>
      <c r="D101" s="31"/>
      <c r="E101" s="31"/>
      <c r="F101" s="476" t="s">
        <v>234</v>
      </c>
      <c r="G101" s="676"/>
      <c r="H101" s="677"/>
      <c r="I101" s="477">
        <f>SUM(I95:I100)</f>
        <v>25.070000000000004</v>
      </c>
      <c r="J101" s="676"/>
      <c r="K101" s="677"/>
      <c r="L101" s="477">
        <f>SUM(L95:L100)</f>
        <v>28.760433510041825</v>
      </c>
      <c r="M101" s="480">
        <f aca="true" t="shared" si="14" ref="M101:M107">+L101-I101</f>
        <v>3.690433510041821</v>
      </c>
      <c r="N101" s="481">
        <f t="shared" si="13"/>
        <v>0.14720516593704908</v>
      </c>
      <c r="O101" s="482">
        <f>L101/L108</f>
        <v>0.21105445581519292</v>
      </c>
      <c r="P101" s="118"/>
    </row>
    <row r="102" spans="2:16" ht="21.75" customHeight="1" thickBot="1">
      <c r="B102" s="125"/>
      <c r="C102" s="31"/>
      <c r="D102" s="31"/>
      <c r="E102" s="31"/>
      <c r="F102" s="152" t="s">
        <v>235</v>
      </c>
      <c r="G102" s="273">
        <f>C96*'Other Electriciy Rates'!$L$10</f>
        <v>1035.1</v>
      </c>
      <c r="H102" s="274">
        <f>'Other Electriciy Rates'!$B$10</f>
        <v>0.0106</v>
      </c>
      <c r="I102" s="164">
        <f>+G102*H102</f>
        <v>10.972059999999999</v>
      </c>
      <c r="J102" s="273">
        <f>'BILL IMPACTS'!C96*'Other Electriciy Rates'!$L$25</f>
        <v>1036.191247926728</v>
      </c>
      <c r="K102" s="274">
        <f>'Other Electriciy Rates'!$B$25</f>
        <v>0.010125209445178581</v>
      </c>
      <c r="L102" s="164">
        <f>+J102*K102</f>
        <v>10.491653410519087</v>
      </c>
      <c r="M102" s="275">
        <f t="shared" si="14"/>
        <v>-0.4804065894809124</v>
      </c>
      <c r="N102" s="176">
        <f t="shared" si="13"/>
        <v>-0.04378453904562247</v>
      </c>
      <c r="O102" s="177">
        <f>L102/L108</f>
        <v>0.0769915446644983</v>
      </c>
      <c r="P102" s="118"/>
    </row>
    <row r="103" spans="2:16" ht="21.75" customHeight="1" thickBot="1">
      <c r="B103" s="125"/>
      <c r="C103" s="31"/>
      <c r="D103" s="31"/>
      <c r="E103" s="31"/>
      <c r="F103" s="476" t="s">
        <v>236</v>
      </c>
      <c r="G103" s="676"/>
      <c r="H103" s="677"/>
      <c r="I103" s="477">
        <f>I101+I102</f>
        <v>36.042060000000006</v>
      </c>
      <c r="J103" s="676"/>
      <c r="K103" s="677"/>
      <c r="L103" s="477">
        <f>L101+L102</f>
        <v>39.25208692056091</v>
      </c>
      <c r="M103" s="480">
        <f t="shared" si="14"/>
        <v>3.2100269205609067</v>
      </c>
      <c r="N103" s="481">
        <f t="shared" si="13"/>
        <v>0.0890633587691965</v>
      </c>
      <c r="O103" s="483">
        <f>L103/L108</f>
        <v>0.2880460004796912</v>
      </c>
      <c r="P103" s="118"/>
    </row>
    <row r="104" spans="2:16" ht="21.75" customHeight="1" thickBot="1">
      <c r="B104" s="125"/>
      <c r="C104" s="31"/>
      <c r="D104" s="31"/>
      <c r="E104" s="31"/>
      <c r="F104" s="154" t="s">
        <v>73</v>
      </c>
      <c r="G104" s="156">
        <f>+'Other Electriciy Rates'!$L$10*C96</f>
        <v>1035.1</v>
      </c>
      <c r="H104" s="157">
        <f>'Other Electriciy Rates'!$C$10+'Other Electriciy Rates'!$D$10</f>
        <v>0.0135</v>
      </c>
      <c r="I104" s="158">
        <f>+G104*H104</f>
        <v>13.973849999999999</v>
      </c>
      <c r="J104" s="156">
        <f>J102</f>
        <v>1036.191247926728</v>
      </c>
      <c r="K104" s="157">
        <f>'Other Electriciy Rates'!$C$25+'Other Electriciy Rates'!$D$25</f>
        <v>0.0135</v>
      </c>
      <c r="L104" s="185">
        <f>+J104*K104</f>
        <v>13.988581847010828</v>
      </c>
      <c r="M104" s="416">
        <f t="shared" si="14"/>
        <v>0.014731847010828858</v>
      </c>
      <c r="N104" s="176">
        <f t="shared" si="13"/>
        <v>0.0010542439636055103</v>
      </c>
      <c r="O104" s="226">
        <f>L104/L108</f>
        <v>0.10265326940626017</v>
      </c>
      <c r="P104" s="118"/>
    </row>
    <row r="105" spans="2:16" ht="21.75" customHeight="1" thickBot="1">
      <c r="B105" s="125"/>
      <c r="C105" s="31"/>
      <c r="D105" s="31"/>
      <c r="E105" s="31"/>
      <c r="F105" s="152" t="s">
        <v>74</v>
      </c>
      <c r="G105" s="165">
        <f>+'Other Electriciy Rates'!$L$10*C96</f>
        <v>1035.1</v>
      </c>
      <c r="H105" s="159">
        <f>'Other Electriciy Rates'!$J$10</f>
        <v>0.065</v>
      </c>
      <c r="I105" s="160">
        <f>+G105*H105</f>
        <v>67.2815</v>
      </c>
      <c r="J105" s="165">
        <f>J104</f>
        <v>1036.191247926728</v>
      </c>
      <c r="K105" s="159">
        <f>'Other Electriciy Rates'!$J$25</f>
        <v>0.065</v>
      </c>
      <c r="L105" s="182">
        <f>+J105*K105</f>
        <v>67.35243111523732</v>
      </c>
      <c r="M105" s="417">
        <f t="shared" si="14"/>
        <v>0.07093111523732887</v>
      </c>
      <c r="N105" s="176">
        <f t="shared" si="13"/>
        <v>0.0010542439636055806</v>
      </c>
      <c r="O105" s="189">
        <f>L105/L108</f>
        <v>0.49425648232643793</v>
      </c>
      <c r="P105" s="118"/>
    </row>
    <row r="106" spans="2:16" ht="21.75" customHeight="1" thickBot="1">
      <c r="B106" s="125"/>
      <c r="C106" s="31"/>
      <c r="D106" s="31"/>
      <c r="E106" s="31"/>
      <c r="F106" s="476" t="s">
        <v>191</v>
      </c>
      <c r="G106" s="676"/>
      <c r="H106" s="677"/>
      <c r="I106" s="477">
        <f>SUM(I103:I105)</f>
        <v>117.29741</v>
      </c>
      <c r="J106" s="676"/>
      <c r="K106" s="677"/>
      <c r="L106" s="477">
        <f>SUM(L103:L105)</f>
        <v>120.59309988280907</v>
      </c>
      <c r="M106" s="477">
        <f t="shared" si="14"/>
        <v>3.2956898828090715</v>
      </c>
      <c r="N106" s="481">
        <f t="shared" si="13"/>
        <v>0.028096868317971143</v>
      </c>
      <c r="O106" s="483">
        <f>L106/L108</f>
        <v>0.8849557522123893</v>
      </c>
      <c r="P106" s="228"/>
    </row>
    <row r="107" spans="2:16" ht="21.75" customHeight="1" thickBot="1">
      <c r="B107" s="125"/>
      <c r="C107" s="31"/>
      <c r="D107" s="31"/>
      <c r="E107" s="31"/>
      <c r="F107" s="222" t="s">
        <v>323</v>
      </c>
      <c r="G107" s="223"/>
      <c r="H107" s="227">
        <v>0.13</v>
      </c>
      <c r="I107" s="224">
        <f>I106*H107</f>
        <v>15.2486633</v>
      </c>
      <c r="J107" s="223"/>
      <c r="K107" s="227">
        <v>0.13</v>
      </c>
      <c r="L107" s="225">
        <f>L106*K107</f>
        <v>15.67710298476518</v>
      </c>
      <c r="M107" s="183">
        <f t="shared" si="14"/>
        <v>0.4284396847651788</v>
      </c>
      <c r="N107" s="187">
        <f t="shared" si="13"/>
        <v>0.02809686831797111</v>
      </c>
      <c r="O107" s="189">
        <f>L107/L108</f>
        <v>0.11504424778761062</v>
      </c>
      <c r="P107" s="118"/>
    </row>
    <row r="108" spans="2:16" s="280" customFormat="1" ht="21.75" customHeight="1" thickBot="1">
      <c r="B108" s="276"/>
      <c r="C108" s="277"/>
      <c r="D108" s="277"/>
      <c r="E108" s="278"/>
      <c r="F108" s="478" t="s">
        <v>75</v>
      </c>
      <c r="G108" s="693"/>
      <c r="H108" s="694"/>
      <c r="I108" s="479">
        <f>I106+I107</f>
        <v>132.5460733</v>
      </c>
      <c r="J108" s="693"/>
      <c r="K108" s="694"/>
      <c r="L108" s="479">
        <f>L106+L107</f>
        <v>136.27020286757426</v>
      </c>
      <c r="M108" s="479">
        <f>M106+M107</f>
        <v>3.7241295675742503</v>
      </c>
      <c r="N108" s="484">
        <f t="shared" si="13"/>
        <v>0.02809686831797114</v>
      </c>
      <c r="O108" s="485">
        <f>O106+O107</f>
        <v>0.9999999999999999</v>
      </c>
      <c r="P108" s="279"/>
    </row>
    <row r="109" spans="2:16" ht="18" customHeight="1">
      <c r="B109" s="125"/>
      <c r="P109" s="118"/>
    </row>
    <row r="110" spans="2:16" ht="6.75" customHeight="1" thickBot="1">
      <c r="B110" s="119"/>
      <c r="C110" s="131"/>
      <c r="D110" s="131"/>
      <c r="E110" s="131"/>
      <c r="F110" s="132"/>
      <c r="G110" s="133"/>
      <c r="H110" s="134"/>
      <c r="I110" s="135"/>
      <c r="J110" s="133"/>
      <c r="K110" s="136"/>
      <c r="L110" s="135"/>
      <c r="M110" s="140"/>
      <c r="N110" s="138"/>
      <c r="O110" s="139"/>
      <c r="P110" s="120"/>
    </row>
    <row r="111" ht="18" customHeight="1" thickBot="1"/>
    <row r="112" spans="2:16" ht="18" customHeight="1" thickBot="1">
      <c r="B112" s="127"/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  <c r="O112" s="684"/>
      <c r="P112" s="117"/>
    </row>
    <row r="113" spans="2:16" ht="21.75" customHeight="1">
      <c r="B113" s="127"/>
      <c r="C113" s="690" t="s">
        <v>45</v>
      </c>
      <c r="D113" s="690"/>
      <c r="E113" s="690"/>
      <c r="F113" s="690"/>
      <c r="G113" s="690"/>
      <c r="H113" s="690"/>
      <c r="I113" s="690"/>
      <c r="J113" s="690"/>
      <c r="K113" s="690"/>
      <c r="L113" s="690"/>
      <c r="M113" s="690"/>
      <c r="N113" s="690"/>
      <c r="O113" s="690"/>
      <c r="P113" s="117"/>
    </row>
    <row r="114" spans="2:16" ht="21.75" customHeight="1" thickBot="1">
      <c r="B114" s="125"/>
      <c r="C114" s="691"/>
      <c r="D114" s="691"/>
      <c r="E114" s="691"/>
      <c r="F114" s="691"/>
      <c r="G114" s="691"/>
      <c r="H114" s="691"/>
      <c r="I114" s="691"/>
      <c r="J114" s="691"/>
      <c r="K114" s="691"/>
      <c r="L114" s="691"/>
      <c r="M114" s="691"/>
      <c r="N114" s="691"/>
      <c r="O114" s="691"/>
      <c r="P114" s="118"/>
    </row>
    <row r="115" spans="2:16" ht="21.75" customHeight="1" thickBot="1">
      <c r="B115" s="125"/>
      <c r="C115" s="126"/>
      <c r="D115" s="126"/>
      <c r="E115" s="31"/>
      <c r="F115" s="37"/>
      <c r="G115" s="678" t="str">
        <f>$G$10</f>
        <v>2010 BILL</v>
      </c>
      <c r="H115" s="679"/>
      <c r="I115" s="680"/>
      <c r="J115" s="678" t="str">
        <f>$J$10</f>
        <v>2011 BILL</v>
      </c>
      <c r="K115" s="679"/>
      <c r="L115" s="680"/>
      <c r="M115" s="678" t="s">
        <v>69</v>
      </c>
      <c r="N115" s="679"/>
      <c r="O115" s="680"/>
      <c r="P115" s="118"/>
    </row>
    <row r="116" spans="2:16" ht="26.25" thickBot="1">
      <c r="B116" s="125"/>
      <c r="C116" s="31"/>
      <c r="D116" s="31"/>
      <c r="E116" s="33"/>
      <c r="F116" s="38"/>
      <c r="G116" s="167" t="s">
        <v>63</v>
      </c>
      <c r="H116" s="142" t="s">
        <v>64</v>
      </c>
      <c r="I116" s="143" t="s">
        <v>65</v>
      </c>
      <c r="J116" s="167" t="s">
        <v>63</v>
      </c>
      <c r="K116" s="142" t="s">
        <v>64</v>
      </c>
      <c r="L116" s="143" t="s">
        <v>65</v>
      </c>
      <c r="M116" s="169" t="s">
        <v>76</v>
      </c>
      <c r="N116" s="170" t="s">
        <v>77</v>
      </c>
      <c r="O116" s="171" t="s">
        <v>72</v>
      </c>
      <c r="P116" s="118"/>
    </row>
    <row r="117" spans="2:16" ht="21.75" customHeight="1" thickBot="1">
      <c r="B117" s="125"/>
      <c r="C117" s="681" t="s">
        <v>66</v>
      </c>
      <c r="D117" s="682"/>
      <c r="E117" s="31"/>
      <c r="F117" s="151" t="s">
        <v>67</v>
      </c>
      <c r="G117" s="161"/>
      <c r="H117" s="162"/>
      <c r="I117" s="163">
        <f>+'2010 Existing Rates'!$C$8</f>
        <v>13.71</v>
      </c>
      <c r="J117" s="161"/>
      <c r="K117" s="162"/>
      <c r="L117" s="166">
        <f>'Rate Schedule (Part 1)'!$E$12</f>
        <v>15.36</v>
      </c>
      <c r="M117" s="175">
        <f aca="true" t="shared" si="15" ref="M117:M122">+L117-I117</f>
        <v>1.6499999999999986</v>
      </c>
      <c r="N117" s="176">
        <f>+M117/I117</f>
        <v>0.12035010940919026</v>
      </c>
      <c r="O117" s="177">
        <f>L117/L130</f>
        <v>0.07837896546357194</v>
      </c>
      <c r="P117" s="118"/>
    </row>
    <row r="118" spans="2:16" ht="21.75" customHeight="1" thickBot="1">
      <c r="B118" s="125"/>
      <c r="C118" s="121">
        <v>1500</v>
      </c>
      <c r="D118" s="122" t="s">
        <v>15</v>
      </c>
      <c r="E118" s="31"/>
      <c r="F118" s="152" t="s">
        <v>68</v>
      </c>
      <c r="G118" s="155">
        <f>+C118</f>
        <v>1500</v>
      </c>
      <c r="H118" s="149">
        <f>'2010 Existing Rates'!$B$58</f>
        <v>0.0128</v>
      </c>
      <c r="I118" s="164">
        <f>+G118*H118</f>
        <v>19.2</v>
      </c>
      <c r="J118" s="155">
        <f>+C118</f>
        <v>1500</v>
      </c>
      <c r="K118" s="148">
        <f>'Rate Schedule (Part 1)'!$E$13</f>
        <v>0.0143</v>
      </c>
      <c r="L118" s="168">
        <f>+J118*K118</f>
        <v>21.45</v>
      </c>
      <c r="M118" s="178">
        <f t="shared" si="15"/>
        <v>2.25</v>
      </c>
      <c r="N118" s="176">
        <f>+M118/I118</f>
        <v>0.1171875</v>
      </c>
      <c r="O118" s="179">
        <f>L118/L130</f>
        <v>0.10945500059854285</v>
      </c>
      <c r="P118" s="118"/>
    </row>
    <row r="119" spans="2:16" ht="21.75" customHeight="1" thickBot="1">
      <c r="B119" s="125"/>
      <c r="C119" s="271"/>
      <c r="D119" s="272"/>
      <c r="E119" s="31"/>
      <c r="F119" s="152" t="s">
        <v>233</v>
      </c>
      <c r="G119" s="155">
        <f>G118</f>
        <v>1500</v>
      </c>
      <c r="H119" s="149">
        <f>'2010 Existing Rates'!$B$33</f>
        <v>0.0003</v>
      </c>
      <c r="I119" s="164">
        <f>+G119*H119</f>
        <v>0.44999999999999996</v>
      </c>
      <c r="J119" s="155">
        <f>J118</f>
        <v>1500</v>
      </c>
      <c r="K119" s="148">
        <f>'Rate Schedule (Part 1)'!$E$14</f>
        <v>0.0002</v>
      </c>
      <c r="L119" s="168">
        <f>+J119*K119</f>
        <v>0.3</v>
      </c>
      <c r="M119" s="178">
        <f t="shared" si="15"/>
        <v>-0.14999999999999997</v>
      </c>
      <c r="N119" s="176">
        <f>+M119/I119</f>
        <v>-0.3333333333333333</v>
      </c>
      <c r="O119" s="179">
        <f>L119/L130</f>
        <v>0.0015308391692103896</v>
      </c>
      <c r="P119" s="118"/>
    </row>
    <row r="120" spans="2:16" ht="21.75" customHeight="1" thickBot="1">
      <c r="B120" s="125"/>
      <c r="C120" s="62"/>
      <c r="D120" s="63"/>
      <c r="E120" s="31"/>
      <c r="F120" s="152" t="s">
        <v>166</v>
      </c>
      <c r="G120" s="174"/>
      <c r="H120" s="173"/>
      <c r="I120" s="164">
        <f>'2010 Existing Rates'!$B$45</f>
        <v>2.16</v>
      </c>
      <c r="J120" s="174"/>
      <c r="K120" s="173"/>
      <c r="L120" s="168">
        <f>'Rate Schedule (Part 1)'!$E$16</f>
        <v>-0.43193202035146244</v>
      </c>
      <c r="M120" s="178">
        <f t="shared" si="15"/>
        <v>-2.5919320203514626</v>
      </c>
      <c r="N120" s="176">
        <f>+M120/I120</f>
        <v>-1.199968527940492</v>
      </c>
      <c r="O120" s="179">
        <f>L120/L130</f>
        <v>-0.0022040615173006596</v>
      </c>
      <c r="P120" s="118"/>
    </row>
    <row r="121" spans="2:16" ht="21.75" customHeight="1" thickBot="1">
      <c r="B121" s="125"/>
      <c r="C121" s="62"/>
      <c r="D121" s="63"/>
      <c r="E121" s="31"/>
      <c r="F121" s="152" t="s">
        <v>158</v>
      </c>
      <c r="G121" s="155">
        <f>C118</f>
        <v>1500</v>
      </c>
      <c r="H121" s="149"/>
      <c r="I121" s="160">
        <f>+G121*H121</f>
        <v>0</v>
      </c>
      <c r="J121" s="155">
        <f>C118</f>
        <v>1500</v>
      </c>
      <c r="K121" s="148">
        <f>'Rate Schedule (Part 1)'!$E$15</f>
        <v>0</v>
      </c>
      <c r="L121" s="168">
        <f>J121*K121</f>
        <v>0</v>
      </c>
      <c r="M121" s="178">
        <f t="shared" si="15"/>
        <v>0</v>
      </c>
      <c r="N121" s="176">
        <v>0</v>
      </c>
      <c r="O121" s="179">
        <f>L121/L130</f>
        <v>0</v>
      </c>
      <c r="P121" s="118"/>
    </row>
    <row r="122" spans="2:16" ht="21.75" customHeight="1" thickBot="1">
      <c r="B122" s="125"/>
      <c r="C122" s="31"/>
      <c r="D122" s="31"/>
      <c r="E122" s="31"/>
      <c r="F122" s="153" t="s">
        <v>232</v>
      </c>
      <c r="G122" s="180">
        <f>+C118</f>
        <v>1500</v>
      </c>
      <c r="H122" s="181">
        <f>+'2010 Existing Rates'!$B$21</f>
        <v>-0.0039</v>
      </c>
      <c r="I122" s="182">
        <f>+G122*H122</f>
        <v>-5.85</v>
      </c>
      <c r="J122" s="180">
        <f>+C118</f>
        <v>1500</v>
      </c>
      <c r="K122" s="181">
        <f>'Rate Schedule (Part 1)'!$E$17</f>
        <v>-0.0006676344696067126</v>
      </c>
      <c r="L122" s="182">
        <f>+J122*K122</f>
        <v>-1.001451704410069</v>
      </c>
      <c r="M122" s="178">
        <f t="shared" si="15"/>
        <v>4.84854829558993</v>
      </c>
      <c r="N122" s="176">
        <f aca="true" t="shared" si="16" ref="N122:N130">+M122/I122</f>
        <v>-0.8288116744598172</v>
      </c>
      <c r="O122" s="179">
        <f>L122/L130</f>
        <v>-0.005110204983944796</v>
      </c>
      <c r="P122" s="118"/>
    </row>
    <row r="123" spans="2:16" ht="21.75" customHeight="1" thickBot="1">
      <c r="B123" s="125"/>
      <c r="C123" s="31"/>
      <c r="D123" s="31"/>
      <c r="E123" s="31"/>
      <c r="F123" s="476" t="s">
        <v>234</v>
      </c>
      <c r="G123" s="676"/>
      <c r="H123" s="677"/>
      <c r="I123" s="477">
        <f>SUM(I117:I122)</f>
        <v>29.669999999999995</v>
      </c>
      <c r="J123" s="676"/>
      <c r="K123" s="677"/>
      <c r="L123" s="477">
        <f>SUM(L117:L122)</f>
        <v>35.67661627523847</v>
      </c>
      <c r="M123" s="480">
        <f aca="true" t="shared" si="17" ref="M123:M129">+L123-I123</f>
        <v>6.006616275238478</v>
      </c>
      <c r="N123" s="481">
        <f t="shared" si="16"/>
        <v>0.20244746461875562</v>
      </c>
      <c r="O123" s="482">
        <f>L123/L130</f>
        <v>0.18205053873007976</v>
      </c>
      <c r="P123" s="118"/>
    </row>
    <row r="124" spans="2:16" ht="21.75" customHeight="1" thickBot="1">
      <c r="B124" s="125"/>
      <c r="C124" s="31"/>
      <c r="D124" s="31"/>
      <c r="E124" s="31"/>
      <c r="F124" s="152" t="s">
        <v>235</v>
      </c>
      <c r="G124" s="273">
        <f>C118*'Other Electriciy Rates'!$L$10</f>
        <v>1552.6499999999999</v>
      </c>
      <c r="H124" s="274">
        <f>'Other Electriciy Rates'!$B$10</f>
        <v>0.0106</v>
      </c>
      <c r="I124" s="164">
        <f>+G124*H124</f>
        <v>16.45809</v>
      </c>
      <c r="J124" s="273">
        <f>'BILL IMPACTS'!C118*'Other Electriciy Rates'!$L$25</f>
        <v>1554.2868718900922</v>
      </c>
      <c r="K124" s="274">
        <f>'Other Electriciy Rates'!$B$25</f>
        <v>0.010125209445178581</v>
      </c>
      <c r="L124" s="164">
        <f>+J124*K124</f>
        <v>15.737480115778633</v>
      </c>
      <c r="M124" s="275">
        <f t="shared" si="17"/>
        <v>-0.720609884221366</v>
      </c>
      <c r="N124" s="176">
        <f t="shared" si="16"/>
        <v>-0.04378453904562231</v>
      </c>
      <c r="O124" s="177">
        <f>L124/L130</f>
        <v>0.08030516995301196</v>
      </c>
      <c r="P124" s="118"/>
    </row>
    <row r="125" spans="2:16" ht="21.75" customHeight="1" thickBot="1">
      <c r="B125" s="125"/>
      <c r="C125" s="31"/>
      <c r="D125" s="31"/>
      <c r="E125" s="31"/>
      <c r="F125" s="476" t="s">
        <v>236</v>
      </c>
      <c r="G125" s="676"/>
      <c r="H125" s="677"/>
      <c r="I125" s="477">
        <f>I123+I124</f>
        <v>46.12808999999999</v>
      </c>
      <c r="J125" s="676"/>
      <c r="K125" s="677"/>
      <c r="L125" s="477">
        <f>L123+L124</f>
        <v>51.414096391017104</v>
      </c>
      <c r="M125" s="480">
        <f t="shared" si="17"/>
        <v>5.286006391017111</v>
      </c>
      <c r="N125" s="481">
        <f t="shared" si="16"/>
        <v>0.1145940877026799</v>
      </c>
      <c r="O125" s="483">
        <f>L125/L130</f>
        <v>0.2623557086830917</v>
      </c>
      <c r="P125" s="118"/>
    </row>
    <row r="126" spans="2:16" ht="21.75" customHeight="1" thickBot="1">
      <c r="B126" s="125"/>
      <c r="C126" s="31"/>
      <c r="D126" s="31"/>
      <c r="E126" s="31"/>
      <c r="F126" s="154" t="s">
        <v>73</v>
      </c>
      <c r="G126" s="156">
        <f>+'Other Electriciy Rates'!$L$10*C118</f>
        <v>1552.6499999999999</v>
      </c>
      <c r="H126" s="157">
        <f>'Other Electriciy Rates'!$C$10+'Other Electriciy Rates'!$D$10</f>
        <v>0.0135</v>
      </c>
      <c r="I126" s="158">
        <f>+G126*H126</f>
        <v>20.960774999999998</v>
      </c>
      <c r="J126" s="156">
        <f>J124</f>
        <v>1554.2868718900922</v>
      </c>
      <c r="K126" s="157">
        <f>'Other Electriciy Rates'!$C$25+'Other Electriciy Rates'!$D$25</f>
        <v>0.0135</v>
      </c>
      <c r="L126" s="185">
        <f>+J126*K126</f>
        <v>20.982872770516245</v>
      </c>
      <c r="M126" s="416">
        <f t="shared" si="17"/>
        <v>0.02209777051624684</v>
      </c>
      <c r="N126" s="176">
        <f t="shared" si="16"/>
        <v>0.0010542439636056797</v>
      </c>
      <c r="O126" s="226">
        <f>L126/L130</f>
        <v>0.10707134506554798</v>
      </c>
      <c r="P126" s="118"/>
    </row>
    <row r="127" spans="2:16" ht="21.75" customHeight="1" thickBot="1">
      <c r="B127" s="125"/>
      <c r="C127" s="31"/>
      <c r="D127" s="31"/>
      <c r="E127" s="31"/>
      <c r="F127" s="152" t="s">
        <v>74</v>
      </c>
      <c r="G127" s="165">
        <f>+'Other Electriciy Rates'!$L$10*C118</f>
        <v>1552.6499999999999</v>
      </c>
      <c r="H127" s="159">
        <f>'Other Electriciy Rates'!$J$10</f>
        <v>0.065</v>
      </c>
      <c r="I127" s="160">
        <f>+G127*H127</f>
        <v>100.92224999999999</v>
      </c>
      <c r="J127" s="165">
        <f>J126</f>
        <v>1554.2868718900922</v>
      </c>
      <c r="K127" s="159">
        <f>'Other Electriciy Rates'!$J$25</f>
        <v>0.065</v>
      </c>
      <c r="L127" s="182">
        <f>+J127*K127</f>
        <v>101.028646672856</v>
      </c>
      <c r="M127" s="417">
        <f t="shared" si="17"/>
        <v>0.10639667285600751</v>
      </c>
      <c r="N127" s="176">
        <f t="shared" si="16"/>
        <v>0.0010542439636057215</v>
      </c>
      <c r="O127" s="189">
        <f>L127/L130</f>
        <v>0.5155286984637496</v>
      </c>
      <c r="P127" s="118"/>
    </row>
    <row r="128" spans="2:16" ht="21.75" customHeight="1" thickBot="1">
      <c r="B128" s="125"/>
      <c r="C128" s="31"/>
      <c r="D128" s="31"/>
      <c r="E128" s="31"/>
      <c r="F128" s="476" t="s">
        <v>191</v>
      </c>
      <c r="G128" s="676"/>
      <c r="H128" s="677"/>
      <c r="I128" s="477">
        <f>SUM(I125:I127)</f>
        <v>168.011115</v>
      </c>
      <c r="J128" s="676"/>
      <c r="K128" s="677"/>
      <c r="L128" s="477">
        <f>SUM(L125:L127)</f>
        <v>173.42561583438936</v>
      </c>
      <c r="M128" s="477">
        <f t="shared" si="17"/>
        <v>5.414500834389372</v>
      </c>
      <c r="N128" s="481">
        <f t="shared" si="16"/>
        <v>0.03222703946931947</v>
      </c>
      <c r="O128" s="483">
        <f>L128/L130</f>
        <v>0.8849557522123893</v>
      </c>
      <c r="P128" s="228"/>
    </row>
    <row r="129" spans="2:16" ht="21.75" customHeight="1" thickBot="1">
      <c r="B129" s="125"/>
      <c r="C129" s="31"/>
      <c r="D129" s="31"/>
      <c r="E129" s="31"/>
      <c r="F129" s="222" t="s">
        <v>323</v>
      </c>
      <c r="G129" s="223"/>
      <c r="H129" s="227">
        <v>0.13</v>
      </c>
      <c r="I129" s="224">
        <f>I128*H129</f>
        <v>21.84144495</v>
      </c>
      <c r="J129" s="223"/>
      <c r="K129" s="227">
        <v>0.13</v>
      </c>
      <c r="L129" s="225">
        <f>L128*K129</f>
        <v>22.54533005847062</v>
      </c>
      <c r="M129" s="183">
        <f t="shared" si="17"/>
        <v>0.7038851084706188</v>
      </c>
      <c r="N129" s="187">
        <f t="shared" si="16"/>
        <v>0.032227039469319485</v>
      </c>
      <c r="O129" s="189">
        <f>L129/L130</f>
        <v>0.11504424778761062</v>
      </c>
      <c r="P129" s="118"/>
    </row>
    <row r="130" spans="2:16" s="280" customFormat="1" ht="21.75" customHeight="1" thickBot="1">
      <c r="B130" s="276"/>
      <c r="C130" s="277"/>
      <c r="D130" s="277"/>
      <c r="E130" s="278"/>
      <c r="F130" s="478" t="s">
        <v>75</v>
      </c>
      <c r="G130" s="693"/>
      <c r="H130" s="694"/>
      <c r="I130" s="479">
        <f>I128+I129</f>
        <v>189.85255995</v>
      </c>
      <c r="J130" s="693"/>
      <c r="K130" s="694"/>
      <c r="L130" s="479">
        <f>L128+L129</f>
        <v>195.97094589286</v>
      </c>
      <c r="M130" s="479">
        <f>M128+M129</f>
        <v>6.118385942859991</v>
      </c>
      <c r="N130" s="484">
        <f t="shared" si="16"/>
        <v>0.03222703946931947</v>
      </c>
      <c r="O130" s="485">
        <f>O128+O129</f>
        <v>0.9999999999999999</v>
      </c>
      <c r="P130" s="279"/>
    </row>
    <row r="131" spans="2:16" ht="18" customHeight="1">
      <c r="B131" s="125"/>
      <c r="C131" s="31"/>
      <c r="D131" s="31"/>
      <c r="E131" s="35"/>
      <c r="P131" s="118"/>
    </row>
    <row r="132" spans="2:16" ht="7.5" customHeight="1" thickBot="1">
      <c r="B132" s="119"/>
      <c r="C132" s="131"/>
      <c r="D132" s="131"/>
      <c r="E132" s="131"/>
      <c r="F132" s="132"/>
      <c r="G132" s="133"/>
      <c r="H132" s="134"/>
      <c r="I132" s="135"/>
      <c r="J132" s="133"/>
      <c r="K132" s="136"/>
      <c r="L132" s="135"/>
      <c r="M132" s="140"/>
      <c r="N132" s="138"/>
      <c r="O132" s="139"/>
      <c r="P132" s="120"/>
    </row>
    <row r="133" ht="18" customHeight="1" thickBot="1"/>
    <row r="134" spans="2:16" ht="18" customHeight="1" thickBot="1">
      <c r="B134" s="127"/>
      <c r="C134" s="684"/>
      <c r="D134" s="684"/>
      <c r="E134" s="684"/>
      <c r="F134" s="684"/>
      <c r="G134" s="684"/>
      <c r="H134" s="684"/>
      <c r="I134" s="684"/>
      <c r="J134" s="684"/>
      <c r="K134" s="684"/>
      <c r="L134" s="684"/>
      <c r="M134" s="684"/>
      <c r="N134" s="684"/>
      <c r="O134" s="684"/>
      <c r="P134" s="117"/>
    </row>
    <row r="135" spans="2:16" ht="21.75" customHeight="1">
      <c r="B135" s="127"/>
      <c r="C135" s="690" t="s">
        <v>45</v>
      </c>
      <c r="D135" s="690"/>
      <c r="E135" s="690"/>
      <c r="F135" s="690"/>
      <c r="G135" s="690"/>
      <c r="H135" s="690"/>
      <c r="I135" s="690"/>
      <c r="J135" s="690"/>
      <c r="K135" s="690"/>
      <c r="L135" s="690"/>
      <c r="M135" s="690"/>
      <c r="N135" s="690"/>
      <c r="O135" s="690"/>
      <c r="P135" s="117"/>
    </row>
    <row r="136" spans="2:16" ht="21.75" customHeight="1" thickBot="1">
      <c r="B136" s="125"/>
      <c r="C136" s="691"/>
      <c r="D136" s="691"/>
      <c r="E136" s="691"/>
      <c r="F136" s="691"/>
      <c r="G136" s="691"/>
      <c r="H136" s="691"/>
      <c r="I136" s="691"/>
      <c r="J136" s="691"/>
      <c r="K136" s="691"/>
      <c r="L136" s="691"/>
      <c r="M136" s="691"/>
      <c r="N136" s="691"/>
      <c r="O136" s="691"/>
      <c r="P136" s="118"/>
    </row>
    <row r="137" spans="2:16" ht="21.75" customHeight="1" thickBot="1">
      <c r="B137" s="125"/>
      <c r="C137" s="126"/>
      <c r="D137" s="126"/>
      <c r="E137" s="31"/>
      <c r="F137" s="37"/>
      <c r="G137" s="678" t="str">
        <f>$G$10</f>
        <v>2010 BILL</v>
      </c>
      <c r="H137" s="679"/>
      <c r="I137" s="680"/>
      <c r="J137" s="678" t="str">
        <f>$J$10</f>
        <v>2011 BILL</v>
      </c>
      <c r="K137" s="679"/>
      <c r="L137" s="680"/>
      <c r="M137" s="678" t="s">
        <v>69</v>
      </c>
      <c r="N137" s="679"/>
      <c r="O137" s="680"/>
      <c r="P137" s="118"/>
    </row>
    <row r="138" spans="2:16" ht="26.25" thickBot="1">
      <c r="B138" s="125"/>
      <c r="C138" s="31"/>
      <c r="D138" s="31"/>
      <c r="E138" s="33"/>
      <c r="F138" s="38"/>
      <c r="G138" s="167" t="s">
        <v>63</v>
      </c>
      <c r="H138" s="142" t="s">
        <v>64</v>
      </c>
      <c r="I138" s="143" t="s">
        <v>65</v>
      </c>
      <c r="J138" s="167" t="s">
        <v>63</v>
      </c>
      <c r="K138" s="142" t="s">
        <v>64</v>
      </c>
      <c r="L138" s="143" t="s">
        <v>65</v>
      </c>
      <c r="M138" s="169" t="s">
        <v>76</v>
      </c>
      <c r="N138" s="170" t="s">
        <v>77</v>
      </c>
      <c r="O138" s="171" t="s">
        <v>72</v>
      </c>
      <c r="P138" s="118"/>
    </row>
    <row r="139" spans="2:16" ht="21.75" customHeight="1" thickBot="1">
      <c r="B139" s="125"/>
      <c r="C139" s="681" t="s">
        <v>66</v>
      </c>
      <c r="D139" s="682"/>
      <c r="E139" s="31"/>
      <c r="F139" s="151" t="s">
        <v>67</v>
      </c>
      <c r="G139" s="161"/>
      <c r="H139" s="162"/>
      <c r="I139" s="163">
        <f>+'2010 Existing Rates'!$C$8</f>
        <v>13.71</v>
      </c>
      <c r="J139" s="161"/>
      <c r="K139" s="162"/>
      <c r="L139" s="166">
        <f>'Rate Schedule (Part 1)'!$E$12</f>
        <v>15.36</v>
      </c>
      <c r="M139" s="175">
        <f aca="true" t="shared" si="18" ref="M139:M144">+L139-I139</f>
        <v>1.6499999999999986</v>
      </c>
      <c r="N139" s="176">
        <f>+M139/I139</f>
        <v>0.12035010940919026</v>
      </c>
      <c r="O139" s="177">
        <f>L139/L152</f>
        <v>0.0600770467195434</v>
      </c>
      <c r="P139" s="118"/>
    </row>
    <row r="140" spans="2:16" ht="21.75" customHeight="1" thickBot="1">
      <c r="B140" s="125"/>
      <c r="C140" s="121">
        <v>2000</v>
      </c>
      <c r="D140" s="122" t="s">
        <v>15</v>
      </c>
      <c r="E140" s="31"/>
      <c r="F140" s="152" t="s">
        <v>68</v>
      </c>
      <c r="G140" s="155">
        <f>+C140</f>
        <v>2000</v>
      </c>
      <c r="H140" s="149">
        <f>'2010 Existing Rates'!$B$58</f>
        <v>0.0128</v>
      </c>
      <c r="I140" s="164">
        <f>+G140*H140</f>
        <v>25.6</v>
      </c>
      <c r="J140" s="155">
        <f>+C140</f>
        <v>2000</v>
      </c>
      <c r="K140" s="148">
        <f>'Rate Schedule (Part 1)'!$E$13</f>
        <v>0.0143</v>
      </c>
      <c r="L140" s="168">
        <f>+J140*K140</f>
        <v>28.6</v>
      </c>
      <c r="M140" s="178">
        <f t="shared" si="18"/>
        <v>3</v>
      </c>
      <c r="N140" s="176">
        <f>+M140/I140</f>
        <v>0.1171875</v>
      </c>
      <c r="O140" s="179">
        <f>L140/L152</f>
        <v>0.11186220938664983</v>
      </c>
      <c r="P140" s="118"/>
    </row>
    <row r="141" spans="2:16" ht="21.75" customHeight="1" thickBot="1">
      <c r="B141" s="125"/>
      <c r="C141" s="271"/>
      <c r="D141" s="272"/>
      <c r="E141" s="31"/>
      <c r="F141" s="152" t="s">
        <v>233</v>
      </c>
      <c r="G141" s="155">
        <f>G140</f>
        <v>2000</v>
      </c>
      <c r="H141" s="149">
        <f>'2010 Existing Rates'!$B$33</f>
        <v>0.0003</v>
      </c>
      <c r="I141" s="164">
        <f>+G141*H141</f>
        <v>0.6</v>
      </c>
      <c r="J141" s="155">
        <f>J140</f>
        <v>2000</v>
      </c>
      <c r="K141" s="148">
        <f>'Rate Schedule (Part 1)'!$E$14</f>
        <v>0.0002</v>
      </c>
      <c r="L141" s="168">
        <f>+J141*K141</f>
        <v>0.4</v>
      </c>
      <c r="M141" s="178">
        <f t="shared" si="18"/>
        <v>-0.19999999999999996</v>
      </c>
      <c r="N141" s="176">
        <f>+M141/I141</f>
        <v>-0.33333333333333326</v>
      </c>
      <c r="O141" s="179">
        <f>L141/L152</f>
        <v>0.0015645064249881094</v>
      </c>
      <c r="P141" s="118"/>
    </row>
    <row r="142" spans="2:16" ht="21.75" customHeight="1" thickBot="1">
      <c r="B142" s="125"/>
      <c r="C142" s="62"/>
      <c r="D142" s="63"/>
      <c r="E142" s="31"/>
      <c r="F142" s="152" t="s">
        <v>166</v>
      </c>
      <c r="G142" s="174"/>
      <c r="H142" s="173"/>
      <c r="I142" s="164">
        <f>'2010 Existing Rates'!$B$45</f>
        <v>2.16</v>
      </c>
      <c r="J142" s="174"/>
      <c r="K142" s="173"/>
      <c r="L142" s="168">
        <f>'Rate Schedule (Part 1)'!$E$16</f>
        <v>-0.43193202035146244</v>
      </c>
      <c r="M142" s="178">
        <f t="shared" si="18"/>
        <v>-2.5919320203514626</v>
      </c>
      <c r="N142" s="176">
        <f>+M142/I142</f>
        <v>-1.199968527940492</v>
      </c>
      <c r="O142" s="179">
        <f>L142/L152</f>
        <v>-0.0016894010524948946</v>
      </c>
      <c r="P142" s="118"/>
    </row>
    <row r="143" spans="2:16" ht="21.75" customHeight="1" thickBot="1">
      <c r="B143" s="125"/>
      <c r="C143" s="62"/>
      <c r="D143" s="63"/>
      <c r="E143" s="31"/>
      <c r="F143" s="152" t="s">
        <v>158</v>
      </c>
      <c r="G143" s="155">
        <f>C140</f>
        <v>2000</v>
      </c>
      <c r="H143" s="149"/>
      <c r="I143" s="160">
        <f>+G143*H143</f>
        <v>0</v>
      </c>
      <c r="J143" s="155">
        <f>C140</f>
        <v>2000</v>
      </c>
      <c r="K143" s="148">
        <f>'Rate Schedule (Part 1)'!$E$15</f>
        <v>0</v>
      </c>
      <c r="L143" s="168">
        <f>J143*K143</f>
        <v>0</v>
      </c>
      <c r="M143" s="178">
        <f t="shared" si="18"/>
        <v>0</v>
      </c>
      <c r="N143" s="176">
        <v>0</v>
      </c>
      <c r="O143" s="179">
        <f>L143/L152</f>
        <v>0</v>
      </c>
      <c r="P143" s="118"/>
    </row>
    <row r="144" spans="2:16" ht="21.75" customHeight="1" thickBot="1">
      <c r="B144" s="125"/>
      <c r="C144" s="31"/>
      <c r="D144" s="31"/>
      <c r="E144" s="31"/>
      <c r="F144" s="153" t="s">
        <v>232</v>
      </c>
      <c r="G144" s="180">
        <f>+C140</f>
        <v>2000</v>
      </c>
      <c r="H144" s="181">
        <f>+'2010 Existing Rates'!$B$21</f>
        <v>-0.0039</v>
      </c>
      <c r="I144" s="182">
        <f>+G144*H144</f>
        <v>-7.8</v>
      </c>
      <c r="J144" s="180">
        <f>+C140</f>
        <v>2000</v>
      </c>
      <c r="K144" s="181">
        <f>'Rate Schedule (Part 1)'!$E$17</f>
        <v>-0.0006676344696067126</v>
      </c>
      <c r="L144" s="182">
        <f>+J144*K144</f>
        <v>-1.3352689392134252</v>
      </c>
      <c r="M144" s="178">
        <f t="shared" si="18"/>
        <v>6.4647310607865744</v>
      </c>
      <c r="N144" s="176">
        <f aca="true" t="shared" si="19" ref="N144:N152">+M144/I144</f>
        <v>-0.8288116744598173</v>
      </c>
      <c r="O144" s="179">
        <f>L144/L152</f>
        <v>-0.005222592086216152</v>
      </c>
      <c r="P144" s="118"/>
    </row>
    <row r="145" spans="2:16" ht="21.75" customHeight="1" thickBot="1">
      <c r="B145" s="125"/>
      <c r="C145" s="31"/>
      <c r="D145" s="31"/>
      <c r="E145" s="31"/>
      <c r="F145" s="476" t="s">
        <v>234</v>
      </c>
      <c r="G145" s="676"/>
      <c r="H145" s="677"/>
      <c r="I145" s="477">
        <f>SUM(I139:I144)</f>
        <v>34.27000000000001</v>
      </c>
      <c r="J145" s="676"/>
      <c r="K145" s="677"/>
      <c r="L145" s="477">
        <f>SUM(L139:L144)</f>
        <v>42.59279904043511</v>
      </c>
      <c r="M145" s="480">
        <f aca="true" t="shared" si="20" ref="M145:M151">+L145-I145</f>
        <v>8.3227990404351</v>
      </c>
      <c r="N145" s="481">
        <f t="shared" si="19"/>
        <v>0.24285961600335856</v>
      </c>
      <c r="O145" s="482">
        <f>L145/L152</f>
        <v>0.16659176939247028</v>
      </c>
      <c r="P145" s="118"/>
    </row>
    <row r="146" spans="2:16" ht="21.75" customHeight="1" thickBot="1">
      <c r="B146" s="125"/>
      <c r="C146" s="31"/>
      <c r="D146" s="31"/>
      <c r="E146" s="31"/>
      <c r="F146" s="152" t="s">
        <v>235</v>
      </c>
      <c r="G146" s="273">
        <f>C140*'Other Electriciy Rates'!$L$10</f>
        <v>2070.2</v>
      </c>
      <c r="H146" s="274">
        <f>'Other Electriciy Rates'!$B$10</f>
        <v>0.0106</v>
      </c>
      <c r="I146" s="164">
        <f>+G146*H146</f>
        <v>21.944119999999998</v>
      </c>
      <c r="J146" s="273">
        <f>'BILL IMPACTS'!C140*'Other Electriciy Rates'!$L$25</f>
        <v>2072.382495853456</v>
      </c>
      <c r="K146" s="274">
        <f>'Other Electriciy Rates'!$B$25</f>
        <v>0.010125209445178581</v>
      </c>
      <c r="L146" s="164">
        <f>+J146*K146</f>
        <v>20.983306821038173</v>
      </c>
      <c r="M146" s="275">
        <f t="shared" si="20"/>
        <v>-0.9608131789618248</v>
      </c>
      <c r="N146" s="176">
        <f t="shared" si="19"/>
        <v>-0.04378453904562247</v>
      </c>
      <c r="O146" s="177">
        <f>L146/L152</f>
        <v>0.0820712958475276</v>
      </c>
      <c r="P146" s="118"/>
    </row>
    <row r="147" spans="2:16" ht="21.75" customHeight="1" thickBot="1">
      <c r="B147" s="125"/>
      <c r="C147" s="31"/>
      <c r="D147" s="31"/>
      <c r="E147" s="31"/>
      <c r="F147" s="476" t="s">
        <v>236</v>
      </c>
      <c r="G147" s="676"/>
      <c r="H147" s="677"/>
      <c r="I147" s="477">
        <f>I145+I146</f>
        <v>56.21412000000001</v>
      </c>
      <c r="J147" s="676"/>
      <c r="K147" s="677"/>
      <c r="L147" s="477">
        <f>L145+L146</f>
        <v>63.57610586147328</v>
      </c>
      <c r="M147" s="480">
        <f t="shared" si="20"/>
        <v>7.361985861473272</v>
      </c>
      <c r="N147" s="481">
        <f t="shared" si="19"/>
        <v>0.13096328576295904</v>
      </c>
      <c r="O147" s="483">
        <f>L147/L152</f>
        <v>0.24866306523999787</v>
      </c>
      <c r="P147" s="118"/>
    </row>
    <row r="148" spans="2:16" ht="21.75" customHeight="1" thickBot="1">
      <c r="B148" s="125"/>
      <c r="C148" s="31"/>
      <c r="D148" s="31"/>
      <c r="E148" s="31"/>
      <c r="F148" s="154" t="s">
        <v>73</v>
      </c>
      <c r="G148" s="156">
        <f>+'Other Electriciy Rates'!$L$10*C140</f>
        <v>2070.2</v>
      </c>
      <c r="H148" s="157">
        <f>'Other Electriciy Rates'!$C$10+'Other Electriciy Rates'!$D$10</f>
        <v>0.0135</v>
      </c>
      <c r="I148" s="158">
        <f>+G148*H148</f>
        <v>27.947699999999998</v>
      </c>
      <c r="J148" s="156">
        <f>J146</f>
        <v>2072.382495853456</v>
      </c>
      <c r="K148" s="157">
        <f>'Other Electriciy Rates'!$C$25+'Other Electriciy Rates'!$D$25</f>
        <v>0.0135</v>
      </c>
      <c r="L148" s="185">
        <f>+J148*K148</f>
        <v>27.977163694021655</v>
      </c>
      <c r="M148" s="416">
        <f t="shared" si="20"/>
        <v>0.029463694021657716</v>
      </c>
      <c r="N148" s="176">
        <f t="shared" si="19"/>
        <v>0.0010542439636055103</v>
      </c>
      <c r="O148" s="226">
        <f>L148/L152</f>
        <v>0.10942613088060237</v>
      </c>
      <c r="P148" s="118"/>
    </row>
    <row r="149" spans="2:16" ht="21.75" customHeight="1" thickBot="1">
      <c r="B149" s="125"/>
      <c r="C149" s="31"/>
      <c r="D149" s="31"/>
      <c r="E149" s="31"/>
      <c r="F149" s="152" t="s">
        <v>74</v>
      </c>
      <c r="G149" s="165">
        <f>+'Other Electriciy Rates'!$L$10*C140</f>
        <v>2070.2</v>
      </c>
      <c r="H149" s="159">
        <f>'Other Electriciy Rates'!$J$10</f>
        <v>0.065</v>
      </c>
      <c r="I149" s="160">
        <f>+G149*H149</f>
        <v>134.563</v>
      </c>
      <c r="J149" s="165">
        <f>J148</f>
        <v>2072.382495853456</v>
      </c>
      <c r="K149" s="159">
        <f>'Other Electriciy Rates'!$J$25</f>
        <v>0.065</v>
      </c>
      <c r="L149" s="182">
        <f>+J149*K149</f>
        <v>134.70486223047465</v>
      </c>
      <c r="M149" s="417">
        <f t="shared" si="20"/>
        <v>0.14186223047465774</v>
      </c>
      <c r="N149" s="176">
        <f t="shared" si="19"/>
        <v>0.0010542439636055806</v>
      </c>
      <c r="O149" s="189">
        <f>L149/L152</f>
        <v>0.5268665560917892</v>
      </c>
      <c r="P149" s="118"/>
    </row>
    <row r="150" spans="2:16" ht="21.75" customHeight="1" thickBot="1">
      <c r="B150" s="125"/>
      <c r="C150" s="31"/>
      <c r="D150" s="31"/>
      <c r="E150" s="31"/>
      <c r="F150" s="476" t="s">
        <v>191</v>
      </c>
      <c r="G150" s="676"/>
      <c r="H150" s="677"/>
      <c r="I150" s="477">
        <f>SUM(I147:I149)</f>
        <v>218.72482</v>
      </c>
      <c r="J150" s="676"/>
      <c r="K150" s="677"/>
      <c r="L150" s="477">
        <f>SUM(L147:L149)</f>
        <v>226.25813178596957</v>
      </c>
      <c r="M150" s="477">
        <f t="shared" si="20"/>
        <v>7.533311785969573</v>
      </c>
      <c r="N150" s="481">
        <f t="shared" si="19"/>
        <v>0.03444196130082344</v>
      </c>
      <c r="O150" s="483">
        <f>L150/L152</f>
        <v>0.8849557522123894</v>
      </c>
      <c r="P150" s="228"/>
    </row>
    <row r="151" spans="2:16" ht="21.75" customHeight="1" thickBot="1">
      <c r="B151" s="125"/>
      <c r="C151" s="31"/>
      <c r="D151" s="31"/>
      <c r="E151" s="31"/>
      <c r="F151" s="222" t="s">
        <v>323</v>
      </c>
      <c r="G151" s="223"/>
      <c r="H151" s="227">
        <v>0.13</v>
      </c>
      <c r="I151" s="224">
        <f>I150*H151</f>
        <v>28.4342266</v>
      </c>
      <c r="J151" s="223"/>
      <c r="K151" s="227">
        <v>0.13</v>
      </c>
      <c r="L151" s="225">
        <f>L150*K151</f>
        <v>29.413557132176045</v>
      </c>
      <c r="M151" s="183">
        <f t="shared" si="20"/>
        <v>0.9793305321760464</v>
      </c>
      <c r="N151" s="187">
        <f t="shared" si="19"/>
        <v>0.03444196130082351</v>
      </c>
      <c r="O151" s="189">
        <f>L151/L152</f>
        <v>0.11504424778761063</v>
      </c>
      <c r="P151" s="118"/>
    </row>
    <row r="152" spans="2:16" s="280" customFormat="1" ht="21.75" customHeight="1" thickBot="1">
      <c r="B152" s="276"/>
      <c r="C152" s="277"/>
      <c r="D152" s="277"/>
      <c r="E152" s="278"/>
      <c r="F152" s="478" t="s">
        <v>75</v>
      </c>
      <c r="G152" s="693"/>
      <c r="H152" s="694"/>
      <c r="I152" s="479">
        <f>I150+I151</f>
        <v>247.15904659999998</v>
      </c>
      <c r="J152" s="693"/>
      <c r="K152" s="694"/>
      <c r="L152" s="479">
        <f>L150+L151</f>
        <v>255.6716889181456</v>
      </c>
      <c r="M152" s="479">
        <f>M150+M151</f>
        <v>8.51264231814562</v>
      </c>
      <c r="N152" s="484">
        <f t="shared" si="19"/>
        <v>0.03444196130082345</v>
      </c>
      <c r="O152" s="485">
        <f>O150+O151</f>
        <v>1</v>
      </c>
      <c r="P152" s="279"/>
    </row>
    <row r="153" spans="2:16" ht="18" customHeight="1">
      <c r="B153" s="125"/>
      <c r="C153" s="31"/>
      <c r="D153" s="31"/>
      <c r="E153" s="35"/>
      <c r="P153" s="118"/>
    </row>
    <row r="154" spans="2:16" ht="18" customHeight="1" thickBot="1">
      <c r="B154" s="119"/>
      <c r="C154" s="131"/>
      <c r="D154" s="131"/>
      <c r="E154" s="131"/>
      <c r="F154" s="132"/>
      <c r="G154" s="133"/>
      <c r="H154" s="134"/>
      <c r="I154" s="135"/>
      <c r="J154" s="133"/>
      <c r="K154" s="136"/>
      <c r="L154" s="135"/>
      <c r="M154" s="140"/>
      <c r="N154" s="138"/>
      <c r="O154" s="139"/>
      <c r="P154" s="120"/>
    </row>
    <row r="155" spans="2:16" ht="18" customHeight="1" thickBot="1">
      <c r="B155" s="25"/>
      <c r="C155" s="31"/>
      <c r="D155" s="31"/>
      <c r="E155" s="31"/>
      <c r="F155" s="49"/>
      <c r="G155" s="50"/>
      <c r="H155" s="51"/>
      <c r="I155" s="52"/>
      <c r="J155" s="50"/>
      <c r="K155" s="53"/>
      <c r="L155" s="52"/>
      <c r="M155" s="130"/>
      <c r="N155" s="128"/>
      <c r="O155" s="129"/>
      <c r="P155" s="25"/>
    </row>
    <row r="156" spans="2:16" ht="18" customHeight="1">
      <c r="B156" s="127"/>
      <c r="C156" s="684"/>
      <c r="D156" s="684"/>
      <c r="E156" s="684"/>
      <c r="F156" s="684"/>
      <c r="G156" s="684"/>
      <c r="H156" s="684"/>
      <c r="I156" s="684"/>
      <c r="J156" s="684"/>
      <c r="K156" s="684"/>
      <c r="L156" s="684"/>
      <c r="M156" s="684"/>
      <c r="N156" s="684"/>
      <c r="O156" s="684"/>
      <c r="P156" s="117"/>
    </row>
    <row r="157" spans="2:16" ht="23.25">
      <c r="B157" s="125"/>
      <c r="C157" s="683" t="s">
        <v>133</v>
      </c>
      <c r="D157" s="683"/>
      <c r="E157" s="683"/>
      <c r="F157" s="683"/>
      <c r="G157" s="683"/>
      <c r="H157" s="683"/>
      <c r="I157" s="683"/>
      <c r="J157" s="683"/>
      <c r="K157" s="683"/>
      <c r="L157" s="683"/>
      <c r="M157" s="683"/>
      <c r="N157" s="683"/>
      <c r="O157" s="683"/>
      <c r="P157" s="118"/>
    </row>
    <row r="158" spans="2:16" ht="18" customHeight="1" thickBot="1">
      <c r="B158" s="125"/>
      <c r="C158" s="685"/>
      <c r="D158" s="685"/>
      <c r="E158" s="685"/>
      <c r="F158" s="685"/>
      <c r="G158" s="685"/>
      <c r="H158" s="685"/>
      <c r="I158" s="685"/>
      <c r="J158" s="685"/>
      <c r="K158" s="685"/>
      <c r="L158" s="685"/>
      <c r="M158" s="685"/>
      <c r="N158" s="685"/>
      <c r="O158" s="685"/>
      <c r="P158" s="118"/>
    </row>
    <row r="159" spans="2:16" ht="18" customHeight="1" thickBot="1">
      <c r="B159" s="125"/>
      <c r="C159" s="126"/>
      <c r="D159" s="126"/>
      <c r="E159" s="31"/>
      <c r="F159" s="37"/>
      <c r="G159" s="678" t="str">
        <f>$G$10</f>
        <v>2010 BILL</v>
      </c>
      <c r="H159" s="679"/>
      <c r="I159" s="680"/>
      <c r="J159" s="678" t="str">
        <f>$J$10</f>
        <v>2011 BILL</v>
      </c>
      <c r="K159" s="679"/>
      <c r="L159" s="680"/>
      <c r="M159" s="678" t="s">
        <v>69</v>
      </c>
      <c r="N159" s="679"/>
      <c r="O159" s="680"/>
      <c r="P159" s="118"/>
    </row>
    <row r="160" spans="2:16" ht="26.25" thickBot="1">
      <c r="B160" s="125"/>
      <c r="C160" s="31"/>
      <c r="D160" s="31"/>
      <c r="E160" s="33"/>
      <c r="F160" s="38"/>
      <c r="G160" s="141" t="s">
        <v>63</v>
      </c>
      <c r="H160" s="142" t="s">
        <v>64</v>
      </c>
      <c r="I160" s="143" t="s">
        <v>65</v>
      </c>
      <c r="J160" s="144" t="s">
        <v>63</v>
      </c>
      <c r="K160" s="142" t="s">
        <v>64</v>
      </c>
      <c r="L160" s="143" t="s">
        <v>65</v>
      </c>
      <c r="M160" s="145" t="s">
        <v>76</v>
      </c>
      <c r="N160" s="146" t="s">
        <v>77</v>
      </c>
      <c r="O160" s="147" t="s">
        <v>72</v>
      </c>
      <c r="P160" s="118"/>
    </row>
    <row r="161" spans="2:16" ht="18" customHeight="1" thickBot="1">
      <c r="B161" s="125"/>
      <c r="C161" s="681" t="s">
        <v>66</v>
      </c>
      <c r="D161" s="682"/>
      <c r="E161" s="31"/>
      <c r="F161" s="151" t="s">
        <v>67</v>
      </c>
      <c r="G161" s="161"/>
      <c r="H161" s="162"/>
      <c r="I161" s="163">
        <f>'2010 Existing Rates'!$C$9</f>
        <v>14.7</v>
      </c>
      <c r="J161" s="161"/>
      <c r="K161" s="162"/>
      <c r="L161" s="166">
        <f>'Rate Schedule (Part 1)'!$E$20</f>
        <v>16.78</v>
      </c>
      <c r="M161" s="175">
        <f aca="true" t="shared" si="21" ref="M161:M166">+L161-I161</f>
        <v>2.080000000000002</v>
      </c>
      <c r="N161" s="176">
        <f aca="true" t="shared" si="22" ref="N161:N169">+M161/I161</f>
        <v>0.1414965986394559</v>
      </c>
      <c r="O161" s="177">
        <f>L161/L175</f>
        <v>0.11530587129591613</v>
      </c>
      <c r="P161" s="118"/>
    </row>
    <row r="162" spans="2:16" ht="18" customHeight="1" thickBot="1">
      <c r="B162" s="125"/>
      <c r="C162" s="123">
        <v>1000</v>
      </c>
      <c r="D162" s="124" t="s">
        <v>15</v>
      </c>
      <c r="E162" s="31"/>
      <c r="F162" s="152" t="s">
        <v>68</v>
      </c>
      <c r="G162" s="155">
        <f>+C162</f>
        <v>1000</v>
      </c>
      <c r="H162" s="149">
        <f>'2010 Existing Rates'!$E$9</f>
        <v>0.0156</v>
      </c>
      <c r="I162" s="164">
        <f>+G162*H162</f>
        <v>15.6</v>
      </c>
      <c r="J162" s="155">
        <f>+C162</f>
        <v>1000</v>
      </c>
      <c r="K162" s="148">
        <f>'Rate Schedule (Part 1)'!$E$21</f>
        <v>0.0178</v>
      </c>
      <c r="L162" s="168">
        <f>+J162*K162</f>
        <v>17.8</v>
      </c>
      <c r="M162" s="178">
        <f t="shared" si="21"/>
        <v>2.200000000000001</v>
      </c>
      <c r="N162" s="172">
        <f t="shared" si="22"/>
        <v>0.1410256410256411</v>
      </c>
      <c r="O162" s="179">
        <f>L162/L175</f>
        <v>0.12231492902665715</v>
      </c>
      <c r="P162" s="118"/>
    </row>
    <row r="163" spans="2:16" ht="18" customHeight="1">
      <c r="B163" s="125"/>
      <c r="C163" s="62"/>
      <c r="D163" s="63"/>
      <c r="E163" s="31"/>
      <c r="F163" s="152" t="s">
        <v>233</v>
      </c>
      <c r="G163" s="155">
        <f>G162</f>
        <v>1000</v>
      </c>
      <c r="H163" s="149">
        <f>'2010 Existing Rates'!$B$34</f>
        <v>0.0002</v>
      </c>
      <c r="I163" s="164">
        <f>+G163*H163</f>
        <v>0.2</v>
      </c>
      <c r="J163" s="155">
        <f>J162</f>
        <v>1000</v>
      </c>
      <c r="K163" s="148">
        <f>'Rate Schedule (Part 1)'!$E$22</f>
        <v>0.0002</v>
      </c>
      <c r="L163" s="168">
        <f>+J163*K163</f>
        <v>0.2</v>
      </c>
      <c r="M163" s="178">
        <f t="shared" si="21"/>
        <v>0</v>
      </c>
      <c r="N163" s="172">
        <f t="shared" si="22"/>
        <v>0</v>
      </c>
      <c r="O163" s="179">
        <f>L163/L175</f>
        <v>0.0013743250452433388</v>
      </c>
      <c r="P163" s="118"/>
    </row>
    <row r="164" spans="2:16" ht="18" customHeight="1">
      <c r="B164" s="125"/>
      <c r="C164" s="62"/>
      <c r="D164" s="63"/>
      <c r="E164" s="31"/>
      <c r="F164" s="152" t="s">
        <v>166</v>
      </c>
      <c r="G164" s="174"/>
      <c r="H164" s="173"/>
      <c r="I164" s="164">
        <f>'2010 Existing Rates'!$B$46</f>
        <v>2.16</v>
      </c>
      <c r="J164" s="174"/>
      <c r="K164" s="173"/>
      <c r="L164" s="168">
        <f>'Rate Schedule (Part 1)'!$E$24</f>
        <v>-0.43193202035146244</v>
      </c>
      <c r="M164" s="178">
        <f t="shared" si="21"/>
        <v>-2.5919320203514626</v>
      </c>
      <c r="N164" s="172">
        <f t="shared" si="22"/>
        <v>-1.199968527940492</v>
      </c>
      <c r="O164" s="179">
        <f>L164/L175</f>
        <v>-0.0029680749670578516</v>
      </c>
      <c r="P164" s="118"/>
    </row>
    <row r="165" spans="1:16" ht="18" customHeight="1">
      <c r="A165" s="118"/>
      <c r="B165" s="25"/>
      <c r="C165" s="31"/>
      <c r="D165" s="31"/>
      <c r="E165" s="31"/>
      <c r="F165" s="152" t="s">
        <v>158</v>
      </c>
      <c r="G165" s="155">
        <f>C162</f>
        <v>1000</v>
      </c>
      <c r="H165" s="149"/>
      <c r="I165" s="160">
        <f>+G165*H165</f>
        <v>0</v>
      </c>
      <c r="J165" s="155">
        <f>C162</f>
        <v>1000</v>
      </c>
      <c r="K165" s="148">
        <f>'Rate Schedule (Part 1)'!$E$23</f>
        <v>0</v>
      </c>
      <c r="L165" s="168">
        <f>J165*K165</f>
        <v>0</v>
      </c>
      <c r="M165" s="178">
        <f t="shared" si="21"/>
        <v>0</v>
      </c>
      <c r="N165" s="172">
        <v>0</v>
      </c>
      <c r="O165" s="179">
        <f>L165/L175</f>
        <v>0</v>
      </c>
      <c r="P165" s="118"/>
    </row>
    <row r="166" spans="1:16" ht="18" customHeight="1" thickBot="1">
      <c r="A166" s="118"/>
      <c r="B166" s="25"/>
      <c r="C166" s="31"/>
      <c r="D166" s="31"/>
      <c r="E166" s="31"/>
      <c r="F166" s="153" t="s">
        <v>232</v>
      </c>
      <c r="G166" s="180">
        <f>+C162</f>
        <v>1000</v>
      </c>
      <c r="H166" s="181">
        <f>'2010 Existing Rates'!$B$22</f>
        <v>-0.0037</v>
      </c>
      <c r="I166" s="182">
        <f>+G166*H166</f>
        <v>-3.7</v>
      </c>
      <c r="J166" s="180">
        <f>+C162</f>
        <v>1000</v>
      </c>
      <c r="K166" s="181">
        <f>'Rate Schedule (Part 1)'!$E$25</f>
        <v>-0.0007654152677371481</v>
      </c>
      <c r="L166" s="182">
        <f>+J166*K166</f>
        <v>-0.7654152677371481</v>
      </c>
      <c r="M166" s="178">
        <f t="shared" si="21"/>
        <v>2.934584732262852</v>
      </c>
      <c r="N166" s="172">
        <f t="shared" si="22"/>
        <v>-0.7931310087196898</v>
      </c>
      <c r="O166" s="179">
        <f>L166/L175</f>
        <v>-0.005259646862313992</v>
      </c>
      <c r="P166" s="281"/>
    </row>
    <row r="167" spans="1:16" ht="18" customHeight="1" thickBot="1">
      <c r="A167" s="118"/>
      <c r="F167" s="476" t="s">
        <v>234</v>
      </c>
      <c r="G167" s="676"/>
      <c r="H167" s="677"/>
      <c r="I167" s="477">
        <f>SUM(I161:I166)</f>
        <v>28.959999999999997</v>
      </c>
      <c r="J167" s="676"/>
      <c r="K167" s="677"/>
      <c r="L167" s="477">
        <f>SUM(L161:L166)</f>
        <v>33.58265271191139</v>
      </c>
      <c r="M167" s="480">
        <f>SUM(M161:M166)</f>
        <v>4.6226527119113925</v>
      </c>
      <c r="N167" s="481">
        <f t="shared" si="22"/>
        <v>0.15962198590854257</v>
      </c>
      <c r="O167" s="482">
        <f>L167/L175</f>
        <v>0.2307674035384448</v>
      </c>
      <c r="P167" s="281"/>
    </row>
    <row r="168" spans="1:16" ht="18" customHeight="1" thickBot="1">
      <c r="A168" s="118"/>
      <c r="F168" s="152" t="s">
        <v>235</v>
      </c>
      <c r="G168" s="273">
        <f>C162*'Other Electriciy Rates'!$L$11</f>
        <v>1035.1</v>
      </c>
      <c r="H168" s="274">
        <f>'Other Electriciy Rates'!$B$11</f>
        <v>0.009600000000000001</v>
      </c>
      <c r="I168" s="164">
        <f>+G168*H168</f>
        <v>9.936960000000001</v>
      </c>
      <c r="J168" s="273">
        <f>'BILL IMPACTS'!C162*'Other Electriciy Rates'!$L$26</f>
        <v>1036.191247926728</v>
      </c>
      <c r="K168" s="274">
        <f>'Other Electriciy Rates'!$B$26</f>
        <v>0.009166720502807955</v>
      </c>
      <c r="L168" s="164">
        <f>+J168*K168</f>
        <v>9.498475557200099</v>
      </c>
      <c r="M168" s="275">
        <f aca="true" t="shared" si="23" ref="M168:M174">+L168-I168</f>
        <v>-0.4384844427999024</v>
      </c>
      <c r="N168" s="176">
        <f t="shared" si="22"/>
        <v>-0.04412661848290648</v>
      </c>
      <c r="O168" s="177">
        <f>L168/L175</f>
        <v>0.06526996424945886</v>
      </c>
      <c r="P168" s="281"/>
    </row>
    <row r="169" spans="1:16" ht="18" customHeight="1" thickBot="1">
      <c r="A169" s="118"/>
      <c r="F169" s="476" t="s">
        <v>236</v>
      </c>
      <c r="G169" s="676"/>
      <c r="H169" s="677"/>
      <c r="I169" s="477">
        <f>I167+I168</f>
        <v>38.89696</v>
      </c>
      <c r="J169" s="676"/>
      <c r="K169" s="677"/>
      <c r="L169" s="477">
        <f>L167+L168</f>
        <v>43.08112826911149</v>
      </c>
      <c r="M169" s="480">
        <f t="shared" si="23"/>
        <v>4.184168269111488</v>
      </c>
      <c r="N169" s="481">
        <f t="shared" si="22"/>
        <v>0.10757057284454848</v>
      </c>
      <c r="O169" s="483">
        <f>L169/L175</f>
        <v>0.2960373677879036</v>
      </c>
      <c r="P169" s="281"/>
    </row>
    <row r="170" spans="1:16" ht="18" customHeight="1">
      <c r="A170" s="118"/>
      <c r="F170" s="154" t="s">
        <v>73</v>
      </c>
      <c r="G170" s="156">
        <f>+'Other Electriciy Rates'!$L$10*C162</f>
        <v>1035.1</v>
      </c>
      <c r="H170" s="157">
        <f>'Other Electriciy Rates'!$C$11+'Other Electriciy Rates'!$D$11</f>
        <v>0.0135</v>
      </c>
      <c r="I170" s="158">
        <f>+G170*H170</f>
        <v>13.973849999999999</v>
      </c>
      <c r="J170" s="156">
        <f>J168</f>
        <v>1036.191247926728</v>
      </c>
      <c r="K170" s="157">
        <f>'Other Electriciy Rates'!$C$26+'Other Electriciy Rates'!$D$26</f>
        <v>0.0135</v>
      </c>
      <c r="L170" s="185">
        <f>+J170*K170</f>
        <v>13.988581847010828</v>
      </c>
      <c r="M170" s="186">
        <f t="shared" si="23"/>
        <v>0.014731847010828858</v>
      </c>
      <c r="N170" s="187">
        <f aca="true" t="shared" si="24" ref="N170:N175">+M170/I170</f>
        <v>0.0010542439636055103</v>
      </c>
      <c r="O170" s="226">
        <f>L170/L175</f>
        <v>0.09612429189891651</v>
      </c>
      <c r="P170" s="281"/>
    </row>
    <row r="171" spans="1:16" ht="18" customHeight="1">
      <c r="A171" s="118"/>
      <c r="B171" s="25"/>
      <c r="C171" s="31"/>
      <c r="D171" s="31"/>
      <c r="E171" s="31"/>
      <c r="F171" s="150" t="s">
        <v>74</v>
      </c>
      <c r="G171" s="156">
        <v>600</v>
      </c>
      <c r="H171" s="157">
        <f>'Other Electriciy Rates'!$J$11</f>
        <v>0.065</v>
      </c>
      <c r="I171" s="158">
        <f>+G171*H171</f>
        <v>39</v>
      </c>
      <c r="J171" s="156">
        <v>600</v>
      </c>
      <c r="K171" s="157">
        <f>'Other Electriciy Rates'!$J$26</f>
        <v>0.065</v>
      </c>
      <c r="L171" s="185">
        <f>+J171*K171</f>
        <v>39</v>
      </c>
      <c r="M171" s="186">
        <f t="shared" si="23"/>
        <v>0</v>
      </c>
      <c r="N171" s="187">
        <f t="shared" si="24"/>
        <v>0</v>
      </c>
      <c r="O171" s="188">
        <f>L171/L175</f>
        <v>0.2679933838224511</v>
      </c>
      <c r="P171" s="281"/>
    </row>
    <row r="172" spans="2:16" ht="18" customHeight="1" thickBot="1">
      <c r="B172" s="125"/>
      <c r="C172" s="31"/>
      <c r="D172" s="31"/>
      <c r="E172" s="31"/>
      <c r="F172" s="150" t="s">
        <v>74</v>
      </c>
      <c r="G172" s="156">
        <f>G170-G171</f>
        <v>435.0999999999999</v>
      </c>
      <c r="H172" s="157">
        <f>'Other Electriciy Rates'!$K$11</f>
        <v>0.075</v>
      </c>
      <c r="I172" s="158">
        <f>+G172*H172</f>
        <v>32.63249999999999</v>
      </c>
      <c r="J172" s="156">
        <f>J170-J171</f>
        <v>436.191247926728</v>
      </c>
      <c r="K172" s="157">
        <f>'Other Electriciy Rates'!$K$26</f>
        <v>0.075</v>
      </c>
      <c r="L172" s="185">
        <f>+J172*K172</f>
        <v>32.7143435945046</v>
      </c>
      <c r="M172" s="186">
        <f t="shared" si="23"/>
        <v>0.08184359450460477</v>
      </c>
      <c r="N172" s="187">
        <f t="shared" si="24"/>
        <v>0.0025080393627397468</v>
      </c>
      <c r="O172" s="188">
        <f>L172/L175</f>
        <v>0.2248007087031183</v>
      </c>
      <c r="P172" s="118"/>
    </row>
    <row r="173" spans="2:16" ht="18" customHeight="1" thickBot="1">
      <c r="B173" s="125"/>
      <c r="C173" s="31"/>
      <c r="D173" s="31"/>
      <c r="E173" s="31"/>
      <c r="F173" s="476" t="s">
        <v>191</v>
      </c>
      <c r="G173" s="676"/>
      <c r="H173" s="677"/>
      <c r="I173" s="477">
        <f>SUM(I169:I172)</f>
        <v>124.50331</v>
      </c>
      <c r="J173" s="676"/>
      <c r="K173" s="677"/>
      <c r="L173" s="477">
        <f>SUM(L169:L172)</f>
        <v>128.7840537106269</v>
      </c>
      <c r="M173" s="488">
        <f t="shared" si="23"/>
        <v>4.2807437106268935</v>
      </c>
      <c r="N173" s="481">
        <f t="shared" si="24"/>
        <v>0.03438256951262495</v>
      </c>
      <c r="O173" s="483">
        <f>L173/L175</f>
        <v>0.8849557522123893</v>
      </c>
      <c r="P173" s="118"/>
    </row>
    <row r="174" spans="2:16" ht="18" customHeight="1" thickBot="1">
      <c r="B174" s="125"/>
      <c r="C174" s="31"/>
      <c r="D174" s="31"/>
      <c r="E174" s="31"/>
      <c r="F174" s="222" t="s">
        <v>323</v>
      </c>
      <c r="G174" s="223"/>
      <c r="H174" s="227">
        <v>0.13</v>
      </c>
      <c r="I174" s="224">
        <f>I173*H174</f>
        <v>16.1854303</v>
      </c>
      <c r="J174" s="223"/>
      <c r="K174" s="227">
        <v>0.13</v>
      </c>
      <c r="L174" s="225">
        <f>L173*K174</f>
        <v>16.741926982381496</v>
      </c>
      <c r="M174" s="183">
        <f t="shared" si="23"/>
        <v>0.5564966823814963</v>
      </c>
      <c r="N174" s="184">
        <f t="shared" si="24"/>
        <v>0.034382569512624965</v>
      </c>
      <c r="O174" s="189">
        <f>L174/L175</f>
        <v>0.11504424778761062</v>
      </c>
      <c r="P174" s="118"/>
    </row>
    <row r="175" spans="2:16" ht="18" customHeight="1" thickBot="1">
      <c r="B175" s="125"/>
      <c r="C175" s="31"/>
      <c r="D175" s="31"/>
      <c r="E175" s="35"/>
      <c r="F175" s="486" t="s">
        <v>75</v>
      </c>
      <c r="G175" s="688"/>
      <c r="H175" s="689"/>
      <c r="I175" s="487">
        <f>I173+I174</f>
        <v>140.6887403</v>
      </c>
      <c r="J175" s="688"/>
      <c r="K175" s="689"/>
      <c r="L175" s="487">
        <f>L173+L174</f>
        <v>145.5259806930084</v>
      </c>
      <c r="M175" s="489">
        <f>M173+M174</f>
        <v>4.83724039300839</v>
      </c>
      <c r="N175" s="481">
        <f t="shared" si="24"/>
        <v>0.03438256951262495</v>
      </c>
      <c r="O175" s="482">
        <f>SUM(O173:O174)</f>
        <v>0.9999999999999999</v>
      </c>
      <c r="P175" s="118"/>
    </row>
    <row r="176" spans="2:16" ht="18" customHeight="1" thickBot="1">
      <c r="B176" s="119"/>
      <c r="C176" s="131"/>
      <c r="D176" s="131"/>
      <c r="E176" s="131"/>
      <c r="F176" s="132"/>
      <c r="G176" s="133"/>
      <c r="H176" s="134"/>
      <c r="I176" s="135"/>
      <c r="J176" s="133"/>
      <c r="K176" s="136"/>
      <c r="L176" s="135"/>
      <c r="M176" s="140"/>
      <c r="N176" s="138"/>
      <c r="O176" s="139"/>
      <c r="P176" s="120"/>
    </row>
    <row r="177" spans="2:16" ht="18" customHeight="1" thickBot="1">
      <c r="B177" s="25"/>
      <c r="C177" s="31"/>
      <c r="D177" s="31"/>
      <c r="E177" s="31"/>
      <c r="F177" s="49"/>
      <c r="G177" s="50"/>
      <c r="H177" s="51"/>
      <c r="I177" s="52"/>
      <c r="J177" s="50"/>
      <c r="K177" s="53"/>
      <c r="L177" s="52"/>
      <c r="M177" s="130"/>
      <c r="N177" s="128"/>
      <c r="O177" s="129"/>
      <c r="P177" s="25"/>
    </row>
    <row r="178" spans="2:16" ht="18" customHeight="1">
      <c r="B178" s="127"/>
      <c r="C178" s="684"/>
      <c r="D178" s="684"/>
      <c r="E178" s="684"/>
      <c r="F178" s="684"/>
      <c r="G178" s="684"/>
      <c r="H178" s="684"/>
      <c r="I178" s="684"/>
      <c r="J178" s="684"/>
      <c r="K178" s="684"/>
      <c r="L178" s="684"/>
      <c r="M178" s="684"/>
      <c r="N178" s="684"/>
      <c r="O178" s="684"/>
      <c r="P178" s="117"/>
    </row>
    <row r="179" spans="2:16" ht="23.25">
      <c r="B179" s="125"/>
      <c r="C179" s="683" t="s">
        <v>133</v>
      </c>
      <c r="D179" s="683"/>
      <c r="E179" s="683"/>
      <c r="F179" s="683"/>
      <c r="G179" s="683"/>
      <c r="H179" s="683"/>
      <c r="I179" s="683"/>
      <c r="J179" s="683"/>
      <c r="K179" s="683"/>
      <c r="L179" s="683"/>
      <c r="M179" s="683"/>
      <c r="N179" s="683"/>
      <c r="O179" s="683"/>
      <c r="P179" s="118"/>
    </row>
    <row r="180" spans="2:16" ht="18" customHeight="1" thickBot="1">
      <c r="B180" s="125"/>
      <c r="C180" s="685"/>
      <c r="D180" s="685"/>
      <c r="E180" s="685"/>
      <c r="F180" s="685"/>
      <c r="G180" s="685"/>
      <c r="H180" s="685"/>
      <c r="I180" s="685"/>
      <c r="J180" s="685"/>
      <c r="K180" s="685"/>
      <c r="L180" s="685"/>
      <c r="M180" s="685"/>
      <c r="N180" s="685"/>
      <c r="O180" s="685"/>
      <c r="P180" s="118"/>
    </row>
    <row r="181" spans="2:16" ht="18" customHeight="1" thickBot="1">
      <c r="B181" s="125"/>
      <c r="C181" s="126"/>
      <c r="D181" s="126"/>
      <c r="E181" s="31"/>
      <c r="F181" s="37"/>
      <c r="G181" s="678" t="str">
        <f>$G$10</f>
        <v>2010 BILL</v>
      </c>
      <c r="H181" s="679"/>
      <c r="I181" s="680"/>
      <c r="J181" s="678" t="str">
        <f>$J$10</f>
        <v>2011 BILL</v>
      </c>
      <c r="K181" s="679"/>
      <c r="L181" s="680"/>
      <c r="M181" s="678" t="s">
        <v>69</v>
      </c>
      <c r="N181" s="679"/>
      <c r="O181" s="680"/>
      <c r="P181" s="118"/>
    </row>
    <row r="182" spans="2:16" ht="26.25" thickBot="1">
      <c r="B182" s="125"/>
      <c r="C182" s="31"/>
      <c r="D182" s="31"/>
      <c r="E182" s="33"/>
      <c r="F182" s="38"/>
      <c r="G182" s="141" t="s">
        <v>63</v>
      </c>
      <c r="H182" s="142" t="s">
        <v>64</v>
      </c>
      <c r="I182" s="143" t="s">
        <v>65</v>
      </c>
      <c r="J182" s="144" t="s">
        <v>63</v>
      </c>
      <c r="K182" s="142" t="s">
        <v>64</v>
      </c>
      <c r="L182" s="143" t="s">
        <v>65</v>
      </c>
      <c r="M182" s="145" t="s">
        <v>76</v>
      </c>
      <c r="N182" s="146" t="s">
        <v>77</v>
      </c>
      <c r="O182" s="147" t="s">
        <v>72</v>
      </c>
      <c r="P182" s="118"/>
    </row>
    <row r="183" spans="2:16" ht="18" customHeight="1" thickBot="1">
      <c r="B183" s="125"/>
      <c r="C183" s="681" t="s">
        <v>66</v>
      </c>
      <c r="D183" s="682"/>
      <c r="E183" s="31"/>
      <c r="F183" s="151" t="s">
        <v>67</v>
      </c>
      <c r="G183" s="161"/>
      <c r="H183" s="162"/>
      <c r="I183" s="163">
        <f>'2010 Existing Rates'!$C$9</f>
        <v>14.7</v>
      </c>
      <c r="J183" s="161"/>
      <c r="K183" s="162"/>
      <c r="L183" s="166">
        <f>'Rate Schedule (Part 1)'!$E$20</f>
        <v>16.78</v>
      </c>
      <c r="M183" s="175">
        <f aca="true" t="shared" si="25" ref="M183:M188">+L183-I183</f>
        <v>2.080000000000002</v>
      </c>
      <c r="N183" s="176">
        <f>+M183/I183</f>
        <v>0.1414965986394559</v>
      </c>
      <c r="O183" s="177">
        <f>L183/L197</f>
        <v>0.060066156269793176</v>
      </c>
      <c r="P183" s="118"/>
    </row>
    <row r="184" spans="2:16" ht="18" customHeight="1" thickBot="1">
      <c r="B184" s="125"/>
      <c r="C184" s="123">
        <v>2000</v>
      </c>
      <c r="D184" s="124" t="s">
        <v>15</v>
      </c>
      <c r="E184" s="31"/>
      <c r="F184" s="152" t="s">
        <v>68</v>
      </c>
      <c r="G184" s="155">
        <f>+C184</f>
        <v>2000</v>
      </c>
      <c r="H184" s="149">
        <f>'2010 Existing Rates'!$E$9</f>
        <v>0.0156</v>
      </c>
      <c r="I184" s="164">
        <f>+G184*H184</f>
        <v>31.2</v>
      </c>
      <c r="J184" s="155">
        <f>+C184</f>
        <v>2000</v>
      </c>
      <c r="K184" s="148">
        <f>'Rate Schedule (Part 1)'!$E$21</f>
        <v>0.0178</v>
      </c>
      <c r="L184" s="168">
        <f>+J184*K184</f>
        <v>35.6</v>
      </c>
      <c r="M184" s="178">
        <f t="shared" si="25"/>
        <v>4.400000000000002</v>
      </c>
      <c r="N184" s="172">
        <f>+M184/I184</f>
        <v>0.1410256410256411</v>
      </c>
      <c r="O184" s="179">
        <f>L184/L197</f>
        <v>0.12743475346869113</v>
      </c>
      <c r="P184" s="118"/>
    </row>
    <row r="185" spans="2:16" ht="18" customHeight="1">
      <c r="B185" s="125"/>
      <c r="C185" s="62"/>
      <c r="D185" s="63"/>
      <c r="E185" s="31"/>
      <c r="F185" s="152" t="s">
        <v>233</v>
      </c>
      <c r="G185" s="155">
        <f>G184</f>
        <v>2000</v>
      </c>
      <c r="H185" s="149">
        <f>'2010 Existing Rates'!$B$34</f>
        <v>0.0002</v>
      </c>
      <c r="I185" s="164">
        <f>+G185*H185</f>
        <v>0.4</v>
      </c>
      <c r="J185" s="155">
        <f>J184</f>
        <v>2000</v>
      </c>
      <c r="K185" s="148">
        <f>'Rate Schedule (Part 1)'!$E$22</f>
        <v>0.0002</v>
      </c>
      <c r="L185" s="168">
        <f>+J185*K185</f>
        <v>0.4</v>
      </c>
      <c r="M185" s="178">
        <f t="shared" si="25"/>
        <v>0</v>
      </c>
      <c r="N185" s="172">
        <f>+M185/I185</f>
        <v>0</v>
      </c>
      <c r="O185" s="179">
        <f>L185/L197</f>
        <v>0.001431851162569563</v>
      </c>
      <c r="P185" s="118"/>
    </row>
    <row r="186" spans="2:16" ht="18" customHeight="1">
      <c r="B186" s="125"/>
      <c r="C186" s="62"/>
      <c r="D186" s="63"/>
      <c r="E186" s="31"/>
      <c r="F186" s="152" t="s">
        <v>166</v>
      </c>
      <c r="G186" s="174"/>
      <c r="H186" s="173"/>
      <c r="I186" s="164">
        <f>'2010 Existing Rates'!$B$46</f>
        <v>2.16</v>
      </c>
      <c r="J186" s="174"/>
      <c r="K186" s="173"/>
      <c r="L186" s="168">
        <f>'Rate Schedule (Part 1)'!$E$24</f>
        <v>-0.43193202035146244</v>
      </c>
      <c r="M186" s="178">
        <f t="shared" si="25"/>
        <v>-2.5919320203514626</v>
      </c>
      <c r="N186" s="172">
        <f>+M186/I186</f>
        <v>-1.199968527940492</v>
      </c>
      <c r="O186" s="179">
        <f>L186/L197</f>
        <v>-0.0015461559137281541</v>
      </c>
      <c r="P186" s="118"/>
    </row>
    <row r="187" spans="1:16" ht="18" customHeight="1">
      <c r="A187" s="118"/>
      <c r="B187" s="25"/>
      <c r="C187" s="31"/>
      <c r="D187" s="31"/>
      <c r="E187" s="31"/>
      <c r="F187" s="152" t="s">
        <v>158</v>
      </c>
      <c r="G187" s="155">
        <f>C184</f>
        <v>2000</v>
      </c>
      <c r="H187" s="149"/>
      <c r="I187" s="160">
        <f>+G187*H187</f>
        <v>0</v>
      </c>
      <c r="J187" s="155">
        <f>C184</f>
        <v>2000</v>
      </c>
      <c r="K187" s="148">
        <f>'Rate Schedule (Part 1)'!$E$23</f>
        <v>0</v>
      </c>
      <c r="L187" s="168">
        <f>J187*K187</f>
        <v>0</v>
      </c>
      <c r="M187" s="178">
        <f t="shared" si="25"/>
        <v>0</v>
      </c>
      <c r="N187" s="172">
        <v>0</v>
      </c>
      <c r="O187" s="179">
        <f>L187/L197</f>
        <v>0</v>
      </c>
      <c r="P187" s="118"/>
    </row>
    <row r="188" spans="1:16" ht="18" customHeight="1" thickBot="1">
      <c r="A188" s="118"/>
      <c r="B188" s="25"/>
      <c r="C188" s="31"/>
      <c r="D188" s="31"/>
      <c r="E188" s="31"/>
      <c r="F188" s="153" t="s">
        <v>232</v>
      </c>
      <c r="G188" s="180">
        <f>+C184</f>
        <v>2000</v>
      </c>
      <c r="H188" s="181">
        <f>'2010 Existing Rates'!$B$22</f>
        <v>-0.0037</v>
      </c>
      <c r="I188" s="182">
        <f>+G188*H188</f>
        <v>-7.4</v>
      </c>
      <c r="J188" s="180">
        <f>+C184</f>
        <v>2000</v>
      </c>
      <c r="K188" s="181">
        <f>'Rate Schedule (Part 1)'!$E$25</f>
        <v>-0.0007654152677371481</v>
      </c>
      <c r="L188" s="182">
        <f>+J188*K188</f>
        <v>-1.5308305354742962</v>
      </c>
      <c r="M188" s="178">
        <f t="shared" si="25"/>
        <v>5.869169464525704</v>
      </c>
      <c r="N188" s="172">
        <f aca="true" t="shared" si="26" ref="N188:N197">+M188/I188</f>
        <v>-0.7931310087196898</v>
      </c>
      <c r="O188" s="179">
        <f>L188/L197</f>
        <v>-0.005479803704789644</v>
      </c>
      <c r="P188" s="281"/>
    </row>
    <row r="189" spans="1:16" ht="18" customHeight="1" thickBot="1">
      <c r="A189" s="118"/>
      <c r="F189" s="476" t="s">
        <v>234</v>
      </c>
      <c r="G189" s="676"/>
      <c r="H189" s="677"/>
      <c r="I189" s="477">
        <f>SUM(I183:I188)</f>
        <v>41.059999999999995</v>
      </c>
      <c r="J189" s="676"/>
      <c r="K189" s="677"/>
      <c r="L189" s="477">
        <f>SUM(L183:L188)</f>
        <v>50.817237444174246</v>
      </c>
      <c r="M189" s="480">
        <f>SUM(M183:M188)</f>
        <v>9.757237444174246</v>
      </c>
      <c r="N189" s="481">
        <f t="shared" si="26"/>
        <v>0.23763364452445804</v>
      </c>
      <c r="O189" s="482">
        <f>L189/L197</f>
        <v>0.18190680128253606</v>
      </c>
      <c r="P189" s="281"/>
    </row>
    <row r="190" spans="1:16" ht="18" customHeight="1" thickBot="1">
      <c r="A190" s="118"/>
      <c r="F190" s="152" t="s">
        <v>235</v>
      </c>
      <c r="G190" s="273">
        <f>C184*'Other Electriciy Rates'!$L$11</f>
        <v>2070.2</v>
      </c>
      <c r="H190" s="274">
        <f>'Other Electriciy Rates'!$B$11</f>
        <v>0.009600000000000001</v>
      </c>
      <c r="I190" s="164">
        <f>+G190*H190</f>
        <v>19.873920000000002</v>
      </c>
      <c r="J190" s="273">
        <f>'BILL IMPACTS'!C184*'Other Electriciy Rates'!$L$26</f>
        <v>2072.382495853456</v>
      </c>
      <c r="K190" s="274">
        <f>'Other Electriciy Rates'!$B$26</f>
        <v>0.009166720502807955</v>
      </c>
      <c r="L190" s="164">
        <f>+J190*K190</f>
        <v>18.996951114400197</v>
      </c>
      <c r="M190" s="275">
        <f aca="true" t="shared" si="27" ref="M190:M196">+L190-I190</f>
        <v>-0.8769688855998048</v>
      </c>
      <c r="N190" s="176">
        <f t="shared" si="26"/>
        <v>-0.04412661848290648</v>
      </c>
      <c r="O190" s="177">
        <f>L190/L197</f>
        <v>0.06800201634607769</v>
      </c>
      <c r="P190" s="281"/>
    </row>
    <row r="191" spans="1:16" ht="18" customHeight="1" thickBot="1">
      <c r="A191" s="118"/>
      <c r="F191" s="476" t="s">
        <v>236</v>
      </c>
      <c r="G191" s="676"/>
      <c r="H191" s="677"/>
      <c r="I191" s="477">
        <f>I189+I190</f>
        <v>60.93392</v>
      </c>
      <c r="J191" s="676"/>
      <c r="K191" s="677"/>
      <c r="L191" s="477">
        <f>L189+L190</f>
        <v>69.81418855857444</v>
      </c>
      <c r="M191" s="480">
        <f t="shared" si="27"/>
        <v>8.880268558574443</v>
      </c>
      <c r="N191" s="481">
        <f t="shared" si="26"/>
        <v>0.14573604584399696</v>
      </c>
      <c r="O191" s="483">
        <f>L191/L197</f>
        <v>0.24990881762861378</v>
      </c>
      <c r="P191" s="281"/>
    </row>
    <row r="192" spans="1:16" ht="18" customHeight="1">
      <c r="A192" s="118"/>
      <c r="F192" s="154" t="s">
        <v>73</v>
      </c>
      <c r="G192" s="156">
        <f>+'Other Electriciy Rates'!$L$10*C184</f>
        <v>2070.2</v>
      </c>
      <c r="H192" s="157">
        <f>'Other Electriciy Rates'!$C$11+'Other Electriciy Rates'!$D$11</f>
        <v>0.0135</v>
      </c>
      <c r="I192" s="158">
        <f>+G192*H192</f>
        <v>27.947699999999998</v>
      </c>
      <c r="J192" s="156">
        <f>J190</f>
        <v>2072.382495853456</v>
      </c>
      <c r="K192" s="157">
        <f>'Other Electriciy Rates'!$C$26+'Other Electriciy Rates'!$D$26</f>
        <v>0.0135</v>
      </c>
      <c r="L192" s="185">
        <f>+J192*K192</f>
        <v>27.977163694021655</v>
      </c>
      <c r="M192" s="186">
        <f t="shared" si="27"/>
        <v>0.029463694021657716</v>
      </c>
      <c r="N192" s="187">
        <f t="shared" si="26"/>
        <v>0.0010542439636055103</v>
      </c>
      <c r="O192" s="226">
        <f>L192/L197</f>
        <v>0.1001478359017097</v>
      </c>
      <c r="P192" s="281"/>
    </row>
    <row r="193" spans="1:16" ht="18" customHeight="1">
      <c r="A193" s="118"/>
      <c r="B193" s="25"/>
      <c r="C193" s="31"/>
      <c r="D193" s="31"/>
      <c r="E193" s="31"/>
      <c r="F193" s="150" t="s">
        <v>74</v>
      </c>
      <c r="G193" s="156">
        <v>600</v>
      </c>
      <c r="H193" s="157">
        <f>'Other Electriciy Rates'!$J$11</f>
        <v>0.065</v>
      </c>
      <c r="I193" s="158">
        <f>+G193*H193</f>
        <v>39</v>
      </c>
      <c r="J193" s="156">
        <v>600</v>
      </c>
      <c r="K193" s="157">
        <f>'Other Electriciy Rates'!$J$26</f>
        <v>0.065</v>
      </c>
      <c r="L193" s="185">
        <f>+J193*K193</f>
        <v>39</v>
      </c>
      <c r="M193" s="186">
        <f t="shared" si="27"/>
        <v>0</v>
      </c>
      <c r="N193" s="187">
        <f t="shared" si="26"/>
        <v>0</v>
      </c>
      <c r="O193" s="188">
        <f>L193/L197</f>
        <v>0.1396054883505324</v>
      </c>
      <c r="P193" s="281"/>
    </row>
    <row r="194" spans="2:16" ht="18" customHeight="1" thickBot="1">
      <c r="B194" s="125"/>
      <c r="C194" s="31"/>
      <c r="D194" s="31"/>
      <c r="E194" s="31"/>
      <c r="F194" s="150" t="s">
        <v>74</v>
      </c>
      <c r="G194" s="156">
        <f>G192-G193</f>
        <v>1470.1999999999998</v>
      </c>
      <c r="H194" s="157">
        <f>'Other Electriciy Rates'!$K$11</f>
        <v>0.075</v>
      </c>
      <c r="I194" s="158">
        <f>+G194*H194</f>
        <v>110.26499999999999</v>
      </c>
      <c r="J194" s="156">
        <f>J192-J193</f>
        <v>1472.382495853456</v>
      </c>
      <c r="K194" s="157">
        <f>'Other Electriciy Rates'!$K$26</f>
        <v>0.075</v>
      </c>
      <c r="L194" s="185">
        <f>+J194*K194</f>
        <v>110.4286871890092</v>
      </c>
      <c r="M194" s="186">
        <f t="shared" si="27"/>
        <v>0.16368718900920953</v>
      </c>
      <c r="N194" s="187">
        <f t="shared" si="26"/>
        <v>0.0014844890854687303</v>
      </c>
      <c r="O194" s="188">
        <f>L194/L197</f>
        <v>0.3952936103315336</v>
      </c>
      <c r="P194" s="118"/>
    </row>
    <row r="195" spans="2:16" ht="18" customHeight="1" thickBot="1">
      <c r="B195" s="125"/>
      <c r="C195" s="31"/>
      <c r="D195" s="31"/>
      <c r="E195" s="31"/>
      <c r="F195" s="476" t="s">
        <v>191</v>
      </c>
      <c r="G195" s="676"/>
      <c r="H195" s="677"/>
      <c r="I195" s="477">
        <f>SUM(I191:I194)</f>
        <v>238.14661999999998</v>
      </c>
      <c r="J195" s="676"/>
      <c r="K195" s="677"/>
      <c r="L195" s="477">
        <f>SUM(L191:L194)</f>
        <v>247.22003944160528</v>
      </c>
      <c r="M195" s="488">
        <f t="shared" si="27"/>
        <v>9.073419441605296</v>
      </c>
      <c r="N195" s="481">
        <f t="shared" si="26"/>
        <v>0.03810013949223926</v>
      </c>
      <c r="O195" s="483">
        <f>L195/L197</f>
        <v>0.8849557522123894</v>
      </c>
      <c r="P195" s="118"/>
    </row>
    <row r="196" spans="2:16" ht="18" customHeight="1" thickBot="1">
      <c r="B196" s="125"/>
      <c r="C196" s="31"/>
      <c r="D196" s="31"/>
      <c r="E196" s="31"/>
      <c r="F196" s="222" t="s">
        <v>323</v>
      </c>
      <c r="G196" s="223"/>
      <c r="H196" s="227">
        <v>0.13</v>
      </c>
      <c r="I196" s="224">
        <f>I195*H196</f>
        <v>30.959060599999997</v>
      </c>
      <c r="J196" s="223"/>
      <c r="K196" s="227">
        <v>0.13</v>
      </c>
      <c r="L196" s="225">
        <f>L195*K196</f>
        <v>32.13860512740869</v>
      </c>
      <c r="M196" s="183">
        <f t="shared" si="27"/>
        <v>1.1795445274086909</v>
      </c>
      <c r="N196" s="184">
        <f t="shared" si="26"/>
        <v>0.03810013949223934</v>
      </c>
      <c r="O196" s="189">
        <f>L196/L197</f>
        <v>0.11504424778761063</v>
      </c>
      <c r="P196" s="118"/>
    </row>
    <row r="197" spans="2:16" ht="18" customHeight="1" thickBot="1">
      <c r="B197" s="125"/>
      <c r="C197" s="31"/>
      <c r="D197" s="31"/>
      <c r="E197" s="35"/>
      <c r="F197" s="486" t="s">
        <v>75</v>
      </c>
      <c r="G197" s="688"/>
      <c r="H197" s="689"/>
      <c r="I197" s="487">
        <f>I195+I196</f>
        <v>269.10568059999997</v>
      </c>
      <c r="J197" s="688"/>
      <c r="K197" s="689"/>
      <c r="L197" s="487">
        <f>L195+L196</f>
        <v>279.35864456901396</v>
      </c>
      <c r="M197" s="489">
        <f>M195+M196</f>
        <v>10.252963969013987</v>
      </c>
      <c r="N197" s="481">
        <f t="shared" si="26"/>
        <v>0.038100139492239275</v>
      </c>
      <c r="O197" s="482">
        <f>SUM(O195:O196)</f>
        <v>1</v>
      </c>
      <c r="P197" s="118"/>
    </row>
    <row r="198" spans="2:16" ht="18" customHeight="1" thickBot="1">
      <c r="B198" s="119"/>
      <c r="C198" s="131"/>
      <c r="D198" s="131"/>
      <c r="E198" s="131"/>
      <c r="F198" s="132"/>
      <c r="G198" s="133"/>
      <c r="H198" s="134"/>
      <c r="I198" s="135"/>
      <c r="J198" s="133"/>
      <c r="K198" s="136"/>
      <c r="L198" s="135"/>
      <c r="M198" s="140"/>
      <c r="N198" s="138"/>
      <c r="O198" s="139"/>
      <c r="P198" s="120"/>
    </row>
    <row r="199" spans="2:16" ht="18" customHeight="1" thickBot="1">
      <c r="B199" s="25"/>
      <c r="C199" s="31"/>
      <c r="D199" s="31"/>
      <c r="E199" s="31"/>
      <c r="F199" s="49"/>
      <c r="G199" s="50"/>
      <c r="H199" s="51"/>
      <c r="I199" s="52"/>
      <c r="J199" s="50"/>
      <c r="K199" s="53"/>
      <c r="L199" s="52"/>
      <c r="M199" s="130"/>
      <c r="N199" s="128"/>
      <c r="O199" s="129"/>
      <c r="P199" s="25"/>
    </row>
    <row r="200" spans="2:16" ht="18" customHeight="1">
      <c r="B200" s="127"/>
      <c r="C200" s="684"/>
      <c r="D200" s="684"/>
      <c r="E200" s="684"/>
      <c r="F200" s="684"/>
      <c r="G200" s="684"/>
      <c r="H200" s="684"/>
      <c r="I200" s="684"/>
      <c r="J200" s="684"/>
      <c r="K200" s="684"/>
      <c r="L200" s="684"/>
      <c r="M200" s="684"/>
      <c r="N200" s="684"/>
      <c r="O200" s="684"/>
      <c r="P200" s="117"/>
    </row>
    <row r="201" spans="2:16" ht="23.25">
      <c r="B201" s="125"/>
      <c r="C201" s="683" t="s">
        <v>133</v>
      </c>
      <c r="D201" s="683"/>
      <c r="E201" s="683"/>
      <c r="F201" s="683"/>
      <c r="G201" s="683"/>
      <c r="H201" s="683"/>
      <c r="I201" s="683"/>
      <c r="J201" s="683"/>
      <c r="K201" s="683"/>
      <c r="L201" s="683"/>
      <c r="M201" s="683"/>
      <c r="N201" s="683"/>
      <c r="O201" s="683"/>
      <c r="P201" s="118"/>
    </row>
    <row r="202" spans="2:16" ht="18" customHeight="1" thickBot="1">
      <c r="B202" s="125"/>
      <c r="C202" s="685"/>
      <c r="D202" s="685"/>
      <c r="E202" s="685"/>
      <c r="F202" s="685"/>
      <c r="G202" s="685"/>
      <c r="H202" s="685"/>
      <c r="I202" s="685"/>
      <c r="J202" s="685"/>
      <c r="K202" s="685"/>
      <c r="L202" s="685"/>
      <c r="M202" s="685"/>
      <c r="N202" s="685"/>
      <c r="O202" s="685"/>
      <c r="P202" s="118"/>
    </row>
    <row r="203" spans="2:16" ht="18" customHeight="1" thickBot="1">
      <c r="B203" s="125"/>
      <c r="C203" s="126"/>
      <c r="D203" s="126"/>
      <c r="E203" s="31"/>
      <c r="F203" s="37"/>
      <c r="G203" s="678" t="str">
        <f>$G$10</f>
        <v>2010 BILL</v>
      </c>
      <c r="H203" s="679"/>
      <c r="I203" s="680"/>
      <c r="J203" s="678" t="str">
        <f>$J$10</f>
        <v>2011 BILL</v>
      </c>
      <c r="K203" s="679"/>
      <c r="L203" s="680"/>
      <c r="M203" s="678" t="s">
        <v>69</v>
      </c>
      <c r="N203" s="679"/>
      <c r="O203" s="680"/>
      <c r="P203" s="118"/>
    </row>
    <row r="204" spans="2:16" ht="26.25" thickBot="1">
      <c r="B204" s="125"/>
      <c r="C204" s="31"/>
      <c r="D204" s="31"/>
      <c r="E204" s="33"/>
      <c r="F204" s="38"/>
      <c r="G204" s="141" t="s">
        <v>63</v>
      </c>
      <c r="H204" s="142" t="s">
        <v>64</v>
      </c>
      <c r="I204" s="143" t="s">
        <v>65</v>
      </c>
      <c r="J204" s="144" t="s">
        <v>63</v>
      </c>
      <c r="K204" s="142" t="s">
        <v>64</v>
      </c>
      <c r="L204" s="143" t="s">
        <v>65</v>
      </c>
      <c r="M204" s="145" t="s">
        <v>76</v>
      </c>
      <c r="N204" s="146" t="s">
        <v>77</v>
      </c>
      <c r="O204" s="147" t="s">
        <v>72</v>
      </c>
      <c r="P204" s="118"/>
    </row>
    <row r="205" spans="2:16" ht="18" customHeight="1" thickBot="1">
      <c r="B205" s="125"/>
      <c r="C205" s="681" t="s">
        <v>66</v>
      </c>
      <c r="D205" s="682"/>
      <c r="E205" s="31"/>
      <c r="F205" s="151" t="s">
        <v>67</v>
      </c>
      <c r="G205" s="161"/>
      <c r="H205" s="162"/>
      <c r="I205" s="163">
        <f>'2010 Existing Rates'!$C$9</f>
        <v>14.7</v>
      </c>
      <c r="J205" s="161"/>
      <c r="K205" s="162"/>
      <c r="L205" s="166">
        <f>'Rate Schedule (Part 1)'!$E$20</f>
        <v>16.78</v>
      </c>
      <c r="M205" s="175">
        <f aca="true" t="shared" si="28" ref="M205:M210">+L205-I205</f>
        <v>2.080000000000002</v>
      </c>
      <c r="N205" s="176">
        <f>+M205/I205</f>
        <v>0.1414965986394559</v>
      </c>
      <c r="O205" s="177">
        <f>L205/L219</f>
        <v>0.024645423291642998</v>
      </c>
      <c r="P205" s="118"/>
    </row>
    <row r="206" spans="2:16" ht="18" customHeight="1" thickBot="1">
      <c r="B206" s="125"/>
      <c r="C206" s="123">
        <v>5000</v>
      </c>
      <c r="D206" s="124" t="s">
        <v>15</v>
      </c>
      <c r="E206" s="31"/>
      <c r="F206" s="152" t="s">
        <v>68</v>
      </c>
      <c r="G206" s="155">
        <f>+C206</f>
        <v>5000</v>
      </c>
      <c r="H206" s="149">
        <f>'2010 Existing Rates'!$E$9</f>
        <v>0.0156</v>
      </c>
      <c r="I206" s="164">
        <f>+G206*H206</f>
        <v>78</v>
      </c>
      <c r="J206" s="155">
        <f>+C206</f>
        <v>5000</v>
      </c>
      <c r="K206" s="148">
        <f>'Rate Schedule (Part 1)'!$E$21</f>
        <v>0.0178</v>
      </c>
      <c r="L206" s="168">
        <f>+J206*K206</f>
        <v>89</v>
      </c>
      <c r="M206" s="178">
        <f t="shared" si="28"/>
        <v>11</v>
      </c>
      <c r="N206" s="172">
        <f>+M206/I206</f>
        <v>0.14102564102564102</v>
      </c>
      <c r="O206" s="179">
        <f>L206/L219</f>
        <v>0.1307176801523377</v>
      </c>
      <c r="P206" s="118"/>
    </row>
    <row r="207" spans="2:16" ht="18" customHeight="1">
      <c r="B207" s="125"/>
      <c r="C207" s="62"/>
      <c r="D207" s="63"/>
      <c r="E207" s="31"/>
      <c r="F207" s="152" t="s">
        <v>233</v>
      </c>
      <c r="G207" s="155">
        <f>G206</f>
        <v>5000</v>
      </c>
      <c r="H207" s="149">
        <f>'2010 Existing Rates'!$B$34</f>
        <v>0.0002</v>
      </c>
      <c r="I207" s="164">
        <f>+G207*H207</f>
        <v>1</v>
      </c>
      <c r="J207" s="155">
        <f>J206</f>
        <v>5000</v>
      </c>
      <c r="K207" s="148">
        <f>'Rate Schedule (Part 1)'!$E$22</f>
        <v>0.0002</v>
      </c>
      <c r="L207" s="168">
        <f>+J207*K207</f>
        <v>1</v>
      </c>
      <c r="M207" s="178">
        <f t="shared" si="28"/>
        <v>0</v>
      </c>
      <c r="N207" s="172">
        <f>+M207/I207</f>
        <v>0</v>
      </c>
      <c r="O207" s="179">
        <f>L207/L219</f>
        <v>0.0014687379792397493</v>
      </c>
      <c r="P207" s="118"/>
    </row>
    <row r="208" spans="2:16" ht="18" customHeight="1">
      <c r="B208" s="125"/>
      <c r="C208" s="62"/>
      <c r="D208" s="63"/>
      <c r="E208" s="31"/>
      <c r="F208" s="152" t="s">
        <v>166</v>
      </c>
      <c r="G208" s="174"/>
      <c r="H208" s="173"/>
      <c r="I208" s="164">
        <f>'2010 Existing Rates'!$B$46</f>
        <v>2.16</v>
      </c>
      <c r="J208" s="174"/>
      <c r="K208" s="173"/>
      <c r="L208" s="168">
        <f>'Rate Schedule (Part 1)'!$E$24</f>
        <v>-0.43193202035146244</v>
      </c>
      <c r="M208" s="178">
        <f t="shared" si="28"/>
        <v>-2.5919320203514626</v>
      </c>
      <c r="N208" s="172">
        <f>+M208/I208</f>
        <v>-1.199968527940492</v>
      </c>
      <c r="O208" s="179">
        <f>L208/L219</f>
        <v>-0.0006343949627399492</v>
      </c>
      <c r="P208" s="118"/>
    </row>
    <row r="209" spans="1:16" ht="18" customHeight="1">
      <c r="A209" s="118"/>
      <c r="B209" s="25"/>
      <c r="C209" s="31"/>
      <c r="D209" s="31"/>
      <c r="E209" s="31"/>
      <c r="F209" s="152" t="s">
        <v>158</v>
      </c>
      <c r="G209" s="155">
        <f>C206</f>
        <v>5000</v>
      </c>
      <c r="H209" s="149"/>
      <c r="I209" s="160">
        <f>+G209*H209</f>
        <v>0</v>
      </c>
      <c r="J209" s="155">
        <f>C206</f>
        <v>5000</v>
      </c>
      <c r="K209" s="148">
        <f>'Rate Schedule (Part 1)'!$E$23</f>
        <v>0</v>
      </c>
      <c r="L209" s="168">
        <f>J209*K209</f>
        <v>0</v>
      </c>
      <c r="M209" s="178">
        <f t="shared" si="28"/>
        <v>0</v>
      </c>
      <c r="N209" s="172">
        <v>0</v>
      </c>
      <c r="O209" s="179">
        <f>L209/L219</f>
        <v>0</v>
      </c>
      <c r="P209" s="118"/>
    </row>
    <row r="210" spans="1:16" ht="18" customHeight="1" thickBot="1">
      <c r="A210" s="118"/>
      <c r="B210" s="25"/>
      <c r="C210" s="31"/>
      <c r="D210" s="31"/>
      <c r="E210" s="31"/>
      <c r="F210" s="153" t="s">
        <v>232</v>
      </c>
      <c r="G210" s="180">
        <f>+C206</f>
        <v>5000</v>
      </c>
      <c r="H210" s="181">
        <f>'2010 Existing Rates'!$B$22</f>
        <v>-0.0037</v>
      </c>
      <c r="I210" s="182">
        <f>+G210*H210</f>
        <v>-18.5</v>
      </c>
      <c r="J210" s="180">
        <f>+C206</f>
        <v>5000</v>
      </c>
      <c r="K210" s="181">
        <f>'Rate Schedule (Part 1)'!$E$25</f>
        <v>-0.0007654152677371481</v>
      </c>
      <c r="L210" s="182">
        <f>+J210*K210</f>
        <v>-3.8270763386857403</v>
      </c>
      <c r="M210" s="178">
        <f t="shared" si="28"/>
        <v>14.67292366131426</v>
      </c>
      <c r="N210" s="172">
        <f aca="true" t="shared" si="29" ref="N210:N219">+M210/I210</f>
        <v>-0.7931310087196897</v>
      </c>
      <c r="O210" s="179">
        <f>L210/L219</f>
        <v>-0.005620972368077553</v>
      </c>
      <c r="P210" s="281"/>
    </row>
    <row r="211" spans="1:16" ht="18" customHeight="1" thickBot="1">
      <c r="A211" s="118"/>
      <c r="F211" s="476" t="s">
        <v>234</v>
      </c>
      <c r="G211" s="676"/>
      <c r="H211" s="677"/>
      <c r="I211" s="477">
        <f>SUM(I205:I210)</f>
        <v>77.36</v>
      </c>
      <c r="J211" s="676"/>
      <c r="K211" s="677"/>
      <c r="L211" s="477">
        <f>SUM(L205:L210)</f>
        <v>102.52099164096279</v>
      </c>
      <c r="M211" s="480">
        <f>SUM(M205:M210)</f>
        <v>25.1609916409628</v>
      </c>
      <c r="N211" s="481">
        <f t="shared" si="29"/>
        <v>0.3252454969100672</v>
      </c>
      <c r="O211" s="482">
        <f>L211/L219</f>
        <v>0.15057647409240293</v>
      </c>
      <c r="P211" s="281"/>
    </row>
    <row r="212" spans="1:16" ht="18" customHeight="1" thickBot="1">
      <c r="A212" s="118"/>
      <c r="F212" s="152" t="s">
        <v>235</v>
      </c>
      <c r="G212" s="273">
        <f>C206*'Other Electriciy Rates'!$L$11</f>
        <v>5175.5</v>
      </c>
      <c r="H212" s="274">
        <f>'Other Electriciy Rates'!$B$11</f>
        <v>0.009600000000000001</v>
      </c>
      <c r="I212" s="164">
        <f>+G212*H212</f>
        <v>49.6848</v>
      </c>
      <c r="J212" s="273">
        <f>'BILL IMPACTS'!C206*'Other Electriciy Rates'!$L$26</f>
        <v>5180.9562396336405</v>
      </c>
      <c r="K212" s="274">
        <f>'Other Electriciy Rates'!$B$26</f>
        <v>0.009166720502807955</v>
      </c>
      <c r="L212" s="164">
        <f>+J212*K212</f>
        <v>47.492377786000496</v>
      </c>
      <c r="M212" s="275">
        <f aca="true" t="shared" si="30" ref="M212:M218">+L212-I212</f>
        <v>-2.1924222139995067</v>
      </c>
      <c r="N212" s="176">
        <f t="shared" si="29"/>
        <v>-0.044126618482906374</v>
      </c>
      <c r="O212" s="177">
        <f>L212/L219</f>
        <v>0.06975385897870114</v>
      </c>
      <c r="P212" s="281"/>
    </row>
    <row r="213" spans="1:16" ht="18" customHeight="1" thickBot="1">
      <c r="A213" s="118"/>
      <c r="F213" s="476" t="s">
        <v>236</v>
      </c>
      <c r="G213" s="676"/>
      <c r="H213" s="677"/>
      <c r="I213" s="477">
        <f>I211+I212</f>
        <v>127.04480000000001</v>
      </c>
      <c r="J213" s="676"/>
      <c r="K213" s="677"/>
      <c r="L213" s="477">
        <f>L211+L212</f>
        <v>150.0133694269633</v>
      </c>
      <c r="M213" s="480">
        <f t="shared" si="30"/>
        <v>22.968569426963285</v>
      </c>
      <c r="N213" s="481">
        <f t="shared" si="29"/>
        <v>0.18079110224868145</v>
      </c>
      <c r="O213" s="483">
        <f>L213/L219</f>
        <v>0.22033033307110408</v>
      </c>
      <c r="P213" s="281"/>
    </row>
    <row r="214" spans="1:16" ht="18" customHeight="1">
      <c r="A214" s="118"/>
      <c r="F214" s="154" t="s">
        <v>73</v>
      </c>
      <c r="G214" s="156">
        <f>+'Other Electriciy Rates'!$L$10*C206</f>
        <v>5175.5</v>
      </c>
      <c r="H214" s="157">
        <f>'Other Electriciy Rates'!$C$11+'Other Electriciy Rates'!$D$11</f>
        <v>0.0135</v>
      </c>
      <c r="I214" s="158">
        <f>+G214*H214</f>
        <v>69.86925</v>
      </c>
      <c r="J214" s="156">
        <f>J212</f>
        <v>5180.9562396336405</v>
      </c>
      <c r="K214" s="157">
        <f>'Other Electriciy Rates'!$C$26+'Other Electriciy Rates'!$D$26</f>
        <v>0.0135</v>
      </c>
      <c r="L214" s="185">
        <f>+J214*K214</f>
        <v>69.94290923505415</v>
      </c>
      <c r="M214" s="186">
        <f t="shared" si="30"/>
        <v>0.0736592350541514</v>
      </c>
      <c r="N214" s="187">
        <f t="shared" si="29"/>
        <v>0.001054243963605612</v>
      </c>
      <c r="O214" s="226">
        <f>L214/L219</f>
        <v>0.10272780717204263</v>
      </c>
      <c r="P214" s="281"/>
    </row>
    <row r="215" spans="1:16" ht="18" customHeight="1">
      <c r="A215" s="118"/>
      <c r="B215" s="25"/>
      <c r="C215" s="31"/>
      <c r="D215" s="31"/>
      <c r="E215" s="31"/>
      <c r="F215" s="150" t="s">
        <v>74</v>
      </c>
      <c r="G215" s="156">
        <v>600</v>
      </c>
      <c r="H215" s="157">
        <f>'Other Electriciy Rates'!$J$11</f>
        <v>0.065</v>
      </c>
      <c r="I215" s="158">
        <f>+G215*H215</f>
        <v>39</v>
      </c>
      <c r="J215" s="156">
        <v>600</v>
      </c>
      <c r="K215" s="157">
        <f>'Other Electriciy Rates'!$J$26</f>
        <v>0.065</v>
      </c>
      <c r="L215" s="185">
        <f>+J215*K215</f>
        <v>39</v>
      </c>
      <c r="M215" s="186">
        <f t="shared" si="30"/>
        <v>0</v>
      </c>
      <c r="N215" s="187">
        <f t="shared" si="29"/>
        <v>0</v>
      </c>
      <c r="O215" s="188">
        <f>L215/L219</f>
        <v>0.057280781190350225</v>
      </c>
      <c r="P215" s="281"/>
    </row>
    <row r="216" spans="2:16" ht="18" customHeight="1" thickBot="1">
      <c r="B216" s="125"/>
      <c r="C216" s="31"/>
      <c r="D216" s="31"/>
      <c r="E216" s="31"/>
      <c r="F216" s="150" t="s">
        <v>74</v>
      </c>
      <c r="G216" s="156">
        <f>G214-G215</f>
        <v>4575.5</v>
      </c>
      <c r="H216" s="157">
        <f>'Other Electriciy Rates'!$K$11</f>
        <v>0.075</v>
      </c>
      <c r="I216" s="158">
        <f>+G216*H216</f>
        <v>343.16249999999997</v>
      </c>
      <c r="J216" s="156">
        <f>J214-J215</f>
        <v>4580.9562396336405</v>
      </c>
      <c r="K216" s="157">
        <f>'Other Electriciy Rates'!$K$26</f>
        <v>0.075</v>
      </c>
      <c r="L216" s="185">
        <f>+J216*K216</f>
        <v>343.571717972523</v>
      </c>
      <c r="M216" s="186">
        <f t="shared" si="30"/>
        <v>0.40921797252303804</v>
      </c>
      <c r="N216" s="187">
        <f t="shared" si="29"/>
        <v>0.0011924903581336482</v>
      </c>
      <c r="O216" s="188">
        <f>L216/L219</f>
        <v>0.5046168307788925</v>
      </c>
      <c r="P216" s="118"/>
    </row>
    <row r="217" spans="2:16" ht="18" customHeight="1" thickBot="1">
      <c r="B217" s="125"/>
      <c r="C217" s="31"/>
      <c r="D217" s="31"/>
      <c r="E217" s="31"/>
      <c r="F217" s="476" t="s">
        <v>191</v>
      </c>
      <c r="G217" s="676"/>
      <c r="H217" s="677"/>
      <c r="I217" s="477">
        <f>SUM(I213:I216)</f>
        <v>579.07655</v>
      </c>
      <c r="J217" s="676"/>
      <c r="K217" s="677"/>
      <c r="L217" s="477">
        <f>SUM(L213:L216)</f>
        <v>602.5279966345404</v>
      </c>
      <c r="M217" s="488">
        <f t="shared" si="30"/>
        <v>23.45144663454039</v>
      </c>
      <c r="N217" s="481">
        <f t="shared" si="29"/>
        <v>0.040498007792821845</v>
      </c>
      <c r="O217" s="483">
        <f>L217/L219</f>
        <v>0.8849557522123894</v>
      </c>
      <c r="P217" s="118"/>
    </row>
    <row r="218" spans="2:16" ht="18" customHeight="1" thickBot="1">
      <c r="B218" s="125"/>
      <c r="C218" s="31"/>
      <c r="D218" s="31"/>
      <c r="E218" s="31"/>
      <c r="F218" s="222" t="s">
        <v>323</v>
      </c>
      <c r="G218" s="223"/>
      <c r="H218" s="227">
        <v>0.13</v>
      </c>
      <c r="I218" s="224">
        <f>I217*H218</f>
        <v>75.2799515</v>
      </c>
      <c r="J218" s="223"/>
      <c r="K218" s="227">
        <v>0.13</v>
      </c>
      <c r="L218" s="225">
        <f>L217*K218</f>
        <v>78.32863956249025</v>
      </c>
      <c r="M218" s="183">
        <f t="shared" si="30"/>
        <v>3.048688062490257</v>
      </c>
      <c r="N218" s="184">
        <f t="shared" si="29"/>
        <v>0.04049800779282193</v>
      </c>
      <c r="O218" s="189">
        <f>L218/L219</f>
        <v>0.11504424778761062</v>
      </c>
      <c r="P218" s="118"/>
    </row>
    <row r="219" spans="2:16" ht="18" customHeight="1" thickBot="1">
      <c r="B219" s="125"/>
      <c r="C219" s="31"/>
      <c r="D219" s="31"/>
      <c r="E219" s="35"/>
      <c r="F219" s="486" t="s">
        <v>75</v>
      </c>
      <c r="G219" s="688"/>
      <c r="H219" s="689"/>
      <c r="I219" s="487">
        <f>I217+I218</f>
        <v>654.3565015</v>
      </c>
      <c r="J219" s="688"/>
      <c r="K219" s="689"/>
      <c r="L219" s="487">
        <f>L217+L218</f>
        <v>680.8566361970306</v>
      </c>
      <c r="M219" s="489">
        <f>M217+M218</f>
        <v>26.500134697030646</v>
      </c>
      <c r="N219" s="481">
        <f t="shared" si="29"/>
        <v>0.04049800779282185</v>
      </c>
      <c r="O219" s="482">
        <f>SUM(O217:O218)</f>
        <v>1</v>
      </c>
      <c r="P219" s="118"/>
    </row>
    <row r="220" spans="2:16" ht="18" customHeight="1" thickBot="1">
      <c r="B220" s="119"/>
      <c r="C220" s="131"/>
      <c r="D220" s="131"/>
      <c r="E220" s="131"/>
      <c r="F220" s="132"/>
      <c r="G220" s="133"/>
      <c r="H220" s="134"/>
      <c r="I220" s="135"/>
      <c r="J220" s="133"/>
      <c r="K220" s="136"/>
      <c r="L220" s="135"/>
      <c r="M220" s="140"/>
      <c r="N220" s="138"/>
      <c r="O220" s="139"/>
      <c r="P220" s="120"/>
    </row>
    <row r="221" spans="2:16" ht="18" customHeight="1" thickBot="1">
      <c r="B221" s="25"/>
      <c r="C221" s="31"/>
      <c r="D221" s="31"/>
      <c r="E221" s="31"/>
      <c r="F221" s="49"/>
      <c r="G221" s="50"/>
      <c r="H221" s="51"/>
      <c r="I221" s="52"/>
      <c r="J221" s="50"/>
      <c r="K221" s="53"/>
      <c r="L221" s="52"/>
      <c r="M221" s="130"/>
      <c r="N221" s="128"/>
      <c r="O221" s="129"/>
      <c r="P221" s="25"/>
    </row>
    <row r="222" spans="2:16" ht="18" customHeight="1">
      <c r="B222" s="127"/>
      <c r="C222" s="684"/>
      <c r="D222" s="684"/>
      <c r="E222" s="684"/>
      <c r="F222" s="684"/>
      <c r="G222" s="684"/>
      <c r="H222" s="684"/>
      <c r="I222" s="684"/>
      <c r="J222" s="684"/>
      <c r="K222" s="684"/>
      <c r="L222" s="684"/>
      <c r="M222" s="684"/>
      <c r="N222" s="684"/>
      <c r="O222" s="684"/>
      <c r="P222" s="117"/>
    </row>
    <row r="223" spans="2:16" ht="23.25">
      <c r="B223" s="125"/>
      <c r="C223" s="683" t="s">
        <v>133</v>
      </c>
      <c r="D223" s="683"/>
      <c r="E223" s="683"/>
      <c r="F223" s="683"/>
      <c r="G223" s="683"/>
      <c r="H223" s="683"/>
      <c r="I223" s="683"/>
      <c r="J223" s="683"/>
      <c r="K223" s="683"/>
      <c r="L223" s="683"/>
      <c r="M223" s="683"/>
      <c r="N223" s="683"/>
      <c r="O223" s="683"/>
      <c r="P223" s="118"/>
    </row>
    <row r="224" spans="2:16" ht="18" customHeight="1" thickBot="1">
      <c r="B224" s="125"/>
      <c r="C224" s="685"/>
      <c r="D224" s="685"/>
      <c r="E224" s="685"/>
      <c r="F224" s="685"/>
      <c r="G224" s="685"/>
      <c r="H224" s="685"/>
      <c r="I224" s="685"/>
      <c r="J224" s="685"/>
      <c r="K224" s="685"/>
      <c r="L224" s="685"/>
      <c r="M224" s="685"/>
      <c r="N224" s="685"/>
      <c r="O224" s="685"/>
      <c r="P224" s="118"/>
    </row>
    <row r="225" spans="2:16" ht="18" customHeight="1" thickBot="1">
      <c r="B225" s="125"/>
      <c r="C225" s="126"/>
      <c r="D225" s="126"/>
      <c r="E225" s="31"/>
      <c r="F225" s="37"/>
      <c r="G225" s="678" t="str">
        <f>$G$10</f>
        <v>2010 BILL</v>
      </c>
      <c r="H225" s="679"/>
      <c r="I225" s="680"/>
      <c r="J225" s="678" t="str">
        <f>$J$10</f>
        <v>2011 BILL</v>
      </c>
      <c r="K225" s="679"/>
      <c r="L225" s="680"/>
      <c r="M225" s="678" t="s">
        <v>69</v>
      </c>
      <c r="N225" s="679"/>
      <c r="O225" s="680"/>
      <c r="P225" s="118"/>
    </row>
    <row r="226" spans="2:16" ht="26.25" thickBot="1">
      <c r="B226" s="125"/>
      <c r="C226" s="31"/>
      <c r="D226" s="31"/>
      <c r="E226" s="33"/>
      <c r="F226" s="38"/>
      <c r="G226" s="141" t="s">
        <v>63</v>
      </c>
      <c r="H226" s="142" t="s">
        <v>64</v>
      </c>
      <c r="I226" s="143" t="s">
        <v>65</v>
      </c>
      <c r="J226" s="144" t="s">
        <v>63</v>
      </c>
      <c r="K226" s="142" t="s">
        <v>64</v>
      </c>
      <c r="L226" s="143" t="s">
        <v>65</v>
      </c>
      <c r="M226" s="145" t="s">
        <v>76</v>
      </c>
      <c r="N226" s="146" t="s">
        <v>77</v>
      </c>
      <c r="O226" s="147" t="s">
        <v>72</v>
      </c>
      <c r="P226" s="118"/>
    </row>
    <row r="227" spans="2:16" ht="18" customHeight="1" thickBot="1">
      <c r="B227" s="125"/>
      <c r="C227" s="681" t="s">
        <v>66</v>
      </c>
      <c r="D227" s="682"/>
      <c r="E227" s="31"/>
      <c r="F227" s="151" t="s">
        <v>67</v>
      </c>
      <c r="G227" s="161"/>
      <c r="H227" s="162"/>
      <c r="I227" s="163">
        <f>'2010 Existing Rates'!$C$9</f>
        <v>14.7</v>
      </c>
      <c r="J227" s="161"/>
      <c r="K227" s="162"/>
      <c r="L227" s="166">
        <f>'Rate Schedule (Part 1)'!$E$20</f>
        <v>16.78</v>
      </c>
      <c r="M227" s="175">
        <f aca="true" t="shared" si="31" ref="M227:M232">+L227-I227</f>
        <v>2.080000000000002</v>
      </c>
      <c r="N227" s="176">
        <f>+M227/I227</f>
        <v>0.1414965986394559</v>
      </c>
      <c r="O227" s="177">
        <f>L227/L241</f>
        <v>0.012429445898692278</v>
      </c>
      <c r="P227" s="118"/>
    </row>
    <row r="228" spans="2:16" ht="18" customHeight="1" thickBot="1">
      <c r="B228" s="125"/>
      <c r="C228" s="123">
        <v>10000</v>
      </c>
      <c r="D228" s="124" t="s">
        <v>15</v>
      </c>
      <c r="E228" s="31"/>
      <c r="F228" s="152" t="s">
        <v>68</v>
      </c>
      <c r="G228" s="155">
        <f>+C228</f>
        <v>10000</v>
      </c>
      <c r="H228" s="149">
        <f>'2010 Existing Rates'!$E$9</f>
        <v>0.0156</v>
      </c>
      <c r="I228" s="164">
        <f>+G228*H228</f>
        <v>156</v>
      </c>
      <c r="J228" s="155">
        <f>+C228</f>
        <v>10000</v>
      </c>
      <c r="K228" s="148">
        <f>'Rate Schedule (Part 1)'!$E$21</f>
        <v>0.0178</v>
      </c>
      <c r="L228" s="168">
        <f>+J228*K228</f>
        <v>178</v>
      </c>
      <c r="M228" s="178">
        <f t="shared" si="31"/>
        <v>22</v>
      </c>
      <c r="N228" s="172">
        <f>+M228/I228</f>
        <v>0.14102564102564102</v>
      </c>
      <c r="O228" s="179">
        <f>L228/L241</f>
        <v>0.13184990285859507</v>
      </c>
      <c r="P228" s="118"/>
    </row>
    <row r="229" spans="2:16" ht="18" customHeight="1">
      <c r="B229" s="125"/>
      <c r="C229" s="62"/>
      <c r="D229" s="63"/>
      <c r="E229" s="31"/>
      <c r="F229" s="152" t="s">
        <v>233</v>
      </c>
      <c r="G229" s="155">
        <f>G228</f>
        <v>10000</v>
      </c>
      <c r="H229" s="149">
        <f>'2010 Existing Rates'!$B$34</f>
        <v>0.0002</v>
      </c>
      <c r="I229" s="164">
        <f>+G229*H229</f>
        <v>2</v>
      </c>
      <c r="J229" s="155">
        <f>J228</f>
        <v>10000</v>
      </c>
      <c r="K229" s="148">
        <f>'Rate Schedule (Part 1)'!$E$22</f>
        <v>0.0002</v>
      </c>
      <c r="L229" s="168">
        <f>+J229*K229</f>
        <v>2</v>
      </c>
      <c r="M229" s="178">
        <f t="shared" si="31"/>
        <v>0</v>
      </c>
      <c r="N229" s="172">
        <f>+M229/I229</f>
        <v>0</v>
      </c>
      <c r="O229" s="179">
        <f>L229/L241</f>
        <v>0.0014814595826808435</v>
      </c>
      <c r="P229" s="118"/>
    </row>
    <row r="230" spans="2:16" ht="18" customHeight="1">
      <c r="B230" s="125"/>
      <c r="C230" s="62"/>
      <c r="D230" s="63"/>
      <c r="E230" s="31"/>
      <c r="F230" s="152" t="s">
        <v>166</v>
      </c>
      <c r="G230" s="174"/>
      <c r="H230" s="173"/>
      <c r="I230" s="164">
        <f>'2010 Existing Rates'!$B$46</f>
        <v>2.16</v>
      </c>
      <c r="J230" s="174"/>
      <c r="K230" s="173"/>
      <c r="L230" s="168">
        <f>'Rate Schedule (Part 1)'!$E$24</f>
        <v>-0.43193202035146244</v>
      </c>
      <c r="M230" s="178">
        <f t="shared" si="31"/>
        <v>-2.5919320203514626</v>
      </c>
      <c r="N230" s="172">
        <f>+M230/I230</f>
        <v>-1.199968527940492</v>
      </c>
      <c r="O230" s="179">
        <f>L230/L241</f>
        <v>-0.0003199449153081856</v>
      </c>
      <c r="P230" s="118"/>
    </row>
    <row r="231" spans="1:16" ht="18" customHeight="1">
      <c r="A231" s="118"/>
      <c r="B231" s="25"/>
      <c r="C231" s="31"/>
      <c r="D231" s="31"/>
      <c r="E231" s="31"/>
      <c r="F231" s="152" t="s">
        <v>158</v>
      </c>
      <c r="G231" s="155">
        <f>C228</f>
        <v>10000</v>
      </c>
      <c r="H231" s="149"/>
      <c r="I231" s="160">
        <f>+G231*H231</f>
        <v>0</v>
      </c>
      <c r="J231" s="155">
        <f>C228</f>
        <v>10000</v>
      </c>
      <c r="K231" s="148">
        <f>'Rate Schedule (Part 1)'!$E$23</f>
        <v>0</v>
      </c>
      <c r="L231" s="168">
        <f>J231*K231</f>
        <v>0</v>
      </c>
      <c r="M231" s="178">
        <f t="shared" si="31"/>
        <v>0</v>
      </c>
      <c r="N231" s="172">
        <v>0</v>
      </c>
      <c r="O231" s="179">
        <f>L231/L241</f>
        <v>0</v>
      </c>
      <c r="P231" s="118"/>
    </row>
    <row r="232" spans="1:16" ht="18" customHeight="1" thickBot="1">
      <c r="A232" s="118"/>
      <c r="B232" s="25"/>
      <c r="C232" s="31"/>
      <c r="D232" s="31"/>
      <c r="E232" s="31"/>
      <c r="F232" s="153" t="s">
        <v>232</v>
      </c>
      <c r="G232" s="180">
        <f>+C228</f>
        <v>10000</v>
      </c>
      <c r="H232" s="181">
        <f>'2010 Existing Rates'!$B$22</f>
        <v>-0.0037</v>
      </c>
      <c r="I232" s="182">
        <f>+G232*H232</f>
        <v>-37</v>
      </c>
      <c r="J232" s="180">
        <f>+C228</f>
        <v>10000</v>
      </c>
      <c r="K232" s="181">
        <f>'Rate Schedule (Part 1)'!$E$25</f>
        <v>-0.0007654152677371481</v>
      </c>
      <c r="L232" s="182">
        <f>+J232*K232</f>
        <v>-7.6541526773714805</v>
      </c>
      <c r="M232" s="178">
        <f t="shared" si="31"/>
        <v>29.34584732262852</v>
      </c>
      <c r="N232" s="172">
        <f aca="true" t="shared" si="32" ref="N232:N241">+M232/I232</f>
        <v>-0.7931310087196897</v>
      </c>
      <c r="O232" s="179">
        <f>L232/L241</f>
        <v>-0.005669658915597108</v>
      </c>
      <c r="P232" s="281"/>
    </row>
    <row r="233" spans="1:16" ht="18" customHeight="1" thickBot="1">
      <c r="A233" s="118"/>
      <c r="F233" s="476" t="s">
        <v>234</v>
      </c>
      <c r="G233" s="676"/>
      <c r="H233" s="677"/>
      <c r="I233" s="477">
        <f>SUM(I227:I232)</f>
        <v>137.85999999999999</v>
      </c>
      <c r="J233" s="676"/>
      <c r="K233" s="677"/>
      <c r="L233" s="477">
        <f>SUM(L227:L232)</f>
        <v>188.69391530227705</v>
      </c>
      <c r="M233" s="480">
        <f>SUM(M227:M232)</f>
        <v>50.83391530227706</v>
      </c>
      <c r="N233" s="481">
        <f t="shared" si="32"/>
        <v>0.3687357848707172</v>
      </c>
      <c r="O233" s="482">
        <f>L233/L241</f>
        <v>0.1397712045090629</v>
      </c>
      <c r="P233" s="281"/>
    </row>
    <row r="234" spans="1:16" ht="18" customHeight="1" thickBot="1">
      <c r="A234" s="118"/>
      <c r="F234" s="152" t="s">
        <v>235</v>
      </c>
      <c r="G234" s="273">
        <f>C228*'Other Electriciy Rates'!$L$11</f>
        <v>10351</v>
      </c>
      <c r="H234" s="274">
        <f>'Other Electriciy Rates'!$B$11</f>
        <v>0.009600000000000001</v>
      </c>
      <c r="I234" s="164">
        <f>+G234*H234</f>
        <v>99.3696</v>
      </c>
      <c r="J234" s="273">
        <f>'BILL IMPACTS'!C228*'Other Electriciy Rates'!$L$26</f>
        <v>10361.912479267281</v>
      </c>
      <c r="K234" s="274">
        <f>'Other Electriciy Rates'!$B$26</f>
        <v>0.009166720502807955</v>
      </c>
      <c r="L234" s="164">
        <f>+J234*K234</f>
        <v>94.98475557200099</v>
      </c>
      <c r="M234" s="275">
        <f aca="true" t="shared" si="33" ref="M234:M240">+L234-I234</f>
        <v>-4.384844427999013</v>
      </c>
      <c r="N234" s="176">
        <f t="shared" si="32"/>
        <v>-0.044126618482906374</v>
      </c>
      <c r="O234" s="177">
        <f>L234/L241</f>
        <v>0.07035803817536926</v>
      </c>
      <c r="P234" s="281"/>
    </row>
    <row r="235" spans="1:16" ht="18" customHeight="1" thickBot="1">
      <c r="A235" s="118"/>
      <c r="F235" s="476" t="s">
        <v>236</v>
      </c>
      <c r="G235" s="676"/>
      <c r="H235" s="677"/>
      <c r="I235" s="477">
        <f>I233+I234</f>
        <v>237.2296</v>
      </c>
      <c r="J235" s="676"/>
      <c r="K235" s="677"/>
      <c r="L235" s="477">
        <f>L233+L234</f>
        <v>283.67867087427805</v>
      </c>
      <c r="M235" s="480">
        <f t="shared" si="33"/>
        <v>46.44907087427805</v>
      </c>
      <c r="N235" s="481">
        <f t="shared" si="32"/>
        <v>0.19579795638604142</v>
      </c>
      <c r="O235" s="483">
        <f>L235/L241</f>
        <v>0.21012924268443217</v>
      </c>
      <c r="P235" s="281"/>
    </row>
    <row r="236" spans="1:16" ht="18" customHeight="1">
      <c r="A236" s="118"/>
      <c r="F236" s="154" t="s">
        <v>73</v>
      </c>
      <c r="G236" s="156">
        <f>+'Other Electriciy Rates'!$L$10*C228</f>
        <v>10351</v>
      </c>
      <c r="H236" s="157">
        <f>'Other Electriciy Rates'!$C$11+'Other Electriciy Rates'!$D$11</f>
        <v>0.0135</v>
      </c>
      <c r="I236" s="158">
        <f>+G236*H236</f>
        <v>139.7385</v>
      </c>
      <c r="J236" s="156">
        <f>J234</f>
        <v>10361.912479267281</v>
      </c>
      <c r="K236" s="157">
        <f>'Other Electriciy Rates'!$C$26+'Other Electriciy Rates'!$D$26</f>
        <v>0.0135</v>
      </c>
      <c r="L236" s="185">
        <f>+J236*K236</f>
        <v>139.8858184701083</v>
      </c>
      <c r="M236" s="186">
        <f t="shared" si="33"/>
        <v>0.1473184701083028</v>
      </c>
      <c r="N236" s="187">
        <f t="shared" si="32"/>
        <v>0.001054243963605612</v>
      </c>
      <c r="O236" s="226">
        <f>L236/L241</f>
        <v>0.10361759312684743</v>
      </c>
      <c r="P236" s="281"/>
    </row>
    <row r="237" spans="1:16" ht="18" customHeight="1">
      <c r="A237" s="118"/>
      <c r="B237" s="25"/>
      <c r="C237" s="31"/>
      <c r="D237" s="31"/>
      <c r="E237" s="31"/>
      <c r="F237" s="150" t="s">
        <v>74</v>
      </c>
      <c r="G237" s="156">
        <v>600</v>
      </c>
      <c r="H237" s="157">
        <f>'Other Electriciy Rates'!$J$11</f>
        <v>0.065</v>
      </c>
      <c r="I237" s="158">
        <f>+G237*H237</f>
        <v>39</v>
      </c>
      <c r="J237" s="156">
        <v>600</v>
      </c>
      <c r="K237" s="157">
        <f>'Other Electriciy Rates'!$J$26</f>
        <v>0.065</v>
      </c>
      <c r="L237" s="185">
        <f>+J237*K237</f>
        <v>39</v>
      </c>
      <c r="M237" s="186">
        <f t="shared" si="33"/>
        <v>0</v>
      </c>
      <c r="N237" s="187">
        <f t="shared" si="32"/>
        <v>0</v>
      </c>
      <c r="O237" s="188">
        <f>L237/L241</f>
        <v>0.02888846186227645</v>
      </c>
      <c r="P237" s="281"/>
    </row>
    <row r="238" spans="1:16" ht="18" customHeight="1" thickBot="1">
      <c r="A238" s="118"/>
      <c r="B238" s="25"/>
      <c r="C238" s="31"/>
      <c r="D238" s="31"/>
      <c r="E238" s="31"/>
      <c r="F238" s="150" t="s">
        <v>74</v>
      </c>
      <c r="G238" s="156">
        <f>G236-G237</f>
        <v>9751</v>
      </c>
      <c r="H238" s="157">
        <f>'Other Electriciy Rates'!$K$11</f>
        <v>0.075</v>
      </c>
      <c r="I238" s="158">
        <f>+G238*H238</f>
        <v>731.3249999999999</v>
      </c>
      <c r="J238" s="156">
        <f>J236-J237</f>
        <v>9761.912479267281</v>
      </c>
      <c r="K238" s="157">
        <f>'Other Electriciy Rates'!$K$26</f>
        <v>0.075</v>
      </c>
      <c r="L238" s="185">
        <f>+J238*K238</f>
        <v>732.143435945046</v>
      </c>
      <c r="M238" s="186">
        <f t="shared" si="33"/>
        <v>0.8184359450460761</v>
      </c>
      <c r="N238" s="187">
        <f t="shared" si="32"/>
        <v>0.0011191138618891411</v>
      </c>
      <c r="O238" s="188">
        <f>L238/L241</f>
        <v>0.5423204545388334</v>
      </c>
      <c r="P238" s="118"/>
    </row>
    <row r="239" spans="2:16" ht="18" customHeight="1" thickBot="1">
      <c r="B239" s="125"/>
      <c r="C239" s="31"/>
      <c r="D239" s="31"/>
      <c r="E239" s="31"/>
      <c r="F239" s="476" t="s">
        <v>191</v>
      </c>
      <c r="G239" s="676"/>
      <c r="H239" s="677"/>
      <c r="I239" s="477">
        <f>SUM(I235:I238)</f>
        <v>1147.2930999999999</v>
      </c>
      <c r="J239" s="676"/>
      <c r="K239" s="677"/>
      <c r="L239" s="477">
        <f>SUM(L235:L238)</f>
        <v>1194.7079252894323</v>
      </c>
      <c r="M239" s="488">
        <f t="shared" si="33"/>
        <v>47.41482528943243</v>
      </c>
      <c r="N239" s="481">
        <f t="shared" si="32"/>
        <v>0.04132756075098197</v>
      </c>
      <c r="O239" s="483">
        <f>L239/L241</f>
        <v>0.8849557522123894</v>
      </c>
      <c r="P239" s="118"/>
    </row>
    <row r="240" spans="2:16" ht="18" customHeight="1" thickBot="1">
      <c r="B240" s="125"/>
      <c r="C240" s="31"/>
      <c r="D240" s="31"/>
      <c r="E240" s="31"/>
      <c r="F240" s="222" t="s">
        <v>323</v>
      </c>
      <c r="G240" s="223"/>
      <c r="H240" s="227">
        <v>0.13</v>
      </c>
      <c r="I240" s="224">
        <f>I239*H240</f>
        <v>149.148103</v>
      </c>
      <c r="J240" s="223"/>
      <c r="K240" s="227">
        <v>0.13</v>
      </c>
      <c r="L240" s="225">
        <f>L239*K240</f>
        <v>155.31203028762621</v>
      </c>
      <c r="M240" s="183">
        <f t="shared" si="33"/>
        <v>6.1639272876262226</v>
      </c>
      <c r="N240" s="184">
        <f t="shared" si="32"/>
        <v>0.04132756075098201</v>
      </c>
      <c r="O240" s="189">
        <f>L240/L241</f>
        <v>0.11504424778761063</v>
      </c>
      <c r="P240" s="118"/>
    </row>
    <row r="241" spans="2:16" ht="18" customHeight="1" thickBot="1">
      <c r="B241" s="125"/>
      <c r="C241" s="31"/>
      <c r="D241" s="31"/>
      <c r="E241" s="35"/>
      <c r="F241" s="486" t="s">
        <v>75</v>
      </c>
      <c r="G241" s="688"/>
      <c r="H241" s="689"/>
      <c r="I241" s="487">
        <f>I239+I240</f>
        <v>1296.4412029999999</v>
      </c>
      <c r="J241" s="688"/>
      <c r="K241" s="689"/>
      <c r="L241" s="487">
        <f>L239+L240</f>
        <v>1350.0199555770585</v>
      </c>
      <c r="M241" s="489">
        <f>M239+M240</f>
        <v>53.57875257705865</v>
      </c>
      <c r="N241" s="481">
        <f t="shared" si="32"/>
        <v>0.04132756075098198</v>
      </c>
      <c r="O241" s="482">
        <f>SUM(O239:O240)</f>
        <v>1</v>
      </c>
      <c r="P241" s="118"/>
    </row>
    <row r="242" spans="2:16" ht="18" customHeight="1" thickBot="1">
      <c r="B242" s="119"/>
      <c r="C242" s="131"/>
      <c r="D242" s="131"/>
      <c r="E242" s="131"/>
      <c r="F242" s="132"/>
      <c r="G242" s="133"/>
      <c r="H242" s="134"/>
      <c r="I242" s="135"/>
      <c r="J242" s="133"/>
      <c r="K242" s="136"/>
      <c r="L242" s="135"/>
      <c r="M242" s="140"/>
      <c r="N242" s="138"/>
      <c r="O242" s="139"/>
      <c r="P242" s="120"/>
    </row>
    <row r="243" ht="18" customHeight="1" thickBot="1"/>
    <row r="244" spans="2:16" ht="18" customHeight="1">
      <c r="B244" s="127"/>
      <c r="C244" s="684"/>
      <c r="D244" s="684"/>
      <c r="E244" s="684"/>
      <c r="F244" s="684"/>
      <c r="G244" s="684"/>
      <c r="H244" s="684"/>
      <c r="I244" s="684"/>
      <c r="J244" s="684"/>
      <c r="K244" s="684"/>
      <c r="L244" s="684"/>
      <c r="M244" s="684"/>
      <c r="N244" s="684"/>
      <c r="O244" s="684"/>
      <c r="P244" s="117"/>
    </row>
    <row r="245" spans="2:16" ht="23.25">
      <c r="B245" s="125"/>
      <c r="C245" s="683" t="s">
        <v>133</v>
      </c>
      <c r="D245" s="683"/>
      <c r="E245" s="683"/>
      <c r="F245" s="683"/>
      <c r="G245" s="683"/>
      <c r="H245" s="683"/>
      <c r="I245" s="683"/>
      <c r="J245" s="683"/>
      <c r="K245" s="683"/>
      <c r="L245" s="683"/>
      <c r="M245" s="683"/>
      <c r="N245" s="683"/>
      <c r="O245" s="683"/>
      <c r="P245" s="118"/>
    </row>
    <row r="246" spans="2:16" ht="18" customHeight="1" thickBot="1">
      <c r="B246" s="125"/>
      <c r="C246" s="685"/>
      <c r="D246" s="685"/>
      <c r="E246" s="685"/>
      <c r="F246" s="685"/>
      <c r="G246" s="685"/>
      <c r="H246" s="685"/>
      <c r="I246" s="685"/>
      <c r="J246" s="685"/>
      <c r="K246" s="685"/>
      <c r="L246" s="685"/>
      <c r="M246" s="685"/>
      <c r="N246" s="685"/>
      <c r="O246" s="685"/>
      <c r="P246" s="118"/>
    </row>
    <row r="247" spans="2:16" ht="18" customHeight="1" thickBot="1">
      <c r="B247" s="125"/>
      <c r="C247" s="126"/>
      <c r="D247" s="126"/>
      <c r="E247" s="31"/>
      <c r="F247" s="37"/>
      <c r="G247" s="678" t="str">
        <f>$G$10</f>
        <v>2010 BILL</v>
      </c>
      <c r="H247" s="679"/>
      <c r="I247" s="680"/>
      <c r="J247" s="678" t="str">
        <f>$J$10</f>
        <v>2011 BILL</v>
      </c>
      <c r="K247" s="679"/>
      <c r="L247" s="680"/>
      <c r="M247" s="678" t="s">
        <v>69</v>
      </c>
      <c r="N247" s="679"/>
      <c r="O247" s="680"/>
      <c r="P247" s="118"/>
    </row>
    <row r="248" spans="2:16" ht="26.25" thickBot="1">
      <c r="B248" s="125"/>
      <c r="C248" s="31"/>
      <c r="D248" s="31"/>
      <c r="E248" s="33"/>
      <c r="F248" s="38"/>
      <c r="G248" s="141" t="s">
        <v>63</v>
      </c>
      <c r="H248" s="142" t="s">
        <v>64</v>
      </c>
      <c r="I248" s="143" t="s">
        <v>65</v>
      </c>
      <c r="J248" s="144" t="s">
        <v>63</v>
      </c>
      <c r="K248" s="142" t="s">
        <v>64</v>
      </c>
      <c r="L248" s="143" t="s">
        <v>65</v>
      </c>
      <c r="M248" s="145" t="s">
        <v>76</v>
      </c>
      <c r="N248" s="146" t="s">
        <v>77</v>
      </c>
      <c r="O248" s="147" t="s">
        <v>72</v>
      </c>
      <c r="P248" s="118"/>
    </row>
    <row r="249" spans="2:16" ht="18" customHeight="1" thickBot="1">
      <c r="B249" s="125"/>
      <c r="C249" s="681" t="s">
        <v>66</v>
      </c>
      <c r="D249" s="682"/>
      <c r="E249" s="31"/>
      <c r="F249" s="151" t="s">
        <v>67</v>
      </c>
      <c r="G249" s="161"/>
      <c r="H249" s="162"/>
      <c r="I249" s="163">
        <f>'2010 Existing Rates'!$C$9</f>
        <v>14.7</v>
      </c>
      <c r="J249" s="161"/>
      <c r="K249" s="162"/>
      <c r="L249" s="166">
        <f>'Rate Schedule (Part 1)'!$E$20</f>
        <v>16.78</v>
      </c>
      <c r="M249" s="175">
        <f aca="true" t="shared" si="34" ref="M249:M254">+L249-I249</f>
        <v>2.080000000000002</v>
      </c>
      <c r="N249" s="176">
        <f>+M249/I249</f>
        <v>0.1414965986394559</v>
      </c>
      <c r="O249" s="177">
        <f>L249/L263</f>
        <v>0.008310290704223778</v>
      </c>
      <c r="P249" s="118"/>
    </row>
    <row r="250" spans="2:16" ht="18" customHeight="1" thickBot="1">
      <c r="B250" s="125"/>
      <c r="C250" s="123">
        <v>15000</v>
      </c>
      <c r="D250" s="124" t="s">
        <v>15</v>
      </c>
      <c r="E250" s="31"/>
      <c r="F250" s="152" t="s">
        <v>68</v>
      </c>
      <c r="G250" s="155">
        <f>+C250</f>
        <v>15000</v>
      </c>
      <c r="H250" s="149">
        <f>'2010 Existing Rates'!$E$9</f>
        <v>0.0156</v>
      </c>
      <c r="I250" s="164">
        <f>+G250*H250</f>
        <v>234</v>
      </c>
      <c r="J250" s="155">
        <f>+C250</f>
        <v>15000</v>
      </c>
      <c r="K250" s="148">
        <f>'Rate Schedule (Part 1)'!$E$21</f>
        <v>0.0178</v>
      </c>
      <c r="L250" s="168">
        <f>+J250*K250</f>
        <v>267</v>
      </c>
      <c r="M250" s="178">
        <f t="shared" si="34"/>
        <v>33</v>
      </c>
      <c r="N250" s="172">
        <f>+M250/I250</f>
        <v>0.14102564102564102</v>
      </c>
      <c r="O250" s="179">
        <f>L250/L263</f>
        <v>0.13223168164646892</v>
      </c>
      <c r="P250" s="118"/>
    </row>
    <row r="251" spans="2:16" ht="18" customHeight="1">
      <c r="B251" s="125"/>
      <c r="C251" s="62"/>
      <c r="D251" s="63"/>
      <c r="E251" s="31"/>
      <c r="F251" s="152" t="s">
        <v>233</v>
      </c>
      <c r="G251" s="155">
        <f>G250</f>
        <v>15000</v>
      </c>
      <c r="H251" s="149">
        <f>'2010 Existing Rates'!$B$34</f>
        <v>0.0002</v>
      </c>
      <c r="I251" s="164">
        <f>+G251*H251</f>
        <v>3</v>
      </c>
      <c r="J251" s="155">
        <f>J250</f>
        <v>15000</v>
      </c>
      <c r="K251" s="148">
        <f>'Rate Schedule (Part 1)'!$E$22</f>
        <v>0.0002</v>
      </c>
      <c r="L251" s="168">
        <f>+J251*K251</f>
        <v>3</v>
      </c>
      <c r="M251" s="178">
        <f t="shared" si="34"/>
        <v>0</v>
      </c>
      <c r="N251" s="172">
        <f>+M251/I251</f>
        <v>0</v>
      </c>
      <c r="O251" s="179">
        <f>L251/L263</f>
        <v>0.0014857492319827969</v>
      </c>
      <c r="P251" s="118"/>
    </row>
    <row r="252" spans="1:16" ht="18" customHeight="1">
      <c r="A252" s="118"/>
      <c r="B252" s="25"/>
      <c r="C252" s="62"/>
      <c r="D252" s="63"/>
      <c r="E252" s="31"/>
      <c r="F252" s="152" t="s">
        <v>166</v>
      </c>
      <c r="G252" s="174"/>
      <c r="H252" s="173"/>
      <c r="I252" s="164">
        <f>'2010 Existing Rates'!$B$46</f>
        <v>2.16</v>
      </c>
      <c r="J252" s="174"/>
      <c r="K252" s="173"/>
      <c r="L252" s="168">
        <f>'Rate Schedule (Part 1)'!$E$24</f>
        <v>-0.43193202035146244</v>
      </c>
      <c r="M252" s="178">
        <f t="shared" si="34"/>
        <v>-2.5919320203514626</v>
      </c>
      <c r="N252" s="172">
        <f>+M252/I252</f>
        <v>-1.199968527940492</v>
      </c>
      <c r="O252" s="179">
        <f>L252/L263</f>
        <v>-0.0002139142225019877</v>
      </c>
      <c r="P252" s="118"/>
    </row>
    <row r="253" spans="1:16" ht="18" customHeight="1">
      <c r="A253" s="118"/>
      <c r="B253" s="25"/>
      <c r="C253" s="31"/>
      <c r="D253" s="31"/>
      <c r="E253" s="31"/>
      <c r="F253" s="152" t="s">
        <v>158</v>
      </c>
      <c r="G253" s="155">
        <f>C250</f>
        <v>15000</v>
      </c>
      <c r="H253" s="149"/>
      <c r="I253" s="160">
        <f>+G253*H253</f>
        <v>0</v>
      </c>
      <c r="J253" s="155">
        <f>C250</f>
        <v>15000</v>
      </c>
      <c r="K253" s="148">
        <f>'Rate Schedule (Part 1)'!$E$23</f>
        <v>0</v>
      </c>
      <c r="L253" s="168">
        <f>J253*K253</f>
        <v>0</v>
      </c>
      <c r="M253" s="178">
        <f t="shared" si="34"/>
        <v>0</v>
      </c>
      <c r="N253" s="172">
        <v>0</v>
      </c>
      <c r="O253" s="179">
        <f>L253/L263</f>
        <v>0</v>
      </c>
      <c r="P253" s="118"/>
    </row>
    <row r="254" spans="1:16" ht="18" customHeight="1" thickBot="1">
      <c r="A254" s="118"/>
      <c r="B254" s="25"/>
      <c r="C254" s="31"/>
      <c r="D254" s="31"/>
      <c r="E254" s="31"/>
      <c r="F254" s="153" t="s">
        <v>232</v>
      </c>
      <c r="G254" s="180">
        <f>+C250</f>
        <v>15000</v>
      </c>
      <c r="H254" s="181">
        <f>'2010 Existing Rates'!$B$22</f>
        <v>-0.0037</v>
      </c>
      <c r="I254" s="182">
        <f>+G254*H254</f>
        <v>-55.5</v>
      </c>
      <c r="J254" s="180">
        <f>+C250</f>
        <v>15000</v>
      </c>
      <c r="K254" s="181">
        <f>'Rate Schedule (Part 1)'!$E$25</f>
        <v>-0.0007654152677371481</v>
      </c>
      <c r="L254" s="182">
        <f>+J254*K254</f>
        <v>-11.48122901605722</v>
      </c>
      <c r="M254" s="178">
        <f t="shared" si="34"/>
        <v>44.01877098394278</v>
      </c>
      <c r="N254" s="172">
        <f aca="true" t="shared" si="35" ref="N254:N263">+M254/I254</f>
        <v>-0.7931310087196898</v>
      </c>
      <c r="O254" s="179">
        <f>L254/L263</f>
        <v>-0.005686075730941873</v>
      </c>
      <c r="P254" s="281"/>
    </row>
    <row r="255" spans="1:16" ht="18" customHeight="1" thickBot="1">
      <c r="A255" s="118"/>
      <c r="F255" s="476" t="s">
        <v>234</v>
      </c>
      <c r="G255" s="676"/>
      <c r="H255" s="677"/>
      <c r="I255" s="477">
        <f>SUM(I249:I254)</f>
        <v>198.35999999999999</v>
      </c>
      <c r="J255" s="676"/>
      <c r="K255" s="677"/>
      <c r="L255" s="477">
        <f>SUM(L249:L254)</f>
        <v>274.8668389635913</v>
      </c>
      <c r="M255" s="480">
        <f>SUM(M249:M254)</f>
        <v>76.50683896359132</v>
      </c>
      <c r="N255" s="481">
        <f t="shared" si="35"/>
        <v>0.38569690947565705</v>
      </c>
      <c r="O255" s="482">
        <f>L255/L263</f>
        <v>0.1361277316292316</v>
      </c>
      <c r="P255" s="281"/>
    </row>
    <row r="256" spans="1:16" ht="18" customHeight="1" thickBot="1">
      <c r="A256" s="118"/>
      <c r="F256" s="152" t="s">
        <v>235</v>
      </c>
      <c r="G256" s="273">
        <f>C250*'Other Electriciy Rates'!$L$11</f>
        <v>15526.499999999998</v>
      </c>
      <c r="H256" s="274">
        <f>'Other Electriciy Rates'!$B$11</f>
        <v>0.009600000000000001</v>
      </c>
      <c r="I256" s="164">
        <f>+G256*H256</f>
        <v>149.0544</v>
      </c>
      <c r="J256" s="273">
        <f>'BILL IMPACTS'!C250*'Other Electriciy Rates'!$L$26</f>
        <v>15542.868718900922</v>
      </c>
      <c r="K256" s="274">
        <f>'Other Electriciy Rates'!$B$26</f>
        <v>0.009166720502807955</v>
      </c>
      <c r="L256" s="164">
        <f>+J256*K256</f>
        <v>142.47713335800148</v>
      </c>
      <c r="M256" s="275">
        <f aca="true" t="shared" si="36" ref="M256:M262">+L256-I256</f>
        <v>-6.577266641998506</v>
      </c>
      <c r="N256" s="176">
        <f t="shared" si="35"/>
        <v>-0.044126618482906284</v>
      </c>
      <c r="O256" s="177">
        <f>L256/L263</f>
        <v>0.07056176382058707</v>
      </c>
      <c r="P256" s="281"/>
    </row>
    <row r="257" spans="1:16" ht="18" customHeight="1" thickBot="1">
      <c r="A257" s="118"/>
      <c r="F257" s="476" t="s">
        <v>236</v>
      </c>
      <c r="G257" s="676"/>
      <c r="H257" s="677"/>
      <c r="I257" s="477">
        <f>I255+I256</f>
        <v>347.4144</v>
      </c>
      <c r="J257" s="676"/>
      <c r="K257" s="677"/>
      <c r="L257" s="477">
        <f>L255+L256</f>
        <v>417.3439723215928</v>
      </c>
      <c r="M257" s="480">
        <f t="shared" si="36"/>
        <v>69.92957232159279</v>
      </c>
      <c r="N257" s="481">
        <f t="shared" si="35"/>
        <v>0.20128576225278166</v>
      </c>
      <c r="O257" s="483">
        <f>L257/L263</f>
        <v>0.20668949544981868</v>
      </c>
      <c r="P257" s="281"/>
    </row>
    <row r="258" spans="1:16" ht="18" customHeight="1">
      <c r="A258" s="118"/>
      <c r="F258" s="154" t="s">
        <v>73</v>
      </c>
      <c r="G258" s="156">
        <f>+'Other Electriciy Rates'!$L$10*C250</f>
        <v>15526.499999999998</v>
      </c>
      <c r="H258" s="157">
        <f>'Other Electriciy Rates'!$C$11+'Other Electriciy Rates'!$D$11</f>
        <v>0.0135</v>
      </c>
      <c r="I258" s="158">
        <f>+G258*H258</f>
        <v>209.60774999999998</v>
      </c>
      <c r="J258" s="156">
        <f>J256</f>
        <v>15542.868718900922</v>
      </c>
      <c r="K258" s="157">
        <f>'Other Electriciy Rates'!$C$26+'Other Electriciy Rates'!$D$26</f>
        <v>0.0135</v>
      </c>
      <c r="L258" s="185">
        <f>+J258*K258</f>
        <v>209.82872770516244</v>
      </c>
      <c r="M258" s="186">
        <f t="shared" si="36"/>
        <v>0.22097770516245419</v>
      </c>
      <c r="N258" s="187">
        <f t="shared" si="35"/>
        <v>0.001054243963605612</v>
      </c>
      <c r="O258" s="226">
        <f>L258/L263</f>
        <v>0.10391762367862416</v>
      </c>
      <c r="P258" s="281"/>
    </row>
    <row r="259" spans="1:16" ht="18" customHeight="1">
      <c r="A259" s="118"/>
      <c r="B259" s="25"/>
      <c r="C259" s="31"/>
      <c r="D259" s="31"/>
      <c r="E259" s="31"/>
      <c r="F259" s="150" t="s">
        <v>74</v>
      </c>
      <c r="G259" s="156">
        <v>600</v>
      </c>
      <c r="H259" s="157">
        <f>'Other Electriciy Rates'!$J$11</f>
        <v>0.065</v>
      </c>
      <c r="I259" s="158">
        <f>+G259*H259</f>
        <v>39</v>
      </c>
      <c r="J259" s="156">
        <v>600</v>
      </c>
      <c r="K259" s="157">
        <f>'Other Electriciy Rates'!$J$26</f>
        <v>0.065</v>
      </c>
      <c r="L259" s="185">
        <f>+J259*K259</f>
        <v>39</v>
      </c>
      <c r="M259" s="186">
        <f t="shared" si="36"/>
        <v>0</v>
      </c>
      <c r="N259" s="187">
        <f t="shared" si="35"/>
        <v>0</v>
      </c>
      <c r="O259" s="188">
        <f>L259/L263</f>
        <v>0.01931474001577636</v>
      </c>
      <c r="P259" s="281"/>
    </row>
    <row r="260" spans="2:16" ht="18" customHeight="1" thickBot="1">
      <c r="B260" s="125"/>
      <c r="C260" s="31"/>
      <c r="D260" s="31"/>
      <c r="E260" s="31"/>
      <c r="F260" s="150" t="s">
        <v>74</v>
      </c>
      <c r="G260" s="156">
        <f>G258-G259</f>
        <v>14926.499999999998</v>
      </c>
      <c r="H260" s="157">
        <f>'Other Electriciy Rates'!$K$11</f>
        <v>0.075</v>
      </c>
      <c r="I260" s="158">
        <f>+G260*H260</f>
        <v>1119.4874999999997</v>
      </c>
      <c r="J260" s="156">
        <f>J258-J259</f>
        <v>14942.868718900922</v>
      </c>
      <c r="K260" s="157">
        <f>'Other Electriciy Rates'!$K$26</f>
        <v>0.075</v>
      </c>
      <c r="L260" s="185">
        <f>+J260*K260</f>
        <v>1120.715153917569</v>
      </c>
      <c r="M260" s="186">
        <f t="shared" si="36"/>
        <v>1.2276539175693415</v>
      </c>
      <c r="N260" s="187">
        <f t="shared" si="35"/>
        <v>0.001096621371448401</v>
      </c>
      <c r="O260" s="188">
        <f>L260/L263</f>
        <v>0.5550338930681701</v>
      </c>
      <c r="P260" s="118"/>
    </row>
    <row r="261" spans="2:16" ht="18" customHeight="1" thickBot="1">
      <c r="B261" s="125"/>
      <c r="C261" s="31"/>
      <c r="D261" s="31"/>
      <c r="E261" s="31"/>
      <c r="F261" s="476" t="s">
        <v>191</v>
      </c>
      <c r="G261" s="676"/>
      <c r="H261" s="677"/>
      <c r="I261" s="477">
        <f>SUM(I257:I260)</f>
        <v>1715.5096499999997</v>
      </c>
      <c r="J261" s="676"/>
      <c r="K261" s="677"/>
      <c r="L261" s="477">
        <f>SUM(L257:L260)</f>
        <v>1786.8878539443244</v>
      </c>
      <c r="M261" s="488">
        <f t="shared" si="36"/>
        <v>71.3782039443247</v>
      </c>
      <c r="N261" s="481">
        <f t="shared" si="35"/>
        <v>0.04160757938279432</v>
      </c>
      <c r="O261" s="483">
        <f>L261/L263</f>
        <v>0.8849557522123893</v>
      </c>
      <c r="P261" s="118"/>
    </row>
    <row r="262" spans="2:16" ht="18" customHeight="1" thickBot="1">
      <c r="B262" s="125"/>
      <c r="C262" s="31"/>
      <c r="D262" s="31"/>
      <c r="E262" s="31"/>
      <c r="F262" s="222" t="s">
        <v>323</v>
      </c>
      <c r="G262" s="223"/>
      <c r="H262" s="227">
        <v>0.13</v>
      </c>
      <c r="I262" s="224">
        <f>I261*H262</f>
        <v>223.01625449999997</v>
      </c>
      <c r="J262" s="223"/>
      <c r="K262" s="227">
        <v>0.13</v>
      </c>
      <c r="L262" s="225">
        <f>L261*K262</f>
        <v>232.29542101276218</v>
      </c>
      <c r="M262" s="183">
        <f t="shared" si="36"/>
        <v>9.279166512762203</v>
      </c>
      <c r="N262" s="184">
        <f t="shared" si="35"/>
        <v>0.04160757938279429</v>
      </c>
      <c r="O262" s="189">
        <f>L262/L263</f>
        <v>0.11504424778761062</v>
      </c>
      <c r="P262" s="118"/>
    </row>
    <row r="263" spans="2:16" ht="18" customHeight="1" thickBot="1">
      <c r="B263" s="125"/>
      <c r="C263" s="31"/>
      <c r="D263" s="31"/>
      <c r="E263" s="35"/>
      <c r="F263" s="486" t="s">
        <v>75</v>
      </c>
      <c r="G263" s="688"/>
      <c r="H263" s="689"/>
      <c r="I263" s="487">
        <f>I261+I262</f>
        <v>1938.5259044999998</v>
      </c>
      <c r="J263" s="688"/>
      <c r="K263" s="689"/>
      <c r="L263" s="487">
        <f>L261+L262</f>
        <v>2019.1832749570867</v>
      </c>
      <c r="M263" s="489">
        <f>M261+M262</f>
        <v>80.6573704570869</v>
      </c>
      <c r="N263" s="481">
        <f t="shared" si="35"/>
        <v>0.041607579382794316</v>
      </c>
      <c r="O263" s="482">
        <f>SUM(O261:O262)</f>
        <v>0.9999999999999999</v>
      </c>
      <c r="P263" s="118"/>
    </row>
    <row r="264" spans="2:16" ht="18" customHeight="1" thickBot="1">
      <c r="B264" s="119"/>
      <c r="C264" s="131"/>
      <c r="D264" s="131"/>
      <c r="E264" s="131"/>
      <c r="F264" s="132"/>
      <c r="G264" s="133"/>
      <c r="H264" s="134"/>
      <c r="I264" s="135"/>
      <c r="J264" s="133"/>
      <c r="K264" s="136"/>
      <c r="L264" s="135"/>
      <c r="M264" s="140"/>
      <c r="N264" s="138"/>
      <c r="O264" s="139"/>
      <c r="P264" s="120"/>
    </row>
    <row r="265" ht="18" customHeight="1"/>
    <row r="266" ht="6.75" customHeight="1"/>
    <row r="267" ht="6.75" customHeight="1" thickBot="1"/>
    <row r="268" spans="2:16" ht="17.25" customHeight="1">
      <c r="B268" s="127"/>
      <c r="C268" s="684"/>
      <c r="D268" s="684"/>
      <c r="E268" s="684"/>
      <c r="F268" s="684"/>
      <c r="G268" s="684"/>
      <c r="H268" s="684"/>
      <c r="I268" s="684"/>
      <c r="J268" s="684"/>
      <c r="K268" s="684"/>
      <c r="L268" s="684"/>
      <c r="M268" s="684"/>
      <c r="N268" s="684"/>
      <c r="O268" s="684"/>
      <c r="P268" s="117"/>
    </row>
    <row r="269" spans="2:16" ht="23.25">
      <c r="B269" s="125"/>
      <c r="C269" s="683" t="s">
        <v>246</v>
      </c>
      <c r="D269" s="683"/>
      <c r="E269" s="683"/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118"/>
    </row>
    <row r="270" spans="2:16" ht="17.25" customHeight="1" thickBot="1">
      <c r="B270" s="125"/>
      <c r="C270" s="685"/>
      <c r="D270" s="685"/>
      <c r="E270" s="685"/>
      <c r="F270" s="685"/>
      <c r="G270" s="685"/>
      <c r="H270" s="685"/>
      <c r="I270" s="685"/>
      <c r="J270" s="685"/>
      <c r="K270" s="685"/>
      <c r="L270" s="685"/>
      <c r="M270" s="685"/>
      <c r="N270" s="685"/>
      <c r="O270" s="685"/>
      <c r="P270" s="118"/>
    </row>
    <row r="271" spans="2:16" ht="17.25" customHeight="1" thickBot="1">
      <c r="B271" s="125"/>
      <c r="C271" s="126"/>
      <c r="D271" s="126"/>
      <c r="E271" s="31"/>
      <c r="F271" s="32"/>
      <c r="G271" s="678" t="str">
        <f>$G$10</f>
        <v>2010 BILL</v>
      </c>
      <c r="H271" s="679"/>
      <c r="I271" s="680"/>
      <c r="J271" s="678" t="str">
        <f>$J$10</f>
        <v>2011 BILL</v>
      </c>
      <c r="K271" s="679"/>
      <c r="L271" s="680"/>
      <c r="M271" s="678" t="s">
        <v>69</v>
      </c>
      <c r="N271" s="679"/>
      <c r="O271" s="680"/>
      <c r="P271" s="118"/>
    </row>
    <row r="272" spans="2:16" ht="17.25" customHeight="1" thickBot="1">
      <c r="B272" s="125"/>
      <c r="C272" s="31"/>
      <c r="D272" s="31"/>
      <c r="E272" s="33"/>
      <c r="F272" s="34"/>
      <c r="G272" s="285" t="s">
        <v>63</v>
      </c>
      <c r="H272" s="286" t="s">
        <v>64</v>
      </c>
      <c r="I272" s="287" t="s">
        <v>65</v>
      </c>
      <c r="J272" s="288" t="s">
        <v>63</v>
      </c>
      <c r="K272" s="286" t="s">
        <v>64</v>
      </c>
      <c r="L272" s="287" t="s">
        <v>65</v>
      </c>
      <c r="M272" s="145" t="s">
        <v>70</v>
      </c>
      <c r="N272" s="146" t="s">
        <v>71</v>
      </c>
      <c r="O272" s="147" t="s">
        <v>72</v>
      </c>
      <c r="P272" s="118"/>
    </row>
    <row r="273" spans="2:17" ht="17.25" customHeight="1" thickBot="1">
      <c r="B273" s="125"/>
      <c r="C273" s="681" t="s">
        <v>66</v>
      </c>
      <c r="D273" s="682"/>
      <c r="E273" s="31"/>
      <c r="F273" s="291" t="s">
        <v>67</v>
      </c>
      <c r="G273" s="289"/>
      <c r="H273" s="283"/>
      <c r="I273" s="158">
        <f>+'2010 Existing Rates'!$C$10</f>
        <v>70.9</v>
      </c>
      <c r="J273" s="156"/>
      <c r="K273" s="284"/>
      <c r="L273" s="185">
        <f>+'Rate Schedule (Part 1)'!$E$28</f>
        <v>88.37</v>
      </c>
      <c r="M273" s="186">
        <f aca="true" t="shared" si="37" ref="M273:M278">+L273-I273</f>
        <v>17.47</v>
      </c>
      <c r="N273" s="187">
        <f aca="true" t="shared" si="38" ref="N273:N281">+M273/I273</f>
        <v>0.24640338504936526</v>
      </c>
      <c r="O273" s="179">
        <f>L273/L286</f>
        <v>0.026587422906009035</v>
      </c>
      <c r="P273" s="281"/>
      <c r="Q273" s="25"/>
    </row>
    <row r="274" spans="2:16" ht="17.25" customHeight="1" thickBot="1">
      <c r="B274" s="125"/>
      <c r="C274" s="123">
        <v>30000</v>
      </c>
      <c r="D274" s="124" t="s">
        <v>15</v>
      </c>
      <c r="E274" s="31"/>
      <c r="F274" s="292" t="s">
        <v>78</v>
      </c>
      <c r="G274" s="290">
        <f>+C275</f>
        <v>60</v>
      </c>
      <c r="H274" s="149">
        <f>'2010 Existing Rates'!$D$60</f>
        <v>2.3658</v>
      </c>
      <c r="I274" s="164">
        <f>+G274*H274</f>
        <v>141.948</v>
      </c>
      <c r="J274" s="155">
        <f>G274</f>
        <v>60</v>
      </c>
      <c r="K274" s="148">
        <f>'Rate Schedule (Part 1)'!$E$29</f>
        <v>2.9288</v>
      </c>
      <c r="L274" s="168">
        <f>+J274*K274</f>
        <v>175.72799999999998</v>
      </c>
      <c r="M274" s="186">
        <f t="shared" si="37"/>
        <v>33.77999999999997</v>
      </c>
      <c r="N274" s="187">
        <f t="shared" si="38"/>
        <v>0.23797446952405085</v>
      </c>
      <c r="O274" s="179">
        <f>L274/L286</f>
        <v>0.05287037062834848</v>
      </c>
      <c r="P274" s="118"/>
    </row>
    <row r="275" spans="2:16" ht="17.25" customHeight="1" thickBot="1">
      <c r="B275" s="125"/>
      <c r="C275" s="123">
        <v>60</v>
      </c>
      <c r="D275" s="124" t="s">
        <v>16</v>
      </c>
      <c r="E275" s="31"/>
      <c r="F275" s="292" t="s">
        <v>237</v>
      </c>
      <c r="G275" s="246">
        <f>G274</f>
        <v>60</v>
      </c>
      <c r="H275" s="293">
        <f>'2010 Existing Rates'!$D$35</f>
        <v>0.1135</v>
      </c>
      <c r="I275" s="164">
        <f>+G275*H275</f>
        <v>6.8100000000000005</v>
      </c>
      <c r="J275" s="155">
        <f>+C275</f>
        <v>60</v>
      </c>
      <c r="K275" s="148">
        <f>'Rate Schedule (Part 1)'!$E$30</f>
        <v>0.0821</v>
      </c>
      <c r="L275" s="168">
        <f>+J275*K275</f>
        <v>4.926</v>
      </c>
      <c r="M275" s="186">
        <f t="shared" si="37"/>
        <v>-1.8840000000000003</v>
      </c>
      <c r="N275" s="187">
        <f t="shared" si="38"/>
        <v>-0.27665198237885463</v>
      </c>
      <c r="O275" s="179">
        <f>L275/L286</f>
        <v>0.0014820600343442402</v>
      </c>
      <c r="P275" s="118"/>
    </row>
    <row r="276" spans="2:16" ht="17.25" customHeight="1">
      <c r="B276" s="125"/>
      <c r="C276" s="271"/>
      <c r="D276" s="282"/>
      <c r="E276" s="31"/>
      <c r="F276" s="152" t="s">
        <v>166</v>
      </c>
      <c r="G276" s="174"/>
      <c r="H276" s="173"/>
      <c r="I276" s="164">
        <f>'2010 Existing Rates'!$B$46</f>
        <v>2.16</v>
      </c>
      <c r="J276" s="174"/>
      <c r="K276" s="173"/>
      <c r="L276" s="164">
        <f>'2010 Existing Rates'!$B$46</f>
        <v>2.16</v>
      </c>
      <c r="M276" s="186">
        <f t="shared" si="37"/>
        <v>0</v>
      </c>
      <c r="N276" s="187">
        <f t="shared" si="38"/>
        <v>0</v>
      </c>
      <c r="O276" s="179">
        <f>L276/L286</f>
        <v>0.0006498679809548434</v>
      </c>
      <c r="P276" s="118"/>
    </row>
    <row r="277" spans="2:16" ht="17.25" customHeight="1">
      <c r="B277" s="125"/>
      <c r="C277" s="62"/>
      <c r="D277" s="63"/>
      <c r="E277" s="31"/>
      <c r="F277" s="152" t="s">
        <v>238</v>
      </c>
      <c r="G277" s="155">
        <f>G275</f>
        <v>60</v>
      </c>
      <c r="H277" s="149"/>
      <c r="I277" s="164">
        <f>+G277*H277</f>
        <v>0</v>
      </c>
      <c r="J277" s="155">
        <f>G277</f>
        <v>60</v>
      </c>
      <c r="K277" s="148">
        <f>'Rate Schedule (Part 1)'!$E$31</f>
        <v>0</v>
      </c>
      <c r="L277" s="168">
        <f>+J277*K277</f>
        <v>0</v>
      </c>
      <c r="M277" s="186">
        <f t="shared" si="37"/>
        <v>0</v>
      </c>
      <c r="N277" s="187">
        <v>0</v>
      </c>
      <c r="O277" s="179">
        <f>L277/L286</f>
        <v>0</v>
      </c>
      <c r="P277" s="118"/>
    </row>
    <row r="278" spans="2:16" ht="17.25" customHeight="1" thickBot="1">
      <c r="B278" s="125"/>
      <c r="C278" s="31"/>
      <c r="D278" s="31"/>
      <c r="E278" s="31"/>
      <c r="F278" s="153" t="s">
        <v>239</v>
      </c>
      <c r="G278" s="155">
        <f>+C275</f>
        <v>60</v>
      </c>
      <c r="H278" s="149">
        <f>'2010 Existing Rates'!$D$23</f>
        <v>-1.1644</v>
      </c>
      <c r="I278" s="168">
        <f>+G278*H278</f>
        <v>-69.864</v>
      </c>
      <c r="J278" s="155">
        <f>+C275</f>
        <v>60</v>
      </c>
      <c r="K278" s="148">
        <f>'Rate Schedule (Part 1)'!$E$33</f>
        <v>-0.34053261641201166</v>
      </c>
      <c r="L278" s="168">
        <f>+J278*K278</f>
        <v>-20.4319569847207</v>
      </c>
      <c r="M278" s="186">
        <f t="shared" si="37"/>
        <v>49.432043015279305</v>
      </c>
      <c r="N278" s="187">
        <f t="shared" si="38"/>
        <v>-0.70754670524561</v>
      </c>
      <c r="O278" s="179">
        <f>L278/L286</f>
        <v>-0.00614725677435956</v>
      </c>
      <c r="P278" s="118"/>
    </row>
    <row r="279" spans="2:16" ht="17.25" customHeight="1" thickBot="1">
      <c r="B279" s="125"/>
      <c r="C279" s="31"/>
      <c r="D279" s="31"/>
      <c r="E279" s="31"/>
      <c r="F279" s="476" t="s">
        <v>234</v>
      </c>
      <c r="G279" s="676"/>
      <c r="H279" s="677"/>
      <c r="I279" s="477">
        <f>SUM(I273:I278)</f>
        <v>151.954</v>
      </c>
      <c r="J279" s="676"/>
      <c r="K279" s="677"/>
      <c r="L279" s="477">
        <f>SUM(L273:L278)</f>
        <v>250.75204301527927</v>
      </c>
      <c r="M279" s="480">
        <f>SUM(M273:M278)</f>
        <v>98.79804301527928</v>
      </c>
      <c r="N279" s="481">
        <f t="shared" si="38"/>
        <v>0.6501838912781451</v>
      </c>
      <c r="O279" s="482">
        <f>SUM(O273:O278)</f>
        <v>0.07544246477529704</v>
      </c>
      <c r="P279" s="118"/>
    </row>
    <row r="280" spans="2:16" ht="17.25" customHeight="1" thickBot="1">
      <c r="B280" s="125"/>
      <c r="C280" s="31"/>
      <c r="D280" s="31"/>
      <c r="E280" s="31"/>
      <c r="F280" s="152" t="s">
        <v>240</v>
      </c>
      <c r="G280" s="273">
        <f>C275</f>
        <v>60</v>
      </c>
      <c r="H280" s="274">
        <f>'Other Electriciy Rates'!$F$12</f>
        <v>4.3688</v>
      </c>
      <c r="I280" s="164">
        <f>+G280*H280</f>
        <v>262.12800000000004</v>
      </c>
      <c r="J280" s="273">
        <f>C275</f>
        <v>60</v>
      </c>
      <c r="K280" s="274">
        <f>'Other Electriciy Rates'!$F$27</f>
        <v>4.173183624851943</v>
      </c>
      <c r="L280" s="164">
        <f>+J280*K280</f>
        <v>250.3910174911166</v>
      </c>
      <c r="M280" s="275">
        <f aca="true" t="shared" si="39" ref="M280:M285">+L280-I280</f>
        <v>-11.736982508883443</v>
      </c>
      <c r="N280" s="176">
        <f t="shared" si="38"/>
        <v>-0.044775767979320945</v>
      </c>
      <c r="O280" s="179">
        <f>L280/L286</f>
        <v>0.07533384490100964</v>
      </c>
      <c r="P280" s="118"/>
    </row>
    <row r="281" spans="2:16" ht="17.25" customHeight="1" thickBot="1">
      <c r="B281" s="125"/>
      <c r="C281" s="31"/>
      <c r="D281" s="31"/>
      <c r="E281" s="31"/>
      <c r="F281" s="476" t="s">
        <v>236</v>
      </c>
      <c r="G281" s="676"/>
      <c r="H281" s="677"/>
      <c r="I281" s="477">
        <f>I279+I280</f>
        <v>414.08200000000005</v>
      </c>
      <c r="J281" s="676"/>
      <c r="K281" s="677"/>
      <c r="L281" s="477">
        <f>L279+L280</f>
        <v>501.14306050639584</v>
      </c>
      <c r="M281" s="480">
        <f t="shared" si="39"/>
        <v>87.06106050639579</v>
      </c>
      <c r="N281" s="481">
        <f t="shared" si="38"/>
        <v>0.21025077280924015</v>
      </c>
      <c r="O281" s="483">
        <f>L281/L286</f>
        <v>0.15077630967630665</v>
      </c>
      <c r="P281" s="118"/>
    </row>
    <row r="282" spans="2:16" ht="17.25" customHeight="1">
      <c r="B282" s="125"/>
      <c r="C282" s="31"/>
      <c r="D282" s="31"/>
      <c r="E282" s="31"/>
      <c r="F282" s="150" t="s">
        <v>73</v>
      </c>
      <c r="G282" s="156">
        <f>C274*'Other Electriciy Rates'!$L$12</f>
        <v>31052.999999999996</v>
      </c>
      <c r="H282" s="157">
        <f>'Other Electriciy Rates'!$C$12+'Other Electriciy Rates'!$D$12</f>
        <v>0.0135</v>
      </c>
      <c r="I282" s="158">
        <f>+G282*H282</f>
        <v>419.21549999999996</v>
      </c>
      <c r="J282" s="156">
        <f>C274*'Other Electriciy Rates'!$L$27</f>
        <v>31085.737437801843</v>
      </c>
      <c r="K282" s="157">
        <f>'Other Electriciy Rates'!$C$27+'Other Electriciy Rates'!$D$27</f>
        <v>0.0135</v>
      </c>
      <c r="L282" s="185">
        <f>+J282*K282</f>
        <v>419.65745541032487</v>
      </c>
      <c r="M282" s="186">
        <f t="shared" si="39"/>
        <v>0.44195541032490837</v>
      </c>
      <c r="N282" s="187">
        <f>+M282/I282</f>
        <v>0.001054243963605612</v>
      </c>
      <c r="O282" s="179">
        <f>L282/L286</f>
        <v>0.1262601589074792</v>
      </c>
      <c r="P282" s="118"/>
    </row>
    <row r="283" spans="2:16" ht="17.25" customHeight="1" thickBot="1">
      <c r="B283" s="125"/>
      <c r="C283" s="31"/>
      <c r="D283" s="31"/>
      <c r="E283" s="31"/>
      <c r="F283" s="150" t="s">
        <v>74</v>
      </c>
      <c r="G283" s="156">
        <f>G282</f>
        <v>31052.999999999996</v>
      </c>
      <c r="H283" s="157">
        <f>+'Other Electriciy Rates'!$J$12</f>
        <v>0.065</v>
      </c>
      <c r="I283" s="158">
        <f>+G283*H283</f>
        <v>2018.445</v>
      </c>
      <c r="J283" s="156">
        <f>J282</f>
        <v>31085.737437801843</v>
      </c>
      <c r="K283" s="157">
        <f>'Other Electriciy Rates'!$J$27</f>
        <v>0.065</v>
      </c>
      <c r="L283" s="185">
        <f>+J283*K283</f>
        <v>2020.57293345712</v>
      </c>
      <c r="M283" s="186">
        <f t="shared" si="39"/>
        <v>2.1279334571199797</v>
      </c>
      <c r="N283" s="187">
        <f>+M283/I283</f>
        <v>0.001054243963605637</v>
      </c>
      <c r="O283" s="179">
        <f>L283/L286</f>
        <v>0.6079192836286036</v>
      </c>
      <c r="P283" s="118"/>
    </row>
    <row r="284" spans="2:16" ht="17.25" customHeight="1" thickBot="1">
      <c r="B284" s="125"/>
      <c r="C284" s="31"/>
      <c r="D284" s="31"/>
      <c r="E284" s="31"/>
      <c r="F284" s="476" t="s">
        <v>191</v>
      </c>
      <c r="G284" s="676"/>
      <c r="H284" s="677"/>
      <c r="I284" s="477">
        <f>SUM(I281:I283)</f>
        <v>2851.7425</v>
      </c>
      <c r="J284" s="676"/>
      <c r="K284" s="677"/>
      <c r="L284" s="477">
        <f>SUM(L281:L283)</f>
        <v>2941.3734493738407</v>
      </c>
      <c r="M284" s="477">
        <f t="shared" si="39"/>
        <v>89.63094937384085</v>
      </c>
      <c r="N284" s="481">
        <f>+M284/I284</f>
        <v>0.031430239362018435</v>
      </c>
      <c r="O284" s="483">
        <f>L284/L286</f>
        <v>0.8849557522123894</v>
      </c>
      <c r="P284" s="118"/>
    </row>
    <row r="285" spans="2:16" ht="17.25" customHeight="1" thickBot="1">
      <c r="B285" s="125"/>
      <c r="C285" s="31"/>
      <c r="D285" s="31"/>
      <c r="E285" s="31"/>
      <c r="F285" s="222" t="s">
        <v>323</v>
      </c>
      <c r="G285" s="223"/>
      <c r="H285" s="227">
        <v>0.13</v>
      </c>
      <c r="I285" s="224">
        <f>I284*H285</f>
        <v>370.726525</v>
      </c>
      <c r="J285" s="223"/>
      <c r="K285" s="227">
        <v>0.13</v>
      </c>
      <c r="L285" s="225">
        <f>L284*K285</f>
        <v>382.3785484185993</v>
      </c>
      <c r="M285" s="183">
        <f t="shared" si="39"/>
        <v>11.652023418599299</v>
      </c>
      <c r="N285" s="184">
        <f>+M285/I285</f>
        <v>0.0314302393620184</v>
      </c>
      <c r="O285" s="189">
        <f>L285/L286</f>
        <v>0.11504424778761062</v>
      </c>
      <c r="P285" s="118"/>
    </row>
    <row r="286" spans="2:16" ht="17.25" customHeight="1" thickBot="1">
      <c r="B286" s="125"/>
      <c r="C286" s="31"/>
      <c r="D286" s="31"/>
      <c r="E286" s="35"/>
      <c r="F286" s="490" t="s">
        <v>75</v>
      </c>
      <c r="G286" s="676"/>
      <c r="H286" s="677"/>
      <c r="I286" s="477">
        <f>I284+I285</f>
        <v>3222.469025</v>
      </c>
      <c r="J286" s="676"/>
      <c r="K286" s="677"/>
      <c r="L286" s="477">
        <f>L284+L285</f>
        <v>3323.75199779244</v>
      </c>
      <c r="M286" s="477">
        <f>M284+M285</f>
        <v>101.28297279244015</v>
      </c>
      <c r="N286" s="481">
        <f>+M286/I286</f>
        <v>0.03143023936201843</v>
      </c>
      <c r="O286" s="482">
        <f>O284+O285</f>
        <v>1</v>
      </c>
      <c r="P286" s="118"/>
    </row>
    <row r="287" spans="2:16" ht="17.25" customHeight="1" thickBot="1">
      <c r="B287" s="119"/>
      <c r="C287" s="131"/>
      <c r="D287" s="131"/>
      <c r="E287" s="131"/>
      <c r="F287" s="132"/>
      <c r="G287" s="133"/>
      <c r="H287" s="134"/>
      <c r="I287" s="135"/>
      <c r="J287" s="133"/>
      <c r="K287" s="136"/>
      <c r="L287" s="135"/>
      <c r="M287" s="137"/>
      <c r="N287" s="138"/>
      <c r="O287" s="139"/>
      <c r="P287" s="120"/>
    </row>
    <row r="288" spans="2:16" ht="17.25" customHeight="1" thickBot="1">
      <c r="B288" s="25"/>
      <c r="C288" s="31"/>
      <c r="D288" s="31"/>
      <c r="E288" s="31"/>
      <c r="F288" s="49"/>
      <c r="G288" s="50"/>
      <c r="H288" s="51"/>
      <c r="I288" s="52"/>
      <c r="J288" s="50"/>
      <c r="K288" s="53"/>
      <c r="L288" s="52"/>
      <c r="M288" s="54"/>
      <c r="N288" s="128"/>
      <c r="O288" s="129"/>
      <c r="P288" s="25"/>
    </row>
    <row r="289" spans="2:16" ht="17.25" customHeight="1">
      <c r="B289" s="127"/>
      <c r="C289" s="684"/>
      <c r="D289" s="684"/>
      <c r="E289" s="684"/>
      <c r="F289" s="684"/>
      <c r="G289" s="684"/>
      <c r="H289" s="684"/>
      <c r="I289" s="684"/>
      <c r="J289" s="684"/>
      <c r="K289" s="684"/>
      <c r="L289" s="684"/>
      <c r="M289" s="684"/>
      <c r="N289" s="684"/>
      <c r="O289" s="684"/>
      <c r="P289" s="117"/>
    </row>
    <row r="290" spans="2:16" ht="23.25">
      <c r="B290" s="125"/>
      <c r="C290" s="683" t="s">
        <v>246</v>
      </c>
      <c r="D290" s="683"/>
      <c r="E290" s="683"/>
      <c r="F290" s="683"/>
      <c r="G290" s="683"/>
      <c r="H290" s="683"/>
      <c r="I290" s="683"/>
      <c r="J290" s="683"/>
      <c r="K290" s="683"/>
      <c r="L290" s="683"/>
      <c r="M290" s="683"/>
      <c r="N290" s="683"/>
      <c r="O290" s="683"/>
      <c r="P290" s="118"/>
    </row>
    <row r="291" spans="2:17" ht="17.25" customHeight="1" thickBot="1">
      <c r="B291" s="125"/>
      <c r="C291" s="685"/>
      <c r="D291" s="685"/>
      <c r="E291" s="685"/>
      <c r="F291" s="685"/>
      <c r="G291" s="685"/>
      <c r="H291" s="685"/>
      <c r="I291" s="685"/>
      <c r="J291" s="685"/>
      <c r="K291" s="685"/>
      <c r="L291" s="685"/>
      <c r="M291" s="685"/>
      <c r="N291" s="685"/>
      <c r="O291" s="685"/>
      <c r="P291" s="118"/>
      <c r="Q291" s="25"/>
    </row>
    <row r="292" spans="2:17" ht="17.25" customHeight="1" thickBot="1">
      <c r="B292" s="125"/>
      <c r="C292" s="126"/>
      <c r="D292" s="126"/>
      <c r="E292" s="31"/>
      <c r="F292" s="32"/>
      <c r="G292" s="678" t="str">
        <f>$G$10</f>
        <v>2010 BILL</v>
      </c>
      <c r="H292" s="679"/>
      <c r="I292" s="680"/>
      <c r="J292" s="678" t="str">
        <f>$J$10</f>
        <v>2011 BILL</v>
      </c>
      <c r="K292" s="679"/>
      <c r="L292" s="680"/>
      <c r="M292" s="678" t="s">
        <v>69</v>
      </c>
      <c r="N292" s="679"/>
      <c r="O292" s="680"/>
      <c r="P292" s="118"/>
      <c r="Q292" s="25"/>
    </row>
    <row r="293" spans="2:17" ht="26.25" thickBot="1">
      <c r="B293" s="125"/>
      <c r="C293" s="31"/>
      <c r="D293" s="31"/>
      <c r="E293" s="33"/>
      <c r="F293" s="34"/>
      <c r="G293" s="285" t="s">
        <v>63</v>
      </c>
      <c r="H293" s="286" t="s">
        <v>64</v>
      </c>
      <c r="I293" s="287" t="s">
        <v>65</v>
      </c>
      <c r="J293" s="288" t="s">
        <v>63</v>
      </c>
      <c r="K293" s="286" t="s">
        <v>64</v>
      </c>
      <c r="L293" s="287" t="s">
        <v>65</v>
      </c>
      <c r="M293" s="145" t="s">
        <v>70</v>
      </c>
      <c r="N293" s="146" t="s">
        <v>71</v>
      </c>
      <c r="O293" s="147" t="s">
        <v>72</v>
      </c>
      <c r="P293" s="118"/>
      <c r="Q293" s="25"/>
    </row>
    <row r="294" spans="2:17" ht="17.25" customHeight="1" thickBot="1">
      <c r="B294" s="125"/>
      <c r="C294" s="681" t="s">
        <v>66</v>
      </c>
      <c r="D294" s="682"/>
      <c r="E294" s="31"/>
      <c r="F294" s="291" t="s">
        <v>67</v>
      </c>
      <c r="G294" s="289"/>
      <c r="H294" s="283"/>
      <c r="I294" s="158">
        <f>+'2010 Existing Rates'!$C$10</f>
        <v>70.9</v>
      </c>
      <c r="J294" s="156"/>
      <c r="K294" s="284"/>
      <c r="L294" s="185">
        <f>+'Rate Schedule (Part 1)'!$E$28</f>
        <v>88.37</v>
      </c>
      <c r="M294" s="186">
        <f aca="true" t="shared" si="40" ref="M294:M299">+L294-I294</f>
        <v>17.47</v>
      </c>
      <c r="N294" s="187">
        <f>+M294/I294</f>
        <v>0.24640338504936526</v>
      </c>
      <c r="O294" s="179">
        <f>L294/L307</f>
        <v>0.011374297518746999</v>
      </c>
      <c r="P294" s="118"/>
      <c r="Q294" s="25"/>
    </row>
    <row r="295" spans="2:17" ht="17.25" customHeight="1" thickBot="1">
      <c r="B295" s="125"/>
      <c r="C295" s="123">
        <v>75000</v>
      </c>
      <c r="D295" s="124" t="s">
        <v>15</v>
      </c>
      <c r="E295" s="31"/>
      <c r="F295" s="292" t="s">
        <v>78</v>
      </c>
      <c r="G295" s="290">
        <f>+C296</f>
        <v>100</v>
      </c>
      <c r="H295" s="149">
        <f>'2010 Existing Rates'!$D$60</f>
        <v>2.3658</v>
      </c>
      <c r="I295" s="164">
        <f>+G295*H295</f>
        <v>236.58</v>
      </c>
      <c r="J295" s="155">
        <f>G295</f>
        <v>100</v>
      </c>
      <c r="K295" s="148">
        <f>'Rate Schedule (Part 1)'!$E$29</f>
        <v>2.9288</v>
      </c>
      <c r="L295" s="168">
        <f>+J295*K295</f>
        <v>292.88</v>
      </c>
      <c r="M295" s="186">
        <f t="shared" si="40"/>
        <v>56.29999999999998</v>
      </c>
      <c r="N295" s="187">
        <f>+M295/I295</f>
        <v>0.23797446952405096</v>
      </c>
      <c r="O295" s="179">
        <f>L295/L307</f>
        <v>0.03769723047743149</v>
      </c>
      <c r="P295" s="118"/>
      <c r="Q295" s="25"/>
    </row>
    <row r="296" spans="2:16" ht="17.25" customHeight="1" thickBot="1">
      <c r="B296" s="125"/>
      <c r="C296" s="123">
        <v>100</v>
      </c>
      <c r="D296" s="124" t="s">
        <v>16</v>
      </c>
      <c r="E296" s="31"/>
      <c r="F296" s="292" t="s">
        <v>237</v>
      </c>
      <c r="G296" s="246">
        <f>G295</f>
        <v>100</v>
      </c>
      <c r="H296" s="293">
        <f>'2010 Existing Rates'!$D$35</f>
        <v>0.1135</v>
      </c>
      <c r="I296" s="164">
        <f>+G296*H296</f>
        <v>11.35</v>
      </c>
      <c r="J296" s="155">
        <f>+C296</f>
        <v>100</v>
      </c>
      <c r="K296" s="148">
        <f>'Rate Schedule (Part 1)'!$E$30</f>
        <v>0.0821</v>
      </c>
      <c r="L296" s="168">
        <f>+J296*K296</f>
        <v>8.21</v>
      </c>
      <c r="M296" s="186">
        <f t="shared" si="40"/>
        <v>-3.139999999999999</v>
      </c>
      <c r="N296" s="187">
        <f>+M296/I296</f>
        <v>-0.2766519823788545</v>
      </c>
      <c r="O296" s="179">
        <f>L296/L307</f>
        <v>0.001056727199602952</v>
      </c>
      <c r="P296" s="118"/>
    </row>
    <row r="297" spans="2:16" ht="17.25" customHeight="1">
      <c r="B297" s="125"/>
      <c r="C297" s="271"/>
      <c r="D297" s="282"/>
      <c r="E297" s="31"/>
      <c r="F297" s="152" t="s">
        <v>166</v>
      </c>
      <c r="G297" s="174"/>
      <c r="H297" s="173"/>
      <c r="I297" s="164">
        <f>'2010 Existing Rates'!$B$46</f>
        <v>2.16</v>
      </c>
      <c r="J297" s="174"/>
      <c r="K297" s="173"/>
      <c r="L297" s="164">
        <f>'2010 Existing Rates'!$B$46</f>
        <v>2.16</v>
      </c>
      <c r="M297" s="186">
        <f t="shared" si="40"/>
        <v>0</v>
      </c>
      <c r="N297" s="187">
        <f>+M297/I297</f>
        <v>0</v>
      </c>
      <c r="O297" s="179">
        <f>L297/L307</f>
        <v>0.00027801836189310304</v>
      </c>
      <c r="P297" s="118"/>
    </row>
    <row r="298" spans="2:16" ht="17.25" customHeight="1">
      <c r="B298" s="125"/>
      <c r="C298" s="62"/>
      <c r="D298" s="63"/>
      <c r="E298" s="31"/>
      <c r="F298" s="152" t="s">
        <v>238</v>
      </c>
      <c r="G298" s="155">
        <f>G296</f>
        <v>100</v>
      </c>
      <c r="H298" s="149"/>
      <c r="I298" s="164">
        <f>+G298*H298</f>
        <v>0</v>
      </c>
      <c r="J298" s="155">
        <f>G298</f>
        <v>100</v>
      </c>
      <c r="K298" s="148">
        <f>'Rate Schedule (Part 1)'!$E$31</f>
        <v>0</v>
      </c>
      <c r="L298" s="168">
        <f>+J298*K298</f>
        <v>0</v>
      </c>
      <c r="M298" s="186">
        <f t="shared" si="40"/>
        <v>0</v>
      </c>
      <c r="N298" s="187">
        <v>0</v>
      </c>
      <c r="O298" s="179">
        <f>L298/L307</f>
        <v>0</v>
      </c>
      <c r="P298" s="118"/>
    </row>
    <row r="299" spans="2:16" ht="17.25" customHeight="1" thickBot="1">
      <c r="B299" s="125"/>
      <c r="C299" s="31"/>
      <c r="D299" s="31"/>
      <c r="E299" s="31"/>
      <c r="F299" s="153" t="s">
        <v>239</v>
      </c>
      <c r="G299" s="155">
        <f>+C296</f>
        <v>100</v>
      </c>
      <c r="H299" s="149">
        <f>'2010 Existing Rates'!$D$23</f>
        <v>-1.1644</v>
      </c>
      <c r="I299" s="168">
        <f>+G299*H299</f>
        <v>-116.44000000000001</v>
      </c>
      <c r="J299" s="155">
        <f>+C296</f>
        <v>100</v>
      </c>
      <c r="K299" s="148">
        <f>'Rate Schedule (Part 1)'!$E$33</f>
        <v>-0.34053261641201166</v>
      </c>
      <c r="L299" s="168">
        <f>+J299*K299</f>
        <v>-34.05326164120117</v>
      </c>
      <c r="M299" s="186">
        <f t="shared" si="40"/>
        <v>82.38673835879885</v>
      </c>
      <c r="N299" s="187">
        <f aca="true" t="shared" si="41" ref="N299:N307">+M299/I299</f>
        <v>-0.7075467052456101</v>
      </c>
      <c r="O299" s="179">
        <f>L299/L307</f>
        <v>-0.004383070378983328</v>
      </c>
      <c r="P299" s="118"/>
    </row>
    <row r="300" spans="2:16" ht="17.25" customHeight="1" thickBot="1">
      <c r="B300" s="125"/>
      <c r="C300" s="31"/>
      <c r="D300" s="31"/>
      <c r="E300" s="31"/>
      <c r="F300" s="476" t="s">
        <v>234</v>
      </c>
      <c r="G300" s="676"/>
      <c r="H300" s="677"/>
      <c r="I300" s="477">
        <f>SUM(I294:I299)</f>
        <v>204.55000000000007</v>
      </c>
      <c r="J300" s="676"/>
      <c r="K300" s="677"/>
      <c r="L300" s="477">
        <f>SUM(L294:L299)</f>
        <v>357.56673835879883</v>
      </c>
      <c r="M300" s="480">
        <f>SUM(M294:M299)</f>
        <v>153.01673835879882</v>
      </c>
      <c r="N300" s="481">
        <f t="shared" si="41"/>
        <v>0.7480652083050539</v>
      </c>
      <c r="O300" s="482">
        <f>SUM(O294:O299)</f>
        <v>0.04602320317869122</v>
      </c>
      <c r="P300" s="118"/>
    </row>
    <row r="301" spans="2:16" ht="17.25" customHeight="1" thickBot="1">
      <c r="B301" s="125"/>
      <c r="C301" s="31"/>
      <c r="D301" s="31"/>
      <c r="E301" s="31"/>
      <c r="F301" s="152" t="s">
        <v>240</v>
      </c>
      <c r="G301" s="273">
        <f>C296</f>
        <v>100</v>
      </c>
      <c r="H301" s="274">
        <f>'Other Electriciy Rates'!$F$12</f>
        <v>4.3688</v>
      </c>
      <c r="I301" s="164">
        <f>+G301*H301</f>
        <v>436.88</v>
      </c>
      <c r="J301" s="273">
        <f>C296</f>
        <v>100</v>
      </c>
      <c r="K301" s="274">
        <f>'Other Electriciy Rates'!$F$27</f>
        <v>4.173183624851943</v>
      </c>
      <c r="L301" s="164">
        <f>+J301*K301</f>
        <v>417.3183624851943</v>
      </c>
      <c r="M301" s="275">
        <f aca="true" t="shared" si="42" ref="M301:M306">+L301-I301</f>
        <v>-19.561637514805682</v>
      </c>
      <c r="N301" s="176">
        <f t="shared" si="41"/>
        <v>-0.04477576797932083</v>
      </c>
      <c r="O301" s="179">
        <f>L301/L307</f>
        <v>0.05371396644724347</v>
      </c>
      <c r="P301" s="118"/>
    </row>
    <row r="302" spans="2:16" ht="17.25" customHeight="1" thickBot="1">
      <c r="B302" s="125"/>
      <c r="C302" s="31"/>
      <c r="D302" s="31"/>
      <c r="E302" s="31"/>
      <c r="F302" s="476" t="s">
        <v>236</v>
      </c>
      <c r="G302" s="676"/>
      <c r="H302" s="677"/>
      <c r="I302" s="477">
        <f>I300+I301</f>
        <v>641.4300000000001</v>
      </c>
      <c r="J302" s="676"/>
      <c r="K302" s="677"/>
      <c r="L302" s="477">
        <f>L300+L301</f>
        <v>774.8851008439931</v>
      </c>
      <c r="M302" s="480">
        <f t="shared" si="42"/>
        <v>133.45510084399302</v>
      </c>
      <c r="N302" s="481">
        <f t="shared" si="41"/>
        <v>0.20805871387991365</v>
      </c>
      <c r="O302" s="483">
        <f>L302/L307</f>
        <v>0.09973716962593468</v>
      </c>
      <c r="P302" s="118"/>
    </row>
    <row r="303" spans="2:16" ht="17.25" customHeight="1">
      <c r="B303" s="125"/>
      <c r="C303" s="31"/>
      <c r="D303" s="31"/>
      <c r="E303" s="31"/>
      <c r="F303" s="150" t="s">
        <v>73</v>
      </c>
      <c r="G303" s="156">
        <f>C295*'Other Electriciy Rates'!$L$12</f>
        <v>77632.5</v>
      </c>
      <c r="H303" s="157">
        <f>'Other Electriciy Rates'!$C$12+'Other Electriciy Rates'!$D$12</f>
        <v>0.0135</v>
      </c>
      <c r="I303" s="158">
        <f>+G303*H303</f>
        <v>1048.03875</v>
      </c>
      <c r="J303" s="156">
        <f>C295*'Other Electriciy Rates'!$L$27</f>
        <v>77714.34359450461</v>
      </c>
      <c r="K303" s="157">
        <f>'Other Electriciy Rates'!$C$27+'Other Electriciy Rates'!$D$27</f>
        <v>0.0135</v>
      </c>
      <c r="L303" s="185">
        <f>+J303*K303</f>
        <v>1049.143638525812</v>
      </c>
      <c r="M303" s="186">
        <f t="shared" si="42"/>
        <v>1.1048885258121572</v>
      </c>
      <c r="N303" s="187">
        <f t="shared" si="41"/>
        <v>0.0010542439636055034</v>
      </c>
      <c r="O303" s="179">
        <f>L303/L307</f>
        <v>0.13503759063588708</v>
      </c>
      <c r="P303" s="118"/>
    </row>
    <row r="304" spans="2:16" ht="17.25" customHeight="1" thickBot="1">
      <c r="B304" s="125"/>
      <c r="C304" s="31"/>
      <c r="D304" s="31"/>
      <c r="E304" s="31"/>
      <c r="F304" s="150" t="s">
        <v>74</v>
      </c>
      <c r="G304" s="156">
        <f>G303</f>
        <v>77632.5</v>
      </c>
      <c r="H304" s="157">
        <f>+'Other Electriciy Rates'!$J$12</f>
        <v>0.065</v>
      </c>
      <c r="I304" s="158">
        <f>+G304*H304</f>
        <v>5046.1125</v>
      </c>
      <c r="J304" s="156">
        <f>J303</f>
        <v>77714.34359450461</v>
      </c>
      <c r="K304" s="157">
        <f>'Other Electriciy Rates'!$J$27</f>
        <v>0.065</v>
      </c>
      <c r="L304" s="185">
        <f>+J304*K304</f>
        <v>5051.4323336428</v>
      </c>
      <c r="M304" s="186">
        <f t="shared" si="42"/>
        <v>5.3198336427994946</v>
      </c>
      <c r="N304" s="187">
        <f t="shared" si="41"/>
        <v>0.0010542439636055468</v>
      </c>
      <c r="O304" s="179">
        <f>L304/L307</f>
        <v>0.6501809919505676</v>
      </c>
      <c r="P304" s="118"/>
    </row>
    <row r="305" spans="2:16" ht="17.25" customHeight="1" thickBot="1">
      <c r="B305" s="125"/>
      <c r="C305" s="31"/>
      <c r="D305" s="31"/>
      <c r="E305" s="31"/>
      <c r="F305" s="476" t="s">
        <v>191</v>
      </c>
      <c r="G305" s="676"/>
      <c r="H305" s="677"/>
      <c r="I305" s="477">
        <f>SUM(I302:I304)</f>
        <v>6735.58125</v>
      </c>
      <c r="J305" s="676"/>
      <c r="K305" s="677"/>
      <c r="L305" s="477">
        <f>SUM(L302:L304)</f>
        <v>6875.461073012605</v>
      </c>
      <c r="M305" s="477">
        <f t="shared" si="42"/>
        <v>139.8798230126049</v>
      </c>
      <c r="N305" s="481">
        <f t="shared" si="41"/>
        <v>0.020767297998610722</v>
      </c>
      <c r="O305" s="483">
        <f>L305/L307</f>
        <v>0.8849557522123893</v>
      </c>
      <c r="P305" s="118"/>
    </row>
    <row r="306" spans="2:16" ht="17.25" customHeight="1" thickBot="1">
      <c r="B306" s="125"/>
      <c r="C306" s="31"/>
      <c r="D306" s="31"/>
      <c r="E306" s="31"/>
      <c r="F306" s="222" t="s">
        <v>323</v>
      </c>
      <c r="G306" s="223"/>
      <c r="H306" s="227">
        <v>0.13</v>
      </c>
      <c r="I306" s="224">
        <f>I305*H306</f>
        <v>875.6255625</v>
      </c>
      <c r="J306" s="223"/>
      <c r="K306" s="227">
        <v>0.13</v>
      </c>
      <c r="L306" s="225">
        <f>L305*K306</f>
        <v>893.8099394916387</v>
      </c>
      <c r="M306" s="183">
        <f t="shared" si="42"/>
        <v>18.184376991638715</v>
      </c>
      <c r="N306" s="184">
        <f t="shared" si="41"/>
        <v>0.02076729799861081</v>
      </c>
      <c r="O306" s="189">
        <f>L306/L307</f>
        <v>0.11504424778761062</v>
      </c>
      <c r="P306" s="118"/>
    </row>
    <row r="307" spans="2:16" ht="17.25" customHeight="1" thickBot="1">
      <c r="B307" s="125"/>
      <c r="C307" s="31"/>
      <c r="D307" s="31"/>
      <c r="E307" s="35"/>
      <c r="F307" s="490" t="s">
        <v>75</v>
      </c>
      <c r="G307" s="676"/>
      <c r="H307" s="677"/>
      <c r="I307" s="477">
        <f>I305+I306</f>
        <v>7611.2068125000005</v>
      </c>
      <c r="J307" s="676"/>
      <c r="K307" s="677"/>
      <c r="L307" s="477">
        <f>L305+L306</f>
        <v>7769.271012504244</v>
      </c>
      <c r="M307" s="477">
        <f>M305+M306</f>
        <v>158.06420000424362</v>
      </c>
      <c r="N307" s="481">
        <f t="shared" si="41"/>
        <v>0.02076729799861073</v>
      </c>
      <c r="O307" s="482">
        <f>O305+O306</f>
        <v>0.9999999999999999</v>
      </c>
      <c r="P307" s="118"/>
    </row>
    <row r="308" spans="2:16" ht="17.25" customHeight="1" thickBot="1">
      <c r="B308" s="119"/>
      <c r="C308" s="131"/>
      <c r="D308" s="131"/>
      <c r="E308" s="131"/>
      <c r="F308" s="132"/>
      <c r="G308" s="133"/>
      <c r="H308" s="134"/>
      <c r="I308" s="135"/>
      <c r="J308" s="133"/>
      <c r="K308" s="136"/>
      <c r="L308" s="135"/>
      <c r="M308" s="137"/>
      <c r="N308" s="138"/>
      <c r="O308" s="139"/>
      <c r="P308" s="120"/>
    </row>
    <row r="309" spans="2:16" ht="17.25" customHeight="1" thickBot="1">
      <c r="B309" s="25"/>
      <c r="C309" s="31"/>
      <c r="D309" s="31"/>
      <c r="E309" s="31"/>
      <c r="F309" s="49"/>
      <c r="G309" s="50"/>
      <c r="H309" s="51"/>
      <c r="I309" s="52"/>
      <c r="J309" s="50"/>
      <c r="K309" s="53"/>
      <c r="L309" s="52"/>
      <c r="M309" s="54"/>
      <c r="N309" s="128"/>
      <c r="O309" s="129"/>
      <c r="P309" s="25"/>
    </row>
    <row r="310" spans="2:16" ht="17.25" customHeight="1">
      <c r="B310" s="127"/>
      <c r="C310" s="684"/>
      <c r="D310" s="684"/>
      <c r="E310" s="684"/>
      <c r="F310" s="684"/>
      <c r="G310" s="684"/>
      <c r="H310" s="684"/>
      <c r="I310" s="684"/>
      <c r="J310" s="684"/>
      <c r="K310" s="684"/>
      <c r="L310" s="684"/>
      <c r="M310" s="684"/>
      <c r="N310" s="684"/>
      <c r="O310" s="684"/>
      <c r="P310" s="117"/>
    </row>
    <row r="311" spans="2:16" ht="23.25">
      <c r="B311" s="125"/>
      <c r="C311" s="683" t="s">
        <v>246</v>
      </c>
      <c r="D311" s="683"/>
      <c r="E311" s="683"/>
      <c r="F311" s="683"/>
      <c r="G311" s="683"/>
      <c r="H311" s="683"/>
      <c r="I311" s="683"/>
      <c r="J311" s="683"/>
      <c r="K311" s="683"/>
      <c r="L311" s="683"/>
      <c r="M311" s="683"/>
      <c r="N311" s="683"/>
      <c r="O311" s="683"/>
      <c r="P311" s="118"/>
    </row>
    <row r="312" spans="2:17" ht="17.25" customHeight="1" thickBot="1">
      <c r="B312" s="125"/>
      <c r="C312" s="685"/>
      <c r="D312" s="685"/>
      <c r="E312" s="685"/>
      <c r="F312" s="685"/>
      <c r="G312" s="685"/>
      <c r="H312" s="685"/>
      <c r="I312" s="685"/>
      <c r="J312" s="685"/>
      <c r="K312" s="685"/>
      <c r="L312" s="685"/>
      <c r="M312" s="685"/>
      <c r="N312" s="685"/>
      <c r="O312" s="685"/>
      <c r="P312" s="118"/>
      <c r="Q312" s="25"/>
    </row>
    <row r="313" spans="2:17" ht="17.25" customHeight="1" thickBot="1">
      <c r="B313" s="125"/>
      <c r="C313" s="126"/>
      <c r="D313" s="126"/>
      <c r="E313" s="31"/>
      <c r="F313" s="32"/>
      <c r="G313" s="678" t="str">
        <f>$G$10</f>
        <v>2010 BILL</v>
      </c>
      <c r="H313" s="679"/>
      <c r="I313" s="680"/>
      <c r="J313" s="678" t="str">
        <f>$J$10</f>
        <v>2011 BILL</v>
      </c>
      <c r="K313" s="679"/>
      <c r="L313" s="680"/>
      <c r="M313" s="678" t="s">
        <v>69</v>
      </c>
      <c r="N313" s="679"/>
      <c r="O313" s="680"/>
      <c r="P313" s="118"/>
      <c r="Q313" s="25"/>
    </row>
    <row r="314" spans="2:17" ht="26.25" thickBot="1">
      <c r="B314" s="125"/>
      <c r="C314" s="31"/>
      <c r="D314" s="31"/>
      <c r="E314" s="33"/>
      <c r="F314" s="34"/>
      <c r="G314" s="285" t="s">
        <v>63</v>
      </c>
      <c r="H314" s="286" t="s">
        <v>64</v>
      </c>
      <c r="I314" s="287" t="s">
        <v>65</v>
      </c>
      <c r="J314" s="288" t="s">
        <v>63</v>
      </c>
      <c r="K314" s="286" t="s">
        <v>64</v>
      </c>
      <c r="L314" s="287" t="s">
        <v>65</v>
      </c>
      <c r="M314" s="145" t="s">
        <v>70</v>
      </c>
      <c r="N314" s="146" t="s">
        <v>71</v>
      </c>
      <c r="O314" s="147" t="s">
        <v>72</v>
      </c>
      <c r="P314" s="118"/>
      <c r="Q314" s="25"/>
    </row>
    <row r="315" spans="2:17" ht="17.25" customHeight="1" thickBot="1">
      <c r="B315" s="125"/>
      <c r="C315" s="681" t="s">
        <v>66</v>
      </c>
      <c r="D315" s="682"/>
      <c r="E315" s="31"/>
      <c r="F315" s="291" t="s">
        <v>67</v>
      </c>
      <c r="G315" s="289"/>
      <c r="H315" s="283"/>
      <c r="I315" s="158">
        <f>+'2010 Existing Rates'!$C$10</f>
        <v>70.9</v>
      </c>
      <c r="J315" s="156"/>
      <c r="K315" s="284"/>
      <c r="L315" s="185">
        <f>+'Rate Schedule (Part 1)'!$E$28</f>
        <v>88.37</v>
      </c>
      <c r="M315" s="186">
        <f aca="true" t="shared" si="43" ref="M315:M320">+L315-I315</f>
        <v>17.47</v>
      </c>
      <c r="N315" s="187">
        <f>+M315/I315</f>
        <v>0.24640338504936526</v>
      </c>
      <c r="O315" s="179">
        <f>L315/L328</f>
        <v>0.003953565774995225</v>
      </c>
      <c r="P315" s="118"/>
      <c r="Q315" s="25"/>
    </row>
    <row r="316" spans="2:17" ht="17.25" customHeight="1" thickBot="1">
      <c r="B316" s="125"/>
      <c r="C316" s="123">
        <v>200000</v>
      </c>
      <c r="D316" s="124" t="s">
        <v>15</v>
      </c>
      <c r="E316" s="31"/>
      <c r="F316" s="292" t="s">
        <v>78</v>
      </c>
      <c r="G316" s="290">
        <f>+C317</f>
        <v>500</v>
      </c>
      <c r="H316" s="149">
        <f>'2010 Existing Rates'!$D$60</f>
        <v>2.3658</v>
      </c>
      <c r="I316" s="164">
        <f>+G316*H316</f>
        <v>1182.9</v>
      </c>
      <c r="J316" s="155">
        <f>G316</f>
        <v>500</v>
      </c>
      <c r="K316" s="148">
        <f>'Rate Schedule (Part 1)'!$E$29</f>
        <v>2.9288</v>
      </c>
      <c r="L316" s="168">
        <f>+J316*K316</f>
        <v>1464.3999999999999</v>
      </c>
      <c r="M316" s="186">
        <f t="shared" si="43"/>
        <v>281.4999999999998</v>
      </c>
      <c r="N316" s="187">
        <f>+M316/I316</f>
        <v>0.23797446952405085</v>
      </c>
      <c r="O316" s="179">
        <f>L316/L328</f>
        <v>0.06551546589230516</v>
      </c>
      <c r="P316" s="118"/>
      <c r="Q316" s="25"/>
    </row>
    <row r="317" spans="2:16" ht="17.25" customHeight="1" thickBot="1">
      <c r="B317" s="125"/>
      <c r="C317" s="123">
        <v>500</v>
      </c>
      <c r="D317" s="124" t="s">
        <v>16</v>
      </c>
      <c r="E317" s="31"/>
      <c r="F317" s="292" t="s">
        <v>237</v>
      </c>
      <c r="G317" s="246">
        <f>G316</f>
        <v>500</v>
      </c>
      <c r="H317" s="293">
        <f>'2010 Existing Rates'!$D$35</f>
        <v>0.1135</v>
      </c>
      <c r="I317" s="164">
        <f>+G317*H317</f>
        <v>56.75</v>
      </c>
      <c r="J317" s="155">
        <f>+C317</f>
        <v>500</v>
      </c>
      <c r="K317" s="148">
        <f>'Rate Schedule (Part 1)'!$E$30</f>
        <v>0.0821</v>
      </c>
      <c r="L317" s="168">
        <f>+J317*K317</f>
        <v>41.050000000000004</v>
      </c>
      <c r="M317" s="186">
        <f t="shared" si="43"/>
        <v>-15.699999999999996</v>
      </c>
      <c r="N317" s="187">
        <f>+M317/I317</f>
        <v>-0.2766519823788546</v>
      </c>
      <c r="O317" s="179">
        <f>L317/L328</f>
        <v>0.0018365268197754214</v>
      </c>
      <c r="P317" s="118"/>
    </row>
    <row r="318" spans="2:16" ht="17.25" customHeight="1">
      <c r="B318" s="125"/>
      <c r="C318" s="271"/>
      <c r="D318" s="282"/>
      <c r="E318" s="31"/>
      <c r="F318" s="152" t="s">
        <v>166</v>
      </c>
      <c r="G318" s="174"/>
      <c r="H318" s="173"/>
      <c r="I318" s="164">
        <f>'2010 Existing Rates'!$B$46</f>
        <v>2.16</v>
      </c>
      <c r="J318" s="174"/>
      <c r="K318" s="173"/>
      <c r="L318" s="164">
        <f>'2010 Existing Rates'!$B$46</f>
        <v>2.16</v>
      </c>
      <c r="M318" s="186">
        <f t="shared" si="43"/>
        <v>0</v>
      </c>
      <c r="N318" s="187">
        <f>+M318/I318</f>
        <v>0</v>
      </c>
      <c r="O318" s="179">
        <f>L318/L328</f>
        <v>9.663575957892595E-05</v>
      </c>
      <c r="P318" s="118"/>
    </row>
    <row r="319" spans="2:16" ht="17.25" customHeight="1">
      <c r="B319" s="125"/>
      <c r="C319" s="62"/>
      <c r="D319" s="63"/>
      <c r="E319" s="31"/>
      <c r="F319" s="152" t="s">
        <v>238</v>
      </c>
      <c r="G319" s="155">
        <f>G317</f>
        <v>500</v>
      </c>
      <c r="H319" s="149"/>
      <c r="I319" s="164">
        <f>+G319*H319</f>
        <v>0</v>
      </c>
      <c r="J319" s="155">
        <f>G319</f>
        <v>500</v>
      </c>
      <c r="K319" s="148">
        <f>'Rate Schedule (Part 1)'!$E$31</f>
        <v>0</v>
      </c>
      <c r="L319" s="168">
        <f>+J319*K319</f>
        <v>0</v>
      </c>
      <c r="M319" s="186">
        <f t="shared" si="43"/>
        <v>0</v>
      </c>
      <c r="N319" s="187">
        <v>0</v>
      </c>
      <c r="O319" s="179">
        <f>L319/L328</f>
        <v>0</v>
      </c>
      <c r="P319" s="118"/>
    </row>
    <row r="320" spans="2:16" ht="17.25" customHeight="1" thickBot="1">
      <c r="B320" s="125"/>
      <c r="C320" s="31"/>
      <c r="D320" s="31"/>
      <c r="E320" s="31"/>
      <c r="F320" s="153" t="s">
        <v>239</v>
      </c>
      <c r="G320" s="155">
        <f>+C317</f>
        <v>500</v>
      </c>
      <c r="H320" s="149">
        <f>'2010 Existing Rates'!$D$23</f>
        <v>-1.1644</v>
      </c>
      <c r="I320" s="168">
        <f>+G320*H320</f>
        <v>-582.2</v>
      </c>
      <c r="J320" s="155">
        <f>+C317</f>
        <v>500</v>
      </c>
      <c r="K320" s="148">
        <f>'Rate Schedule (Part 1)'!$E$33</f>
        <v>-0.34053261641201166</v>
      </c>
      <c r="L320" s="168">
        <f>+J320*K320</f>
        <v>-170.26630820600582</v>
      </c>
      <c r="M320" s="186">
        <f t="shared" si="43"/>
        <v>411.9336917939942</v>
      </c>
      <c r="N320" s="187">
        <f aca="true" t="shared" si="44" ref="N320:N328">+M320/I320</f>
        <v>-0.7075467052456101</v>
      </c>
      <c r="O320" s="179">
        <f>L320/L328</f>
        <v>-0.007617506492679112</v>
      </c>
      <c r="P320" s="118"/>
    </row>
    <row r="321" spans="2:16" ht="17.25" customHeight="1" thickBot="1">
      <c r="B321" s="125"/>
      <c r="C321" s="31"/>
      <c r="D321" s="31"/>
      <c r="E321" s="31"/>
      <c r="F321" s="476" t="s">
        <v>234</v>
      </c>
      <c r="G321" s="676"/>
      <c r="H321" s="677"/>
      <c r="I321" s="477">
        <f>SUM(I315:I320)</f>
        <v>730.5100000000002</v>
      </c>
      <c r="J321" s="676"/>
      <c r="K321" s="677"/>
      <c r="L321" s="477">
        <f>SUM(L315:L320)</f>
        <v>1425.7136917939943</v>
      </c>
      <c r="M321" s="480">
        <f>SUM(M315:M320)</f>
        <v>695.203691793994</v>
      </c>
      <c r="N321" s="481">
        <f t="shared" si="44"/>
        <v>0.9516689597596115</v>
      </c>
      <c r="O321" s="482">
        <f>SUM(O315:O320)</f>
        <v>0.06378468775397561</v>
      </c>
      <c r="P321" s="118"/>
    </row>
    <row r="322" spans="2:16" ht="17.25" customHeight="1" thickBot="1">
      <c r="B322" s="125"/>
      <c r="C322" s="31"/>
      <c r="D322" s="31"/>
      <c r="E322" s="31"/>
      <c r="F322" s="152" t="s">
        <v>240</v>
      </c>
      <c r="G322" s="273">
        <f>C317</f>
        <v>500</v>
      </c>
      <c r="H322" s="274">
        <f>'Other Electriciy Rates'!$F$12</f>
        <v>4.3688</v>
      </c>
      <c r="I322" s="164">
        <f>+G322*H322</f>
        <v>2184.4</v>
      </c>
      <c r="J322" s="273">
        <f>C317</f>
        <v>500</v>
      </c>
      <c r="K322" s="274">
        <f>'Other Electriciy Rates'!$F$27</f>
        <v>4.173183624851943</v>
      </c>
      <c r="L322" s="164">
        <f>+J322*K322</f>
        <v>2086.5918124259715</v>
      </c>
      <c r="M322" s="275">
        <f aca="true" t="shared" si="45" ref="M322:M327">+L322-I322</f>
        <v>-97.80818757402858</v>
      </c>
      <c r="N322" s="176">
        <f t="shared" si="44"/>
        <v>-0.0447757679793209</v>
      </c>
      <c r="O322" s="179">
        <f>L322/L328</f>
        <v>0.09335156700229237</v>
      </c>
      <c r="P322" s="118"/>
    </row>
    <row r="323" spans="2:16" ht="17.25" customHeight="1" thickBot="1">
      <c r="B323" s="125"/>
      <c r="C323" s="31"/>
      <c r="D323" s="31"/>
      <c r="E323" s="31"/>
      <c r="F323" s="476" t="s">
        <v>236</v>
      </c>
      <c r="G323" s="676"/>
      <c r="H323" s="677"/>
      <c r="I323" s="477">
        <f>I321+I322</f>
        <v>2914.9100000000003</v>
      </c>
      <c r="J323" s="676"/>
      <c r="K323" s="677"/>
      <c r="L323" s="477">
        <f>L321+L322</f>
        <v>3512.3055042199658</v>
      </c>
      <c r="M323" s="480">
        <f t="shared" si="45"/>
        <v>597.3955042199655</v>
      </c>
      <c r="N323" s="481">
        <f t="shared" si="44"/>
        <v>0.20494475102832177</v>
      </c>
      <c r="O323" s="483">
        <f>L323/L328</f>
        <v>0.157136254756268</v>
      </c>
      <c r="P323" s="118"/>
    </row>
    <row r="324" spans="2:16" ht="17.25" customHeight="1">
      <c r="B324" s="125"/>
      <c r="C324" s="31"/>
      <c r="D324" s="31"/>
      <c r="E324" s="31"/>
      <c r="F324" s="150" t="s">
        <v>73</v>
      </c>
      <c r="G324" s="156">
        <f>C316*'Other Electriciy Rates'!$L$12</f>
        <v>207019.99999999997</v>
      </c>
      <c r="H324" s="157">
        <f>'Other Electriciy Rates'!$C$12+'Other Electriciy Rates'!$D$12</f>
        <v>0.0135</v>
      </c>
      <c r="I324" s="158">
        <f>+G324*H324</f>
        <v>2794.7699999999995</v>
      </c>
      <c r="J324" s="156">
        <f>C316*'Other Electriciy Rates'!$L$27</f>
        <v>207238.24958534562</v>
      </c>
      <c r="K324" s="157">
        <f>'Other Electriciy Rates'!$C$27+'Other Electriciy Rates'!$D$27</f>
        <v>0.0135</v>
      </c>
      <c r="L324" s="185">
        <f>+J324*K324</f>
        <v>2797.716369402166</v>
      </c>
      <c r="M324" s="186">
        <f t="shared" si="45"/>
        <v>2.9463694021665106</v>
      </c>
      <c r="N324" s="187">
        <f t="shared" si="44"/>
        <v>0.0010542439636057747</v>
      </c>
      <c r="O324" s="179">
        <f>L324/L328</f>
        <v>0.1251664103905432</v>
      </c>
      <c r="P324" s="118"/>
    </row>
    <row r="325" spans="2:16" ht="17.25" customHeight="1" thickBot="1">
      <c r="B325" s="125"/>
      <c r="C325" s="31"/>
      <c r="D325" s="31"/>
      <c r="E325" s="31"/>
      <c r="F325" s="150" t="s">
        <v>74</v>
      </c>
      <c r="G325" s="156">
        <f>G324</f>
        <v>207019.99999999997</v>
      </c>
      <c r="H325" s="157">
        <f>+'Other Electriciy Rates'!$J$12</f>
        <v>0.065</v>
      </c>
      <c r="I325" s="158">
        <f>+G325*H325</f>
        <v>13456.3</v>
      </c>
      <c r="J325" s="156">
        <f>J324</f>
        <v>207238.24958534562</v>
      </c>
      <c r="K325" s="157">
        <f>'Other Electriciy Rates'!$J$27</f>
        <v>0.065</v>
      </c>
      <c r="L325" s="185">
        <f>+J325*K325</f>
        <v>13470.486223047466</v>
      </c>
      <c r="M325" s="186">
        <f t="shared" si="45"/>
        <v>14.186223047467138</v>
      </c>
      <c r="N325" s="187">
        <f t="shared" si="44"/>
        <v>0.001054243963605682</v>
      </c>
      <c r="O325" s="179">
        <f>L325/L328</f>
        <v>0.6026530870655783</v>
      </c>
      <c r="P325" s="118"/>
    </row>
    <row r="326" spans="2:16" ht="17.25" customHeight="1" thickBot="1">
      <c r="B326" s="125"/>
      <c r="C326" s="31"/>
      <c r="D326" s="31"/>
      <c r="E326" s="31"/>
      <c r="F326" s="476" t="s">
        <v>191</v>
      </c>
      <c r="G326" s="676"/>
      <c r="H326" s="677"/>
      <c r="I326" s="477">
        <f>SUM(I323:I325)</f>
        <v>19165.98</v>
      </c>
      <c r="J326" s="676"/>
      <c r="K326" s="677"/>
      <c r="L326" s="477">
        <f>SUM(L323:L325)</f>
        <v>19780.508096669597</v>
      </c>
      <c r="M326" s="477">
        <f t="shared" si="45"/>
        <v>614.5280966695973</v>
      </c>
      <c r="N326" s="481">
        <f t="shared" si="44"/>
        <v>0.03206348418758641</v>
      </c>
      <c r="O326" s="483">
        <f>L326/L328</f>
        <v>0.8849557522123894</v>
      </c>
      <c r="P326" s="118"/>
    </row>
    <row r="327" spans="2:16" ht="17.25" customHeight="1" thickBot="1">
      <c r="B327" s="125"/>
      <c r="C327" s="31"/>
      <c r="D327" s="31"/>
      <c r="E327" s="31"/>
      <c r="F327" s="222" t="s">
        <v>323</v>
      </c>
      <c r="G327" s="223"/>
      <c r="H327" s="227">
        <v>0.13</v>
      </c>
      <c r="I327" s="224">
        <f>I326*H327</f>
        <v>2491.5774</v>
      </c>
      <c r="J327" s="223"/>
      <c r="K327" s="227">
        <v>0.13</v>
      </c>
      <c r="L327" s="225">
        <f>L326*K327</f>
        <v>2571.466052567048</v>
      </c>
      <c r="M327" s="183">
        <f t="shared" si="45"/>
        <v>79.88865256704776</v>
      </c>
      <c r="N327" s="184">
        <f t="shared" si="44"/>
        <v>0.03206348418758645</v>
      </c>
      <c r="O327" s="189">
        <f>L327/L328</f>
        <v>0.11504424778761063</v>
      </c>
      <c r="P327" s="118"/>
    </row>
    <row r="328" spans="2:16" ht="17.25" customHeight="1" thickBot="1">
      <c r="B328" s="125"/>
      <c r="C328" s="31"/>
      <c r="D328" s="31"/>
      <c r="E328" s="35"/>
      <c r="F328" s="490" t="s">
        <v>75</v>
      </c>
      <c r="G328" s="676"/>
      <c r="H328" s="677"/>
      <c r="I328" s="477">
        <f>I326+I327</f>
        <v>21657.557399999998</v>
      </c>
      <c r="J328" s="676"/>
      <c r="K328" s="677"/>
      <c r="L328" s="477">
        <f>L326+L327</f>
        <v>22351.974149236645</v>
      </c>
      <c r="M328" s="477">
        <f>M326+M327</f>
        <v>694.416749236645</v>
      </c>
      <c r="N328" s="481">
        <f t="shared" si="44"/>
        <v>0.032063484187586415</v>
      </c>
      <c r="O328" s="482">
        <f>O326+O327</f>
        <v>1</v>
      </c>
      <c r="P328" s="118"/>
    </row>
    <row r="329" spans="2:16" ht="17.25" customHeight="1" thickBot="1">
      <c r="B329" s="119"/>
      <c r="C329" s="131"/>
      <c r="D329" s="131"/>
      <c r="E329" s="131"/>
      <c r="F329" s="132"/>
      <c r="G329" s="133"/>
      <c r="H329" s="134"/>
      <c r="I329" s="135"/>
      <c r="J329" s="133"/>
      <c r="K329" s="136"/>
      <c r="L329" s="135"/>
      <c r="M329" s="137"/>
      <c r="N329" s="138"/>
      <c r="O329" s="139"/>
      <c r="P329" s="120"/>
    </row>
    <row r="330" spans="2:16" ht="17.25" customHeight="1" thickBot="1">
      <c r="B330" s="25"/>
      <c r="C330" s="31"/>
      <c r="D330" s="31"/>
      <c r="E330" s="31"/>
      <c r="F330" s="49"/>
      <c r="G330" s="50"/>
      <c r="H330" s="51"/>
      <c r="I330" s="52"/>
      <c r="J330" s="50"/>
      <c r="K330" s="53"/>
      <c r="L330" s="52"/>
      <c r="M330" s="54"/>
      <c r="N330" s="128"/>
      <c r="O330" s="129"/>
      <c r="P330" s="25"/>
    </row>
    <row r="331" spans="2:16" ht="17.25" customHeight="1">
      <c r="B331" s="127"/>
      <c r="C331" s="684"/>
      <c r="D331" s="684"/>
      <c r="E331" s="684"/>
      <c r="F331" s="684"/>
      <c r="G331" s="684"/>
      <c r="H331" s="684"/>
      <c r="I331" s="684"/>
      <c r="J331" s="684"/>
      <c r="K331" s="684"/>
      <c r="L331" s="684"/>
      <c r="M331" s="684"/>
      <c r="N331" s="684"/>
      <c r="O331" s="684"/>
      <c r="P331" s="117"/>
    </row>
    <row r="332" spans="2:16" ht="23.25">
      <c r="B332" s="125"/>
      <c r="C332" s="683" t="s">
        <v>246</v>
      </c>
      <c r="D332" s="683"/>
      <c r="E332" s="683"/>
      <c r="F332" s="683"/>
      <c r="G332" s="683"/>
      <c r="H332" s="683"/>
      <c r="I332" s="683"/>
      <c r="J332" s="683"/>
      <c r="K332" s="683"/>
      <c r="L332" s="683"/>
      <c r="M332" s="683"/>
      <c r="N332" s="683"/>
      <c r="O332" s="683"/>
      <c r="P332" s="118"/>
    </row>
    <row r="333" spans="2:17" ht="17.25" customHeight="1" thickBot="1">
      <c r="B333" s="125"/>
      <c r="C333" s="685"/>
      <c r="D333" s="685"/>
      <c r="E333" s="685"/>
      <c r="F333" s="685"/>
      <c r="G333" s="685"/>
      <c r="H333" s="685"/>
      <c r="I333" s="685"/>
      <c r="J333" s="685"/>
      <c r="K333" s="685"/>
      <c r="L333" s="685"/>
      <c r="M333" s="685"/>
      <c r="N333" s="685"/>
      <c r="O333" s="685"/>
      <c r="P333" s="118"/>
      <c r="Q333" s="25"/>
    </row>
    <row r="334" spans="2:17" ht="17.25" customHeight="1" thickBot="1">
      <c r="B334" s="125"/>
      <c r="C334" s="126"/>
      <c r="D334" s="126"/>
      <c r="E334" s="31"/>
      <c r="F334" s="32"/>
      <c r="G334" s="678" t="str">
        <f>$G$10</f>
        <v>2010 BILL</v>
      </c>
      <c r="H334" s="679"/>
      <c r="I334" s="680"/>
      <c r="J334" s="678" t="str">
        <f>$J$10</f>
        <v>2011 BILL</v>
      </c>
      <c r="K334" s="679"/>
      <c r="L334" s="680"/>
      <c r="M334" s="678" t="s">
        <v>69</v>
      </c>
      <c r="N334" s="679"/>
      <c r="O334" s="680"/>
      <c r="P334" s="118"/>
      <c r="Q334" s="25"/>
    </row>
    <row r="335" spans="2:17" ht="26.25" thickBot="1">
      <c r="B335" s="125"/>
      <c r="C335" s="31"/>
      <c r="D335" s="31"/>
      <c r="E335" s="33"/>
      <c r="F335" s="34"/>
      <c r="G335" s="285" t="s">
        <v>63</v>
      </c>
      <c r="H335" s="286" t="s">
        <v>64</v>
      </c>
      <c r="I335" s="287" t="s">
        <v>65</v>
      </c>
      <c r="J335" s="288" t="s">
        <v>63</v>
      </c>
      <c r="K335" s="286" t="s">
        <v>64</v>
      </c>
      <c r="L335" s="287" t="s">
        <v>65</v>
      </c>
      <c r="M335" s="145" t="s">
        <v>70</v>
      </c>
      <c r="N335" s="146" t="s">
        <v>71</v>
      </c>
      <c r="O335" s="147" t="s">
        <v>72</v>
      </c>
      <c r="P335" s="118"/>
      <c r="Q335" s="25"/>
    </row>
    <row r="336" spans="2:17" ht="17.25" customHeight="1" thickBot="1">
      <c r="B336" s="125"/>
      <c r="C336" s="681" t="s">
        <v>66</v>
      </c>
      <c r="D336" s="682"/>
      <c r="E336" s="31"/>
      <c r="F336" s="291" t="s">
        <v>67</v>
      </c>
      <c r="G336" s="289"/>
      <c r="H336" s="283"/>
      <c r="I336" s="158">
        <f>+'2010 Existing Rates'!$C$10</f>
        <v>70.9</v>
      </c>
      <c r="J336" s="156"/>
      <c r="K336" s="284"/>
      <c r="L336" s="185">
        <f>+'Rate Schedule (Part 1)'!$E$28</f>
        <v>88.37</v>
      </c>
      <c r="M336" s="186">
        <f aca="true" t="shared" si="46" ref="M336:M341">+L336-I336</f>
        <v>17.47</v>
      </c>
      <c r="N336" s="187">
        <f>+M336/I336</f>
        <v>0.24640338504936526</v>
      </c>
      <c r="O336" s="179">
        <f>L336/L349</f>
        <v>0.0010860563249734053</v>
      </c>
      <c r="P336" s="118"/>
      <c r="Q336" s="25"/>
    </row>
    <row r="337" spans="2:17" ht="17.25" customHeight="1" thickBot="1">
      <c r="B337" s="125"/>
      <c r="C337" s="123">
        <v>800000</v>
      </c>
      <c r="D337" s="124" t="s">
        <v>15</v>
      </c>
      <c r="E337" s="31"/>
      <c r="F337" s="292" t="s">
        <v>78</v>
      </c>
      <c r="G337" s="290">
        <f>+C338</f>
        <v>1000</v>
      </c>
      <c r="H337" s="149">
        <f>'2010 Existing Rates'!$D$60</f>
        <v>2.3658</v>
      </c>
      <c r="I337" s="164">
        <f>+G337*H337</f>
        <v>2365.8</v>
      </c>
      <c r="J337" s="155">
        <f>G337</f>
        <v>1000</v>
      </c>
      <c r="K337" s="148">
        <f>'Rate Schedule (Part 1)'!$E$29</f>
        <v>2.9288</v>
      </c>
      <c r="L337" s="168">
        <f>+J337*K337</f>
        <v>2928.7999999999997</v>
      </c>
      <c r="M337" s="186">
        <f t="shared" si="46"/>
        <v>562.9999999999995</v>
      </c>
      <c r="N337" s="187">
        <f>+M337/I337</f>
        <v>0.23797446952405085</v>
      </c>
      <c r="O337" s="179">
        <f>L337/L349</f>
        <v>0.03599458826051951</v>
      </c>
      <c r="P337" s="118"/>
      <c r="Q337" s="25"/>
    </row>
    <row r="338" spans="2:16" ht="17.25" customHeight="1" thickBot="1">
      <c r="B338" s="125"/>
      <c r="C338" s="123">
        <v>1000</v>
      </c>
      <c r="D338" s="124" t="s">
        <v>16</v>
      </c>
      <c r="E338" s="31"/>
      <c r="F338" s="292" t="s">
        <v>237</v>
      </c>
      <c r="G338" s="246">
        <f>G337</f>
        <v>1000</v>
      </c>
      <c r="H338" s="293">
        <f>'2010 Existing Rates'!$D$35</f>
        <v>0.1135</v>
      </c>
      <c r="I338" s="164">
        <f>+G338*H338</f>
        <v>113.5</v>
      </c>
      <c r="J338" s="155">
        <f>+C338</f>
        <v>1000</v>
      </c>
      <c r="K338" s="148">
        <f>'Rate Schedule (Part 1)'!$E$30</f>
        <v>0.0821</v>
      </c>
      <c r="L338" s="168">
        <f>+J338*K338</f>
        <v>82.10000000000001</v>
      </c>
      <c r="M338" s="186">
        <f t="shared" si="46"/>
        <v>-31.39999999999999</v>
      </c>
      <c r="N338" s="187">
        <f>+M338/I338</f>
        <v>-0.2766519823788546</v>
      </c>
      <c r="O338" s="179">
        <f>L338/L349</f>
        <v>0.001008998803669985</v>
      </c>
      <c r="P338" s="118"/>
    </row>
    <row r="339" spans="2:16" ht="17.25" customHeight="1">
      <c r="B339" s="125"/>
      <c r="C339" s="271"/>
      <c r="D339" s="282"/>
      <c r="E339" s="31"/>
      <c r="F339" s="152" t="s">
        <v>166</v>
      </c>
      <c r="G339" s="174"/>
      <c r="H339" s="173"/>
      <c r="I339" s="164">
        <f>'2010 Existing Rates'!$B$46</f>
        <v>2.16</v>
      </c>
      <c r="J339" s="174"/>
      <c r="K339" s="173"/>
      <c r="L339" s="164">
        <f>'2010 Existing Rates'!$B$46</f>
        <v>2.16</v>
      </c>
      <c r="M339" s="186">
        <f t="shared" si="46"/>
        <v>0</v>
      </c>
      <c r="N339" s="187">
        <f>+M339/I339</f>
        <v>0</v>
      </c>
      <c r="O339" s="179">
        <f>L339/L349</f>
        <v>2.6546131740891203E-05</v>
      </c>
      <c r="P339" s="118"/>
    </row>
    <row r="340" spans="2:16" ht="17.25" customHeight="1">
      <c r="B340" s="125"/>
      <c r="C340" s="62"/>
      <c r="D340" s="63"/>
      <c r="E340" s="31"/>
      <c r="F340" s="152" t="s">
        <v>238</v>
      </c>
      <c r="G340" s="155">
        <f>G338</f>
        <v>1000</v>
      </c>
      <c r="H340" s="149"/>
      <c r="I340" s="164">
        <f>+G340*H340</f>
        <v>0</v>
      </c>
      <c r="J340" s="155">
        <f>G340</f>
        <v>1000</v>
      </c>
      <c r="K340" s="148">
        <f>'Rate Schedule (Part 1)'!$E$31</f>
        <v>0</v>
      </c>
      <c r="L340" s="168">
        <f>+J340*K340</f>
        <v>0</v>
      </c>
      <c r="M340" s="186">
        <f t="shared" si="46"/>
        <v>0</v>
      </c>
      <c r="N340" s="187">
        <v>0</v>
      </c>
      <c r="O340" s="179">
        <f>L340/L349</f>
        <v>0</v>
      </c>
      <c r="P340" s="118"/>
    </row>
    <row r="341" spans="2:16" ht="17.25" customHeight="1" thickBot="1">
      <c r="B341" s="125"/>
      <c r="C341" s="31"/>
      <c r="D341" s="31"/>
      <c r="E341" s="31"/>
      <c r="F341" s="153" t="s">
        <v>239</v>
      </c>
      <c r="G341" s="155">
        <f>+C338</f>
        <v>1000</v>
      </c>
      <c r="H341" s="149">
        <f>'2010 Existing Rates'!$D$23</f>
        <v>-1.1644</v>
      </c>
      <c r="I341" s="168">
        <f>+G341*H341</f>
        <v>-1164.4</v>
      </c>
      <c r="J341" s="155">
        <f>+C338</f>
        <v>1000</v>
      </c>
      <c r="K341" s="148">
        <f>'Rate Schedule (Part 1)'!$E$33</f>
        <v>-0.34053261641201166</v>
      </c>
      <c r="L341" s="168">
        <f>+J341*K341</f>
        <v>-340.53261641201163</v>
      </c>
      <c r="M341" s="186">
        <f t="shared" si="46"/>
        <v>823.8673835879885</v>
      </c>
      <c r="N341" s="187">
        <f aca="true" t="shared" si="47" ref="N341:N349">+M341/I341</f>
        <v>-0.7075467052456101</v>
      </c>
      <c r="O341" s="179">
        <f>L341/L349</f>
        <v>-0.004185103563585014</v>
      </c>
      <c r="P341" s="118"/>
    </row>
    <row r="342" spans="2:16" ht="17.25" customHeight="1" thickBot="1">
      <c r="B342" s="125"/>
      <c r="C342" s="31"/>
      <c r="D342" s="31"/>
      <c r="E342" s="31"/>
      <c r="F342" s="476" t="s">
        <v>234</v>
      </c>
      <c r="G342" s="676"/>
      <c r="H342" s="677"/>
      <c r="I342" s="477">
        <f>SUM(I336:I341)</f>
        <v>1387.96</v>
      </c>
      <c r="J342" s="676"/>
      <c r="K342" s="677"/>
      <c r="L342" s="477">
        <f>SUM(L336:L341)</f>
        <v>2760.897383587988</v>
      </c>
      <c r="M342" s="480">
        <f>SUM(M336:M341)</f>
        <v>1372.937383587988</v>
      </c>
      <c r="N342" s="481">
        <f t="shared" si="47"/>
        <v>0.9891764774114441</v>
      </c>
      <c r="O342" s="482">
        <f>SUM(O336:O341)</f>
        <v>0.03393108595731877</v>
      </c>
      <c r="P342" s="118"/>
    </row>
    <row r="343" spans="2:16" ht="17.25" customHeight="1" thickBot="1">
      <c r="B343" s="125"/>
      <c r="C343" s="31"/>
      <c r="D343" s="31"/>
      <c r="E343" s="31"/>
      <c r="F343" s="152" t="s">
        <v>240</v>
      </c>
      <c r="G343" s="273">
        <f>C338</f>
        <v>1000</v>
      </c>
      <c r="H343" s="274">
        <f>'Other Electriciy Rates'!$F$12</f>
        <v>4.3688</v>
      </c>
      <c r="I343" s="164">
        <f>+G343*H343</f>
        <v>4368.8</v>
      </c>
      <c r="J343" s="273">
        <f>C338</f>
        <v>1000</v>
      </c>
      <c r="K343" s="274">
        <f>'Other Electriciy Rates'!$F$27</f>
        <v>4.173183624851943</v>
      </c>
      <c r="L343" s="164">
        <f>+J343*K343</f>
        <v>4173.183624851943</v>
      </c>
      <c r="M343" s="275">
        <f aca="true" t="shared" si="48" ref="M343:M348">+L343-I343</f>
        <v>-195.61637514805716</v>
      </c>
      <c r="N343" s="176">
        <f t="shared" si="47"/>
        <v>-0.0447757679793209</v>
      </c>
      <c r="O343" s="179">
        <f>L343/L349</f>
        <v>0.05128790846493035</v>
      </c>
      <c r="P343" s="118"/>
    </row>
    <row r="344" spans="2:16" ht="17.25" customHeight="1" thickBot="1">
      <c r="B344" s="125"/>
      <c r="C344" s="31"/>
      <c r="D344" s="31"/>
      <c r="E344" s="31"/>
      <c r="F344" s="476" t="s">
        <v>236</v>
      </c>
      <c r="G344" s="676"/>
      <c r="H344" s="677"/>
      <c r="I344" s="477">
        <f>I342+I343</f>
        <v>5756.76</v>
      </c>
      <c r="J344" s="676"/>
      <c r="K344" s="677"/>
      <c r="L344" s="477">
        <f>L342+L343</f>
        <v>6934.081008439931</v>
      </c>
      <c r="M344" s="480">
        <f t="shared" si="48"/>
        <v>1177.3210084399307</v>
      </c>
      <c r="N344" s="481">
        <f t="shared" si="47"/>
        <v>0.20451104587301375</v>
      </c>
      <c r="O344" s="483">
        <f>L344/L349</f>
        <v>0.08521899442224913</v>
      </c>
      <c r="P344" s="118"/>
    </row>
    <row r="345" spans="2:16" ht="17.25" customHeight="1">
      <c r="B345" s="125"/>
      <c r="C345" s="31"/>
      <c r="D345" s="31"/>
      <c r="E345" s="31"/>
      <c r="F345" s="150" t="s">
        <v>73</v>
      </c>
      <c r="G345" s="156">
        <f>C337*'Other Electriciy Rates'!$L$12</f>
        <v>828079.9999999999</v>
      </c>
      <c r="H345" s="157">
        <f>'Other Electriciy Rates'!$C$12+'Other Electriciy Rates'!$D$12</f>
        <v>0.0135</v>
      </c>
      <c r="I345" s="158">
        <f>+G345*H345</f>
        <v>11179.079999999998</v>
      </c>
      <c r="J345" s="156">
        <f>C337*'Other Electriciy Rates'!$L$27</f>
        <v>828952.9983413825</v>
      </c>
      <c r="K345" s="157">
        <f>'Other Electriciy Rates'!$C$27+'Other Electriciy Rates'!$D$27</f>
        <v>0.0135</v>
      </c>
      <c r="L345" s="185">
        <f>+J345*K345</f>
        <v>11190.865477608664</v>
      </c>
      <c r="M345" s="186">
        <f t="shared" si="48"/>
        <v>11.785477608666042</v>
      </c>
      <c r="N345" s="187">
        <f t="shared" si="47"/>
        <v>0.0010542439636057747</v>
      </c>
      <c r="O345" s="179">
        <f>L345/L349</f>
        <v>0.1375343468811069</v>
      </c>
      <c r="P345" s="118"/>
    </row>
    <row r="346" spans="2:16" ht="17.25" customHeight="1" thickBot="1">
      <c r="B346" s="125"/>
      <c r="C346" s="31"/>
      <c r="D346" s="31"/>
      <c r="E346" s="31"/>
      <c r="F346" s="150" t="s">
        <v>74</v>
      </c>
      <c r="G346" s="156">
        <f>G345</f>
        <v>828079.9999999999</v>
      </c>
      <c r="H346" s="157">
        <f>+'Other Electriciy Rates'!$J$12</f>
        <v>0.065</v>
      </c>
      <c r="I346" s="158">
        <f>+G346*H346</f>
        <v>53825.2</v>
      </c>
      <c r="J346" s="156">
        <f>J345</f>
        <v>828952.9983413825</v>
      </c>
      <c r="K346" s="157">
        <f>'Other Electriciy Rates'!$J$27</f>
        <v>0.065</v>
      </c>
      <c r="L346" s="185">
        <f>+J346*K346</f>
        <v>53881.944892189866</v>
      </c>
      <c r="M346" s="186">
        <f t="shared" si="48"/>
        <v>56.74489218986855</v>
      </c>
      <c r="N346" s="187">
        <f t="shared" si="47"/>
        <v>0.001054243963605682</v>
      </c>
      <c r="O346" s="179">
        <f>L346/L349</f>
        <v>0.6622024109090333</v>
      </c>
      <c r="P346" s="118"/>
    </row>
    <row r="347" spans="2:16" ht="17.25" customHeight="1" thickBot="1">
      <c r="B347" s="125"/>
      <c r="C347" s="31"/>
      <c r="D347" s="31"/>
      <c r="E347" s="31"/>
      <c r="F347" s="476" t="s">
        <v>191</v>
      </c>
      <c r="G347" s="676"/>
      <c r="H347" s="677"/>
      <c r="I347" s="477">
        <f>SUM(I344:I346)</f>
        <v>70761.04</v>
      </c>
      <c r="J347" s="676"/>
      <c r="K347" s="677"/>
      <c r="L347" s="477">
        <f>SUM(L344:L346)</f>
        <v>72006.89137823846</v>
      </c>
      <c r="M347" s="477">
        <f t="shared" si="48"/>
        <v>1245.851378238469</v>
      </c>
      <c r="N347" s="481">
        <f t="shared" si="47"/>
        <v>0.017606459405323453</v>
      </c>
      <c r="O347" s="483">
        <f>L347/L349</f>
        <v>0.8849557522123893</v>
      </c>
      <c r="P347" s="118"/>
    </row>
    <row r="348" spans="2:16" ht="17.25" customHeight="1" thickBot="1">
      <c r="B348" s="125"/>
      <c r="C348" s="31"/>
      <c r="D348" s="31"/>
      <c r="E348" s="31"/>
      <c r="F348" s="222" t="s">
        <v>323</v>
      </c>
      <c r="G348" s="223"/>
      <c r="H348" s="227">
        <v>0.13</v>
      </c>
      <c r="I348" s="224">
        <f>I347*H348</f>
        <v>9198.9352</v>
      </c>
      <c r="J348" s="223"/>
      <c r="K348" s="227">
        <v>0.13</v>
      </c>
      <c r="L348" s="225">
        <f>L347*K348</f>
        <v>9360.895879171001</v>
      </c>
      <c r="M348" s="183">
        <f t="shared" si="48"/>
        <v>161.96067917100117</v>
      </c>
      <c r="N348" s="184">
        <f t="shared" si="47"/>
        <v>0.017606459405323474</v>
      </c>
      <c r="O348" s="189">
        <f>L348/L349</f>
        <v>0.11504424778761063</v>
      </c>
      <c r="P348" s="118"/>
    </row>
    <row r="349" spans="2:16" ht="17.25" customHeight="1" thickBot="1">
      <c r="B349" s="125"/>
      <c r="C349" s="31"/>
      <c r="D349" s="31"/>
      <c r="E349" s="35"/>
      <c r="F349" s="490" t="s">
        <v>75</v>
      </c>
      <c r="G349" s="676"/>
      <c r="H349" s="677"/>
      <c r="I349" s="477">
        <f>I347+I348</f>
        <v>79959.97519999999</v>
      </c>
      <c r="J349" s="676"/>
      <c r="K349" s="677"/>
      <c r="L349" s="477">
        <f>L347+L348</f>
        <v>81367.78725740947</v>
      </c>
      <c r="M349" s="477">
        <f>M347+M348</f>
        <v>1407.81205740947</v>
      </c>
      <c r="N349" s="481">
        <f t="shared" si="47"/>
        <v>0.017606459405323457</v>
      </c>
      <c r="O349" s="482">
        <f>O347+O348</f>
        <v>1</v>
      </c>
      <c r="P349" s="118"/>
    </row>
    <row r="350" spans="2:16" ht="17.25" customHeight="1" thickBot="1">
      <c r="B350" s="119"/>
      <c r="C350" s="131"/>
      <c r="D350" s="131"/>
      <c r="E350" s="131"/>
      <c r="F350" s="132"/>
      <c r="G350" s="133"/>
      <c r="H350" s="134"/>
      <c r="I350" s="135"/>
      <c r="J350" s="133"/>
      <c r="K350" s="136"/>
      <c r="L350" s="135"/>
      <c r="M350" s="137"/>
      <c r="N350" s="138"/>
      <c r="O350" s="139"/>
      <c r="P350" s="120"/>
    </row>
    <row r="351" spans="2:16" ht="17.25" customHeight="1" thickBot="1">
      <c r="B351" s="25"/>
      <c r="C351" s="31"/>
      <c r="D351" s="31"/>
      <c r="E351" s="31"/>
      <c r="F351" s="49"/>
      <c r="G351" s="50"/>
      <c r="H351" s="51"/>
      <c r="I351" s="52"/>
      <c r="J351" s="50"/>
      <c r="K351" s="53"/>
      <c r="L351" s="52"/>
      <c r="M351" s="54"/>
      <c r="N351" s="128"/>
      <c r="O351" s="129"/>
      <c r="P351" s="25"/>
    </row>
    <row r="352" spans="2:16" ht="17.25" customHeight="1">
      <c r="B352" s="127"/>
      <c r="C352" s="684"/>
      <c r="D352" s="684"/>
      <c r="E352" s="684"/>
      <c r="F352" s="684"/>
      <c r="G352" s="684"/>
      <c r="H352" s="684"/>
      <c r="I352" s="684"/>
      <c r="J352" s="684"/>
      <c r="K352" s="684"/>
      <c r="L352" s="684"/>
      <c r="M352" s="684"/>
      <c r="N352" s="684"/>
      <c r="O352" s="684"/>
      <c r="P352" s="117"/>
    </row>
    <row r="353" spans="2:16" ht="23.25">
      <c r="B353" s="125"/>
      <c r="C353" s="683" t="s">
        <v>246</v>
      </c>
      <c r="D353" s="683"/>
      <c r="E353" s="683"/>
      <c r="F353" s="683"/>
      <c r="G353" s="683"/>
      <c r="H353" s="683"/>
      <c r="I353" s="683"/>
      <c r="J353" s="683"/>
      <c r="K353" s="683"/>
      <c r="L353" s="683"/>
      <c r="M353" s="683"/>
      <c r="N353" s="683"/>
      <c r="O353" s="683"/>
      <c r="P353" s="118"/>
    </row>
    <row r="354" spans="2:17" ht="17.25" customHeight="1" thickBot="1">
      <c r="B354" s="125"/>
      <c r="C354" s="685"/>
      <c r="D354" s="685"/>
      <c r="E354" s="685"/>
      <c r="F354" s="685"/>
      <c r="G354" s="685"/>
      <c r="H354" s="685"/>
      <c r="I354" s="685"/>
      <c r="J354" s="685"/>
      <c r="K354" s="685"/>
      <c r="L354" s="685"/>
      <c r="M354" s="685"/>
      <c r="N354" s="685"/>
      <c r="O354" s="685"/>
      <c r="P354" s="118"/>
      <c r="Q354" s="25"/>
    </row>
    <row r="355" spans="2:17" ht="17.25" customHeight="1" thickBot="1">
      <c r="B355" s="125"/>
      <c r="C355" s="126"/>
      <c r="D355" s="126"/>
      <c r="E355" s="31"/>
      <c r="F355" s="32"/>
      <c r="G355" s="678" t="str">
        <f>$G$10</f>
        <v>2010 BILL</v>
      </c>
      <c r="H355" s="679"/>
      <c r="I355" s="680"/>
      <c r="J355" s="678" t="str">
        <f>$J$10</f>
        <v>2011 BILL</v>
      </c>
      <c r="K355" s="679"/>
      <c r="L355" s="680"/>
      <c r="M355" s="678" t="s">
        <v>69</v>
      </c>
      <c r="N355" s="679"/>
      <c r="O355" s="680"/>
      <c r="P355" s="118"/>
      <c r="Q355" s="25"/>
    </row>
    <row r="356" spans="2:17" ht="26.25" thickBot="1">
      <c r="B356" s="125"/>
      <c r="C356" s="31"/>
      <c r="D356" s="31"/>
      <c r="E356" s="33"/>
      <c r="F356" s="34"/>
      <c r="G356" s="285" t="s">
        <v>63</v>
      </c>
      <c r="H356" s="286" t="s">
        <v>64</v>
      </c>
      <c r="I356" s="287" t="s">
        <v>65</v>
      </c>
      <c r="J356" s="288" t="s">
        <v>63</v>
      </c>
      <c r="K356" s="286" t="s">
        <v>64</v>
      </c>
      <c r="L356" s="287" t="s">
        <v>65</v>
      </c>
      <c r="M356" s="145" t="s">
        <v>70</v>
      </c>
      <c r="N356" s="146" t="s">
        <v>71</v>
      </c>
      <c r="O356" s="147" t="s">
        <v>72</v>
      </c>
      <c r="P356" s="118"/>
      <c r="Q356" s="25"/>
    </row>
    <row r="357" spans="2:17" ht="17.25" customHeight="1" thickBot="1">
      <c r="B357" s="125"/>
      <c r="C357" s="681" t="s">
        <v>66</v>
      </c>
      <c r="D357" s="682"/>
      <c r="E357" s="31"/>
      <c r="F357" s="291" t="s">
        <v>67</v>
      </c>
      <c r="G357" s="289"/>
      <c r="H357" s="283"/>
      <c r="I357" s="158">
        <f>+'2010 Existing Rates'!$C$10</f>
        <v>70.9</v>
      </c>
      <c r="J357" s="156"/>
      <c r="K357" s="284"/>
      <c r="L357" s="185">
        <f>+'Rate Schedule (Part 1)'!$E$28</f>
        <v>88.37</v>
      </c>
      <c r="M357" s="186">
        <f aca="true" t="shared" si="49" ref="M357:M362">+L357-I357</f>
        <v>17.47</v>
      </c>
      <c r="N357" s="187">
        <f>+M357/I357</f>
        <v>0.24640338504936526</v>
      </c>
      <c r="O357" s="179">
        <f>L357/L370</f>
        <v>0.0004961827535726654</v>
      </c>
      <c r="P357" s="118"/>
      <c r="Q357" s="25"/>
    </row>
    <row r="358" spans="2:17" ht="17.25" customHeight="1" thickBot="1">
      <c r="B358" s="125"/>
      <c r="C358" s="123">
        <v>1600000</v>
      </c>
      <c r="D358" s="124" t="s">
        <v>15</v>
      </c>
      <c r="E358" s="31"/>
      <c r="F358" s="292" t="s">
        <v>78</v>
      </c>
      <c r="G358" s="290">
        <f>+C359</f>
        <v>4000</v>
      </c>
      <c r="H358" s="149">
        <f>'2010 Existing Rates'!$D$60</f>
        <v>2.3658</v>
      </c>
      <c r="I358" s="164">
        <f>+G358*H358</f>
        <v>9463.2</v>
      </c>
      <c r="J358" s="155">
        <f>G358</f>
        <v>4000</v>
      </c>
      <c r="K358" s="148">
        <f>'Rate Schedule (Part 1)'!$E$29</f>
        <v>2.9288</v>
      </c>
      <c r="L358" s="168">
        <f>+J358*K358</f>
        <v>11715.199999999999</v>
      </c>
      <c r="M358" s="186">
        <f t="shared" si="49"/>
        <v>2251.999999999998</v>
      </c>
      <c r="N358" s="187">
        <f>+M358/I358</f>
        <v>0.23797446952405085</v>
      </c>
      <c r="O358" s="179">
        <f>L358/L370</f>
        <v>0.0657788864394533</v>
      </c>
      <c r="P358" s="118"/>
      <c r="Q358" s="25"/>
    </row>
    <row r="359" spans="2:16" ht="17.25" customHeight="1" thickBot="1">
      <c r="B359" s="125"/>
      <c r="C359" s="123">
        <v>4000</v>
      </c>
      <c r="D359" s="124" t="s">
        <v>16</v>
      </c>
      <c r="E359" s="31"/>
      <c r="F359" s="292" t="s">
        <v>237</v>
      </c>
      <c r="G359" s="246">
        <f>G358</f>
        <v>4000</v>
      </c>
      <c r="H359" s="293">
        <f>'2010 Existing Rates'!$D$35</f>
        <v>0.1135</v>
      </c>
      <c r="I359" s="164">
        <f>+G359*H359</f>
        <v>454</v>
      </c>
      <c r="J359" s="155">
        <f>+C359</f>
        <v>4000</v>
      </c>
      <c r="K359" s="148">
        <f>'Rate Schedule (Part 1)'!$E$30</f>
        <v>0.0821</v>
      </c>
      <c r="L359" s="168">
        <f>+J359*K359</f>
        <v>328.40000000000003</v>
      </c>
      <c r="M359" s="186">
        <f t="shared" si="49"/>
        <v>-125.59999999999997</v>
      </c>
      <c r="N359" s="187">
        <f>+M359/I359</f>
        <v>-0.2766519823788546</v>
      </c>
      <c r="O359" s="179">
        <f>L359/L370</f>
        <v>0.0018439110136161969</v>
      </c>
      <c r="P359" s="118"/>
    </row>
    <row r="360" spans="2:16" ht="17.25" customHeight="1">
      <c r="B360" s="125"/>
      <c r="C360" s="271"/>
      <c r="D360" s="282"/>
      <c r="E360" s="31"/>
      <c r="F360" s="152" t="s">
        <v>166</v>
      </c>
      <c r="G360" s="174"/>
      <c r="H360" s="173"/>
      <c r="I360" s="164">
        <f>'2010 Existing Rates'!$B$46</f>
        <v>2.16</v>
      </c>
      <c r="J360" s="174"/>
      <c r="K360" s="173"/>
      <c r="L360" s="164">
        <f>'2010 Existing Rates'!$B$46</f>
        <v>2.16</v>
      </c>
      <c r="M360" s="186">
        <f t="shared" si="49"/>
        <v>0</v>
      </c>
      <c r="N360" s="187">
        <f>+M360/I360</f>
        <v>0</v>
      </c>
      <c r="O360" s="179">
        <f>L360/L370</f>
        <v>1.2128038335599833E-05</v>
      </c>
      <c r="P360" s="118"/>
    </row>
    <row r="361" spans="2:16" ht="17.25" customHeight="1">
      <c r="B361" s="125"/>
      <c r="C361" s="62"/>
      <c r="D361" s="63"/>
      <c r="E361" s="31"/>
      <c r="F361" s="152" t="s">
        <v>238</v>
      </c>
      <c r="G361" s="155">
        <f>G359</f>
        <v>4000</v>
      </c>
      <c r="H361" s="149"/>
      <c r="I361" s="164">
        <f>+G361*H361</f>
        <v>0</v>
      </c>
      <c r="J361" s="155">
        <f>G361</f>
        <v>4000</v>
      </c>
      <c r="K361" s="148">
        <f>'Rate Schedule (Part 1)'!$E$31</f>
        <v>0</v>
      </c>
      <c r="L361" s="168">
        <f>+J361*K361</f>
        <v>0</v>
      </c>
      <c r="M361" s="186">
        <f t="shared" si="49"/>
        <v>0</v>
      </c>
      <c r="N361" s="187">
        <v>0</v>
      </c>
      <c r="O361" s="179">
        <f>L361/L370</f>
        <v>0</v>
      </c>
      <c r="P361" s="118"/>
    </row>
    <row r="362" spans="2:16" ht="17.25" customHeight="1" thickBot="1">
      <c r="B362" s="125"/>
      <c r="C362" s="31"/>
      <c r="D362" s="31"/>
      <c r="E362" s="31"/>
      <c r="F362" s="153" t="s">
        <v>239</v>
      </c>
      <c r="G362" s="155">
        <f>+C359</f>
        <v>4000</v>
      </c>
      <c r="H362" s="149">
        <f>'2010 Existing Rates'!$D$23</f>
        <v>-1.1644</v>
      </c>
      <c r="I362" s="168">
        <f>+G362*H362</f>
        <v>-4657.6</v>
      </c>
      <c r="J362" s="155">
        <f>+C359</f>
        <v>4000</v>
      </c>
      <c r="K362" s="148">
        <f>'Rate Schedule (Part 1)'!$E$33</f>
        <v>-0.34053261641201166</v>
      </c>
      <c r="L362" s="168">
        <f>+J362*K362</f>
        <v>-1362.1304656480465</v>
      </c>
      <c r="M362" s="186">
        <f t="shared" si="49"/>
        <v>3295.469534351954</v>
      </c>
      <c r="N362" s="187">
        <f aca="true" t="shared" si="50" ref="N362:N370">+M362/I362</f>
        <v>-0.7075467052456101</v>
      </c>
      <c r="O362" s="179">
        <f>L362/L370</f>
        <v>-0.007648134493272203</v>
      </c>
      <c r="P362" s="118"/>
    </row>
    <row r="363" spans="2:16" ht="17.25" customHeight="1" thickBot="1">
      <c r="B363" s="125"/>
      <c r="C363" s="31"/>
      <c r="D363" s="31"/>
      <c r="E363" s="31"/>
      <c r="F363" s="476" t="s">
        <v>234</v>
      </c>
      <c r="G363" s="676"/>
      <c r="H363" s="677"/>
      <c r="I363" s="477">
        <f>SUM(I357:I362)</f>
        <v>5332.66</v>
      </c>
      <c r="J363" s="676"/>
      <c r="K363" s="677"/>
      <c r="L363" s="477">
        <f>SUM(L357:L362)</f>
        <v>10771.999534351953</v>
      </c>
      <c r="M363" s="480">
        <f>SUM(M357:M362)</f>
        <v>5439.339534351951</v>
      </c>
      <c r="N363" s="481">
        <f t="shared" si="50"/>
        <v>1.0200049383144532</v>
      </c>
      <c r="O363" s="482">
        <f>SUM(O357:O362)</f>
        <v>0.060482973751705554</v>
      </c>
      <c r="P363" s="118"/>
    </row>
    <row r="364" spans="2:16" ht="17.25" customHeight="1" thickBot="1">
      <c r="B364" s="125"/>
      <c r="C364" s="31"/>
      <c r="D364" s="31"/>
      <c r="E364" s="31"/>
      <c r="F364" s="152" t="s">
        <v>240</v>
      </c>
      <c r="G364" s="273">
        <f>C359</f>
        <v>4000</v>
      </c>
      <c r="H364" s="274">
        <f>'Other Electriciy Rates'!$F$12</f>
        <v>4.3688</v>
      </c>
      <c r="I364" s="164">
        <f>+G364*H364</f>
        <v>17475.2</v>
      </c>
      <c r="J364" s="273">
        <f>C359</f>
        <v>4000</v>
      </c>
      <c r="K364" s="274">
        <f>'Other Electriciy Rates'!$F$27</f>
        <v>4.173183624851943</v>
      </c>
      <c r="L364" s="164">
        <f>+J364*K364</f>
        <v>16692.734499407772</v>
      </c>
      <c r="M364" s="275">
        <f aca="true" t="shared" si="51" ref="M364:M369">+L364-I364</f>
        <v>-782.4655005922286</v>
      </c>
      <c r="N364" s="176">
        <f t="shared" si="50"/>
        <v>-0.0447757679793209</v>
      </c>
      <c r="O364" s="179">
        <f>L364/L370</f>
        <v>0.09372690922907746</v>
      </c>
      <c r="P364" s="118"/>
    </row>
    <row r="365" spans="2:16" ht="17.25" customHeight="1" thickBot="1">
      <c r="B365" s="125"/>
      <c r="C365" s="31"/>
      <c r="D365" s="31"/>
      <c r="E365" s="31"/>
      <c r="F365" s="476" t="s">
        <v>236</v>
      </c>
      <c r="G365" s="676"/>
      <c r="H365" s="677"/>
      <c r="I365" s="477">
        <f>I363+I364</f>
        <v>22807.86</v>
      </c>
      <c r="J365" s="676"/>
      <c r="K365" s="677"/>
      <c r="L365" s="477">
        <f>L363+L364</f>
        <v>27464.734033759727</v>
      </c>
      <c r="M365" s="480">
        <f t="shared" si="51"/>
        <v>4656.874033759726</v>
      </c>
      <c r="N365" s="481">
        <f t="shared" si="50"/>
        <v>0.20417847328770547</v>
      </c>
      <c r="O365" s="483">
        <f>L365/L370</f>
        <v>0.15420988298078306</v>
      </c>
      <c r="P365" s="118"/>
    </row>
    <row r="366" spans="2:16" ht="17.25" customHeight="1">
      <c r="B366" s="125"/>
      <c r="C366" s="31"/>
      <c r="D366" s="31"/>
      <c r="E366" s="31"/>
      <c r="F366" s="150" t="s">
        <v>73</v>
      </c>
      <c r="G366" s="156">
        <f>C358*'Other Electriciy Rates'!$L$12</f>
        <v>1656159.9999999998</v>
      </c>
      <c r="H366" s="157">
        <f>'Other Electriciy Rates'!$C$12+'Other Electriciy Rates'!$D$12</f>
        <v>0.0135</v>
      </c>
      <c r="I366" s="158">
        <f>+G366*H366</f>
        <v>22358.159999999996</v>
      </c>
      <c r="J366" s="156">
        <f>C358*'Other Electriciy Rates'!$L$27</f>
        <v>1657905.996682765</v>
      </c>
      <c r="K366" s="157">
        <f>'Other Electriciy Rates'!$C$27+'Other Electriciy Rates'!$D$27</f>
        <v>0.0135</v>
      </c>
      <c r="L366" s="185">
        <f>+J366*K366</f>
        <v>22381.73095521733</v>
      </c>
      <c r="M366" s="186">
        <f t="shared" si="51"/>
        <v>23.570955217332084</v>
      </c>
      <c r="N366" s="187">
        <f t="shared" si="50"/>
        <v>0.0010542439636057747</v>
      </c>
      <c r="O366" s="179">
        <f>L366/L370</f>
        <v>0.12566967177868388</v>
      </c>
      <c r="P366" s="118"/>
    </row>
    <row r="367" spans="2:16" ht="17.25" customHeight="1" thickBot="1">
      <c r="B367" s="125"/>
      <c r="C367" s="31"/>
      <c r="D367" s="31"/>
      <c r="E367" s="31"/>
      <c r="F367" s="150" t="s">
        <v>74</v>
      </c>
      <c r="G367" s="156">
        <f>G366</f>
        <v>1656159.9999999998</v>
      </c>
      <c r="H367" s="157">
        <f>+'Other Electriciy Rates'!$J$12</f>
        <v>0.065</v>
      </c>
      <c r="I367" s="158">
        <f>+G367*H367</f>
        <v>107650.4</v>
      </c>
      <c r="J367" s="156">
        <f>J366</f>
        <v>1657905.996682765</v>
      </c>
      <c r="K367" s="157">
        <f>'Other Electriciy Rates'!$J$27</f>
        <v>0.065</v>
      </c>
      <c r="L367" s="185">
        <f>+J367*K367</f>
        <v>107763.88978437973</v>
      </c>
      <c r="M367" s="186">
        <f t="shared" si="51"/>
        <v>113.4897843797371</v>
      </c>
      <c r="N367" s="187">
        <f t="shared" si="50"/>
        <v>0.001054243963605682</v>
      </c>
      <c r="O367" s="179">
        <f>L367/L370</f>
        <v>0.6050761974529224</v>
      </c>
      <c r="P367" s="118"/>
    </row>
    <row r="368" spans="2:16" ht="17.25" customHeight="1" thickBot="1">
      <c r="B368" s="125"/>
      <c r="C368" s="31"/>
      <c r="D368" s="31"/>
      <c r="E368" s="31"/>
      <c r="F368" s="476" t="s">
        <v>191</v>
      </c>
      <c r="G368" s="676"/>
      <c r="H368" s="677"/>
      <c r="I368" s="477">
        <f>SUM(I365:I367)</f>
        <v>152816.41999999998</v>
      </c>
      <c r="J368" s="676"/>
      <c r="K368" s="677"/>
      <c r="L368" s="477">
        <f>SUM(L365:L367)</f>
        <v>157610.35477335678</v>
      </c>
      <c r="M368" s="477">
        <f t="shared" si="51"/>
        <v>4793.934773356799</v>
      </c>
      <c r="N368" s="481">
        <f t="shared" si="50"/>
        <v>0.03137054757176486</v>
      </c>
      <c r="O368" s="483">
        <f>L368/L370</f>
        <v>0.8849557522123893</v>
      </c>
      <c r="P368" s="118"/>
    </row>
    <row r="369" spans="2:16" ht="17.25" customHeight="1" thickBot="1">
      <c r="B369" s="125"/>
      <c r="C369" s="31"/>
      <c r="D369" s="31"/>
      <c r="E369" s="31"/>
      <c r="F369" s="222" t="s">
        <v>323</v>
      </c>
      <c r="G369" s="223"/>
      <c r="H369" s="227">
        <v>0.13</v>
      </c>
      <c r="I369" s="224">
        <f>I368*H369</f>
        <v>19866.134599999998</v>
      </c>
      <c r="J369" s="223"/>
      <c r="K369" s="227">
        <v>0.13</v>
      </c>
      <c r="L369" s="225">
        <f>L368*K369</f>
        <v>20489.346120536382</v>
      </c>
      <c r="M369" s="183">
        <f t="shared" si="51"/>
        <v>623.2115205363843</v>
      </c>
      <c r="N369" s="184">
        <f t="shared" si="50"/>
        <v>0.03137054757176489</v>
      </c>
      <c r="O369" s="189">
        <f>L369/L370</f>
        <v>0.11504424778761062</v>
      </c>
      <c r="P369" s="118"/>
    </row>
    <row r="370" spans="2:16" ht="17.25" customHeight="1" thickBot="1">
      <c r="B370" s="125"/>
      <c r="C370" s="31"/>
      <c r="D370" s="31"/>
      <c r="E370" s="35"/>
      <c r="F370" s="490" t="s">
        <v>75</v>
      </c>
      <c r="G370" s="676"/>
      <c r="H370" s="677"/>
      <c r="I370" s="477">
        <f>I368+I369</f>
        <v>172682.55459999997</v>
      </c>
      <c r="J370" s="676"/>
      <c r="K370" s="677"/>
      <c r="L370" s="477">
        <f>L368+L369</f>
        <v>178099.70089389317</v>
      </c>
      <c r="M370" s="477">
        <f>M368+M369</f>
        <v>5417.146293893184</v>
      </c>
      <c r="N370" s="481">
        <f t="shared" si="50"/>
        <v>0.03137054757176487</v>
      </c>
      <c r="O370" s="482">
        <f>O368+O369</f>
        <v>0.9999999999999999</v>
      </c>
      <c r="P370" s="118"/>
    </row>
    <row r="371" spans="2:16" ht="17.25" customHeight="1" thickBot="1">
      <c r="B371" s="119"/>
      <c r="C371" s="131"/>
      <c r="D371" s="131"/>
      <c r="E371" s="131"/>
      <c r="F371" s="132"/>
      <c r="G371" s="133"/>
      <c r="H371" s="134"/>
      <c r="I371" s="135"/>
      <c r="J371" s="133"/>
      <c r="K371" s="136"/>
      <c r="L371" s="135"/>
      <c r="M371" s="137"/>
      <c r="N371" s="138"/>
      <c r="O371" s="139"/>
      <c r="P371" s="120"/>
    </row>
    <row r="372" spans="2:16" ht="18" customHeight="1" thickBot="1">
      <c r="B372" s="25"/>
      <c r="C372" s="31"/>
      <c r="D372" s="31"/>
      <c r="E372" s="31"/>
      <c r="F372" s="49"/>
      <c r="G372" s="50"/>
      <c r="H372" s="51"/>
      <c r="I372" s="52"/>
      <c r="J372" s="50"/>
      <c r="K372" s="53"/>
      <c r="L372" s="52"/>
      <c r="M372" s="54"/>
      <c r="N372" s="128"/>
      <c r="O372" s="129"/>
      <c r="P372" s="25"/>
    </row>
    <row r="373" spans="2:16" ht="17.25" customHeight="1">
      <c r="B373" s="127"/>
      <c r="C373" s="684"/>
      <c r="D373" s="684"/>
      <c r="E373" s="684"/>
      <c r="F373" s="684"/>
      <c r="G373" s="684"/>
      <c r="H373" s="684"/>
      <c r="I373" s="684"/>
      <c r="J373" s="684"/>
      <c r="K373" s="684"/>
      <c r="L373" s="684"/>
      <c r="M373" s="684"/>
      <c r="N373" s="684"/>
      <c r="O373" s="684"/>
      <c r="P373" s="117"/>
    </row>
    <row r="374" spans="2:16" ht="23.25">
      <c r="B374" s="125"/>
      <c r="C374" s="683" t="s">
        <v>246</v>
      </c>
      <c r="D374" s="683"/>
      <c r="E374" s="683"/>
      <c r="F374" s="683"/>
      <c r="G374" s="683"/>
      <c r="H374" s="683"/>
      <c r="I374" s="683"/>
      <c r="J374" s="683"/>
      <c r="K374" s="683"/>
      <c r="L374" s="683"/>
      <c r="M374" s="683"/>
      <c r="N374" s="683"/>
      <c r="O374" s="683"/>
      <c r="P374" s="118"/>
    </row>
    <row r="375" spans="2:17" ht="17.25" customHeight="1" thickBot="1">
      <c r="B375" s="125"/>
      <c r="C375" s="685"/>
      <c r="D375" s="685"/>
      <c r="E375" s="685"/>
      <c r="F375" s="685"/>
      <c r="G375" s="685"/>
      <c r="H375" s="685"/>
      <c r="I375" s="685"/>
      <c r="J375" s="685"/>
      <c r="K375" s="685"/>
      <c r="L375" s="685"/>
      <c r="M375" s="685"/>
      <c r="N375" s="685"/>
      <c r="O375" s="685"/>
      <c r="P375" s="118"/>
      <c r="Q375" s="25"/>
    </row>
    <row r="376" spans="2:17" ht="17.25" customHeight="1" thickBot="1">
      <c r="B376" s="125"/>
      <c r="C376" s="126"/>
      <c r="D376" s="126"/>
      <c r="E376" s="31"/>
      <c r="F376" s="32"/>
      <c r="G376" s="678" t="str">
        <f>$G$10</f>
        <v>2010 BILL</v>
      </c>
      <c r="H376" s="679"/>
      <c r="I376" s="680"/>
      <c r="J376" s="678" t="str">
        <f>$J$10</f>
        <v>2011 BILL</v>
      </c>
      <c r="K376" s="679"/>
      <c r="L376" s="680"/>
      <c r="M376" s="678" t="s">
        <v>69</v>
      </c>
      <c r="N376" s="679"/>
      <c r="O376" s="680"/>
      <c r="P376" s="118"/>
      <c r="Q376" s="25"/>
    </row>
    <row r="377" spans="2:17" ht="26.25" thickBot="1">
      <c r="B377" s="125"/>
      <c r="C377" s="31"/>
      <c r="D377" s="31"/>
      <c r="E377" s="33"/>
      <c r="F377" s="34"/>
      <c r="G377" s="285" t="s">
        <v>63</v>
      </c>
      <c r="H377" s="286" t="s">
        <v>64</v>
      </c>
      <c r="I377" s="287" t="s">
        <v>65</v>
      </c>
      <c r="J377" s="288" t="s">
        <v>63</v>
      </c>
      <c r="K377" s="286" t="s">
        <v>64</v>
      </c>
      <c r="L377" s="287" t="s">
        <v>65</v>
      </c>
      <c r="M377" s="145" t="s">
        <v>70</v>
      </c>
      <c r="N377" s="146" t="s">
        <v>71</v>
      </c>
      <c r="O377" s="147" t="s">
        <v>72</v>
      </c>
      <c r="P377" s="118"/>
      <c r="Q377" s="25"/>
    </row>
    <row r="378" spans="2:17" ht="17.25" customHeight="1" thickBot="1">
      <c r="B378" s="125"/>
      <c r="C378" s="681" t="s">
        <v>66</v>
      </c>
      <c r="D378" s="682"/>
      <c r="E378" s="31"/>
      <c r="F378" s="291" t="s">
        <v>67</v>
      </c>
      <c r="G378" s="289"/>
      <c r="H378" s="283"/>
      <c r="I378" s="158">
        <f>+'2010 Existing Rates'!$C$10</f>
        <v>70.9</v>
      </c>
      <c r="J378" s="156"/>
      <c r="K378" s="284"/>
      <c r="L378" s="185">
        <f>+'Rate Schedule (Part 1)'!$E$28</f>
        <v>88.37</v>
      </c>
      <c r="M378" s="186">
        <f aca="true" t="shared" si="52" ref="M378:M383">+L378-I378</f>
        <v>17.47</v>
      </c>
      <c r="N378" s="187">
        <f>+M378/I378</f>
        <v>0.24640338504936526</v>
      </c>
      <c r="O378" s="179">
        <f>L378/L391</f>
        <v>0.00033670088280934407</v>
      </c>
      <c r="P378" s="118"/>
      <c r="Q378" s="25"/>
    </row>
    <row r="379" spans="2:17" ht="17.25" customHeight="1" thickBot="1">
      <c r="B379" s="125"/>
      <c r="C379" s="123">
        <v>2400000</v>
      </c>
      <c r="D379" s="124" t="s">
        <v>15</v>
      </c>
      <c r="E379" s="31"/>
      <c r="F379" s="292" t="s">
        <v>78</v>
      </c>
      <c r="G379" s="290">
        <f>+C380</f>
        <v>5400</v>
      </c>
      <c r="H379" s="149">
        <f>'2010 Existing Rates'!$D$60</f>
        <v>2.3658</v>
      </c>
      <c r="I379" s="164">
        <f>+G379*H379</f>
        <v>12775.320000000002</v>
      </c>
      <c r="J379" s="155">
        <f>G379</f>
        <v>5400</v>
      </c>
      <c r="K379" s="148">
        <f>'Rate Schedule (Part 1)'!$E$29</f>
        <v>2.9288</v>
      </c>
      <c r="L379" s="168">
        <f>+J379*K379</f>
        <v>15815.519999999999</v>
      </c>
      <c r="M379" s="186">
        <f t="shared" si="52"/>
        <v>3040.199999999997</v>
      </c>
      <c r="N379" s="187">
        <f>+M379/I379</f>
        <v>0.2379744695240508</v>
      </c>
      <c r="O379" s="179">
        <f>L379/L391</f>
        <v>0.06025913257993479</v>
      </c>
      <c r="P379" s="118"/>
      <c r="Q379" s="25"/>
    </row>
    <row r="380" spans="2:16" ht="17.25" customHeight="1" thickBot="1">
      <c r="B380" s="125"/>
      <c r="C380" s="123">
        <v>5400</v>
      </c>
      <c r="D380" s="124" t="s">
        <v>16</v>
      </c>
      <c r="E380" s="31"/>
      <c r="F380" s="292" t="s">
        <v>237</v>
      </c>
      <c r="G380" s="246">
        <f>G379</f>
        <v>5400</v>
      </c>
      <c r="H380" s="293">
        <f>'2010 Existing Rates'!$D$35</f>
        <v>0.1135</v>
      </c>
      <c r="I380" s="164">
        <f>+G380*H380</f>
        <v>612.9</v>
      </c>
      <c r="J380" s="155">
        <f>+C380</f>
        <v>5400</v>
      </c>
      <c r="K380" s="148">
        <f>'Rate Schedule (Part 1)'!$E$30</f>
        <v>0.0821</v>
      </c>
      <c r="L380" s="168">
        <f>+J380*K380</f>
        <v>443.34000000000003</v>
      </c>
      <c r="M380" s="186">
        <f t="shared" si="52"/>
        <v>-169.55999999999995</v>
      </c>
      <c r="N380" s="187">
        <f>+M380/I380</f>
        <v>-0.2766519823788545</v>
      </c>
      <c r="O380" s="179">
        <f>L380/L391</f>
        <v>0.0016891815025992375</v>
      </c>
      <c r="P380" s="118"/>
    </row>
    <row r="381" spans="2:16" ht="17.25" customHeight="1">
      <c r="B381" s="125"/>
      <c r="C381" s="271"/>
      <c r="D381" s="282"/>
      <c r="E381" s="31"/>
      <c r="F381" s="152" t="s">
        <v>166</v>
      </c>
      <c r="G381" s="174"/>
      <c r="H381" s="173"/>
      <c r="I381" s="164">
        <f>'2010 Existing Rates'!$B$46</f>
        <v>2.16</v>
      </c>
      <c r="J381" s="174"/>
      <c r="K381" s="173"/>
      <c r="L381" s="164">
        <f>'2010 Existing Rates'!$B$46</f>
        <v>2.16</v>
      </c>
      <c r="M381" s="186">
        <f t="shared" si="52"/>
        <v>0</v>
      </c>
      <c r="N381" s="187">
        <f>+M381/I381</f>
        <v>0</v>
      </c>
      <c r="O381" s="179">
        <f>L381/L391</f>
        <v>8.229873337876918E-06</v>
      </c>
      <c r="P381" s="118"/>
    </row>
    <row r="382" spans="2:16" ht="17.25" customHeight="1">
      <c r="B382" s="125"/>
      <c r="C382" s="62"/>
      <c r="D382" s="63"/>
      <c r="E382" s="31"/>
      <c r="F382" s="152" t="s">
        <v>238</v>
      </c>
      <c r="G382" s="155">
        <f>G380</f>
        <v>5400</v>
      </c>
      <c r="H382" s="149"/>
      <c r="I382" s="164">
        <f>+G382*H382</f>
        <v>0</v>
      </c>
      <c r="J382" s="155">
        <f>G382</f>
        <v>5400</v>
      </c>
      <c r="K382" s="148">
        <f>'Rate Schedule (Part 1)'!$E$31</f>
        <v>0</v>
      </c>
      <c r="L382" s="168">
        <f>+J382*K382</f>
        <v>0</v>
      </c>
      <c r="M382" s="186">
        <f t="shared" si="52"/>
        <v>0</v>
      </c>
      <c r="N382" s="187">
        <v>0</v>
      </c>
      <c r="O382" s="179">
        <f>L382/L391</f>
        <v>0</v>
      </c>
      <c r="P382" s="118"/>
    </row>
    <row r="383" spans="2:16" ht="17.25" customHeight="1" thickBot="1">
      <c r="B383" s="125"/>
      <c r="C383" s="31"/>
      <c r="D383" s="31"/>
      <c r="E383" s="31"/>
      <c r="F383" s="153" t="s">
        <v>239</v>
      </c>
      <c r="G383" s="155">
        <f>+C380</f>
        <v>5400</v>
      </c>
      <c r="H383" s="149">
        <f>'2010 Existing Rates'!$D$23</f>
        <v>-1.1644</v>
      </c>
      <c r="I383" s="168">
        <f>+G383*H383</f>
        <v>-6287.76</v>
      </c>
      <c r="J383" s="155">
        <f>+C380</f>
        <v>5400</v>
      </c>
      <c r="K383" s="148">
        <f>'Rate Schedule (Part 1)'!$E$33</f>
        <v>-0.34053261641201166</v>
      </c>
      <c r="L383" s="168">
        <f>+J383*K383</f>
        <v>-1838.876128624863</v>
      </c>
      <c r="M383" s="186">
        <f t="shared" si="52"/>
        <v>4448.8838713751375</v>
      </c>
      <c r="N383" s="187">
        <f aca="true" t="shared" si="53" ref="N383:N391">+M383/I383</f>
        <v>-0.7075467052456101</v>
      </c>
      <c r="O383" s="179">
        <f>L383/L391</f>
        <v>-0.007006350751216706</v>
      </c>
      <c r="P383" s="118"/>
    </row>
    <row r="384" spans="2:16" ht="17.25" customHeight="1" thickBot="1">
      <c r="B384" s="125"/>
      <c r="C384" s="31"/>
      <c r="D384" s="31"/>
      <c r="E384" s="31"/>
      <c r="F384" s="476" t="s">
        <v>234</v>
      </c>
      <c r="G384" s="676"/>
      <c r="H384" s="677"/>
      <c r="I384" s="477">
        <f>SUM(I378:I383)</f>
        <v>7173.52</v>
      </c>
      <c r="J384" s="676"/>
      <c r="K384" s="677"/>
      <c r="L384" s="477">
        <f>SUM(L378:L383)</f>
        <v>14510.513871375137</v>
      </c>
      <c r="M384" s="480">
        <f>SUM(M378:M383)</f>
        <v>7336.993871375134</v>
      </c>
      <c r="N384" s="481">
        <f t="shared" si="53"/>
        <v>1.0227885154533805</v>
      </c>
      <c r="O384" s="482">
        <f>SUM(O378:O383)</f>
        <v>0.05528689408746454</v>
      </c>
      <c r="P384" s="118"/>
    </row>
    <row r="385" spans="2:16" ht="17.25" customHeight="1" thickBot="1">
      <c r="B385" s="125"/>
      <c r="C385" s="31"/>
      <c r="D385" s="31"/>
      <c r="E385" s="31"/>
      <c r="F385" s="152" t="s">
        <v>240</v>
      </c>
      <c r="G385" s="273">
        <f>C380</f>
        <v>5400</v>
      </c>
      <c r="H385" s="274">
        <f>'Other Electriciy Rates'!$F$12</f>
        <v>4.3688</v>
      </c>
      <c r="I385" s="164">
        <f>+G385*H385</f>
        <v>23591.52</v>
      </c>
      <c r="J385" s="273">
        <f>C380</f>
        <v>5400</v>
      </c>
      <c r="K385" s="274">
        <f>'Other Electriciy Rates'!$F$27</f>
        <v>4.173183624851943</v>
      </c>
      <c r="L385" s="164">
        <f>+J385*K385</f>
        <v>22535.191574200493</v>
      </c>
      <c r="M385" s="275">
        <f aca="true" t="shared" si="54" ref="M385:M390">+L385-I385</f>
        <v>-1056.3284257995074</v>
      </c>
      <c r="N385" s="176">
        <f t="shared" si="53"/>
        <v>-0.04477576797932085</v>
      </c>
      <c r="O385" s="179">
        <f>L385/L391</f>
        <v>0.08586193162058389</v>
      </c>
      <c r="P385" s="118"/>
    </row>
    <row r="386" spans="2:16" ht="17.25" customHeight="1" thickBot="1">
      <c r="B386" s="125"/>
      <c r="C386" s="31"/>
      <c r="D386" s="31"/>
      <c r="E386" s="31"/>
      <c r="F386" s="476" t="s">
        <v>236</v>
      </c>
      <c r="G386" s="676"/>
      <c r="H386" s="677"/>
      <c r="I386" s="477">
        <f>I384+I385</f>
        <v>30765.04</v>
      </c>
      <c r="J386" s="676"/>
      <c r="K386" s="677"/>
      <c r="L386" s="477">
        <f>L384+L385</f>
        <v>37045.70544557563</v>
      </c>
      <c r="M386" s="480">
        <f t="shared" si="54"/>
        <v>6280.665445575629</v>
      </c>
      <c r="N386" s="481">
        <f t="shared" si="53"/>
        <v>0.20414943213386455</v>
      </c>
      <c r="O386" s="483">
        <f>L386/L391</f>
        <v>0.14114882570804843</v>
      </c>
      <c r="P386" s="118"/>
    </row>
    <row r="387" spans="2:16" ht="17.25" customHeight="1">
      <c r="B387" s="125"/>
      <c r="C387" s="31"/>
      <c r="D387" s="31"/>
      <c r="E387" s="31"/>
      <c r="F387" s="150" t="s">
        <v>73</v>
      </c>
      <c r="G387" s="156">
        <f>C379*'Other Electriciy Rates'!$L$12</f>
        <v>2484240</v>
      </c>
      <c r="H387" s="157">
        <f>'Other Electriciy Rates'!$C$12+'Other Electriciy Rates'!$D$12</f>
        <v>0.0135</v>
      </c>
      <c r="I387" s="158">
        <f>+G387*H387</f>
        <v>33537.24</v>
      </c>
      <c r="J387" s="156">
        <f>C379*'Other Electriciy Rates'!$L$27</f>
        <v>2486858.9950241474</v>
      </c>
      <c r="K387" s="157">
        <f>'Other Electriciy Rates'!$C$27+'Other Electriciy Rates'!$D$27</f>
        <v>0.0135</v>
      </c>
      <c r="L387" s="185">
        <f>+J387*K387</f>
        <v>33572.59643282599</v>
      </c>
      <c r="M387" s="186">
        <f t="shared" si="54"/>
        <v>35.35643282598903</v>
      </c>
      <c r="N387" s="187">
        <f t="shared" si="53"/>
        <v>0.0010542439636055034</v>
      </c>
      <c r="O387" s="179">
        <f>L387/L391</f>
        <v>0.12791584086380384</v>
      </c>
      <c r="P387" s="118"/>
    </row>
    <row r="388" spans="2:16" ht="17.25" customHeight="1" thickBot="1">
      <c r="B388" s="125"/>
      <c r="C388" s="31"/>
      <c r="D388" s="31"/>
      <c r="E388" s="31"/>
      <c r="F388" s="150" t="s">
        <v>74</v>
      </c>
      <c r="G388" s="156">
        <f>G387</f>
        <v>2484240</v>
      </c>
      <c r="H388" s="157">
        <f>+'Other Electriciy Rates'!$J$12</f>
        <v>0.065</v>
      </c>
      <c r="I388" s="158">
        <f>+G388*H388</f>
        <v>161475.6</v>
      </c>
      <c r="J388" s="156">
        <f>J387</f>
        <v>2486858.9950241474</v>
      </c>
      <c r="K388" s="157">
        <f>'Other Electriciy Rates'!$J$27</f>
        <v>0.065</v>
      </c>
      <c r="L388" s="185">
        <f>+J388*K388</f>
        <v>161645.8346765696</v>
      </c>
      <c r="M388" s="186">
        <f t="shared" si="54"/>
        <v>170.23467656958383</v>
      </c>
      <c r="N388" s="187">
        <f t="shared" si="53"/>
        <v>0.0010542439636055468</v>
      </c>
      <c r="O388" s="179">
        <f>L388/L391</f>
        <v>0.6158910856405371</v>
      </c>
      <c r="P388" s="118"/>
    </row>
    <row r="389" spans="2:16" ht="17.25" customHeight="1" thickBot="1">
      <c r="B389" s="125"/>
      <c r="C389" s="31"/>
      <c r="D389" s="31"/>
      <c r="E389" s="31"/>
      <c r="F389" s="476" t="s">
        <v>191</v>
      </c>
      <c r="G389" s="676"/>
      <c r="H389" s="677"/>
      <c r="I389" s="477">
        <f>SUM(I386:I388)</f>
        <v>225777.88</v>
      </c>
      <c r="J389" s="676"/>
      <c r="K389" s="677"/>
      <c r="L389" s="477">
        <f>SUM(L386:L388)</f>
        <v>232264.13655497122</v>
      </c>
      <c r="M389" s="477">
        <f t="shared" si="54"/>
        <v>6486.256554971216</v>
      </c>
      <c r="N389" s="481">
        <f t="shared" si="53"/>
        <v>0.028728485514042456</v>
      </c>
      <c r="O389" s="483">
        <f>L389/L391</f>
        <v>0.8849557522123894</v>
      </c>
      <c r="P389" s="118"/>
    </row>
    <row r="390" spans="2:16" ht="17.25" customHeight="1" thickBot="1">
      <c r="B390" s="125"/>
      <c r="C390" s="31"/>
      <c r="D390" s="31"/>
      <c r="E390" s="31"/>
      <c r="F390" s="222" t="s">
        <v>323</v>
      </c>
      <c r="G390" s="223"/>
      <c r="H390" s="227">
        <v>0.13</v>
      </c>
      <c r="I390" s="224">
        <f>I389*H390</f>
        <v>29351.1244</v>
      </c>
      <c r="J390" s="223"/>
      <c r="K390" s="227">
        <v>0.13</v>
      </c>
      <c r="L390" s="225">
        <f>L389*K390</f>
        <v>30194.33775214626</v>
      </c>
      <c r="M390" s="183">
        <f t="shared" si="54"/>
        <v>843.2133521462601</v>
      </c>
      <c r="N390" s="184">
        <f t="shared" si="53"/>
        <v>0.028728485514042525</v>
      </c>
      <c r="O390" s="189">
        <f>L390/L391</f>
        <v>0.11504424778761063</v>
      </c>
      <c r="P390" s="118"/>
    </row>
    <row r="391" spans="2:16" ht="17.25" customHeight="1" thickBot="1">
      <c r="B391" s="125"/>
      <c r="C391" s="31"/>
      <c r="D391" s="31"/>
      <c r="E391" s="35"/>
      <c r="F391" s="490" t="s">
        <v>75</v>
      </c>
      <c r="G391" s="676"/>
      <c r="H391" s="677"/>
      <c r="I391" s="477">
        <f>I389+I390</f>
        <v>255129.0044</v>
      </c>
      <c r="J391" s="676"/>
      <c r="K391" s="677"/>
      <c r="L391" s="477">
        <f>L389+L390</f>
        <v>262458.47430711746</v>
      </c>
      <c r="M391" s="477">
        <f>M389+M390</f>
        <v>7329.469907117476</v>
      </c>
      <c r="N391" s="481">
        <f t="shared" si="53"/>
        <v>0.028728485514042466</v>
      </c>
      <c r="O391" s="482">
        <f>O389+O390</f>
        <v>1</v>
      </c>
      <c r="P391" s="118"/>
    </row>
    <row r="392" spans="2:16" ht="17.25" customHeight="1" thickBot="1">
      <c r="B392" s="119"/>
      <c r="C392" s="131"/>
      <c r="D392" s="131"/>
      <c r="E392" s="131"/>
      <c r="F392" s="132"/>
      <c r="G392" s="133"/>
      <c r="H392" s="134"/>
      <c r="I392" s="135"/>
      <c r="J392" s="133"/>
      <c r="K392" s="136"/>
      <c r="L392" s="135"/>
      <c r="M392" s="137"/>
      <c r="N392" s="138"/>
      <c r="O392" s="139"/>
      <c r="P392" s="120"/>
    </row>
    <row r="393" spans="2:16" ht="17.25" customHeight="1" thickBot="1">
      <c r="B393" s="25"/>
      <c r="C393" s="31"/>
      <c r="D393" s="31"/>
      <c r="E393" s="31"/>
      <c r="F393" s="49"/>
      <c r="G393" s="50"/>
      <c r="H393" s="51"/>
      <c r="I393" s="52"/>
      <c r="J393" s="50"/>
      <c r="K393" s="53"/>
      <c r="L393" s="52"/>
      <c r="M393" s="54"/>
      <c r="N393" s="128"/>
      <c r="O393" s="129"/>
      <c r="P393" s="25"/>
    </row>
    <row r="394" spans="2:16" ht="17.25" customHeight="1">
      <c r="B394" s="127"/>
      <c r="C394" s="684"/>
      <c r="D394" s="684"/>
      <c r="E394" s="684"/>
      <c r="F394" s="684"/>
      <c r="G394" s="684"/>
      <c r="H394" s="684"/>
      <c r="I394" s="684"/>
      <c r="J394" s="684"/>
      <c r="K394" s="684"/>
      <c r="L394" s="684"/>
      <c r="M394" s="684"/>
      <c r="N394" s="684"/>
      <c r="O394" s="684"/>
      <c r="P394" s="117"/>
    </row>
    <row r="395" spans="2:16" ht="23.25">
      <c r="B395" s="125"/>
      <c r="C395" s="683" t="s">
        <v>247</v>
      </c>
      <c r="D395" s="683"/>
      <c r="E395" s="683"/>
      <c r="F395" s="683"/>
      <c r="G395" s="683"/>
      <c r="H395" s="683"/>
      <c r="I395" s="683"/>
      <c r="J395" s="683"/>
      <c r="K395" s="683"/>
      <c r="L395" s="683"/>
      <c r="M395" s="683"/>
      <c r="N395" s="683"/>
      <c r="O395" s="683"/>
      <c r="P395" s="118"/>
    </row>
    <row r="396" spans="2:16" ht="17.25" customHeight="1" thickBot="1">
      <c r="B396" s="125"/>
      <c r="C396" s="685"/>
      <c r="D396" s="685"/>
      <c r="E396" s="685"/>
      <c r="F396" s="685"/>
      <c r="G396" s="685"/>
      <c r="H396" s="685"/>
      <c r="I396" s="685"/>
      <c r="J396" s="685"/>
      <c r="K396" s="685"/>
      <c r="L396" s="685"/>
      <c r="M396" s="685"/>
      <c r="N396" s="685"/>
      <c r="O396" s="685"/>
      <c r="P396" s="118"/>
    </row>
    <row r="397" spans="2:16" ht="17.25" customHeight="1" thickBot="1">
      <c r="B397" s="125"/>
      <c r="C397" s="126"/>
      <c r="D397" s="126"/>
      <c r="E397" s="31"/>
      <c r="F397" s="32"/>
      <c r="G397" s="678" t="str">
        <f>$G$10</f>
        <v>2010 BILL</v>
      </c>
      <c r="H397" s="679"/>
      <c r="I397" s="680"/>
      <c r="J397" s="678" t="str">
        <f>$J$10</f>
        <v>2011 BILL</v>
      </c>
      <c r="K397" s="679"/>
      <c r="L397" s="680"/>
      <c r="M397" s="678" t="s">
        <v>69</v>
      </c>
      <c r="N397" s="679"/>
      <c r="O397" s="680"/>
      <c r="P397" s="118"/>
    </row>
    <row r="398" spans="2:16" ht="17.25" customHeight="1" thickBot="1">
      <c r="B398" s="125"/>
      <c r="C398" s="31"/>
      <c r="D398" s="31"/>
      <c r="E398" s="33"/>
      <c r="F398" s="34"/>
      <c r="G398" s="285" t="s">
        <v>63</v>
      </c>
      <c r="H398" s="286" t="s">
        <v>64</v>
      </c>
      <c r="I398" s="287" t="s">
        <v>65</v>
      </c>
      <c r="J398" s="288" t="s">
        <v>63</v>
      </c>
      <c r="K398" s="286" t="s">
        <v>64</v>
      </c>
      <c r="L398" s="287" t="s">
        <v>65</v>
      </c>
      <c r="M398" s="145" t="s">
        <v>70</v>
      </c>
      <c r="N398" s="146" t="s">
        <v>71</v>
      </c>
      <c r="O398" s="147" t="s">
        <v>72</v>
      </c>
      <c r="P398" s="118"/>
    </row>
    <row r="399" spans="2:17" ht="17.25" customHeight="1" thickBot="1">
      <c r="B399" s="125"/>
      <c r="C399" s="681" t="s">
        <v>66</v>
      </c>
      <c r="D399" s="682"/>
      <c r="E399" s="31"/>
      <c r="F399" s="291" t="s">
        <v>67</v>
      </c>
      <c r="G399" s="289"/>
      <c r="H399" s="283"/>
      <c r="I399" s="158">
        <f>+'2010 Existing Rates'!$C$11</f>
        <v>926.33</v>
      </c>
      <c r="J399" s="156"/>
      <c r="K399" s="284"/>
      <c r="L399" s="185">
        <f>+'Rate Schedule (Part 1)'!$E$36</f>
        <v>1008.02</v>
      </c>
      <c r="M399" s="186">
        <f aca="true" t="shared" si="55" ref="M399:M404">+L399-I399</f>
        <v>81.68999999999994</v>
      </c>
      <c r="N399" s="187">
        <f aca="true" t="shared" si="56" ref="N399:N407">+M399/I399</f>
        <v>0.08818671531743541</v>
      </c>
      <c r="O399" s="179">
        <f>L399/L412</f>
        <v>0.2307958070695797</v>
      </c>
      <c r="P399" s="281"/>
      <c r="Q399" s="25"/>
    </row>
    <row r="400" spans="2:16" ht="17.25" customHeight="1" thickBot="1">
      <c r="B400" s="125"/>
      <c r="C400" s="123">
        <v>30000</v>
      </c>
      <c r="D400" s="124" t="s">
        <v>15</v>
      </c>
      <c r="E400" s="31"/>
      <c r="F400" s="292" t="s">
        <v>78</v>
      </c>
      <c r="G400" s="290">
        <f>+C401</f>
        <v>60</v>
      </c>
      <c r="H400" s="149">
        <f>'2010 Existing Rates'!$D$61</f>
        <v>2.9296</v>
      </c>
      <c r="I400" s="164">
        <f>+G400*H400</f>
        <v>175.776</v>
      </c>
      <c r="J400" s="155">
        <f>G400</f>
        <v>60</v>
      </c>
      <c r="K400" s="148">
        <f>'Rate Schedule (Part 1)'!$E$37</f>
        <v>3.1373</v>
      </c>
      <c r="L400" s="168">
        <f>+J400*K400</f>
        <v>188.238</v>
      </c>
      <c r="M400" s="186">
        <f t="shared" si="55"/>
        <v>12.461999999999989</v>
      </c>
      <c r="N400" s="187">
        <f t="shared" si="56"/>
        <v>0.07089705079191692</v>
      </c>
      <c r="O400" s="179">
        <f>L400/L412</f>
        <v>0.04309888804901048</v>
      </c>
      <c r="P400" s="118"/>
    </row>
    <row r="401" spans="2:16" ht="17.25" customHeight="1" thickBot="1">
      <c r="B401" s="125"/>
      <c r="C401" s="123">
        <v>60</v>
      </c>
      <c r="D401" s="124" t="s">
        <v>16</v>
      </c>
      <c r="E401" s="31"/>
      <c r="F401" s="292" t="s">
        <v>237</v>
      </c>
      <c r="G401" s="246">
        <f>G400</f>
        <v>60</v>
      </c>
      <c r="H401" s="293">
        <f>'2010 Existing Rates'!$D$36</f>
        <v>0.1116</v>
      </c>
      <c r="I401" s="164">
        <f>+G401*H401</f>
        <v>6.696000000000001</v>
      </c>
      <c r="J401" s="155">
        <f>+C401</f>
        <v>60</v>
      </c>
      <c r="K401" s="148">
        <f>'Rate Schedule (Part 1)'!$E$38</f>
        <v>0.0808</v>
      </c>
      <c r="L401" s="168">
        <f>+J401*K401</f>
        <v>4.848</v>
      </c>
      <c r="M401" s="186">
        <f t="shared" si="55"/>
        <v>-1.8480000000000008</v>
      </c>
      <c r="N401" s="187">
        <f t="shared" si="56"/>
        <v>-0.2759856630824374</v>
      </c>
      <c r="O401" s="179">
        <f>L401/L412</f>
        <v>0.001109995905511123</v>
      </c>
      <c r="P401" s="118"/>
    </row>
    <row r="402" spans="2:16" ht="17.25" customHeight="1">
      <c r="B402" s="125"/>
      <c r="C402" s="271"/>
      <c r="D402" s="282"/>
      <c r="E402" s="31"/>
      <c r="F402" s="152" t="s">
        <v>166</v>
      </c>
      <c r="G402" s="174"/>
      <c r="H402" s="173"/>
      <c r="I402" s="164">
        <f>'2010 Existing Rates'!$B$47</f>
        <v>2.16</v>
      </c>
      <c r="J402" s="174"/>
      <c r="K402" s="173"/>
      <c r="L402" s="164">
        <f>'2010 Existing Rates'!$B$47</f>
        <v>2.16</v>
      </c>
      <c r="M402" s="186">
        <f t="shared" si="55"/>
        <v>0</v>
      </c>
      <c r="N402" s="187">
        <f t="shared" si="56"/>
        <v>0</v>
      </c>
      <c r="O402" s="179">
        <f>L402/L412</f>
        <v>0.0004945526311683222</v>
      </c>
      <c r="P402" s="118"/>
    </row>
    <row r="403" spans="2:16" ht="17.25" customHeight="1">
      <c r="B403" s="125"/>
      <c r="C403" s="62"/>
      <c r="D403" s="63"/>
      <c r="E403" s="31"/>
      <c r="F403" s="152" t="s">
        <v>238</v>
      </c>
      <c r="G403" s="155">
        <f>G401</f>
        <v>60</v>
      </c>
      <c r="H403" s="149"/>
      <c r="I403" s="164">
        <f>+G403*H403</f>
        <v>0</v>
      </c>
      <c r="J403" s="155">
        <f>G403</f>
        <v>60</v>
      </c>
      <c r="K403" s="148">
        <f>'Rate Schedule (Part 1)'!$E$39</f>
        <v>0</v>
      </c>
      <c r="L403" s="168">
        <f>+J403*K403</f>
        <v>0</v>
      </c>
      <c r="M403" s="186">
        <f t="shared" si="55"/>
        <v>0</v>
      </c>
      <c r="N403" s="187">
        <v>0</v>
      </c>
      <c r="O403" s="179">
        <f>L403/L412</f>
        <v>0</v>
      </c>
      <c r="P403" s="118"/>
    </row>
    <row r="404" spans="2:16" ht="17.25" customHeight="1" thickBot="1">
      <c r="B404" s="125"/>
      <c r="C404" s="31"/>
      <c r="D404" s="31"/>
      <c r="E404" s="31"/>
      <c r="F404" s="153" t="s">
        <v>239</v>
      </c>
      <c r="G404" s="155">
        <f>+C401</f>
        <v>60</v>
      </c>
      <c r="H404" s="149">
        <f>'2010 Existing Rates'!$D$24</f>
        <v>-1.4024</v>
      </c>
      <c r="I404" s="168">
        <f>+G404*H404</f>
        <v>-84.144</v>
      </c>
      <c r="J404" s="155">
        <f>+C401</f>
        <v>60</v>
      </c>
      <c r="K404" s="148">
        <f>'Rate Schedule (Part 1)'!$E$41</f>
        <v>-0.41100197330267557</v>
      </c>
      <c r="L404" s="168">
        <f>+J404*K404</f>
        <v>-24.660118398160535</v>
      </c>
      <c r="M404" s="186">
        <f t="shared" si="55"/>
        <v>59.48388160183947</v>
      </c>
      <c r="N404" s="187">
        <f t="shared" si="56"/>
        <v>-0.7069295683808645</v>
      </c>
      <c r="O404" s="179">
        <f>L404/L412</f>
        <v>-0.0056461696475614085</v>
      </c>
      <c r="P404" s="118"/>
    </row>
    <row r="405" spans="2:16" ht="17.25" customHeight="1" thickBot="1">
      <c r="B405" s="125"/>
      <c r="C405" s="31"/>
      <c r="D405" s="31"/>
      <c r="E405" s="31"/>
      <c r="F405" s="476" t="s">
        <v>234</v>
      </c>
      <c r="G405" s="676"/>
      <c r="H405" s="677"/>
      <c r="I405" s="477">
        <f>SUM(I399:I404)</f>
        <v>1026.818</v>
      </c>
      <c r="J405" s="676"/>
      <c r="K405" s="677"/>
      <c r="L405" s="477">
        <f>SUM(L399:L404)</f>
        <v>1178.6058816018394</v>
      </c>
      <c r="M405" s="480">
        <f>SUM(M399:M404)</f>
        <v>151.7878816018394</v>
      </c>
      <c r="N405" s="481">
        <f t="shared" si="56"/>
        <v>0.14782354964739552</v>
      </c>
      <c r="O405" s="482">
        <f>SUM(O399:O404)</f>
        <v>0.2698530740077082</v>
      </c>
      <c r="P405" s="118"/>
    </row>
    <row r="406" spans="2:16" ht="17.25" customHeight="1" thickBot="1">
      <c r="B406" s="125"/>
      <c r="C406" s="31"/>
      <c r="D406" s="31"/>
      <c r="E406" s="31"/>
      <c r="F406" s="152" t="s">
        <v>240</v>
      </c>
      <c r="G406" s="273">
        <f>C401</f>
        <v>60</v>
      </c>
      <c r="H406" s="274">
        <f>'Other Electriciy Rates'!$F$13</f>
        <v>4.2971</v>
      </c>
      <c r="I406" s="164">
        <f>+G406*H406</f>
        <v>257.826</v>
      </c>
      <c r="J406" s="273">
        <f>C401</f>
        <v>60</v>
      </c>
      <c r="K406" s="274">
        <f>'Other Electriciy Rates'!$F$28</f>
        <v>4.104700483312957</v>
      </c>
      <c r="L406" s="164">
        <f>+J406*K406</f>
        <v>246.28202899877743</v>
      </c>
      <c r="M406" s="275">
        <f aca="true" t="shared" si="57" ref="M406:M412">+L406-I406</f>
        <v>-11.543971001222587</v>
      </c>
      <c r="N406" s="176">
        <f t="shared" si="56"/>
        <v>-0.044774270249015174</v>
      </c>
      <c r="O406" s="179">
        <f>L406/L412</f>
        <v>0.056388622893897414</v>
      </c>
      <c r="P406" s="118"/>
    </row>
    <row r="407" spans="2:16" ht="17.25" customHeight="1" thickBot="1">
      <c r="B407" s="125"/>
      <c r="C407" s="31"/>
      <c r="D407" s="31"/>
      <c r="E407" s="31"/>
      <c r="F407" s="476" t="s">
        <v>236</v>
      </c>
      <c r="G407" s="676"/>
      <c r="H407" s="677"/>
      <c r="I407" s="477">
        <f>I405+I406</f>
        <v>1284.644</v>
      </c>
      <c r="J407" s="676"/>
      <c r="K407" s="677"/>
      <c r="L407" s="477">
        <f>L405+L406</f>
        <v>1424.8879106006168</v>
      </c>
      <c r="M407" s="480">
        <f t="shared" si="57"/>
        <v>140.2439106006168</v>
      </c>
      <c r="N407" s="481">
        <f t="shared" si="56"/>
        <v>0.10916947465649378</v>
      </c>
      <c r="O407" s="483">
        <f>L407/L412</f>
        <v>0.3262416969016056</v>
      </c>
      <c r="P407" s="118"/>
    </row>
    <row r="408" spans="2:16" ht="17.25" customHeight="1">
      <c r="B408" s="125"/>
      <c r="C408" s="31"/>
      <c r="D408" s="31"/>
      <c r="E408" s="31"/>
      <c r="F408" s="150" t="s">
        <v>73</v>
      </c>
      <c r="G408" s="156">
        <f>C400*'Other Electriciy Rates'!$L$13</f>
        <v>31052.999999999996</v>
      </c>
      <c r="H408" s="157">
        <f>'Other Electriciy Rates'!$C$13+'Other Electriciy Rates'!$D$13</f>
        <v>0.0135</v>
      </c>
      <c r="I408" s="158">
        <f>+G408*H408</f>
        <v>419.21549999999996</v>
      </c>
      <c r="J408" s="156">
        <f>C400*'Other Electriciy Rates'!$L$28</f>
        <v>31085.737437801843</v>
      </c>
      <c r="K408" s="157">
        <f>'Other Electriciy Rates'!$C$28+'Other Electriciy Rates'!$D$28</f>
        <v>0.0135</v>
      </c>
      <c r="L408" s="185">
        <f>+J408*K408</f>
        <v>419.65745541032487</v>
      </c>
      <c r="M408" s="186">
        <f t="shared" si="57"/>
        <v>0.44195541032490837</v>
      </c>
      <c r="N408" s="187">
        <f>+M408/I408</f>
        <v>0.001054243963605612</v>
      </c>
      <c r="O408" s="179">
        <f>L408/L412</f>
        <v>0.09608458276045324</v>
      </c>
      <c r="P408" s="118"/>
    </row>
    <row r="409" spans="2:16" ht="17.25" customHeight="1" thickBot="1">
      <c r="B409" s="125"/>
      <c r="C409" s="31"/>
      <c r="D409" s="31"/>
      <c r="E409" s="31"/>
      <c r="F409" s="150" t="s">
        <v>74</v>
      </c>
      <c r="G409" s="156">
        <f>G408</f>
        <v>31052.999999999996</v>
      </c>
      <c r="H409" s="157">
        <f>+'Other Electriciy Rates'!$J$13</f>
        <v>0.065</v>
      </c>
      <c r="I409" s="158">
        <f>+G409*H409</f>
        <v>2018.445</v>
      </c>
      <c r="J409" s="156">
        <f>J408</f>
        <v>31085.737437801843</v>
      </c>
      <c r="K409" s="157">
        <f>'Other Electriciy Rates'!$J$28</f>
        <v>0.065</v>
      </c>
      <c r="L409" s="185">
        <f>+J409*K409</f>
        <v>2020.57293345712</v>
      </c>
      <c r="M409" s="186">
        <f t="shared" si="57"/>
        <v>2.1279334571199797</v>
      </c>
      <c r="N409" s="187">
        <f>+M409/I409</f>
        <v>0.001054243963605637</v>
      </c>
      <c r="O409" s="179">
        <f>L409/L412</f>
        <v>0.4626294725503305</v>
      </c>
      <c r="P409" s="118"/>
    </row>
    <row r="410" spans="2:16" ht="17.25" customHeight="1" thickBot="1">
      <c r="B410" s="125"/>
      <c r="C410" s="31"/>
      <c r="D410" s="31"/>
      <c r="E410" s="31"/>
      <c r="F410" s="476" t="s">
        <v>191</v>
      </c>
      <c r="G410" s="676"/>
      <c r="H410" s="677"/>
      <c r="I410" s="477">
        <f>SUM(I407:I409)</f>
        <v>3722.3045</v>
      </c>
      <c r="J410" s="676"/>
      <c r="K410" s="677"/>
      <c r="L410" s="477">
        <f>SUM(L407:L409)</f>
        <v>3865.1182994680617</v>
      </c>
      <c r="M410" s="477">
        <f t="shared" si="57"/>
        <v>142.81379946806146</v>
      </c>
      <c r="N410" s="481">
        <f>+M410/I410</f>
        <v>0.038367038340915274</v>
      </c>
      <c r="O410" s="483">
        <f>L410/L412</f>
        <v>0.8849557522123893</v>
      </c>
      <c r="P410" s="118"/>
    </row>
    <row r="411" spans="2:16" ht="17.25" customHeight="1" thickBot="1">
      <c r="B411" s="125"/>
      <c r="C411" s="31"/>
      <c r="D411" s="31"/>
      <c r="E411" s="31"/>
      <c r="F411" s="222" t="s">
        <v>323</v>
      </c>
      <c r="G411" s="223"/>
      <c r="H411" s="227">
        <v>0.13</v>
      </c>
      <c r="I411" s="224">
        <f>I410*H411</f>
        <v>483.89958500000006</v>
      </c>
      <c r="J411" s="223"/>
      <c r="K411" s="227">
        <v>0.13</v>
      </c>
      <c r="L411" s="225">
        <f>L410*K411</f>
        <v>502.46537893084803</v>
      </c>
      <c r="M411" s="183">
        <f t="shared" si="57"/>
        <v>18.565793930847974</v>
      </c>
      <c r="N411" s="184">
        <f>+M411/I411</f>
        <v>0.03836703834091524</v>
      </c>
      <c r="O411" s="189">
        <f>L411/L412</f>
        <v>0.11504424778761062</v>
      </c>
      <c r="P411" s="118"/>
    </row>
    <row r="412" spans="2:16" ht="17.25" customHeight="1" thickBot="1">
      <c r="B412" s="125"/>
      <c r="C412" s="31"/>
      <c r="D412" s="31"/>
      <c r="E412" s="35"/>
      <c r="F412" s="490" t="s">
        <v>75</v>
      </c>
      <c r="G412" s="676"/>
      <c r="H412" s="677"/>
      <c r="I412" s="477">
        <f>I410+I411</f>
        <v>4206.204085</v>
      </c>
      <c r="J412" s="676"/>
      <c r="K412" s="677"/>
      <c r="L412" s="477">
        <f>L410+L411</f>
        <v>4367.58367839891</v>
      </c>
      <c r="M412" s="477">
        <f t="shared" si="57"/>
        <v>161.3795933989095</v>
      </c>
      <c r="N412" s="481">
        <f>+M412/I412</f>
        <v>0.03836703834091528</v>
      </c>
      <c r="O412" s="482">
        <f>O410+O411</f>
        <v>0.9999999999999999</v>
      </c>
      <c r="P412" s="118"/>
    </row>
    <row r="413" spans="2:16" ht="17.25" customHeight="1" thickBot="1">
      <c r="B413" s="119"/>
      <c r="C413" s="131"/>
      <c r="D413" s="131"/>
      <c r="E413" s="131"/>
      <c r="F413" s="132"/>
      <c r="G413" s="133"/>
      <c r="H413" s="134"/>
      <c r="I413" s="135"/>
      <c r="J413" s="133"/>
      <c r="K413" s="136"/>
      <c r="L413" s="135"/>
      <c r="M413" s="137"/>
      <c r="N413" s="138"/>
      <c r="O413" s="139"/>
      <c r="P413" s="120"/>
    </row>
    <row r="414" spans="2:16" ht="17.25" customHeight="1" thickBot="1">
      <c r="B414" s="25"/>
      <c r="C414" s="31"/>
      <c r="D414" s="31"/>
      <c r="E414" s="31"/>
      <c r="F414" s="49"/>
      <c r="G414" s="50"/>
      <c r="H414" s="51"/>
      <c r="I414" s="52"/>
      <c r="J414" s="50"/>
      <c r="K414" s="53"/>
      <c r="L414" s="52"/>
      <c r="M414" s="54"/>
      <c r="N414" s="128"/>
      <c r="O414" s="129"/>
      <c r="P414" s="25"/>
    </row>
    <row r="415" spans="2:16" ht="17.25" customHeight="1">
      <c r="B415" s="127"/>
      <c r="C415" s="684"/>
      <c r="D415" s="684"/>
      <c r="E415" s="684"/>
      <c r="F415" s="684"/>
      <c r="G415" s="684"/>
      <c r="H415" s="684"/>
      <c r="I415" s="684"/>
      <c r="J415" s="684"/>
      <c r="K415" s="684"/>
      <c r="L415" s="684"/>
      <c r="M415" s="684"/>
      <c r="N415" s="684"/>
      <c r="O415" s="684"/>
      <c r="P415" s="117"/>
    </row>
    <row r="416" spans="2:16" ht="23.25">
      <c r="B416" s="125"/>
      <c r="C416" s="683" t="s">
        <v>247</v>
      </c>
      <c r="D416" s="683"/>
      <c r="E416" s="683"/>
      <c r="F416" s="683"/>
      <c r="G416" s="683"/>
      <c r="H416" s="683"/>
      <c r="I416" s="683"/>
      <c r="J416" s="683"/>
      <c r="K416" s="683"/>
      <c r="L416" s="683"/>
      <c r="M416" s="683"/>
      <c r="N416" s="683"/>
      <c r="O416" s="683"/>
      <c r="P416" s="118"/>
    </row>
    <row r="417" spans="2:17" ht="17.25" customHeight="1" thickBot="1">
      <c r="B417" s="125"/>
      <c r="C417" s="685"/>
      <c r="D417" s="685"/>
      <c r="E417" s="685"/>
      <c r="F417" s="685"/>
      <c r="G417" s="685"/>
      <c r="H417" s="685"/>
      <c r="I417" s="685"/>
      <c r="J417" s="685"/>
      <c r="K417" s="685"/>
      <c r="L417" s="685"/>
      <c r="M417" s="685"/>
      <c r="N417" s="685"/>
      <c r="O417" s="685"/>
      <c r="P417" s="118"/>
      <c r="Q417" s="25"/>
    </row>
    <row r="418" spans="2:17" ht="17.25" customHeight="1" thickBot="1">
      <c r="B418" s="125"/>
      <c r="C418" s="126"/>
      <c r="D418" s="126"/>
      <c r="E418" s="31"/>
      <c r="F418" s="32"/>
      <c r="G418" s="678" t="str">
        <f>$G$10</f>
        <v>2010 BILL</v>
      </c>
      <c r="H418" s="679"/>
      <c r="I418" s="680"/>
      <c r="J418" s="678" t="str">
        <f>$J$10</f>
        <v>2011 BILL</v>
      </c>
      <c r="K418" s="679"/>
      <c r="L418" s="680"/>
      <c r="M418" s="678" t="s">
        <v>69</v>
      </c>
      <c r="N418" s="679"/>
      <c r="O418" s="680"/>
      <c r="P418" s="118"/>
      <c r="Q418" s="25"/>
    </row>
    <row r="419" spans="2:17" ht="26.25" thickBot="1">
      <c r="B419" s="125"/>
      <c r="C419" s="31"/>
      <c r="D419" s="31"/>
      <c r="E419" s="33"/>
      <c r="F419" s="34"/>
      <c r="G419" s="285" t="s">
        <v>63</v>
      </c>
      <c r="H419" s="286" t="s">
        <v>64</v>
      </c>
      <c r="I419" s="287" t="s">
        <v>65</v>
      </c>
      <c r="J419" s="288" t="s">
        <v>63</v>
      </c>
      <c r="K419" s="286" t="s">
        <v>64</v>
      </c>
      <c r="L419" s="287" t="s">
        <v>65</v>
      </c>
      <c r="M419" s="145" t="s">
        <v>70</v>
      </c>
      <c r="N419" s="146" t="s">
        <v>71</v>
      </c>
      <c r="O419" s="147" t="s">
        <v>72</v>
      </c>
      <c r="P419" s="118"/>
      <c r="Q419" s="25"/>
    </row>
    <row r="420" spans="2:17" ht="17.25" customHeight="1" thickBot="1">
      <c r="B420" s="125"/>
      <c r="C420" s="681" t="s">
        <v>66</v>
      </c>
      <c r="D420" s="682"/>
      <c r="E420" s="31"/>
      <c r="F420" s="291" t="s">
        <v>67</v>
      </c>
      <c r="G420" s="289"/>
      <c r="H420" s="283"/>
      <c r="I420" s="158">
        <f>+'2010 Existing Rates'!$C$11</f>
        <v>926.33</v>
      </c>
      <c r="J420" s="156"/>
      <c r="K420" s="284"/>
      <c r="L420" s="185">
        <f>+'Rate Schedule (Part 1)'!$E$36</f>
        <v>1008.02</v>
      </c>
      <c r="M420" s="186">
        <f aca="true" t="shared" si="58" ref="M420:M425">+L420-I420</f>
        <v>81.68999999999994</v>
      </c>
      <c r="N420" s="187">
        <f>+M420/I420</f>
        <v>0.08818671531743541</v>
      </c>
      <c r="O420" s="179">
        <f>L420/L433</f>
        <v>0.11433740517269782</v>
      </c>
      <c r="P420" s="118"/>
      <c r="Q420" s="25"/>
    </row>
    <row r="421" spans="2:17" ht="17.25" customHeight="1" thickBot="1">
      <c r="B421" s="125"/>
      <c r="C421" s="123">
        <v>75000</v>
      </c>
      <c r="D421" s="124" t="s">
        <v>15</v>
      </c>
      <c r="E421" s="31"/>
      <c r="F421" s="292" t="s">
        <v>78</v>
      </c>
      <c r="G421" s="290">
        <f>+C422</f>
        <v>100</v>
      </c>
      <c r="H421" s="149">
        <f>'2010 Existing Rates'!$D$61</f>
        <v>2.9296</v>
      </c>
      <c r="I421" s="164">
        <f>+G421*H421</f>
        <v>292.96000000000004</v>
      </c>
      <c r="J421" s="155">
        <f>G421</f>
        <v>100</v>
      </c>
      <c r="K421" s="148">
        <f>'Rate Schedule (Part 1)'!$E$37</f>
        <v>3.1373</v>
      </c>
      <c r="L421" s="168">
        <f>+J421*K421</f>
        <v>313.73</v>
      </c>
      <c r="M421" s="186">
        <f t="shared" si="58"/>
        <v>20.769999999999982</v>
      </c>
      <c r="N421" s="187">
        <f>+M421/I421</f>
        <v>0.07089705079191691</v>
      </c>
      <c r="O421" s="179">
        <f>L421/L433</f>
        <v>0.03558567699532796</v>
      </c>
      <c r="P421" s="118"/>
      <c r="Q421" s="25"/>
    </row>
    <row r="422" spans="2:16" ht="17.25" customHeight="1" thickBot="1">
      <c r="B422" s="125"/>
      <c r="C422" s="123">
        <v>100</v>
      </c>
      <c r="D422" s="124" t="s">
        <v>16</v>
      </c>
      <c r="E422" s="31"/>
      <c r="F422" s="292" t="s">
        <v>237</v>
      </c>
      <c r="G422" s="246">
        <f>G421</f>
        <v>100</v>
      </c>
      <c r="H422" s="293">
        <f>'2010 Existing Rates'!$D$36</f>
        <v>0.1116</v>
      </c>
      <c r="I422" s="164">
        <f>+G422*H422</f>
        <v>11.16</v>
      </c>
      <c r="J422" s="155">
        <f>+C422</f>
        <v>100</v>
      </c>
      <c r="K422" s="148">
        <f>'Rate Schedule (Part 1)'!$E$38</f>
        <v>0.0808</v>
      </c>
      <c r="L422" s="168">
        <f>+J422*K422</f>
        <v>8.08</v>
      </c>
      <c r="M422" s="186">
        <f t="shared" si="58"/>
        <v>-3.08</v>
      </c>
      <c r="N422" s="187">
        <f>+M422/I422</f>
        <v>-0.27598566308243727</v>
      </c>
      <c r="O422" s="179">
        <f>L422/L433</f>
        <v>0.0009164959363855861</v>
      </c>
      <c r="P422" s="118"/>
    </row>
    <row r="423" spans="2:16" ht="17.25" customHeight="1">
      <c r="B423" s="125"/>
      <c r="C423" s="271"/>
      <c r="D423" s="282"/>
      <c r="E423" s="31"/>
      <c r="F423" s="152" t="s">
        <v>166</v>
      </c>
      <c r="G423" s="174"/>
      <c r="H423" s="173"/>
      <c r="I423" s="164">
        <f>'2010 Existing Rates'!$B$47</f>
        <v>2.16</v>
      </c>
      <c r="J423" s="174"/>
      <c r="K423" s="173"/>
      <c r="L423" s="164">
        <f>'2010 Existing Rates'!$B$47</f>
        <v>2.16</v>
      </c>
      <c r="M423" s="186">
        <f t="shared" si="58"/>
        <v>0</v>
      </c>
      <c r="N423" s="187">
        <f>+M423/I423</f>
        <v>0</v>
      </c>
      <c r="O423" s="179">
        <f>L423/L433</f>
        <v>0.0002450038641822854</v>
      </c>
      <c r="P423" s="118"/>
    </row>
    <row r="424" spans="2:16" ht="17.25" customHeight="1">
      <c r="B424" s="125"/>
      <c r="C424" s="62"/>
      <c r="D424" s="63"/>
      <c r="E424" s="31"/>
      <c r="F424" s="152" t="s">
        <v>238</v>
      </c>
      <c r="G424" s="155">
        <f>G422</f>
        <v>100</v>
      </c>
      <c r="H424" s="149"/>
      <c r="I424" s="164">
        <f>+G424*H424</f>
        <v>0</v>
      </c>
      <c r="J424" s="155">
        <f>G424</f>
        <v>100</v>
      </c>
      <c r="K424" s="148">
        <f>'Rate Schedule (Part 1)'!$E$39</f>
        <v>0</v>
      </c>
      <c r="L424" s="168">
        <f>+J424*K424</f>
        <v>0</v>
      </c>
      <c r="M424" s="186">
        <f t="shared" si="58"/>
        <v>0</v>
      </c>
      <c r="N424" s="187">
        <v>0</v>
      </c>
      <c r="O424" s="179">
        <f>L424/L433</f>
        <v>0</v>
      </c>
      <c r="P424" s="118"/>
    </row>
    <row r="425" spans="2:16" ht="17.25" customHeight="1" thickBot="1">
      <c r="B425" s="125"/>
      <c r="C425" s="31"/>
      <c r="D425" s="31"/>
      <c r="E425" s="31"/>
      <c r="F425" s="153" t="s">
        <v>239</v>
      </c>
      <c r="G425" s="155">
        <f>+C422</f>
        <v>100</v>
      </c>
      <c r="H425" s="149">
        <f>'2010 Existing Rates'!$D$24</f>
        <v>-1.4024</v>
      </c>
      <c r="I425" s="168">
        <f>+G425*H425</f>
        <v>-140.24</v>
      </c>
      <c r="J425" s="155">
        <f>+C422</f>
        <v>100</v>
      </c>
      <c r="K425" s="148">
        <f>'Rate Schedule (Part 1)'!$E$41</f>
        <v>-0.41100197330267557</v>
      </c>
      <c r="L425" s="168">
        <f>+J425*K425</f>
        <v>-41.100197330267555</v>
      </c>
      <c r="M425" s="186">
        <f t="shared" si="58"/>
        <v>99.13980266973246</v>
      </c>
      <c r="N425" s="187">
        <f aca="true" t="shared" si="59" ref="N425:N433">+M425/I425</f>
        <v>-0.7069295683808646</v>
      </c>
      <c r="O425" s="179">
        <f>L425/L433</f>
        <v>-0.004661901465078703</v>
      </c>
      <c r="P425" s="118"/>
    </row>
    <row r="426" spans="2:16" ht="17.25" customHeight="1" thickBot="1">
      <c r="B426" s="125"/>
      <c r="C426" s="31"/>
      <c r="D426" s="31"/>
      <c r="E426" s="31"/>
      <c r="F426" s="476" t="s">
        <v>234</v>
      </c>
      <c r="G426" s="676"/>
      <c r="H426" s="677"/>
      <c r="I426" s="477">
        <f>SUM(I420:I425)</f>
        <v>1092.3700000000001</v>
      </c>
      <c r="J426" s="676"/>
      <c r="K426" s="677"/>
      <c r="L426" s="477">
        <f>SUM(L420:L425)</f>
        <v>1290.8898026697325</v>
      </c>
      <c r="M426" s="480">
        <f>SUM(M420:M425)</f>
        <v>198.51980266973237</v>
      </c>
      <c r="N426" s="481">
        <f t="shared" si="59"/>
        <v>0.1817331148509501</v>
      </c>
      <c r="O426" s="482">
        <f>SUM(O420:O425)</f>
        <v>0.14642268050351495</v>
      </c>
      <c r="P426" s="118"/>
    </row>
    <row r="427" spans="2:16" ht="17.25" customHeight="1" thickBot="1">
      <c r="B427" s="125"/>
      <c r="C427" s="31"/>
      <c r="D427" s="31"/>
      <c r="E427" s="31"/>
      <c r="F427" s="152" t="s">
        <v>240</v>
      </c>
      <c r="G427" s="273">
        <f>C422</f>
        <v>100</v>
      </c>
      <c r="H427" s="274">
        <f>'Other Electriciy Rates'!$F$13</f>
        <v>4.2971</v>
      </c>
      <c r="I427" s="164">
        <f>+G427*H427</f>
        <v>429.71000000000004</v>
      </c>
      <c r="J427" s="273">
        <f>C422</f>
        <v>100</v>
      </c>
      <c r="K427" s="274">
        <f>'Other Electriciy Rates'!$F$28</f>
        <v>4.104700483312957</v>
      </c>
      <c r="L427" s="164">
        <f>+J427*K427</f>
        <v>410.4700483312957</v>
      </c>
      <c r="M427" s="275">
        <f aca="true" t="shared" si="60" ref="M427:M433">+L427-I427</f>
        <v>-19.23995166870435</v>
      </c>
      <c r="N427" s="176">
        <f t="shared" si="59"/>
        <v>-0.044774270249015265</v>
      </c>
      <c r="O427" s="179">
        <f>L427/L433</f>
        <v>0.04655867961678559</v>
      </c>
      <c r="P427" s="118"/>
    </row>
    <row r="428" spans="2:16" ht="17.25" customHeight="1" thickBot="1">
      <c r="B428" s="125"/>
      <c r="C428" s="31"/>
      <c r="D428" s="31"/>
      <c r="E428" s="31"/>
      <c r="F428" s="476" t="s">
        <v>236</v>
      </c>
      <c r="G428" s="676"/>
      <c r="H428" s="677"/>
      <c r="I428" s="477">
        <f>I426+I427</f>
        <v>1522.0800000000002</v>
      </c>
      <c r="J428" s="676"/>
      <c r="K428" s="677"/>
      <c r="L428" s="477">
        <f>L426+L427</f>
        <v>1701.3598510010281</v>
      </c>
      <c r="M428" s="480">
        <f t="shared" si="60"/>
        <v>179.27985100102796</v>
      </c>
      <c r="N428" s="481">
        <f t="shared" si="59"/>
        <v>0.11778608943092869</v>
      </c>
      <c r="O428" s="483">
        <f>L428/L433</f>
        <v>0.19298136012030054</v>
      </c>
      <c r="P428" s="118"/>
    </row>
    <row r="429" spans="2:16" ht="17.25" customHeight="1">
      <c r="B429" s="125"/>
      <c r="C429" s="31"/>
      <c r="D429" s="31"/>
      <c r="E429" s="31"/>
      <c r="F429" s="150" t="s">
        <v>73</v>
      </c>
      <c r="G429" s="156">
        <f>C421*'Other Electriciy Rates'!$L$13</f>
        <v>77632.5</v>
      </c>
      <c r="H429" s="157">
        <f>'Other Electriciy Rates'!$C$13+'Other Electriciy Rates'!$D$13</f>
        <v>0.0135</v>
      </c>
      <c r="I429" s="158">
        <f>+G429*H429</f>
        <v>1048.03875</v>
      </c>
      <c r="J429" s="156">
        <f>C421*'Other Electriciy Rates'!$L$28</f>
        <v>77714.34359450461</v>
      </c>
      <c r="K429" s="157">
        <f>'Other Electriciy Rates'!$C$28+'Other Electriciy Rates'!$D$28</f>
        <v>0.0135</v>
      </c>
      <c r="L429" s="185">
        <f>+J429*K429</f>
        <v>1049.143638525812</v>
      </c>
      <c r="M429" s="186">
        <f t="shared" si="60"/>
        <v>1.1048885258121572</v>
      </c>
      <c r="N429" s="187">
        <f t="shared" si="59"/>
        <v>0.0010542439636055034</v>
      </c>
      <c r="O429" s="179">
        <f>L429/L433</f>
        <v>0.11900196551902165</v>
      </c>
      <c r="P429" s="118"/>
    </row>
    <row r="430" spans="2:16" ht="17.25" customHeight="1" thickBot="1">
      <c r="B430" s="125"/>
      <c r="C430" s="31"/>
      <c r="D430" s="31"/>
      <c r="E430" s="31"/>
      <c r="F430" s="150" t="s">
        <v>74</v>
      </c>
      <c r="G430" s="156">
        <f>G429</f>
        <v>77632.5</v>
      </c>
      <c r="H430" s="157">
        <f>+'Other Electriciy Rates'!$J$13</f>
        <v>0.065</v>
      </c>
      <c r="I430" s="158">
        <f>+G430*H430</f>
        <v>5046.1125</v>
      </c>
      <c r="J430" s="156">
        <f>J429</f>
        <v>77714.34359450461</v>
      </c>
      <c r="K430" s="157">
        <f>'Other Electriciy Rates'!$J$28</f>
        <v>0.065</v>
      </c>
      <c r="L430" s="185">
        <f>+J430*K430</f>
        <v>5051.4323336428</v>
      </c>
      <c r="M430" s="186">
        <f t="shared" si="60"/>
        <v>5.3198336427994946</v>
      </c>
      <c r="N430" s="187">
        <f t="shared" si="59"/>
        <v>0.0010542439636055468</v>
      </c>
      <c r="O430" s="179">
        <f>L430/L433</f>
        <v>0.5729724265730672</v>
      </c>
      <c r="P430" s="118"/>
    </row>
    <row r="431" spans="2:16" ht="17.25" customHeight="1" thickBot="1">
      <c r="B431" s="125"/>
      <c r="C431" s="31"/>
      <c r="D431" s="31"/>
      <c r="E431" s="31"/>
      <c r="F431" s="476" t="s">
        <v>191</v>
      </c>
      <c r="G431" s="676"/>
      <c r="H431" s="677"/>
      <c r="I431" s="477">
        <f>SUM(I428:I430)</f>
        <v>7616.231250000001</v>
      </c>
      <c r="J431" s="676"/>
      <c r="K431" s="677"/>
      <c r="L431" s="477">
        <f>SUM(L428:L430)</f>
        <v>7801.93582316964</v>
      </c>
      <c r="M431" s="477">
        <f t="shared" si="60"/>
        <v>185.70457316963893</v>
      </c>
      <c r="N431" s="481">
        <f t="shared" si="59"/>
        <v>0.024382738269618443</v>
      </c>
      <c r="O431" s="483">
        <f>L431/L433</f>
        <v>0.8849557522123894</v>
      </c>
      <c r="P431" s="118"/>
    </row>
    <row r="432" spans="2:16" ht="17.25" customHeight="1" thickBot="1">
      <c r="B432" s="125"/>
      <c r="C432" s="31"/>
      <c r="D432" s="31"/>
      <c r="E432" s="31"/>
      <c r="F432" s="222" t="s">
        <v>323</v>
      </c>
      <c r="G432" s="223"/>
      <c r="H432" s="227">
        <v>0.13</v>
      </c>
      <c r="I432" s="224">
        <f>I431*H432</f>
        <v>990.1100625000001</v>
      </c>
      <c r="J432" s="223"/>
      <c r="K432" s="227">
        <v>0.13</v>
      </c>
      <c r="L432" s="225">
        <f>L431*K432</f>
        <v>1014.2516570120532</v>
      </c>
      <c r="M432" s="183">
        <f t="shared" si="60"/>
        <v>24.141594512053075</v>
      </c>
      <c r="N432" s="184">
        <f t="shared" si="59"/>
        <v>0.024382738269618457</v>
      </c>
      <c r="O432" s="189">
        <f>L432/L433</f>
        <v>0.11504424778761063</v>
      </c>
      <c r="P432" s="118"/>
    </row>
    <row r="433" spans="2:16" ht="17.25" customHeight="1" thickBot="1">
      <c r="B433" s="125"/>
      <c r="C433" s="31"/>
      <c r="D433" s="31"/>
      <c r="E433" s="35"/>
      <c r="F433" s="490" t="s">
        <v>75</v>
      </c>
      <c r="G433" s="676"/>
      <c r="H433" s="677"/>
      <c r="I433" s="477">
        <f>I431+I432</f>
        <v>8606.3413125</v>
      </c>
      <c r="J433" s="676"/>
      <c r="K433" s="677"/>
      <c r="L433" s="477">
        <f>L431+L432</f>
        <v>8816.187480181692</v>
      </c>
      <c r="M433" s="477">
        <f t="shared" si="60"/>
        <v>209.84616768169144</v>
      </c>
      <c r="N433" s="481">
        <f t="shared" si="59"/>
        <v>0.02438273826961838</v>
      </c>
      <c r="O433" s="482">
        <f>O431+O432</f>
        <v>1</v>
      </c>
      <c r="P433" s="118"/>
    </row>
    <row r="434" spans="2:16" ht="17.25" customHeight="1" thickBot="1">
      <c r="B434" s="119"/>
      <c r="C434" s="131"/>
      <c r="D434" s="131"/>
      <c r="E434" s="131"/>
      <c r="F434" s="132"/>
      <c r="G434" s="133"/>
      <c r="H434" s="134"/>
      <c r="I434" s="135"/>
      <c r="J434" s="133"/>
      <c r="K434" s="136"/>
      <c r="L434" s="135"/>
      <c r="M434" s="137"/>
      <c r="N434" s="138"/>
      <c r="O434" s="139"/>
      <c r="P434" s="120"/>
    </row>
    <row r="435" spans="2:16" ht="17.25" customHeight="1" thickBot="1">
      <c r="B435" s="25"/>
      <c r="C435" s="31"/>
      <c r="D435" s="31"/>
      <c r="E435" s="31"/>
      <c r="F435" s="49"/>
      <c r="G435" s="50"/>
      <c r="H435" s="51"/>
      <c r="I435" s="52"/>
      <c r="J435" s="50"/>
      <c r="K435" s="53"/>
      <c r="L435" s="52"/>
      <c r="M435" s="54"/>
      <c r="N435" s="128"/>
      <c r="O435" s="129"/>
      <c r="P435" s="25"/>
    </row>
    <row r="436" spans="2:16" ht="17.25" customHeight="1">
      <c r="B436" s="127"/>
      <c r="C436" s="684"/>
      <c r="D436" s="684"/>
      <c r="E436" s="684"/>
      <c r="F436" s="684"/>
      <c r="G436" s="684"/>
      <c r="H436" s="684"/>
      <c r="I436" s="684"/>
      <c r="J436" s="684"/>
      <c r="K436" s="684"/>
      <c r="L436" s="684"/>
      <c r="M436" s="684"/>
      <c r="N436" s="684"/>
      <c r="O436" s="684"/>
      <c r="P436" s="117"/>
    </row>
    <row r="437" spans="2:16" ht="23.25">
      <c r="B437" s="125"/>
      <c r="C437" s="683" t="s">
        <v>247</v>
      </c>
      <c r="D437" s="683"/>
      <c r="E437" s="683"/>
      <c r="F437" s="683"/>
      <c r="G437" s="683"/>
      <c r="H437" s="683"/>
      <c r="I437" s="683"/>
      <c r="J437" s="683"/>
      <c r="K437" s="683"/>
      <c r="L437" s="683"/>
      <c r="M437" s="683"/>
      <c r="N437" s="683"/>
      <c r="O437" s="683"/>
      <c r="P437" s="118"/>
    </row>
    <row r="438" spans="2:17" ht="17.25" customHeight="1" thickBot="1">
      <c r="B438" s="125"/>
      <c r="C438" s="685"/>
      <c r="D438" s="685"/>
      <c r="E438" s="685"/>
      <c r="F438" s="685"/>
      <c r="G438" s="685"/>
      <c r="H438" s="685"/>
      <c r="I438" s="685"/>
      <c r="J438" s="685"/>
      <c r="K438" s="685"/>
      <c r="L438" s="685"/>
      <c r="M438" s="685"/>
      <c r="N438" s="685"/>
      <c r="O438" s="685"/>
      <c r="P438" s="118"/>
      <c r="Q438" s="25"/>
    </row>
    <row r="439" spans="2:17" ht="17.25" customHeight="1" thickBot="1">
      <c r="B439" s="125"/>
      <c r="C439" s="126"/>
      <c r="D439" s="126"/>
      <c r="E439" s="31"/>
      <c r="F439" s="32"/>
      <c r="G439" s="678" t="str">
        <f>$G$10</f>
        <v>2010 BILL</v>
      </c>
      <c r="H439" s="679"/>
      <c r="I439" s="680"/>
      <c r="J439" s="678" t="str">
        <f>$J$10</f>
        <v>2011 BILL</v>
      </c>
      <c r="K439" s="679"/>
      <c r="L439" s="680"/>
      <c r="M439" s="678" t="s">
        <v>69</v>
      </c>
      <c r="N439" s="679"/>
      <c r="O439" s="680"/>
      <c r="P439" s="118"/>
      <c r="Q439" s="25"/>
    </row>
    <row r="440" spans="2:17" ht="26.25" thickBot="1">
      <c r="B440" s="125"/>
      <c r="C440" s="31"/>
      <c r="D440" s="31"/>
      <c r="E440" s="33"/>
      <c r="F440" s="34"/>
      <c r="G440" s="285" t="s">
        <v>63</v>
      </c>
      <c r="H440" s="286" t="s">
        <v>64</v>
      </c>
      <c r="I440" s="287" t="s">
        <v>65</v>
      </c>
      <c r="J440" s="288" t="s">
        <v>63</v>
      </c>
      <c r="K440" s="286" t="s">
        <v>64</v>
      </c>
      <c r="L440" s="287" t="s">
        <v>65</v>
      </c>
      <c r="M440" s="145" t="s">
        <v>70</v>
      </c>
      <c r="N440" s="146" t="s">
        <v>71</v>
      </c>
      <c r="O440" s="147" t="s">
        <v>72</v>
      </c>
      <c r="P440" s="118"/>
      <c r="Q440" s="25"/>
    </row>
    <row r="441" spans="2:17" ht="17.25" customHeight="1" thickBot="1">
      <c r="B441" s="125"/>
      <c r="C441" s="681" t="s">
        <v>66</v>
      </c>
      <c r="D441" s="682"/>
      <c r="E441" s="31"/>
      <c r="F441" s="291" t="s">
        <v>67</v>
      </c>
      <c r="G441" s="289"/>
      <c r="H441" s="283"/>
      <c r="I441" s="158">
        <f>+'2010 Existing Rates'!$C$11</f>
        <v>926.33</v>
      </c>
      <c r="J441" s="156"/>
      <c r="K441" s="284"/>
      <c r="L441" s="185">
        <f>+'Rate Schedule (Part 1)'!$E$36</f>
        <v>1008.02</v>
      </c>
      <c r="M441" s="186">
        <f aca="true" t="shared" si="61" ref="M441:M446">+L441-I441</f>
        <v>81.68999999999994</v>
      </c>
      <c r="N441" s="187">
        <f>+M441/I441</f>
        <v>0.08818671531743541</v>
      </c>
      <c r="O441" s="179">
        <f>L441/L454</f>
        <v>0.04302310077137474</v>
      </c>
      <c r="P441" s="118"/>
      <c r="Q441" s="25"/>
    </row>
    <row r="442" spans="2:17" ht="17.25" customHeight="1" thickBot="1">
      <c r="B442" s="125"/>
      <c r="C442" s="123">
        <v>200000</v>
      </c>
      <c r="D442" s="124" t="s">
        <v>15</v>
      </c>
      <c r="E442" s="31"/>
      <c r="F442" s="292" t="s">
        <v>78</v>
      </c>
      <c r="G442" s="290">
        <f>+C443</f>
        <v>500</v>
      </c>
      <c r="H442" s="149">
        <f>'2010 Existing Rates'!$D$61</f>
        <v>2.9296</v>
      </c>
      <c r="I442" s="164">
        <f>+G442*H442</f>
        <v>1464.8000000000002</v>
      </c>
      <c r="J442" s="155">
        <f>G442</f>
        <v>500</v>
      </c>
      <c r="K442" s="148">
        <f>'Rate Schedule (Part 1)'!$E$37</f>
        <v>3.1373</v>
      </c>
      <c r="L442" s="168">
        <f>+J442*K442</f>
        <v>1568.65</v>
      </c>
      <c r="M442" s="186">
        <f t="shared" si="61"/>
        <v>103.84999999999991</v>
      </c>
      <c r="N442" s="187">
        <f>+M442/I442</f>
        <v>0.07089705079191691</v>
      </c>
      <c r="O442" s="179">
        <f>L442/L454</f>
        <v>0.06695123809549115</v>
      </c>
      <c r="P442" s="118"/>
      <c r="Q442" s="25"/>
    </row>
    <row r="443" spans="2:16" ht="17.25" customHeight="1" thickBot="1">
      <c r="B443" s="125"/>
      <c r="C443" s="123">
        <v>500</v>
      </c>
      <c r="D443" s="124" t="s">
        <v>16</v>
      </c>
      <c r="E443" s="31"/>
      <c r="F443" s="292" t="s">
        <v>237</v>
      </c>
      <c r="G443" s="246">
        <f>G442</f>
        <v>500</v>
      </c>
      <c r="H443" s="293">
        <f>'2010 Existing Rates'!$D$36</f>
        <v>0.1116</v>
      </c>
      <c r="I443" s="164">
        <f>+G443*H443</f>
        <v>55.800000000000004</v>
      </c>
      <c r="J443" s="155">
        <f>+C443</f>
        <v>500</v>
      </c>
      <c r="K443" s="148">
        <f>'Rate Schedule (Part 1)'!$E$38</f>
        <v>0.0808</v>
      </c>
      <c r="L443" s="168">
        <f>+J443*K443</f>
        <v>40.4</v>
      </c>
      <c r="M443" s="186">
        <f t="shared" si="61"/>
        <v>-15.400000000000006</v>
      </c>
      <c r="N443" s="187">
        <f>+M443/I443</f>
        <v>-0.2759856630824374</v>
      </c>
      <c r="O443" s="179">
        <f>L443/L454</f>
        <v>0.0017243043502743393</v>
      </c>
      <c r="P443" s="118"/>
    </row>
    <row r="444" spans="2:16" ht="17.25" customHeight="1">
      <c r="B444" s="125"/>
      <c r="C444" s="271"/>
      <c r="D444" s="282"/>
      <c r="E444" s="31"/>
      <c r="F444" s="152" t="s">
        <v>166</v>
      </c>
      <c r="G444" s="174"/>
      <c r="H444" s="173"/>
      <c r="I444" s="164">
        <f>'2010 Existing Rates'!$B$47</f>
        <v>2.16</v>
      </c>
      <c r="J444" s="174"/>
      <c r="K444" s="173"/>
      <c r="L444" s="164">
        <f>'2010 Existing Rates'!$B$47</f>
        <v>2.16</v>
      </c>
      <c r="M444" s="186">
        <f t="shared" si="61"/>
        <v>0</v>
      </c>
      <c r="N444" s="187">
        <f>+M444/I444</f>
        <v>0</v>
      </c>
      <c r="O444" s="179">
        <f>L444/L454</f>
        <v>9.219052961862804E-05</v>
      </c>
      <c r="P444" s="118"/>
    </row>
    <row r="445" spans="2:16" ht="17.25" customHeight="1">
      <c r="B445" s="125"/>
      <c r="C445" s="62"/>
      <c r="D445" s="63"/>
      <c r="E445" s="31"/>
      <c r="F445" s="152" t="s">
        <v>238</v>
      </c>
      <c r="G445" s="155">
        <f>G443</f>
        <v>500</v>
      </c>
      <c r="H445" s="149"/>
      <c r="I445" s="164">
        <f>+G445*H445</f>
        <v>0</v>
      </c>
      <c r="J445" s="155">
        <f>G445</f>
        <v>500</v>
      </c>
      <c r="K445" s="148">
        <f>'Rate Schedule (Part 1)'!$E$39</f>
        <v>0</v>
      </c>
      <c r="L445" s="168">
        <f>+J445*K445</f>
        <v>0</v>
      </c>
      <c r="M445" s="186">
        <f t="shared" si="61"/>
        <v>0</v>
      </c>
      <c r="N445" s="187">
        <v>0</v>
      </c>
      <c r="O445" s="179">
        <f>L445/L454</f>
        <v>0</v>
      </c>
      <c r="P445" s="118"/>
    </row>
    <row r="446" spans="2:16" ht="17.25" customHeight="1" thickBot="1">
      <c r="B446" s="125"/>
      <c r="C446" s="31"/>
      <c r="D446" s="31"/>
      <c r="E446" s="31"/>
      <c r="F446" s="153" t="s">
        <v>239</v>
      </c>
      <c r="G446" s="155">
        <f>+C443</f>
        <v>500</v>
      </c>
      <c r="H446" s="149">
        <f>'2010 Existing Rates'!$D$24</f>
        <v>-1.4024</v>
      </c>
      <c r="I446" s="168">
        <f>+G446*H446</f>
        <v>-701.2</v>
      </c>
      <c r="J446" s="155">
        <f>+C443</f>
        <v>500</v>
      </c>
      <c r="K446" s="148">
        <f>'Rate Schedule (Part 1)'!$E$41</f>
        <v>-0.41100197330267557</v>
      </c>
      <c r="L446" s="168">
        <f>+J446*K446</f>
        <v>-205.5009866513378</v>
      </c>
      <c r="M446" s="186">
        <f t="shared" si="61"/>
        <v>495.6990133486622</v>
      </c>
      <c r="N446" s="187">
        <f aca="true" t="shared" si="62" ref="N446:N454">+M446/I446</f>
        <v>-0.7069295683808645</v>
      </c>
      <c r="O446" s="179">
        <f>L446/L454</f>
        <v>-0.00877094666506363</v>
      </c>
      <c r="P446" s="118"/>
    </row>
    <row r="447" spans="2:16" ht="17.25" customHeight="1" thickBot="1">
      <c r="B447" s="125"/>
      <c r="C447" s="31"/>
      <c r="D447" s="31"/>
      <c r="E447" s="31"/>
      <c r="F447" s="476" t="s">
        <v>234</v>
      </c>
      <c r="G447" s="676"/>
      <c r="H447" s="677"/>
      <c r="I447" s="477">
        <f>SUM(I441:I446)</f>
        <v>1747.89</v>
      </c>
      <c r="J447" s="676"/>
      <c r="K447" s="677"/>
      <c r="L447" s="477">
        <f>SUM(L441:L446)</f>
        <v>2413.729013348662</v>
      </c>
      <c r="M447" s="480">
        <f>SUM(M441:M446)</f>
        <v>665.8390133486621</v>
      </c>
      <c r="N447" s="481">
        <f t="shared" si="62"/>
        <v>0.38093873947940776</v>
      </c>
      <c r="O447" s="482">
        <f>SUM(O441:O446)</f>
        <v>0.10301988708169522</v>
      </c>
      <c r="P447" s="118"/>
    </row>
    <row r="448" spans="2:16" ht="17.25" customHeight="1" thickBot="1">
      <c r="B448" s="125"/>
      <c r="C448" s="31"/>
      <c r="D448" s="31"/>
      <c r="E448" s="31"/>
      <c r="F448" s="152" t="s">
        <v>240</v>
      </c>
      <c r="G448" s="273">
        <f>C443</f>
        <v>500</v>
      </c>
      <c r="H448" s="274">
        <f>'Other Electriciy Rates'!$F$13</f>
        <v>4.2971</v>
      </c>
      <c r="I448" s="164">
        <f>+G448*H448</f>
        <v>2148.55</v>
      </c>
      <c r="J448" s="273">
        <f>C443</f>
        <v>500</v>
      </c>
      <c r="K448" s="274">
        <f>'Other Electriciy Rates'!$F$28</f>
        <v>4.104700483312957</v>
      </c>
      <c r="L448" s="164">
        <f>+J448*K448</f>
        <v>2052.3502416564784</v>
      </c>
      <c r="M448" s="275">
        <f aca="true" t="shared" si="63" ref="M448:M454">+L448-I448</f>
        <v>-96.19975834352181</v>
      </c>
      <c r="N448" s="176">
        <f t="shared" si="62"/>
        <v>-0.04477427024901529</v>
      </c>
      <c r="O448" s="179">
        <f>L448/L454</f>
        <v>0.08759595173205093</v>
      </c>
      <c r="P448" s="118"/>
    </row>
    <row r="449" spans="2:16" ht="17.25" customHeight="1" thickBot="1">
      <c r="B449" s="125"/>
      <c r="C449" s="31"/>
      <c r="D449" s="31"/>
      <c r="E449" s="31"/>
      <c r="F449" s="476" t="s">
        <v>236</v>
      </c>
      <c r="G449" s="676"/>
      <c r="H449" s="677"/>
      <c r="I449" s="477">
        <f>I447+I448</f>
        <v>3896.4400000000005</v>
      </c>
      <c r="J449" s="676"/>
      <c r="K449" s="677"/>
      <c r="L449" s="477">
        <f>L447+L448</f>
        <v>4466.079255005141</v>
      </c>
      <c r="M449" s="480">
        <f t="shared" si="63"/>
        <v>569.6392550051405</v>
      </c>
      <c r="N449" s="481">
        <f t="shared" si="62"/>
        <v>0.14619479704682747</v>
      </c>
      <c r="O449" s="483">
        <f>L449/L454</f>
        <v>0.19061583881374616</v>
      </c>
      <c r="P449" s="118"/>
    </row>
    <row r="450" spans="2:16" ht="17.25" customHeight="1">
      <c r="B450" s="125"/>
      <c r="C450" s="31"/>
      <c r="D450" s="31"/>
      <c r="E450" s="31"/>
      <c r="F450" s="150" t="s">
        <v>73</v>
      </c>
      <c r="G450" s="156">
        <f>C442*'Other Electriciy Rates'!$L$13</f>
        <v>207019.99999999997</v>
      </c>
      <c r="H450" s="157">
        <f>'Other Electriciy Rates'!$C$13+'Other Electriciy Rates'!$D$13</f>
        <v>0.0135</v>
      </c>
      <c r="I450" s="158">
        <f>+G450*H450</f>
        <v>2794.7699999999995</v>
      </c>
      <c r="J450" s="156">
        <f>C442*'Other Electriciy Rates'!$L$28</f>
        <v>207238.24958534562</v>
      </c>
      <c r="K450" s="157">
        <f>'Other Electriciy Rates'!$C$28+'Other Electriciy Rates'!$D$28</f>
        <v>0.0135</v>
      </c>
      <c r="L450" s="185">
        <f>+J450*K450</f>
        <v>2797.716369402166</v>
      </c>
      <c r="M450" s="186">
        <f t="shared" si="63"/>
        <v>2.9463694021665106</v>
      </c>
      <c r="N450" s="187">
        <f t="shared" si="62"/>
        <v>0.0010542439636057747</v>
      </c>
      <c r="O450" s="179">
        <f>L450/L454</f>
        <v>0.11940877491569023</v>
      </c>
      <c r="P450" s="118"/>
    </row>
    <row r="451" spans="2:16" ht="17.25" customHeight="1" thickBot="1">
      <c r="B451" s="125"/>
      <c r="C451" s="31"/>
      <c r="D451" s="31"/>
      <c r="E451" s="31"/>
      <c r="F451" s="150" t="s">
        <v>74</v>
      </c>
      <c r="G451" s="156">
        <f>G450</f>
        <v>207019.99999999997</v>
      </c>
      <c r="H451" s="157">
        <f>+'Other Electriciy Rates'!$J$13</f>
        <v>0.065</v>
      </c>
      <c r="I451" s="158">
        <f>+G451*H451</f>
        <v>13456.3</v>
      </c>
      <c r="J451" s="156">
        <f>J450</f>
        <v>207238.24958534562</v>
      </c>
      <c r="K451" s="157">
        <f>'Other Electriciy Rates'!$J$28</f>
        <v>0.065</v>
      </c>
      <c r="L451" s="185">
        <f>+J451*K451</f>
        <v>13470.486223047466</v>
      </c>
      <c r="M451" s="186">
        <f t="shared" si="63"/>
        <v>14.186223047467138</v>
      </c>
      <c r="N451" s="187">
        <f t="shared" si="62"/>
        <v>0.001054243963605682</v>
      </c>
      <c r="O451" s="179">
        <f>L451/L454</f>
        <v>0.574931138482953</v>
      </c>
      <c r="P451" s="118"/>
    </row>
    <row r="452" spans="2:16" ht="17.25" customHeight="1" thickBot="1">
      <c r="B452" s="125"/>
      <c r="C452" s="31"/>
      <c r="D452" s="31"/>
      <c r="E452" s="31"/>
      <c r="F452" s="476" t="s">
        <v>191</v>
      </c>
      <c r="G452" s="676"/>
      <c r="H452" s="677"/>
      <c r="I452" s="477">
        <f>SUM(I449:I451)</f>
        <v>20147.51</v>
      </c>
      <c r="J452" s="676"/>
      <c r="K452" s="677"/>
      <c r="L452" s="477">
        <f>SUM(L449:L451)</f>
        <v>20734.281847454775</v>
      </c>
      <c r="M452" s="477">
        <f t="shared" si="63"/>
        <v>586.7718474547764</v>
      </c>
      <c r="N452" s="481">
        <f t="shared" si="62"/>
        <v>0.029123789860621807</v>
      </c>
      <c r="O452" s="483">
        <f>L452/L454</f>
        <v>0.8849557522123894</v>
      </c>
      <c r="P452" s="118"/>
    </row>
    <row r="453" spans="2:16" ht="17.25" customHeight="1" thickBot="1">
      <c r="B453" s="125"/>
      <c r="C453" s="31"/>
      <c r="D453" s="31"/>
      <c r="E453" s="31"/>
      <c r="F453" s="222" t="s">
        <v>323</v>
      </c>
      <c r="G453" s="223"/>
      <c r="H453" s="227">
        <v>0.13</v>
      </c>
      <c r="I453" s="224">
        <f>I452*H453</f>
        <v>2619.1763</v>
      </c>
      <c r="J453" s="223"/>
      <c r="K453" s="227">
        <v>0.13</v>
      </c>
      <c r="L453" s="225">
        <f>L452*K453</f>
        <v>2695.456640169121</v>
      </c>
      <c r="M453" s="183">
        <f t="shared" si="63"/>
        <v>76.28034016912079</v>
      </c>
      <c r="N453" s="184">
        <f t="shared" si="62"/>
        <v>0.029123789860621748</v>
      </c>
      <c r="O453" s="189">
        <f>L453/L454</f>
        <v>0.11504424778761063</v>
      </c>
      <c r="P453" s="118"/>
    </row>
    <row r="454" spans="2:16" ht="17.25" customHeight="1" thickBot="1">
      <c r="B454" s="125"/>
      <c r="C454" s="31"/>
      <c r="D454" s="31"/>
      <c r="E454" s="35"/>
      <c r="F454" s="490" t="s">
        <v>75</v>
      </c>
      <c r="G454" s="676"/>
      <c r="H454" s="677"/>
      <c r="I454" s="477">
        <f>I452+I453</f>
        <v>22766.686299999998</v>
      </c>
      <c r="J454" s="676"/>
      <c r="K454" s="677"/>
      <c r="L454" s="477">
        <f>L452+L453</f>
        <v>23429.738487623894</v>
      </c>
      <c r="M454" s="477">
        <f t="shared" si="63"/>
        <v>663.0521876238963</v>
      </c>
      <c r="N454" s="481">
        <f t="shared" si="62"/>
        <v>0.029123789860621762</v>
      </c>
      <c r="O454" s="482">
        <f>O452+O453</f>
        <v>1</v>
      </c>
      <c r="P454" s="118"/>
    </row>
    <row r="455" spans="2:16" ht="17.25" customHeight="1" thickBot="1">
      <c r="B455" s="119"/>
      <c r="C455" s="131"/>
      <c r="D455" s="131"/>
      <c r="E455" s="131"/>
      <c r="F455" s="132"/>
      <c r="G455" s="133"/>
      <c r="H455" s="134"/>
      <c r="I455" s="135"/>
      <c r="J455" s="133"/>
      <c r="K455" s="136"/>
      <c r="L455" s="135"/>
      <c r="M455" s="137"/>
      <c r="N455" s="138"/>
      <c r="O455" s="139"/>
      <c r="P455" s="120"/>
    </row>
    <row r="456" spans="2:16" ht="17.25" customHeight="1" thickBot="1">
      <c r="B456" s="25"/>
      <c r="C456" s="31"/>
      <c r="D456" s="31"/>
      <c r="E456" s="31"/>
      <c r="F456" s="49"/>
      <c r="G456" s="50"/>
      <c r="H456" s="51"/>
      <c r="I456" s="52"/>
      <c r="J456" s="50"/>
      <c r="K456" s="53"/>
      <c r="L456" s="52"/>
      <c r="M456" s="54"/>
      <c r="N456" s="128"/>
      <c r="O456" s="129"/>
      <c r="P456" s="25"/>
    </row>
    <row r="457" spans="2:16" ht="17.25" customHeight="1">
      <c r="B457" s="127"/>
      <c r="C457" s="684"/>
      <c r="D457" s="684"/>
      <c r="E457" s="684"/>
      <c r="F457" s="684"/>
      <c r="G457" s="684"/>
      <c r="H457" s="684"/>
      <c r="I457" s="684"/>
      <c r="J457" s="684"/>
      <c r="K457" s="684"/>
      <c r="L457" s="684"/>
      <c r="M457" s="684"/>
      <c r="N457" s="684"/>
      <c r="O457" s="684"/>
      <c r="P457" s="117"/>
    </row>
    <row r="458" spans="2:16" ht="23.25">
      <c r="B458" s="125"/>
      <c r="C458" s="683" t="s">
        <v>247</v>
      </c>
      <c r="D458" s="683"/>
      <c r="E458" s="683"/>
      <c r="F458" s="683"/>
      <c r="G458" s="683"/>
      <c r="H458" s="683"/>
      <c r="I458" s="683"/>
      <c r="J458" s="683"/>
      <c r="K458" s="683"/>
      <c r="L458" s="683"/>
      <c r="M458" s="683"/>
      <c r="N458" s="683"/>
      <c r="O458" s="683"/>
      <c r="P458" s="118"/>
    </row>
    <row r="459" spans="2:17" ht="17.25" customHeight="1" thickBot="1">
      <c r="B459" s="125"/>
      <c r="C459" s="685"/>
      <c r="D459" s="685"/>
      <c r="E459" s="685"/>
      <c r="F459" s="685"/>
      <c r="G459" s="685"/>
      <c r="H459" s="685"/>
      <c r="I459" s="685"/>
      <c r="J459" s="685"/>
      <c r="K459" s="685"/>
      <c r="L459" s="685"/>
      <c r="M459" s="685"/>
      <c r="N459" s="685"/>
      <c r="O459" s="685"/>
      <c r="P459" s="118"/>
      <c r="Q459" s="25"/>
    </row>
    <row r="460" spans="2:17" ht="17.25" customHeight="1" thickBot="1">
      <c r="B460" s="125"/>
      <c r="C460" s="126"/>
      <c r="D460" s="126"/>
      <c r="E460" s="31"/>
      <c r="F460" s="32"/>
      <c r="G460" s="678" t="str">
        <f>$G$10</f>
        <v>2010 BILL</v>
      </c>
      <c r="H460" s="679"/>
      <c r="I460" s="680"/>
      <c r="J460" s="678" t="str">
        <f>$J$10</f>
        <v>2011 BILL</v>
      </c>
      <c r="K460" s="679"/>
      <c r="L460" s="680"/>
      <c r="M460" s="678" t="s">
        <v>69</v>
      </c>
      <c r="N460" s="679"/>
      <c r="O460" s="680"/>
      <c r="P460" s="118"/>
      <c r="Q460" s="25"/>
    </row>
    <row r="461" spans="2:17" ht="26.25" thickBot="1">
      <c r="B461" s="125"/>
      <c r="C461" s="31"/>
      <c r="D461" s="31"/>
      <c r="E461" s="33"/>
      <c r="F461" s="34"/>
      <c r="G461" s="285" t="s">
        <v>63</v>
      </c>
      <c r="H461" s="286" t="s">
        <v>64</v>
      </c>
      <c r="I461" s="287" t="s">
        <v>65</v>
      </c>
      <c r="J461" s="288" t="s">
        <v>63</v>
      </c>
      <c r="K461" s="286" t="s">
        <v>64</v>
      </c>
      <c r="L461" s="287" t="s">
        <v>65</v>
      </c>
      <c r="M461" s="145" t="s">
        <v>70</v>
      </c>
      <c r="N461" s="146" t="s">
        <v>71</v>
      </c>
      <c r="O461" s="147" t="s">
        <v>72</v>
      </c>
      <c r="P461" s="118"/>
      <c r="Q461" s="25"/>
    </row>
    <row r="462" spans="2:17" ht="17.25" customHeight="1" thickBot="1">
      <c r="B462" s="125"/>
      <c r="C462" s="681" t="s">
        <v>66</v>
      </c>
      <c r="D462" s="682"/>
      <c r="E462" s="31"/>
      <c r="F462" s="291" t="s">
        <v>67</v>
      </c>
      <c r="G462" s="289"/>
      <c r="H462" s="283"/>
      <c r="I462" s="158">
        <f>+'2010 Existing Rates'!$C$11</f>
        <v>926.33</v>
      </c>
      <c r="J462" s="156"/>
      <c r="K462" s="284"/>
      <c r="L462" s="185">
        <f>+'Rate Schedule (Part 1)'!$E$36</f>
        <v>1008.02</v>
      </c>
      <c r="M462" s="186">
        <f aca="true" t="shared" si="64" ref="M462:M467">+L462-I462</f>
        <v>81.68999999999994</v>
      </c>
      <c r="N462" s="187">
        <f>+M462/I462</f>
        <v>0.08818671531743541</v>
      </c>
      <c r="O462" s="179">
        <f>L462/L475</f>
        <v>0.012220777825852234</v>
      </c>
      <c r="P462" s="118"/>
      <c r="Q462" s="25"/>
    </row>
    <row r="463" spans="2:17" ht="17.25" customHeight="1" thickBot="1">
      <c r="B463" s="125"/>
      <c r="C463" s="123">
        <v>800000</v>
      </c>
      <c r="D463" s="124" t="s">
        <v>15</v>
      </c>
      <c r="E463" s="31"/>
      <c r="F463" s="292" t="s">
        <v>78</v>
      </c>
      <c r="G463" s="290">
        <f>+C464</f>
        <v>1000</v>
      </c>
      <c r="H463" s="149">
        <f>'2010 Existing Rates'!$D$61</f>
        <v>2.9296</v>
      </c>
      <c r="I463" s="164">
        <f>+G463*H463</f>
        <v>2929.6000000000004</v>
      </c>
      <c r="J463" s="155">
        <f>G463</f>
        <v>1000</v>
      </c>
      <c r="K463" s="148">
        <f>'Rate Schedule (Part 1)'!$E$37</f>
        <v>3.1373</v>
      </c>
      <c r="L463" s="168">
        <f>+J463*K463</f>
        <v>3137.3</v>
      </c>
      <c r="M463" s="186">
        <f t="shared" si="64"/>
        <v>207.69999999999982</v>
      </c>
      <c r="N463" s="187">
        <f>+M463/I463</f>
        <v>0.07089705079191691</v>
      </c>
      <c r="O463" s="179">
        <f>L463/L475</f>
        <v>0.038035203937467725</v>
      </c>
      <c r="P463" s="118"/>
      <c r="Q463" s="25"/>
    </row>
    <row r="464" spans="2:16" ht="17.25" customHeight="1" thickBot="1">
      <c r="B464" s="125"/>
      <c r="C464" s="123">
        <v>1000</v>
      </c>
      <c r="D464" s="124" t="s">
        <v>16</v>
      </c>
      <c r="E464" s="31"/>
      <c r="F464" s="292" t="s">
        <v>237</v>
      </c>
      <c r="G464" s="246">
        <f>G463</f>
        <v>1000</v>
      </c>
      <c r="H464" s="293">
        <f>'2010 Existing Rates'!$D$36</f>
        <v>0.1116</v>
      </c>
      <c r="I464" s="164">
        <f>+G464*H464</f>
        <v>111.60000000000001</v>
      </c>
      <c r="J464" s="155">
        <f>+C464</f>
        <v>1000</v>
      </c>
      <c r="K464" s="148">
        <f>'Rate Schedule (Part 1)'!$E$38</f>
        <v>0.0808</v>
      </c>
      <c r="L464" s="168">
        <f>+J464*K464</f>
        <v>80.8</v>
      </c>
      <c r="M464" s="186">
        <f t="shared" si="64"/>
        <v>-30.80000000000001</v>
      </c>
      <c r="N464" s="187">
        <f>+M464/I464</f>
        <v>-0.2759856630824374</v>
      </c>
      <c r="O464" s="179">
        <f>L464/L475</f>
        <v>0.000979582595909665</v>
      </c>
      <c r="P464" s="118"/>
    </row>
    <row r="465" spans="2:16" ht="17.25" customHeight="1">
      <c r="B465" s="125"/>
      <c r="C465" s="271"/>
      <c r="D465" s="282"/>
      <c r="E465" s="31"/>
      <c r="F465" s="152" t="s">
        <v>166</v>
      </c>
      <c r="G465" s="174"/>
      <c r="H465" s="173"/>
      <c r="I465" s="164">
        <f>'2010 Existing Rates'!$B$47</f>
        <v>2.16</v>
      </c>
      <c r="J465" s="174"/>
      <c r="K465" s="173"/>
      <c r="L465" s="164">
        <f>'2010 Existing Rates'!$B$47</f>
        <v>2.16</v>
      </c>
      <c r="M465" s="186">
        <f t="shared" si="64"/>
        <v>0</v>
      </c>
      <c r="N465" s="187">
        <f>+M465/I465</f>
        <v>0</v>
      </c>
      <c r="O465" s="179">
        <f>L465/L475</f>
        <v>2.6186861474812828E-05</v>
      </c>
      <c r="P465" s="118"/>
    </row>
    <row r="466" spans="2:16" ht="17.25" customHeight="1">
      <c r="B466" s="125"/>
      <c r="C466" s="62"/>
      <c r="D466" s="63"/>
      <c r="E466" s="31"/>
      <c r="F466" s="152" t="s">
        <v>238</v>
      </c>
      <c r="G466" s="155">
        <f>G464</f>
        <v>1000</v>
      </c>
      <c r="H466" s="149"/>
      <c r="I466" s="164">
        <f>+G466*H466</f>
        <v>0</v>
      </c>
      <c r="J466" s="155">
        <f>G466</f>
        <v>1000</v>
      </c>
      <c r="K466" s="148">
        <f>'Rate Schedule (Part 1)'!$E$39</f>
        <v>0</v>
      </c>
      <c r="L466" s="168">
        <f>+J466*K466</f>
        <v>0</v>
      </c>
      <c r="M466" s="186">
        <f t="shared" si="64"/>
        <v>0</v>
      </c>
      <c r="N466" s="187">
        <v>0</v>
      </c>
      <c r="O466" s="179">
        <f>L466/L475</f>
        <v>0</v>
      </c>
      <c r="P466" s="118"/>
    </row>
    <row r="467" spans="2:16" ht="17.25" customHeight="1" thickBot="1">
      <c r="B467" s="125"/>
      <c r="C467" s="31"/>
      <c r="D467" s="31"/>
      <c r="E467" s="31"/>
      <c r="F467" s="153" t="s">
        <v>239</v>
      </c>
      <c r="G467" s="155">
        <f>+C464</f>
        <v>1000</v>
      </c>
      <c r="H467" s="149">
        <f>'2010 Existing Rates'!$D$24</f>
        <v>-1.4024</v>
      </c>
      <c r="I467" s="168">
        <f>+G467*H467</f>
        <v>-1402.4</v>
      </c>
      <c r="J467" s="155">
        <f>+C464</f>
        <v>1000</v>
      </c>
      <c r="K467" s="148">
        <f>'Rate Schedule (Part 1)'!$E$41</f>
        <v>-0.41100197330267557</v>
      </c>
      <c r="L467" s="168">
        <f>+J467*K467</f>
        <v>-411.0019733026756</v>
      </c>
      <c r="M467" s="186">
        <f t="shared" si="64"/>
        <v>991.3980266973244</v>
      </c>
      <c r="N467" s="187">
        <f aca="true" t="shared" si="65" ref="N467:N475">+M467/I467</f>
        <v>-0.7069295683808645</v>
      </c>
      <c r="O467" s="179">
        <f>L467/L475</f>
        <v>-0.004982801731829576</v>
      </c>
      <c r="P467" s="118"/>
    </row>
    <row r="468" spans="2:16" ht="17.25" customHeight="1" thickBot="1">
      <c r="B468" s="125"/>
      <c r="C468" s="31"/>
      <c r="D468" s="31"/>
      <c r="E468" s="31"/>
      <c r="F468" s="476" t="s">
        <v>234</v>
      </c>
      <c r="G468" s="676"/>
      <c r="H468" s="677"/>
      <c r="I468" s="477">
        <f>SUM(I462:I467)</f>
        <v>2567.29</v>
      </c>
      <c r="J468" s="676"/>
      <c r="K468" s="677"/>
      <c r="L468" s="477">
        <f>SUM(L462:L467)</f>
        <v>3817.278026697324</v>
      </c>
      <c r="M468" s="480">
        <f>SUM(M462:M467)</f>
        <v>1249.9880266973241</v>
      </c>
      <c r="N468" s="481">
        <f t="shared" si="65"/>
        <v>0.4868900773567942</v>
      </c>
      <c r="O468" s="482">
        <f>SUM(O462:O467)</f>
        <v>0.046278949488874864</v>
      </c>
      <c r="P468" s="118"/>
    </row>
    <row r="469" spans="2:16" ht="17.25" customHeight="1" thickBot="1">
      <c r="B469" s="125"/>
      <c r="C469" s="31"/>
      <c r="D469" s="31"/>
      <c r="E469" s="31"/>
      <c r="F469" s="152" t="s">
        <v>240</v>
      </c>
      <c r="G469" s="273">
        <f>C464</f>
        <v>1000</v>
      </c>
      <c r="H469" s="274">
        <f>'Other Electriciy Rates'!$F$13</f>
        <v>4.2971</v>
      </c>
      <c r="I469" s="164">
        <f>+G469*H469</f>
        <v>4297.1</v>
      </c>
      <c r="J469" s="273">
        <f>C464</f>
        <v>1000</v>
      </c>
      <c r="K469" s="274">
        <f>'Other Electriciy Rates'!$F$28</f>
        <v>4.104700483312957</v>
      </c>
      <c r="L469" s="164">
        <f>+J469*K469</f>
        <v>4104.700483312957</v>
      </c>
      <c r="M469" s="275">
        <f aca="true" t="shared" si="66" ref="M469:M475">+L469-I469</f>
        <v>-192.39951668704362</v>
      </c>
      <c r="N469" s="176">
        <f t="shared" si="65"/>
        <v>-0.04477427024901529</v>
      </c>
      <c r="O469" s="179">
        <f>L469/L475</f>
        <v>0.04976352914449706</v>
      </c>
      <c r="P469" s="118"/>
    </row>
    <row r="470" spans="2:16" ht="17.25" customHeight="1" thickBot="1">
      <c r="B470" s="125"/>
      <c r="C470" s="31"/>
      <c r="D470" s="31"/>
      <c r="E470" s="31"/>
      <c r="F470" s="476" t="s">
        <v>236</v>
      </c>
      <c r="G470" s="676"/>
      <c r="H470" s="677"/>
      <c r="I470" s="477">
        <f>I468+I469</f>
        <v>6864.39</v>
      </c>
      <c r="J470" s="676"/>
      <c r="K470" s="677"/>
      <c r="L470" s="477">
        <f>L468+L469</f>
        <v>7921.978510010281</v>
      </c>
      <c r="M470" s="480">
        <f t="shared" si="66"/>
        <v>1057.5885100102805</v>
      </c>
      <c r="N470" s="481">
        <f t="shared" si="65"/>
        <v>0.15406882621912224</v>
      </c>
      <c r="O470" s="483">
        <f>L470/L475</f>
        <v>0.09604247863337191</v>
      </c>
      <c r="P470" s="118"/>
    </row>
    <row r="471" spans="2:16" ht="17.25" customHeight="1">
      <c r="B471" s="125"/>
      <c r="C471" s="31"/>
      <c r="D471" s="31"/>
      <c r="E471" s="31"/>
      <c r="F471" s="150" t="s">
        <v>73</v>
      </c>
      <c r="G471" s="156">
        <f>C463*'Other Electriciy Rates'!$L$13</f>
        <v>828079.9999999999</v>
      </c>
      <c r="H471" s="157">
        <f>'Other Electriciy Rates'!$C$13+'Other Electriciy Rates'!$D$13</f>
        <v>0.0135</v>
      </c>
      <c r="I471" s="158">
        <f>+G471*H471</f>
        <v>11179.079999999998</v>
      </c>
      <c r="J471" s="156">
        <f>C463*'Other Electriciy Rates'!$L$28</f>
        <v>828952.9983413825</v>
      </c>
      <c r="K471" s="157">
        <f>'Other Electriciy Rates'!$C$28+'Other Electriciy Rates'!$D$28</f>
        <v>0.0135</v>
      </c>
      <c r="L471" s="185">
        <f>+J471*K471</f>
        <v>11190.865477608664</v>
      </c>
      <c r="M471" s="186">
        <f t="shared" si="66"/>
        <v>11.785477608666042</v>
      </c>
      <c r="N471" s="187">
        <f t="shared" si="65"/>
        <v>0.0010542439636057747</v>
      </c>
      <c r="O471" s="179">
        <f>L471/L475</f>
        <v>0.13567298335435332</v>
      </c>
      <c r="P471" s="118"/>
    </row>
    <row r="472" spans="2:16" ht="17.25" customHeight="1" thickBot="1">
      <c r="B472" s="125"/>
      <c r="C472" s="31"/>
      <c r="D472" s="31"/>
      <c r="E472" s="31"/>
      <c r="F472" s="150" t="s">
        <v>74</v>
      </c>
      <c r="G472" s="156">
        <f>G471</f>
        <v>828079.9999999999</v>
      </c>
      <c r="H472" s="157">
        <f>+'Other Electriciy Rates'!$J$13</f>
        <v>0.065</v>
      </c>
      <c r="I472" s="158">
        <f>+G472*H472</f>
        <v>53825.2</v>
      </c>
      <c r="J472" s="156">
        <f>J471</f>
        <v>828952.9983413825</v>
      </c>
      <c r="K472" s="157">
        <f>'Other Electriciy Rates'!$J$28</f>
        <v>0.065</v>
      </c>
      <c r="L472" s="185">
        <f>+J472*K472</f>
        <v>53881.944892189866</v>
      </c>
      <c r="M472" s="186">
        <f t="shared" si="66"/>
        <v>56.74489218986855</v>
      </c>
      <c r="N472" s="187">
        <f t="shared" si="65"/>
        <v>0.001054243963605682</v>
      </c>
      <c r="O472" s="179">
        <f>L472/L475</f>
        <v>0.6532402902246641</v>
      </c>
      <c r="P472" s="118"/>
    </row>
    <row r="473" spans="2:16" ht="17.25" customHeight="1" thickBot="1">
      <c r="B473" s="125"/>
      <c r="C473" s="31"/>
      <c r="D473" s="31"/>
      <c r="E473" s="31"/>
      <c r="F473" s="476" t="s">
        <v>191</v>
      </c>
      <c r="G473" s="676"/>
      <c r="H473" s="677"/>
      <c r="I473" s="477">
        <f>SUM(I470:I472)</f>
        <v>71868.67</v>
      </c>
      <c r="J473" s="676"/>
      <c r="K473" s="677"/>
      <c r="L473" s="477">
        <f>SUM(L470:L472)</f>
        <v>72994.78887980881</v>
      </c>
      <c r="M473" s="477">
        <f t="shared" si="66"/>
        <v>1126.1188798088115</v>
      </c>
      <c r="N473" s="481">
        <f t="shared" si="65"/>
        <v>0.015669120909136226</v>
      </c>
      <c r="O473" s="483">
        <f>L473/L475</f>
        <v>0.8849557522123893</v>
      </c>
      <c r="P473" s="118"/>
    </row>
    <row r="474" spans="2:16" ht="17.25" customHeight="1" thickBot="1">
      <c r="B474" s="125"/>
      <c r="C474" s="31"/>
      <c r="D474" s="31"/>
      <c r="E474" s="31"/>
      <c r="F474" s="222" t="s">
        <v>323</v>
      </c>
      <c r="G474" s="223"/>
      <c r="H474" s="227">
        <v>0.13</v>
      </c>
      <c r="I474" s="224">
        <f>I473*H474</f>
        <v>9342.9271</v>
      </c>
      <c r="J474" s="223"/>
      <c r="K474" s="227">
        <v>0.13</v>
      </c>
      <c r="L474" s="225">
        <f>L473*K474</f>
        <v>9489.322554375145</v>
      </c>
      <c r="M474" s="183">
        <f t="shared" si="66"/>
        <v>146.39545437514425</v>
      </c>
      <c r="N474" s="184">
        <f t="shared" si="65"/>
        <v>0.015669120909136094</v>
      </c>
      <c r="O474" s="189">
        <f>L474/L475</f>
        <v>0.11504424778761062</v>
      </c>
      <c r="P474" s="118"/>
    </row>
    <row r="475" spans="2:16" ht="17.25" customHeight="1" thickBot="1">
      <c r="B475" s="125"/>
      <c r="C475" s="31"/>
      <c r="D475" s="31"/>
      <c r="E475" s="35"/>
      <c r="F475" s="490" t="s">
        <v>75</v>
      </c>
      <c r="G475" s="676"/>
      <c r="H475" s="677"/>
      <c r="I475" s="477">
        <f>I473+I474</f>
        <v>81211.5971</v>
      </c>
      <c r="J475" s="676"/>
      <c r="K475" s="677"/>
      <c r="L475" s="477">
        <f>L473+L474</f>
        <v>82484.11143418396</v>
      </c>
      <c r="M475" s="477">
        <f t="shared" si="66"/>
        <v>1272.5143341839575</v>
      </c>
      <c r="N475" s="481">
        <f t="shared" si="65"/>
        <v>0.015669120909136233</v>
      </c>
      <c r="O475" s="482">
        <f>O473+O474</f>
        <v>0.9999999999999999</v>
      </c>
      <c r="P475" s="118"/>
    </row>
    <row r="476" spans="2:16" ht="17.25" customHeight="1" thickBot="1">
      <c r="B476" s="119"/>
      <c r="C476" s="131"/>
      <c r="D476" s="131"/>
      <c r="E476" s="131"/>
      <c r="F476" s="132"/>
      <c r="G476" s="133"/>
      <c r="H476" s="134"/>
      <c r="I476" s="135"/>
      <c r="J476" s="133"/>
      <c r="K476" s="136"/>
      <c r="L476" s="135"/>
      <c r="M476" s="137"/>
      <c r="N476" s="138"/>
      <c r="O476" s="139"/>
      <c r="P476" s="120"/>
    </row>
    <row r="477" spans="2:16" ht="17.25" customHeight="1" thickBot="1">
      <c r="B477" s="25"/>
      <c r="C477" s="31"/>
      <c r="D477" s="31"/>
      <c r="E477" s="31"/>
      <c r="F477" s="49"/>
      <c r="G477" s="50"/>
      <c r="H477" s="51"/>
      <c r="I477" s="52"/>
      <c r="J477" s="50"/>
      <c r="K477" s="53"/>
      <c r="L477" s="52"/>
      <c r="M477" s="54"/>
      <c r="N477" s="128"/>
      <c r="O477" s="129"/>
      <c r="P477" s="25"/>
    </row>
    <row r="478" spans="2:16" ht="17.25" customHeight="1">
      <c r="B478" s="127"/>
      <c r="C478" s="684"/>
      <c r="D478" s="684"/>
      <c r="E478" s="684"/>
      <c r="F478" s="684"/>
      <c r="G478" s="684"/>
      <c r="H478" s="684"/>
      <c r="I478" s="684"/>
      <c r="J478" s="684"/>
      <c r="K478" s="684"/>
      <c r="L478" s="684"/>
      <c r="M478" s="684"/>
      <c r="N478" s="684"/>
      <c r="O478" s="684"/>
      <c r="P478" s="117"/>
    </row>
    <row r="479" spans="2:16" ht="23.25">
      <c r="B479" s="125"/>
      <c r="C479" s="683" t="s">
        <v>247</v>
      </c>
      <c r="D479" s="683"/>
      <c r="E479" s="683"/>
      <c r="F479" s="683"/>
      <c r="G479" s="683"/>
      <c r="H479" s="683"/>
      <c r="I479" s="683"/>
      <c r="J479" s="683"/>
      <c r="K479" s="683"/>
      <c r="L479" s="683"/>
      <c r="M479" s="683"/>
      <c r="N479" s="683"/>
      <c r="O479" s="683"/>
      <c r="P479" s="118"/>
    </row>
    <row r="480" spans="2:17" ht="17.25" customHeight="1" thickBot="1">
      <c r="B480" s="125"/>
      <c r="C480" s="685"/>
      <c r="D480" s="685"/>
      <c r="E480" s="685"/>
      <c r="F480" s="685"/>
      <c r="G480" s="685"/>
      <c r="H480" s="685"/>
      <c r="I480" s="685"/>
      <c r="J480" s="685"/>
      <c r="K480" s="685"/>
      <c r="L480" s="685"/>
      <c r="M480" s="685"/>
      <c r="N480" s="685"/>
      <c r="O480" s="685"/>
      <c r="P480" s="118"/>
      <c r="Q480" s="25"/>
    </row>
    <row r="481" spans="2:17" ht="17.25" customHeight="1" thickBot="1">
      <c r="B481" s="125"/>
      <c r="C481" s="126"/>
      <c r="D481" s="126"/>
      <c r="E481" s="31"/>
      <c r="F481" s="32"/>
      <c r="G481" s="678" t="str">
        <f>$G$10</f>
        <v>2010 BILL</v>
      </c>
      <c r="H481" s="679"/>
      <c r="I481" s="680"/>
      <c r="J481" s="678" t="str">
        <f>$J$10</f>
        <v>2011 BILL</v>
      </c>
      <c r="K481" s="679"/>
      <c r="L481" s="680"/>
      <c r="M481" s="678" t="s">
        <v>69</v>
      </c>
      <c r="N481" s="679"/>
      <c r="O481" s="680"/>
      <c r="P481" s="118"/>
      <c r="Q481" s="25"/>
    </row>
    <row r="482" spans="2:17" ht="26.25" thickBot="1">
      <c r="B482" s="125"/>
      <c r="C482" s="31"/>
      <c r="D482" s="31"/>
      <c r="E482" s="33"/>
      <c r="F482" s="34"/>
      <c r="G482" s="285" t="s">
        <v>63</v>
      </c>
      <c r="H482" s="286" t="s">
        <v>64</v>
      </c>
      <c r="I482" s="287" t="s">
        <v>65</v>
      </c>
      <c r="J482" s="288" t="s">
        <v>63</v>
      </c>
      <c r="K482" s="286" t="s">
        <v>64</v>
      </c>
      <c r="L482" s="287" t="s">
        <v>65</v>
      </c>
      <c r="M482" s="145" t="s">
        <v>70</v>
      </c>
      <c r="N482" s="146" t="s">
        <v>71</v>
      </c>
      <c r="O482" s="147" t="s">
        <v>72</v>
      </c>
      <c r="P482" s="118"/>
      <c r="Q482" s="25"/>
    </row>
    <row r="483" spans="2:17" ht="17.25" customHeight="1" thickBot="1">
      <c r="B483" s="125"/>
      <c r="C483" s="681" t="s">
        <v>66</v>
      </c>
      <c r="D483" s="682"/>
      <c r="E483" s="31"/>
      <c r="F483" s="291" t="s">
        <v>67</v>
      </c>
      <c r="G483" s="289"/>
      <c r="H483" s="283"/>
      <c r="I483" s="158">
        <f>+'2010 Existing Rates'!$C$11</f>
        <v>926.33</v>
      </c>
      <c r="J483" s="156"/>
      <c r="K483" s="284"/>
      <c r="L483" s="185">
        <f>+'Rate Schedule (Part 1)'!$E$36</f>
        <v>1008.02</v>
      </c>
      <c r="M483" s="186">
        <f aca="true" t="shared" si="67" ref="M483:M488">+L483-I483</f>
        <v>81.68999999999994</v>
      </c>
      <c r="N483" s="187">
        <f>+M483/I483</f>
        <v>0.08818671531743541</v>
      </c>
      <c r="O483" s="179">
        <f>L483/L496</f>
        <v>0.005617356892941368</v>
      </c>
      <c r="P483" s="118"/>
      <c r="Q483" s="25"/>
    </row>
    <row r="484" spans="2:17" ht="17.25" customHeight="1" thickBot="1">
      <c r="B484" s="125"/>
      <c r="C484" s="123">
        <v>1600000</v>
      </c>
      <c r="D484" s="124" t="s">
        <v>15</v>
      </c>
      <c r="E484" s="31"/>
      <c r="F484" s="292" t="s">
        <v>78</v>
      </c>
      <c r="G484" s="290">
        <f>+C485</f>
        <v>4000</v>
      </c>
      <c r="H484" s="149">
        <f>'2010 Existing Rates'!$D$61</f>
        <v>2.9296</v>
      </c>
      <c r="I484" s="164">
        <f>+G484*H484</f>
        <v>11718.400000000001</v>
      </c>
      <c r="J484" s="155">
        <f>G484</f>
        <v>4000</v>
      </c>
      <c r="K484" s="148">
        <f>'Rate Schedule (Part 1)'!$E$37</f>
        <v>3.1373</v>
      </c>
      <c r="L484" s="168">
        <f>+J484*K484</f>
        <v>12549.2</v>
      </c>
      <c r="M484" s="186">
        <f t="shared" si="67"/>
        <v>830.7999999999993</v>
      </c>
      <c r="N484" s="187">
        <f>+M484/I484</f>
        <v>0.07089705079191691</v>
      </c>
      <c r="O484" s="179">
        <f>L484/L496</f>
        <v>0.06993247665810184</v>
      </c>
      <c r="P484" s="118"/>
      <c r="Q484" s="25"/>
    </row>
    <row r="485" spans="2:16" ht="17.25" customHeight="1" thickBot="1">
      <c r="B485" s="125"/>
      <c r="C485" s="123">
        <v>4000</v>
      </c>
      <c r="D485" s="124" t="s">
        <v>16</v>
      </c>
      <c r="E485" s="31"/>
      <c r="F485" s="292" t="s">
        <v>237</v>
      </c>
      <c r="G485" s="246">
        <f>G484</f>
        <v>4000</v>
      </c>
      <c r="H485" s="293">
        <f>'2010 Existing Rates'!$D$36</f>
        <v>0.1116</v>
      </c>
      <c r="I485" s="164">
        <f>+G485*H485</f>
        <v>446.40000000000003</v>
      </c>
      <c r="J485" s="155">
        <f>+C485</f>
        <v>4000</v>
      </c>
      <c r="K485" s="148">
        <f>'Rate Schedule (Part 1)'!$E$38</f>
        <v>0.0808</v>
      </c>
      <c r="L485" s="168">
        <f>+J485*K485</f>
        <v>323.2</v>
      </c>
      <c r="M485" s="186">
        <f t="shared" si="67"/>
        <v>-123.20000000000005</v>
      </c>
      <c r="N485" s="187">
        <f>+M485/I485</f>
        <v>-0.2759856630824374</v>
      </c>
      <c r="O485" s="179">
        <f>L485/L496</f>
        <v>0.0018010850457318805</v>
      </c>
      <c r="P485" s="118"/>
    </row>
    <row r="486" spans="2:16" ht="17.25" customHeight="1">
      <c r="B486" s="125"/>
      <c r="C486" s="271"/>
      <c r="D486" s="282"/>
      <c r="E486" s="31"/>
      <c r="F486" s="152" t="s">
        <v>166</v>
      </c>
      <c r="G486" s="174"/>
      <c r="H486" s="173"/>
      <c r="I486" s="164">
        <f>'2010 Existing Rates'!$B$47</f>
        <v>2.16</v>
      </c>
      <c r="J486" s="174"/>
      <c r="K486" s="173"/>
      <c r="L486" s="164">
        <f>'2010 Existing Rates'!$B$47</f>
        <v>2.16</v>
      </c>
      <c r="M486" s="186">
        <f t="shared" si="67"/>
        <v>0</v>
      </c>
      <c r="N486" s="187">
        <f>+M486/I486</f>
        <v>0</v>
      </c>
      <c r="O486" s="179">
        <f>L486/L496</f>
        <v>1.2036954513554649E-05</v>
      </c>
      <c r="P486" s="118"/>
    </row>
    <row r="487" spans="2:16" ht="17.25" customHeight="1">
      <c r="B487" s="125"/>
      <c r="C487" s="62"/>
      <c r="D487" s="63"/>
      <c r="E487" s="31"/>
      <c r="F487" s="152" t="s">
        <v>238</v>
      </c>
      <c r="G487" s="155">
        <f>G485</f>
        <v>4000</v>
      </c>
      <c r="H487" s="149"/>
      <c r="I487" s="164">
        <f>+G487*H487</f>
        <v>0</v>
      </c>
      <c r="J487" s="155">
        <f>G487</f>
        <v>4000</v>
      </c>
      <c r="K487" s="148">
        <f>'Rate Schedule (Part 1)'!$E$39</f>
        <v>0</v>
      </c>
      <c r="L487" s="168">
        <f>+J487*K487</f>
        <v>0</v>
      </c>
      <c r="M487" s="186">
        <f t="shared" si="67"/>
        <v>0</v>
      </c>
      <c r="N487" s="187">
        <v>0</v>
      </c>
      <c r="O487" s="179">
        <f>L487/L496</f>
        <v>0</v>
      </c>
      <c r="P487" s="118"/>
    </row>
    <row r="488" spans="2:16" ht="17.25" customHeight="1" thickBot="1">
      <c r="B488" s="125"/>
      <c r="C488" s="31"/>
      <c r="D488" s="31"/>
      <c r="E488" s="31"/>
      <c r="F488" s="153" t="s">
        <v>239</v>
      </c>
      <c r="G488" s="155">
        <f>+C485</f>
        <v>4000</v>
      </c>
      <c r="H488" s="149">
        <f>'2010 Existing Rates'!$D$24</f>
        <v>-1.4024</v>
      </c>
      <c r="I488" s="168">
        <f>+G488*H488</f>
        <v>-5609.6</v>
      </c>
      <c r="J488" s="155">
        <f>+C485</f>
        <v>4000</v>
      </c>
      <c r="K488" s="148">
        <f>'Rate Schedule (Part 1)'!$E$41</f>
        <v>-0.41100197330267557</v>
      </c>
      <c r="L488" s="168">
        <f>+J488*K488</f>
        <v>-1644.0078932107024</v>
      </c>
      <c r="M488" s="186">
        <f t="shared" si="67"/>
        <v>3965.5921067892978</v>
      </c>
      <c r="N488" s="187">
        <f aca="true" t="shared" si="68" ref="N488:N496">+M488/I488</f>
        <v>-0.7069295683808645</v>
      </c>
      <c r="O488" s="179">
        <f>L488/L496</f>
        <v>-0.009161503810417608</v>
      </c>
      <c r="P488" s="118"/>
    </row>
    <row r="489" spans="2:16" ht="17.25" customHeight="1" thickBot="1">
      <c r="B489" s="125"/>
      <c r="C489" s="31"/>
      <c r="D489" s="31"/>
      <c r="E489" s="31"/>
      <c r="F489" s="476" t="s">
        <v>234</v>
      </c>
      <c r="G489" s="676"/>
      <c r="H489" s="677"/>
      <c r="I489" s="477">
        <f>SUM(I483:I488)</f>
        <v>7483.6900000000005</v>
      </c>
      <c r="J489" s="676"/>
      <c r="K489" s="677"/>
      <c r="L489" s="477">
        <f>SUM(L483:L488)</f>
        <v>12238.5721067893</v>
      </c>
      <c r="M489" s="480">
        <f>SUM(M483:M488)</f>
        <v>4754.882106789297</v>
      </c>
      <c r="N489" s="481">
        <f t="shared" si="68"/>
        <v>0.6353659901451418</v>
      </c>
      <c r="O489" s="482">
        <f>SUM(O483:O488)</f>
        <v>0.06820145174087104</v>
      </c>
      <c r="P489" s="118"/>
    </row>
    <row r="490" spans="2:16" ht="17.25" customHeight="1" thickBot="1">
      <c r="B490" s="125"/>
      <c r="C490" s="31"/>
      <c r="D490" s="31"/>
      <c r="E490" s="31"/>
      <c r="F490" s="152" t="s">
        <v>240</v>
      </c>
      <c r="G490" s="273">
        <f>C485</f>
        <v>4000</v>
      </c>
      <c r="H490" s="274">
        <f>'Other Electriciy Rates'!$F$13</f>
        <v>4.2971</v>
      </c>
      <c r="I490" s="164">
        <f>+G490*H490</f>
        <v>17188.4</v>
      </c>
      <c r="J490" s="273">
        <f>C485</f>
        <v>4000</v>
      </c>
      <c r="K490" s="274">
        <f>'Other Electriciy Rates'!$F$28</f>
        <v>4.104700483312957</v>
      </c>
      <c r="L490" s="164">
        <f>+J490*K490</f>
        <v>16418.801933251827</v>
      </c>
      <c r="M490" s="275">
        <f aca="true" t="shared" si="69" ref="M490:M496">+L490-I490</f>
        <v>-769.5980667481745</v>
      </c>
      <c r="N490" s="176">
        <f t="shared" si="68"/>
        <v>-0.04477427024901529</v>
      </c>
      <c r="O490" s="179">
        <f>L490/L496</f>
        <v>0.09149646853593303</v>
      </c>
      <c r="P490" s="118"/>
    </row>
    <row r="491" spans="2:16" ht="17.25" customHeight="1" thickBot="1">
      <c r="B491" s="125"/>
      <c r="C491" s="31"/>
      <c r="D491" s="31"/>
      <c r="E491" s="31"/>
      <c r="F491" s="476" t="s">
        <v>236</v>
      </c>
      <c r="G491" s="676"/>
      <c r="H491" s="677"/>
      <c r="I491" s="477">
        <f>I489+I490</f>
        <v>24672.090000000004</v>
      </c>
      <c r="J491" s="676"/>
      <c r="K491" s="677"/>
      <c r="L491" s="477">
        <f>L489+L490</f>
        <v>28657.374040041126</v>
      </c>
      <c r="M491" s="480">
        <f t="shared" si="69"/>
        <v>3985.2840400411224</v>
      </c>
      <c r="N491" s="481">
        <f t="shared" si="68"/>
        <v>0.16153005440727242</v>
      </c>
      <c r="O491" s="483">
        <f>L491/L496</f>
        <v>0.15969792027680407</v>
      </c>
      <c r="P491" s="118"/>
    </row>
    <row r="492" spans="2:16" ht="17.25" customHeight="1">
      <c r="B492" s="125"/>
      <c r="C492" s="31"/>
      <c r="D492" s="31"/>
      <c r="E492" s="31"/>
      <c r="F492" s="150" t="s">
        <v>73</v>
      </c>
      <c r="G492" s="156">
        <f>C484*'Other Electriciy Rates'!$L$13</f>
        <v>1656159.9999999998</v>
      </c>
      <c r="H492" s="157">
        <f>'Other Electriciy Rates'!$C$13+'Other Electriciy Rates'!$D$13</f>
        <v>0.0135</v>
      </c>
      <c r="I492" s="158">
        <f>+G492*H492</f>
        <v>22358.159999999996</v>
      </c>
      <c r="J492" s="156">
        <f>C484*'Other Electriciy Rates'!$L$28</f>
        <v>1657905.996682765</v>
      </c>
      <c r="K492" s="157">
        <f>'Other Electriciy Rates'!$C$28+'Other Electriciy Rates'!$D$28</f>
        <v>0.0135</v>
      </c>
      <c r="L492" s="185">
        <f>+J492*K492</f>
        <v>22381.73095521733</v>
      </c>
      <c r="M492" s="186">
        <f t="shared" si="69"/>
        <v>23.570955217332084</v>
      </c>
      <c r="N492" s="187">
        <f t="shared" si="68"/>
        <v>0.0010542439636057747</v>
      </c>
      <c r="O492" s="179">
        <f>L492/L496</f>
        <v>0.12472586918637453</v>
      </c>
      <c r="P492" s="118"/>
    </row>
    <row r="493" spans="2:16" ht="17.25" customHeight="1" thickBot="1">
      <c r="B493" s="125"/>
      <c r="C493" s="31"/>
      <c r="D493" s="31"/>
      <c r="E493" s="31"/>
      <c r="F493" s="150" t="s">
        <v>74</v>
      </c>
      <c r="G493" s="156">
        <f>G492</f>
        <v>1656159.9999999998</v>
      </c>
      <c r="H493" s="157">
        <f>+'Other Electriciy Rates'!$J$13</f>
        <v>0.065</v>
      </c>
      <c r="I493" s="158">
        <f>+G493*H493</f>
        <v>107650.4</v>
      </c>
      <c r="J493" s="156">
        <f>J492</f>
        <v>1657905.996682765</v>
      </c>
      <c r="K493" s="157">
        <f>'Other Electriciy Rates'!$J$28</f>
        <v>0.065</v>
      </c>
      <c r="L493" s="185">
        <f>+J493*K493</f>
        <v>107763.88978437973</v>
      </c>
      <c r="M493" s="186">
        <f t="shared" si="69"/>
        <v>113.4897843797371</v>
      </c>
      <c r="N493" s="187">
        <f t="shared" si="68"/>
        <v>0.001054243963605682</v>
      </c>
      <c r="O493" s="179">
        <f>L493/L496</f>
        <v>0.6005319627492107</v>
      </c>
      <c r="P493" s="118"/>
    </row>
    <row r="494" spans="2:16" ht="17.25" customHeight="1" thickBot="1">
      <c r="B494" s="125"/>
      <c r="C494" s="31"/>
      <c r="D494" s="31"/>
      <c r="E494" s="31"/>
      <c r="F494" s="476" t="s">
        <v>191</v>
      </c>
      <c r="G494" s="676"/>
      <c r="H494" s="677"/>
      <c r="I494" s="477">
        <f>SUM(I491:I493)</f>
        <v>154680.65</v>
      </c>
      <c r="J494" s="676"/>
      <c r="K494" s="677"/>
      <c r="L494" s="477">
        <f>SUM(L491:L493)</f>
        <v>158802.9947796382</v>
      </c>
      <c r="M494" s="477">
        <f t="shared" si="69"/>
        <v>4122.344779638195</v>
      </c>
      <c r="N494" s="481">
        <f t="shared" si="68"/>
        <v>0.026650681773306456</v>
      </c>
      <c r="O494" s="483">
        <f>L494/L496</f>
        <v>0.8849557522123894</v>
      </c>
      <c r="P494" s="118"/>
    </row>
    <row r="495" spans="2:16" ht="17.25" customHeight="1" thickBot="1">
      <c r="B495" s="125"/>
      <c r="C495" s="31"/>
      <c r="D495" s="31"/>
      <c r="E495" s="31"/>
      <c r="F495" s="222" t="s">
        <v>323</v>
      </c>
      <c r="G495" s="223"/>
      <c r="H495" s="227">
        <v>0.13</v>
      </c>
      <c r="I495" s="224">
        <f>I494*H495</f>
        <v>20108.4845</v>
      </c>
      <c r="J495" s="223"/>
      <c r="K495" s="227">
        <v>0.13</v>
      </c>
      <c r="L495" s="225">
        <f>L494*K495</f>
        <v>20644.389321352966</v>
      </c>
      <c r="M495" s="183">
        <f t="shared" si="69"/>
        <v>535.9048213529677</v>
      </c>
      <c r="N495" s="184">
        <f t="shared" si="68"/>
        <v>0.026650681773306574</v>
      </c>
      <c r="O495" s="189">
        <f>L495/L496</f>
        <v>0.11504424778761063</v>
      </c>
      <c r="P495" s="118"/>
    </row>
    <row r="496" spans="2:16" ht="17.25" customHeight="1" thickBot="1">
      <c r="B496" s="125"/>
      <c r="C496" s="31"/>
      <c r="D496" s="31"/>
      <c r="E496" s="35"/>
      <c r="F496" s="490" t="s">
        <v>75</v>
      </c>
      <c r="G496" s="676"/>
      <c r="H496" s="677"/>
      <c r="I496" s="477">
        <f>I494+I495</f>
        <v>174789.1345</v>
      </c>
      <c r="J496" s="676"/>
      <c r="K496" s="677"/>
      <c r="L496" s="477">
        <f>L494+L495</f>
        <v>179447.38410099116</v>
      </c>
      <c r="M496" s="477">
        <f t="shared" si="69"/>
        <v>4658.24960099117</v>
      </c>
      <c r="N496" s="481">
        <f t="shared" si="68"/>
        <v>0.02665068177330651</v>
      </c>
      <c r="O496" s="482">
        <f>O494+O495</f>
        <v>1</v>
      </c>
      <c r="P496" s="118"/>
    </row>
    <row r="497" spans="2:16" ht="17.25" customHeight="1" thickBot="1">
      <c r="B497" s="119"/>
      <c r="C497" s="131"/>
      <c r="D497" s="131"/>
      <c r="E497" s="131"/>
      <c r="F497" s="132"/>
      <c r="G497" s="133"/>
      <c r="H497" s="134"/>
      <c r="I497" s="135"/>
      <c r="J497" s="133"/>
      <c r="K497" s="136"/>
      <c r="L497" s="135"/>
      <c r="M497" s="137"/>
      <c r="N497" s="138"/>
      <c r="O497" s="139"/>
      <c r="P497" s="120"/>
    </row>
    <row r="498" spans="2:16" ht="18" customHeight="1" thickBot="1">
      <c r="B498" s="25"/>
      <c r="C498" s="31"/>
      <c r="D498" s="31"/>
      <c r="E498" s="31"/>
      <c r="F498" s="49"/>
      <c r="G498" s="50"/>
      <c r="H498" s="51"/>
      <c r="I498" s="52"/>
      <c r="J498" s="50"/>
      <c r="K498" s="53"/>
      <c r="L498" s="52"/>
      <c r="M498" s="54"/>
      <c r="N498" s="128"/>
      <c r="O498" s="129"/>
      <c r="P498" s="25"/>
    </row>
    <row r="499" spans="2:16" ht="17.25" customHeight="1">
      <c r="B499" s="127"/>
      <c r="C499" s="684"/>
      <c r="D499" s="684"/>
      <c r="E499" s="684"/>
      <c r="F499" s="684"/>
      <c r="G499" s="684"/>
      <c r="H499" s="684"/>
      <c r="I499" s="684"/>
      <c r="J499" s="684"/>
      <c r="K499" s="684"/>
      <c r="L499" s="684"/>
      <c r="M499" s="684"/>
      <c r="N499" s="684"/>
      <c r="O499" s="684"/>
      <c r="P499" s="117"/>
    </row>
    <row r="500" spans="2:16" ht="23.25">
      <c r="B500" s="125"/>
      <c r="C500" s="683" t="s">
        <v>247</v>
      </c>
      <c r="D500" s="683"/>
      <c r="E500" s="683"/>
      <c r="F500" s="683"/>
      <c r="G500" s="683"/>
      <c r="H500" s="683"/>
      <c r="I500" s="683"/>
      <c r="J500" s="683"/>
      <c r="K500" s="683"/>
      <c r="L500" s="683"/>
      <c r="M500" s="683"/>
      <c r="N500" s="683"/>
      <c r="O500" s="683"/>
      <c r="P500" s="118"/>
    </row>
    <row r="501" spans="2:17" ht="17.25" customHeight="1" thickBot="1">
      <c r="B501" s="125"/>
      <c r="C501" s="685"/>
      <c r="D501" s="685"/>
      <c r="E501" s="685"/>
      <c r="F501" s="685"/>
      <c r="G501" s="685"/>
      <c r="H501" s="685"/>
      <c r="I501" s="685"/>
      <c r="J501" s="685"/>
      <c r="K501" s="685"/>
      <c r="L501" s="685"/>
      <c r="M501" s="685"/>
      <c r="N501" s="685"/>
      <c r="O501" s="685"/>
      <c r="P501" s="118"/>
      <c r="Q501" s="25"/>
    </row>
    <row r="502" spans="2:17" ht="17.25" customHeight="1" thickBot="1">
      <c r="B502" s="125"/>
      <c r="C502" s="126"/>
      <c r="D502" s="126"/>
      <c r="E502" s="31"/>
      <c r="F502" s="32"/>
      <c r="G502" s="678" t="str">
        <f>$G$10</f>
        <v>2010 BILL</v>
      </c>
      <c r="H502" s="679"/>
      <c r="I502" s="680"/>
      <c r="J502" s="678" t="str">
        <f>$J$10</f>
        <v>2011 BILL</v>
      </c>
      <c r="K502" s="679"/>
      <c r="L502" s="680"/>
      <c r="M502" s="678" t="s">
        <v>69</v>
      </c>
      <c r="N502" s="679"/>
      <c r="O502" s="680"/>
      <c r="P502" s="118"/>
      <c r="Q502" s="25"/>
    </row>
    <row r="503" spans="2:17" ht="26.25" thickBot="1">
      <c r="B503" s="125"/>
      <c r="C503" s="31"/>
      <c r="D503" s="31"/>
      <c r="E503" s="33"/>
      <c r="F503" s="34"/>
      <c r="G503" s="285" t="s">
        <v>63</v>
      </c>
      <c r="H503" s="286" t="s">
        <v>64</v>
      </c>
      <c r="I503" s="287" t="s">
        <v>65</v>
      </c>
      <c r="J503" s="288" t="s">
        <v>63</v>
      </c>
      <c r="K503" s="286" t="s">
        <v>64</v>
      </c>
      <c r="L503" s="287" t="s">
        <v>65</v>
      </c>
      <c r="M503" s="145" t="s">
        <v>70</v>
      </c>
      <c r="N503" s="146" t="s">
        <v>71</v>
      </c>
      <c r="O503" s="147" t="s">
        <v>72</v>
      </c>
      <c r="P503" s="118"/>
      <c r="Q503" s="25"/>
    </row>
    <row r="504" spans="2:17" ht="17.25" customHeight="1" thickBot="1">
      <c r="B504" s="125"/>
      <c r="C504" s="681" t="s">
        <v>66</v>
      </c>
      <c r="D504" s="682"/>
      <c r="E504" s="31"/>
      <c r="F504" s="291" t="s">
        <v>67</v>
      </c>
      <c r="G504" s="289"/>
      <c r="H504" s="283"/>
      <c r="I504" s="158">
        <f>+'2010 Existing Rates'!$C$11</f>
        <v>926.33</v>
      </c>
      <c r="J504" s="156"/>
      <c r="K504" s="284"/>
      <c r="L504" s="185">
        <f>+'Rate Schedule (Part 1)'!$E$36</f>
        <v>1008.02</v>
      </c>
      <c r="M504" s="186">
        <f aca="true" t="shared" si="70" ref="M504:M509">+L504-I504</f>
        <v>81.68999999999994</v>
      </c>
      <c r="N504" s="187">
        <f>+M504/I504</f>
        <v>0.08818671531743541</v>
      </c>
      <c r="O504" s="179">
        <f>L504/L517</f>
        <v>0.0038194999974493133</v>
      </c>
      <c r="P504" s="118"/>
      <c r="Q504" s="25"/>
    </row>
    <row r="505" spans="2:17" ht="17.25" customHeight="1" thickBot="1">
      <c r="B505" s="125"/>
      <c r="C505" s="123">
        <v>2400000</v>
      </c>
      <c r="D505" s="124" t="s">
        <v>15</v>
      </c>
      <c r="E505" s="31"/>
      <c r="F505" s="292" t="s">
        <v>78</v>
      </c>
      <c r="G505" s="290">
        <f>+C506</f>
        <v>5400</v>
      </c>
      <c r="H505" s="149">
        <f>'2010 Existing Rates'!$D$61</f>
        <v>2.9296</v>
      </c>
      <c r="I505" s="164">
        <f>+G505*H505</f>
        <v>15819.840000000002</v>
      </c>
      <c r="J505" s="155">
        <f>G505</f>
        <v>5400</v>
      </c>
      <c r="K505" s="148">
        <f>'Rate Schedule (Part 1)'!$E$37</f>
        <v>3.1373</v>
      </c>
      <c r="L505" s="168">
        <f>+J505*K505</f>
        <v>16941.420000000002</v>
      </c>
      <c r="M505" s="186">
        <f t="shared" si="70"/>
        <v>1121.58</v>
      </c>
      <c r="N505" s="187">
        <f>+M505/I505</f>
        <v>0.07089705079191697</v>
      </c>
      <c r="O505" s="179">
        <f>L505/L517</f>
        <v>0.06419292637724226</v>
      </c>
      <c r="P505" s="118"/>
      <c r="Q505" s="25"/>
    </row>
    <row r="506" spans="2:16" ht="17.25" customHeight="1" thickBot="1">
      <c r="B506" s="125"/>
      <c r="C506" s="123">
        <v>5400</v>
      </c>
      <c r="D506" s="124" t="s">
        <v>16</v>
      </c>
      <c r="E506" s="31"/>
      <c r="F506" s="292" t="s">
        <v>237</v>
      </c>
      <c r="G506" s="246">
        <f>G505</f>
        <v>5400</v>
      </c>
      <c r="H506" s="293">
        <f>'2010 Existing Rates'!$D$36</f>
        <v>0.1116</v>
      </c>
      <c r="I506" s="164">
        <f>+G506*H506</f>
        <v>602.64</v>
      </c>
      <c r="J506" s="155">
        <f>+C506</f>
        <v>5400</v>
      </c>
      <c r="K506" s="148">
        <f>'Rate Schedule (Part 1)'!$E$38</f>
        <v>0.0808</v>
      </c>
      <c r="L506" s="168">
        <f>+J506*K506</f>
        <v>436.32</v>
      </c>
      <c r="M506" s="186">
        <f t="shared" si="70"/>
        <v>-166.32</v>
      </c>
      <c r="N506" s="187">
        <f>+M506/I506</f>
        <v>-0.27598566308243727</v>
      </c>
      <c r="O506" s="179">
        <f>L506/L517</f>
        <v>0.0016532650531607353</v>
      </c>
      <c r="P506" s="118"/>
    </row>
    <row r="507" spans="2:16" ht="17.25" customHeight="1">
      <c r="B507" s="125"/>
      <c r="C507" s="271"/>
      <c r="D507" s="282"/>
      <c r="E507" s="31"/>
      <c r="F507" s="152" t="s">
        <v>166</v>
      </c>
      <c r="G507" s="174"/>
      <c r="H507" s="173"/>
      <c r="I507" s="164">
        <f>'2010 Existing Rates'!$B$47</f>
        <v>2.16</v>
      </c>
      <c r="J507" s="174"/>
      <c r="K507" s="173"/>
      <c r="L507" s="164">
        <f>'2010 Existing Rates'!$B$47</f>
        <v>2.16</v>
      </c>
      <c r="M507" s="186">
        <f t="shared" si="70"/>
        <v>0</v>
      </c>
      <c r="N507" s="187">
        <f>+M507/I507</f>
        <v>0</v>
      </c>
      <c r="O507" s="179">
        <f>L507/L517</f>
        <v>8.184480461191758E-06</v>
      </c>
      <c r="P507" s="118"/>
    </row>
    <row r="508" spans="2:16" ht="17.25" customHeight="1">
      <c r="B508" s="125"/>
      <c r="C508" s="62"/>
      <c r="D508" s="63"/>
      <c r="E508" s="31"/>
      <c r="F508" s="152" t="s">
        <v>238</v>
      </c>
      <c r="G508" s="155">
        <f>G506</f>
        <v>5400</v>
      </c>
      <c r="H508" s="149"/>
      <c r="I508" s="164">
        <f>+G508*H508</f>
        <v>0</v>
      </c>
      <c r="J508" s="155">
        <f>G508</f>
        <v>5400</v>
      </c>
      <c r="K508" s="148">
        <f>'Rate Schedule (Part 1)'!$E$39</f>
        <v>0</v>
      </c>
      <c r="L508" s="168">
        <f>+J508*K508</f>
        <v>0</v>
      </c>
      <c r="M508" s="186">
        <f t="shared" si="70"/>
        <v>0</v>
      </c>
      <c r="N508" s="187">
        <v>0</v>
      </c>
      <c r="O508" s="179">
        <f>L508/L517</f>
        <v>0</v>
      </c>
      <c r="P508" s="118"/>
    </row>
    <row r="509" spans="2:16" ht="17.25" customHeight="1" thickBot="1">
      <c r="B509" s="125"/>
      <c r="C509" s="31"/>
      <c r="D509" s="31"/>
      <c r="E509" s="31"/>
      <c r="F509" s="153" t="s">
        <v>239</v>
      </c>
      <c r="G509" s="155">
        <f>+C506</f>
        <v>5400</v>
      </c>
      <c r="H509" s="149">
        <f>'2010 Existing Rates'!$D$24</f>
        <v>-1.4024</v>
      </c>
      <c r="I509" s="168">
        <f>+G509*H509</f>
        <v>-7572.960000000001</v>
      </c>
      <c r="J509" s="155">
        <f>+C506</f>
        <v>5400</v>
      </c>
      <c r="K509" s="148">
        <f>'Rate Schedule (Part 1)'!$E$41</f>
        <v>-0.41100197330267557</v>
      </c>
      <c r="L509" s="168">
        <f>+J509*K509</f>
        <v>-2219.410655834448</v>
      </c>
      <c r="M509" s="186">
        <f t="shared" si="70"/>
        <v>5353.549344165553</v>
      </c>
      <c r="N509" s="187">
        <f aca="true" t="shared" si="71" ref="N509:N517">+M509/I509</f>
        <v>-0.7069295683808645</v>
      </c>
      <c r="O509" s="179">
        <f>L509/L517</f>
        <v>-0.008409594050017512</v>
      </c>
      <c r="P509" s="118"/>
    </row>
    <row r="510" spans="2:16" ht="17.25" customHeight="1" thickBot="1">
      <c r="B510" s="125"/>
      <c r="C510" s="31"/>
      <c r="D510" s="31"/>
      <c r="E510" s="31"/>
      <c r="F510" s="476" t="s">
        <v>234</v>
      </c>
      <c r="G510" s="676"/>
      <c r="H510" s="677"/>
      <c r="I510" s="477">
        <f>SUM(I504:I509)</f>
        <v>9778.01</v>
      </c>
      <c r="J510" s="676"/>
      <c r="K510" s="677"/>
      <c r="L510" s="477">
        <f>SUM(L504:L509)</f>
        <v>16168.509344165554</v>
      </c>
      <c r="M510" s="480">
        <f>SUM(M504:M509)</f>
        <v>6390.499344165552</v>
      </c>
      <c r="N510" s="481">
        <f t="shared" si="71"/>
        <v>0.6535582745533653</v>
      </c>
      <c r="O510" s="482">
        <f>SUM(O504:O509)</f>
        <v>0.061264281858295994</v>
      </c>
      <c r="P510" s="118"/>
    </row>
    <row r="511" spans="2:16" ht="17.25" customHeight="1" thickBot="1">
      <c r="B511" s="125"/>
      <c r="C511" s="31"/>
      <c r="D511" s="31"/>
      <c r="E511" s="31"/>
      <c r="F511" s="152" t="s">
        <v>240</v>
      </c>
      <c r="G511" s="273">
        <f>C506</f>
        <v>5400</v>
      </c>
      <c r="H511" s="274">
        <f>'Other Electriciy Rates'!$F$13</f>
        <v>4.2971</v>
      </c>
      <c r="I511" s="164">
        <f>+G511*H511</f>
        <v>23204.340000000004</v>
      </c>
      <c r="J511" s="273">
        <f>C506</f>
        <v>5400</v>
      </c>
      <c r="K511" s="274">
        <f>'Other Electriciy Rates'!$F$28</f>
        <v>4.104700483312957</v>
      </c>
      <c r="L511" s="164">
        <f>+J511*K511</f>
        <v>22165.382609889966</v>
      </c>
      <c r="M511" s="275">
        <f aca="true" t="shared" si="72" ref="M511:M517">+L511-I511</f>
        <v>-1038.9573901100375</v>
      </c>
      <c r="N511" s="176">
        <f t="shared" si="71"/>
        <v>-0.04477427024901537</v>
      </c>
      <c r="O511" s="179">
        <f>L511/L517</f>
        <v>0.08398710226179816</v>
      </c>
      <c r="P511" s="118"/>
    </row>
    <row r="512" spans="2:16" ht="17.25" customHeight="1" thickBot="1">
      <c r="B512" s="125"/>
      <c r="C512" s="31"/>
      <c r="D512" s="31"/>
      <c r="E512" s="31"/>
      <c r="F512" s="476" t="s">
        <v>236</v>
      </c>
      <c r="G512" s="676"/>
      <c r="H512" s="677"/>
      <c r="I512" s="477">
        <f>I510+I511</f>
        <v>32982.350000000006</v>
      </c>
      <c r="J512" s="676"/>
      <c r="K512" s="677"/>
      <c r="L512" s="477">
        <f>L510+L511</f>
        <v>38333.89195405552</v>
      </c>
      <c r="M512" s="480">
        <f t="shared" si="72"/>
        <v>5351.541954055516</v>
      </c>
      <c r="N512" s="481">
        <f t="shared" si="71"/>
        <v>0.1622547196926694</v>
      </c>
      <c r="O512" s="483">
        <f>L512/L517</f>
        <v>0.14525138412009417</v>
      </c>
      <c r="P512" s="118"/>
    </row>
    <row r="513" spans="2:16" ht="17.25" customHeight="1">
      <c r="B513" s="125"/>
      <c r="C513" s="31"/>
      <c r="D513" s="31"/>
      <c r="E513" s="31"/>
      <c r="F513" s="150" t="s">
        <v>73</v>
      </c>
      <c r="G513" s="156">
        <f>C505*'Other Electriciy Rates'!$L$13</f>
        <v>2484240</v>
      </c>
      <c r="H513" s="157">
        <f>'Other Electriciy Rates'!$C$13+'Other Electriciy Rates'!$D$13</f>
        <v>0.0135</v>
      </c>
      <c r="I513" s="158">
        <f>+G513*H513</f>
        <v>33537.24</v>
      </c>
      <c r="J513" s="156">
        <f>C505*'Other Electriciy Rates'!$L$28</f>
        <v>2486858.9950241474</v>
      </c>
      <c r="K513" s="157">
        <f>'Other Electriciy Rates'!$C$28+'Other Electriciy Rates'!$D$28</f>
        <v>0.0135</v>
      </c>
      <c r="L513" s="185">
        <f>+J513*K513</f>
        <v>33572.59643282599</v>
      </c>
      <c r="M513" s="186">
        <f t="shared" si="72"/>
        <v>35.35643282598903</v>
      </c>
      <c r="N513" s="187">
        <f t="shared" si="71"/>
        <v>0.0010542439636055034</v>
      </c>
      <c r="O513" s="179">
        <f>L513/L517</f>
        <v>0.12721030534071315</v>
      </c>
      <c r="P513" s="118"/>
    </row>
    <row r="514" spans="2:16" ht="17.25" customHeight="1" thickBot="1">
      <c r="B514" s="125"/>
      <c r="C514" s="31"/>
      <c r="D514" s="31"/>
      <c r="E514" s="31"/>
      <c r="F514" s="150" t="s">
        <v>74</v>
      </c>
      <c r="G514" s="156">
        <f>G513</f>
        <v>2484240</v>
      </c>
      <c r="H514" s="157">
        <f>+'Other Electriciy Rates'!$J$13</f>
        <v>0.065</v>
      </c>
      <c r="I514" s="158">
        <f>+G514*H514</f>
        <v>161475.6</v>
      </c>
      <c r="J514" s="156">
        <f>J513</f>
        <v>2486858.9950241474</v>
      </c>
      <c r="K514" s="157">
        <f>'Other Electriciy Rates'!$J$28</f>
        <v>0.065</v>
      </c>
      <c r="L514" s="185">
        <f>+J514*K514</f>
        <v>161645.8346765696</v>
      </c>
      <c r="M514" s="186">
        <f t="shared" si="72"/>
        <v>170.23467656958383</v>
      </c>
      <c r="N514" s="187">
        <f t="shared" si="71"/>
        <v>0.0010542439636055468</v>
      </c>
      <c r="O514" s="179">
        <f>L514/L517</f>
        <v>0.6124940627515819</v>
      </c>
      <c r="P514" s="118"/>
    </row>
    <row r="515" spans="2:16" ht="17.25" customHeight="1" thickBot="1">
      <c r="B515" s="125"/>
      <c r="C515" s="31"/>
      <c r="D515" s="31"/>
      <c r="E515" s="31"/>
      <c r="F515" s="476" t="s">
        <v>191</v>
      </c>
      <c r="G515" s="676"/>
      <c r="H515" s="677"/>
      <c r="I515" s="477">
        <f>SUM(I512:I514)</f>
        <v>227995.19</v>
      </c>
      <c r="J515" s="676"/>
      <c r="K515" s="677"/>
      <c r="L515" s="477">
        <f>SUM(L512:L514)</f>
        <v>233552.3230634511</v>
      </c>
      <c r="M515" s="477">
        <f t="shared" si="72"/>
        <v>5557.133063451096</v>
      </c>
      <c r="N515" s="481">
        <f t="shared" si="71"/>
        <v>0.02437390483304098</v>
      </c>
      <c r="O515" s="483">
        <f>L515/L517</f>
        <v>0.8849557522123893</v>
      </c>
      <c r="P515" s="118"/>
    </row>
    <row r="516" spans="2:16" ht="17.25" customHeight="1" thickBot="1">
      <c r="B516" s="125"/>
      <c r="C516" s="31"/>
      <c r="D516" s="31"/>
      <c r="E516" s="31"/>
      <c r="F516" s="222" t="s">
        <v>323</v>
      </c>
      <c r="G516" s="223"/>
      <c r="H516" s="227">
        <v>0.13</v>
      </c>
      <c r="I516" s="224">
        <f>I515*H516</f>
        <v>29639.3747</v>
      </c>
      <c r="J516" s="223"/>
      <c r="K516" s="227">
        <v>0.13</v>
      </c>
      <c r="L516" s="225">
        <f>L515*K516</f>
        <v>30361.801998248644</v>
      </c>
      <c r="M516" s="183">
        <f t="shared" si="72"/>
        <v>722.4272982486436</v>
      </c>
      <c r="N516" s="184">
        <f t="shared" si="71"/>
        <v>0.024373904833041016</v>
      </c>
      <c r="O516" s="189">
        <f>L516/L517</f>
        <v>0.1150442477876106</v>
      </c>
      <c r="P516" s="118"/>
    </row>
    <row r="517" spans="2:16" ht="17.25" customHeight="1" thickBot="1">
      <c r="B517" s="125"/>
      <c r="C517" s="31"/>
      <c r="D517" s="31"/>
      <c r="E517" s="35"/>
      <c r="F517" s="490" t="s">
        <v>75</v>
      </c>
      <c r="G517" s="676"/>
      <c r="H517" s="677"/>
      <c r="I517" s="477">
        <f>I515+I516</f>
        <v>257634.5647</v>
      </c>
      <c r="J517" s="676"/>
      <c r="K517" s="677"/>
      <c r="L517" s="477">
        <f>L515+L516</f>
        <v>263914.1250616998</v>
      </c>
      <c r="M517" s="477">
        <f t="shared" si="72"/>
        <v>6279.560361699783</v>
      </c>
      <c r="N517" s="481">
        <f t="shared" si="71"/>
        <v>0.024373904833041152</v>
      </c>
      <c r="O517" s="482">
        <f>O515+O516</f>
        <v>0.9999999999999999</v>
      </c>
      <c r="P517" s="118"/>
    </row>
    <row r="518" spans="2:16" ht="17.25" customHeight="1" thickBot="1">
      <c r="B518" s="119"/>
      <c r="C518" s="131"/>
      <c r="D518" s="131"/>
      <c r="E518" s="131"/>
      <c r="F518" s="132"/>
      <c r="G518" s="133"/>
      <c r="H518" s="134"/>
      <c r="I518" s="135"/>
      <c r="J518" s="133"/>
      <c r="K518" s="136"/>
      <c r="L518" s="135"/>
      <c r="M518" s="137"/>
      <c r="N518" s="138"/>
      <c r="O518" s="139"/>
      <c r="P518" s="120"/>
    </row>
    <row r="519" spans="2:16" ht="17.25" customHeight="1">
      <c r="B519" s="127"/>
      <c r="C519" s="684"/>
      <c r="D519" s="684"/>
      <c r="E519" s="684"/>
      <c r="F519" s="684"/>
      <c r="G519" s="684"/>
      <c r="H519" s="684"/>
      <c r="I519" s="684"/>
      <c r="J519" s="684"/>
      <c r="K519" s="684"/>
      <c r="L519" s="684"/>
      <c r="M519" s="684"/>
      <c r="N519" s="684"/>
      <c r="O519" s="684"/>
      <c r="P519" s="117"/>
    </row>
    <row r="520" spans="2:16" ht="23.25">
      <c r="B520" s="125"/>
      <c r="C520" s="683" t="s">
        <v>81</v>
      </c>
      <c r="D520" s="683"/>
      <c r="E520" s="683"/>
      <c r="F520" s="683"/>
      <c r="G520" s="683"/>
      <c r="H520" s="683"/>
      <c r="I520" s="683"/>
      <c r="J520" s="683"/>
      <c r="K520" s="683"/>
      <c r="L520" s="683"/>
      <c r="M520" s="683"/>
      <c r="N520" s="683"/>
      <c r="O520" s="683"/>
      <c r="P520" s="118"/>
    </row>
    <row r="521" spans="2:17" ht="17.25" customHeight="1" thickBot="1">
      <c r="B521" s="125"/>
      <c r="C521" s="685"/>
      <c r="D521" s="685"/>
      <c r="E521" s="685"/>
      <c r="F521" s="685"/>
      <c r="G521" s="685"/>
      <c r="H521" s="685"/>
      <c r="I521" s="685"/>
      <c r="J521" s="685"/>
      <c r="K521" s="685"/>
      <c r="L521" s="685"/>
      <c r="M521" s="685"/>
      <c r="N521" s="685"/>
      <c r="O521" s="685"/>
      <c r="P521" s="118"/>
      <c r="Q521" s="25"/>
    </row>
    <row r="522" spans="2:17" ht="17.25" customHeight="1" thickBot="1">
      <c r="B522" s="125"/>
      <c r="C522" s="126"/>
      <c r="D522" s="126"/>
      <c r="E522" s="31"/>
      <c r="F522" s="32"/>
      <c r="G522" s="678" t="str">
        <f>$G$10</f>
        <v>2010 BILL</v>
      </c>
      <c r="H522" s="679"/>
      <c r="I522" s="680"/>
      <c r="J522" s="678" t="str">
        <f>$J$10</f>
        <v>2011 BILL</v>
      </c>
      <c r="K522" s="679"/>
      <c r="L522" s="680"/>
      <c r="M522" s="678" t="s">
        <v>69</v>
      </c>
      <c r="N522" s="679"/>
      <c r="O522" s="680"/>
      <c r="P522" s="118"/>
      <c r="Q522" s="25"/>
    </row>
    <row r="523" spans="2:17" ht="26.25" thickBot="1">
      <c r="B523" s="125"/>
      <c r="C523" s="31"/>
      <c r="D523" s="31"/>
      <c r="E523" s="33"/>
      <c r="F523" s="34"/>
      <c r="G523" s="285" t="s">
        <v>63</v>
      </c>
      <c r="H523" s="286" t="s">
        <v>64</v>
      </c>
      <c r="I523" s="287" t="s">
        <v>65</v>
      </c>
      <c r="J523" s="288" t="s">
        <v>63</v>
      </c>
      <c r="K523" s="286" t="s">
        <v>64</v>
      </c>
      <c r="L523" s="287" t="s">
        <v>65</v>
      </c>
      <c r="M523" s="145" t="s">
        <v>70</v>
      </c>
      <c r="N523" s="146" t="s">
        <v>71</v>
      </c>
      <c r="O523" s="147" t="s">
        <v>72</v>
      </c>
      <c r="P523" s="118"/>
      <c r="Q523" s="25"/>
    </row>
    <row r="524" spans="2:17" ht="17.25" customHeight="1" thickBot="1">
      <c r="B524" s="125"/>
      <c r="C524" s="681" t="s">
        <v>66</v>
      </c>
      <c r="D524" s="682"/>
      <c r="E524" s="31"/>
      <c r="F524" s="291" t="s">
        <v>67</v>
      </c>
      <c r="G524" s="289"/>
      <c r="H524" s="283"/>
      <c r="I524" s="158">
        <f>+'2010 Existing Rates'!$C$12</f>
        <v>4126.26</v>
      </c>
      <c r="J524" s="156"/>
      <c r="K524" s="284"/>
      <c r="L524" s="185">
        <f>'Rate Schedule (Part 1)'!$E$43</f>
        <v>4219.51</v>
      </c>
      <c r="M524" s="186">
        <f aca="true" t="shared" si="73" ref="M524:M529">+L524-I524</f>
        <v>93.25</v>
      </c>
      <c r="N524" s="187">
        <f aca="true" t="shared" si="74" ref="N524:N537">+M524/I524</f>
        <v>0.022599157590651096</v>
      </c>
      <c r="O524" s="179">
        <f>L524/L537</f>
        <v>0.015816311882777497</v>
      </c>
      <c r="P524" s="118"/>
      <c r="Q524" s="25"/>
    </row>
    <row r="525" spans="2:17" ht="17.25" customHeight="1" thickBot="1">
      <c r="B525" s="125"/>
      <c r="C525" s="123">
        <v>2400000</v>
      </c>
      <c r="D525" s="124" t="s">
        <v>15</v>
      </c>
      <c r="E525" s="31"/>
      <c r="F525" s="292" t="s">
        <v>78</v>
      </c>
      <c r="G525" s="290">
        <f>+C526</f>
        <v>5400</v>
      </c>
      <c r="H525" s="149">
        <f>'2010 Existing Rates'!$D$62</f>
        <v>2.4703</v>
      </c>
      <c r="I525" s="164">
        <f>+G525*H525</f>
        <v>13339.619999999999</v>
      </c>
      <c r="J525" s="155">
        <f>G525</f>
        <v>5400</v>
      </c>
      <c r="K525" s="148">
        <f>'Rate Schedule (Part 1)'!$E$44</f>
        <v>2.5261</v>
      </c>
      <c r="L525" s="168">
        <f>+J525*K525</f>
        <v>13640.94</v>
      </c>
      <c r="M525" s="186">
        <f t="shared" si="73"/>
        <v>301.3200000000015</v>
      </c>
      <c r="N525" s="187">
        <f t="shared" si="74"/>
        <v>0.02258834959316694</v>
      </c>
      <c r="O525" s="179">
        <f>L525/L537</f>
        <v>0.05113137814918198</v>
      </c>
      <c r="P525" s="118"/>
      <c r="Q525" s="25"/>
    </row>
    <row r="526" spans="2:16" ht="17.25" customHeight="1" thickBot="1">
      <c r="B526" s="125"/>
      <c r="C526" s="123">
        <v>5400</v>
      </c>
      <c r="D526" s="124" t="s">
        <v>16</v>
      </c>
      <c r="E526" s="31"/>
      <c r="F526" s="292" t="s">
        <v>237</v>
      </c>
      <c r="G526" s="246">
        <f>G525</f>
        <v>5400</v>
      </c>
      <c r="H526" s="293">
        <f>'2010 Existing Rates'!$D$37</f>
        <v>0.1248</v>
      </c>
      <c r="I526" s="164">
        <f>+G526*H526</f>
        <v>673.92</v>
      </c>
      <c r="J526" s="155">
        <f>+C526</f>
        <v>5400</v>
      </c>
      <c r="K526" s="148">
        <f>'Rate Schedule (Part 1)'!$E$45</f>
        <v>0.0903</v>
      </c>
      <c r="L526" s="168">
        <f>+J526*K526</f>
        <v>487.62</v>
      </c>
      <c r="M526" s="186">
        <f t="shared" si="73"/>
        <v>-186.29999999999995</v>
      </c>
      <c r="N526" s="187">
        <f t="shared" si="74"/>
        <v>-0.27644230769230765</v>
      </c>
      <c r="O526" s="179">
        <f>L526/L537</f>
        <v>0.0018277833208784817</v>
      </c>
      <c r="P526" s="118"/>
    </row>
    <row r="527" spans="2:16" ht="17.25" customHeight="1">
      <c r="B527" s="125"/>
      <c r="C527" s="271"/>
      <c r="D527" s="282"/>
      <c r="E527" s="31"/>
      <c r="F527" s="152" t="s">
        <v>166</v>
      </c>
      <c r="G527" s="174"/>
      <c r="H527" s="173"/>
      <c r="I527" s="164">
        <f>'2010 Existing Rates'!$B$49</f>
        <v>2.16</v>
      </c>
      <c r="J527" s="174"/>
      <c r="K527" s="173"/>
      <c r="L527" s="164">
        <f>'Rate Schedule (Part 1)'!$E$47</f>
        <v>-0.43193202035146244</v>
      </c>
      <c r="M527" s="186">
        <f t="shared" si="73"/>
        <v>-2.5919320203514626</v>
      </c>
      <c r="N527" s="187">
        <f t="shared" si="74"/>
        <v>-1.199968527940492</v>
      </c>
      <c r="O527" s="179">
        <f>L527/L537</f>
        <v>-1.6190438098350109E-06</v>
      </c>
      <c r="P527" s="118"/>
    </row>
    <row r="528" spans="2:16" ht="17.25" customHeight="1">
      <c r="B528" s="125"/>
      <c r="C528" s="62"/>
      <c r="D528" s="63"/>
      <c r="E528" s="31"/>
      <c r="F528" s="152" t="s">
        <v>238</v>
      </c>
      <c r="G528" s="155">
        <f>G526</f>
        <v>5400</v>
      </c>
      <c r="H528" s="149"/>
      <c r="I528" s="164">
        <f>+G528*H528</f>
        <v>0</v>
      </c>
      <c r="J528" s="155">
        <f>G528</f>
        <v>5400</v>
      </c>
      <c r="K528" s="148">
        <f>'Rate Schedule (Part 1)'!$E$46</f>
        <v>0</v>
      </c>
      <c r="L528" s="168">
        <f>+J528*K528</f>
        <v>0</v>
      </c>
      <c r="M528" s="186">
        <f t="shared" si="73"/>
        <v>0</v>
      </c>
      <c r="N528" s="187">
        <v>0</v>
      </c>
      <c r="O528" s="179">
        <f>L528/L537</f>
        <v>0</v>
      </c>
      <c r="P528" s="118"/>
    </row>
    <row r="529" spans="2:16" ht="17.25" customHeight="1" thickBot="1">
      <c r="B529" s="125"/>
      <c r="C529" s="31"/>
      <c r="D529" s="31"/>
      <c r="E529" s="31"/>
      <c r="F529" s="153" t="s">
        <v>239</v>
      </c>
      <c r="G529" s="155">
        <f>+C526</f>
        <v>5400</v>
      </c>
      <c r="H529" s="149">
        <f>'2010 Existing Rates'!$D$25</f>
        <v>-1.2508</v>
      </c>
      <c r="I529" s="168">
        <f>+G529*H529</f>
        <v>-6754.32</v>
      </c>
      <c r="J529" s="155">
        <f>+C526</f>
        <v>5400</v>
      </c>
      <c r="K529" s="148">
        <f>'Rate Schedule (Part 1)'!$E$33</f>
        <v>-0.34053261641201166</v>
      </c>
      <c r="L529" s="168">
        <f>+J529*K529</f>
        <v>-1838.876128624863</v>
      </c>
      <c r="M529" s="186">
        <f t="shared" si="73"/>
        <v>4915.443871375137</v>
      </c>
      <c r="N529" s="187">
        <f t="shared" si="74"/>
        <v>-0.727748148055635</v>
      </c>
      <c r="O529" s="179">
        <f>L529/L537</f>
        <v>-0.006892799961162623</v>
      </c>
      <c r="P529" s="118"/>
    </row>
    <row r="530" spans="2:16" ht="17.25" customHeight="1" thickBot="1">
      <c r="B530" s="125"/>
      <c r="C530" s="31"/>
      <c r="D530" s="31"/>
      <c r="E530" s="31"/>
      <c r="F530" s="476" t="s">
        <v>234</v>
      </c>
      <c r="G530" s="676"/>
      <c r="H530" s="677"/>
      <c r="I530" s="477">
        <f>SUM(I524:I529)</f>
        <v>11387.639999999996</v>
      </c>
      <c r="J530" s="676"/>
      <c r="K530" s="677"/>
      <c r="L530" s="477">
        <f>SUM(L524:L529)</f>
        <v>16508.761939354787</v>
      </c>
      <c r="M530" s="480">
        <f aca="true" t="shared" si="75" ref="M530:M537">+L530-I530</f>
        <v>5121.121939354791</v>
      </c>
      <c r="N530" s="481">
        <f t="shared" si="74"/>
        <v>0.4497088017670731</v>
      </c>
      <c r="O530" s="482">
        <f>SUM(O524:O529)</f>
        <v>0.06188105434786548</v>
      </c>
      <c r="P530" s="118"/>
    </row>
    <row r="531" spans="2:16" ht="17.25" customHeight="1" thickBot="1">
      <c r="B531" s="125"/>
      <c r="C531" s="31"/>
      <c r="D531" s="31"/>
      <c r="E531" s="31"/>
      <c r="F531" s="152" t="s">
        <v>240</v>
      </c>
      <c r="G531" s="273">
        <f>C526</f>
        <v>5400</v>
      </c>
      <c r="H531" s="274">
        <f>'Other Electriciy Rates'!$F$14</f>
        <v>4.7209</v>
      </c>
      <c r="I531" s="164">
        <f>+G531*H531</f>
        <v>25492.86</v>
      </c>
      <c r="J531" s="273">
        <f>C526</f>
        <v>5400</v>
      </c>
      <c r="K531" s="274">
        <f>'Other Electriciy Rates'!$F$29</f>
        <v>4.51170788400048</v>
      </c>
      <c r="L531" s="164">
        <f>+J531*K531</f>
        <v>24363.222573602594</v>
      </c>
      <c r="M531" s="275">
        <f t="shared" si="75"/>
        <v>-1129.6374263974067</v>
      </c>
      <c r="N531" s="176">
        <f t="shared" si="74"/>
        <v>-0.044311914253536346</v>
      </c>
      <c r="O531" s="179">
        <f>L531/L537</f>
        <v>0.09132252955760826</v>
      </c>
      <c r="P531" s="118"/>
    </row>
    <row r="532" spans="2:16" ht="17.25" customHeight="1" thickBot="1">
      <c r="B532" s="125"/>
      <c r="C532" s="31"/>
      <c r="D532" s="31"/>
      <c r="E532" s="31"/>
      <c r="F532" s="476" t="s">
        <v>236</v>
      </c>
      <c r="G532" s="676"/>
      <c r="H532" s="677"/>
      <c r="I532" s="477">
        <f>I530+I531</f>
        <v>36880.5</v>
      </c>
      <c r="J532" s="676"/>
      <c r="K532" s="677"/>
      <c r="L532" s="477">
        <f>L530+L531</f>
        <v>40871.98451295738</v>
      </c>
      <c r="M532" s="480">
        <f t="shared" si="75"/>
        <v>3991.4845129573805</v>
      </c>
      <c r="N532" s="481">
        <f t="shared" si="74"/>
        <v>0.1082275054014284</v>
      </c>
      <c r="O532" s="483">
        <f>L532/L537</f>
        <v>0.15320358390547376</v>
      </c>
      <c r="P532" s="118"/>
    </row>
    <row r="533" spans="2:16" ht="17.25" customHeight="1">
      <c r="B533" s="125"/>
      <c r="C533" s="31"/>
      <c r="D533" s="31"/>
      <c r="E533" s="31"/>
      <c r="F533" s="150" t="s">
        <v>73</v>
      </c>
      <c r="G533" s="156">
        <f>C525*'Other Electriciy Rates'!$L$12</f>
        <v>2484240</v>
      </c>
      <c r="H533" s="157">
        <f>'Other Electriciy Rates'!$C$14+'Other Electriciy Rates'!$D$14</f>
        <v>0.0135</v>
      </c>
      <c r="I533" s="158">
        <f>+G533*H533</f>
        <v>33537.24</v>
      </c>
      <c r="J533" s="156">
        <f>C525*'Other Electriciy Rates'!$L$27</f>
        <v>2486858.9950241474</v>
      </c>
      <c r="K533" s="157">
        <f>'Other Electriciy Rates'!$C$29+'Other Electriciy Rates'!$D$29</f>
        <v>0.0135</v>
      </c>
      <c r="L533" s="185">
        <f>+J533*K533</f>
        <v>33572.59643282599</v>
      </c>
      <c r="M533" s="186">
        <f t="shared" si="75"/>
        <v>35.35643282598903</v>
      </c>
      <c r="N533" s="187">
        <f t="shared" si="74"/>
        <v>0.0010542439636055034</v>
      </c>
      <c r="O533" s="179">
        <f>L533/L537</f>
        <v>0.12584272958144405</v>
      </c>
      <c r="P533" s="118"/>
    </row>
    <row r="534" spans="2:16" ht="17.25" customHeight="1" thickBot="1">
      <c r="B534" s="125"/>
      <c r="C534" s="31"/>
      <c r="D534" s="31"/>
      <c r="E534" s="31"/>
      <c r="F534" s="150" t="s">
        <v>74</v>
      </c>
      <c r="G534" s="156">
        <f>G533</f>
        <v>2484240</v>
      </c>
      <c r="H534" s="157">
        <f>'Other Electriciy Rates'!$J$14</f>
        <v>0.065</v>
      </c>
      <c r="I534" s="158">
        <f>+G534*H534</f>
        <v>161475.6</v>
      </c>
      <c r="J534" s="156">
        <f>J533</f>
        <v>2486858.9950241474</v>
      </c>
      <c r="K534" s="157">
        <f>'Other Electriciy Rates'!$J$29</f>
        <v>0.065</v>
      </c>
      <c r="L534" s="185">
        <f>+J534*K534</f>
        <v>161645.8346765696</v>
      </c>
      <c r="M534" s="186">
        <f t="shared" si="75"/>
        <v>170.23467656958383</v>
      </c>
      <c r="N534" s="187">
        <f t="shared" si="74"/>
        <v>0.0010542439636055468</v>
      </c>
      <c r="O534" s="179">
        <f>L534/L537</f>
        <v>0.6059094387254714</v>
      </c>
      <c r="P534" s="118"/>
    </row>
    <row r="535" spans="2:16" ht="17.25" customHeight="1" thickBot="1">
      <c r="B535" s="125"/>
      <c r="C535" s="31"/>
      <c r="D535" s="31"/>
      <c r="E535" s="31"/>
      <c r="F535" s="476" t="s">
        <v>191</v>
      </c>
      <c r="G535" s="676"/>
      <c r="H535" s="677"/>
      <c r="I535" s="477">
        <f>SUM(I532:I534)</f>
        <v>231893.34</v>
      </c>
      <c r="J535" s="676"/>
      <c r="K535" s="677"/>
      <c r="L535" s="477">
        <f>SUM(L532:L534)</f>
        <v>236090.41562235297</v>
      </c>
      <c r="M535" s="477">
        <f t="shared" si="75"/>
        <v>4197.075622352975</v>
      </c>
      <c r="N535" s="481">
        <f t="shared" si="74"/>
        <v>0.018099164134480858</v>
      </c>
      <c r="O535" s="483">
        <f>L535/L537</f>
        <v>0.8849557522123893</v>
      </c>
      <c r="P535" s="118"/>
    </row>
    <row r="536" spans="2:16" ht="17.25" customHeight="1" thickBot="1">
      <c r="B536" s="125"/>
      <c r="C536" s="31"/>
      <c r="D536" s="31"/>
      <c r="E536" s="31"/>
      <c r="F536" s="222" t="s">
        <v>323</v>
      </c>
      <c r="G536" s="223"/>
      <c r="H536" s="227">
        <v>0.13</v>
      </c>
      <c r="I536" s="224">
        <f>I535*H536</f>
        <v>30146.1342</v>
      </c>
      <c r="J536" s="223"/>
      <c r="K536" s="227">
        <v>0.13</v>
      </c>
      <c r="L536" s="225">
        <f>L535*K536</f>
        <v>30691.754030905886</v>
      </c>
      <c r="M536" s="183">
        <f t="shared" si="75"/>
        <v>545.6198309058855</v>
      </c>
      <c r="N536" s="184">
        <f t="shared" si="74"/>
        <v>0.018099164134480813</v>
      </c>
      <c r="O536" s="189">
        <f>L536/L537</f>
        <v>0.11504424778761062</v>
      </c>
      <c r="P536" s="118"/>
    </row>
    <row r="537" spans="2:16" ht="17.25" customHeight="1" thickBot="1">
      <c r="B537" s="125"/>
      <c r="C537" s="31"/>
      <c r="D537" s="31"/>
      <c r="E537" s="35"/>
      <c r="F537" s="490" t="s">
        <v>75</v>
      </c>
      <c r="G537" s="676"/>
      <c r="H537" s="677"/>
      <c r="I537" s="477">
        <f>I535+I536</f>
        <v>262039.4742</v>
      </c>
      <c r="J537" s="676"/>
      <c r="K537" s="677"/>
      <c r="L537" s="477">
        <f>L535+L536</f>
        <v>266782.16965325887</v>
      </c>
      <c r="M537" s="477">
        <f t="shared" si="75"/>
        <v>4742.695453258872</v>
      </c>
      <c r="N537" s="481">
        <f t="shared" si="74"/>
        <v>0.018099164134480893</v>
      </c>
      <c r="O537" s="482">
        <f>O535+O536</f>
        <v>0.9999999999999999</v>
      </c>
      <c r="P537" s="118"/>
    </row>
    <row r="538" spans="2:16" ht="17.25" customHeight="1" thickBot="1">
      <c r="B538" s="119"/>
      <c r="C538" s="131"/>
      <c r="D538" s="131"/>
      <c r="E538" s="131"/>
      <c r="F538" s="132"/>
      <c r="G538" s="133"/>
      <c r="H538" s="134"/>
      <c r="I538" s="135"/>
      <c r="J538" s="133"/>
      <c r="K538" s="136"/>
      <c r="L538" s="135"/>
      <c r="M538" s="137"/>
      <c r="N538" s="138"/>
      <c r="O538" s="139"/>
      <c r="P538" s="120"/>
    </row>
    <row r="539" spans="2:16" ht="17.25" customHeight="1" thickBot="1">
      <c r="B539" s="25"/>
      <c r="C539" s="31"/>
      <c r="D539" s="31"/>
      <c r="E539" s="31"/>
      <c r="F539" s="49"/>
      <c r="G539" s="50"/>
      <c r="H539" s="51"/>
      <c r="I539" s="52"/>
      <c r="J539" s="50"/>
      <c r="K539" s="53"/>
      <c r="L539" s="52"/>
      <c r="M539" s="54"/>
      <c r="N539" s="128"/>
      <c r="O539" s="129"/>
      <c r="P539" s="25"/>
    </row>
    <row r="540" spans="2:16" ht="17.25" customHeight="1">
      <c r="B540" s="127"/>
      <c r="C540" s="684"/>
      <c r="D540" s="684"/>
      <c r="E540" s="684"/>
      <c r="F540" s="684"/>
      <c r="G540" s="684"/>
      <c r="H540" s="684"/>
      <c r="I540" s="684"/>
      <c r="J540" s="684"/>
      <c r="K540" s="684"/>
      <c r="L540" s="684"/>
      <c r="M540" s="684"/>
      <c r="N540" s="684"/>
      <c r="O540" s="684"/>
      <c r="P540" s="117"/>
    </row>
    <row r="541" spans="2:16" ht="23.25">
      <c r="B541" s="125"/>
      <c r="C541" s="683" t="s">
        <v>81</v>
      </c>
      <c r="D541" s="683"/>
      <c r="E541" s="683"/>
      <c r="F541" s="683"/>
      <c r="G541" s="683"/>
      <c r="H541" s="683"/>
      <c r="I541" s="683"/>
      <c r="J541" s="683"/>
      <c r="K541" s="683"/>
      <c r="L541" s="683"/>
      <c r="M541" s="683"/>
      <c r="N541" s="683"/>
      <c r="O541" s="683"/>
      <c r="P541" s="118"/>
    </row>
    <row r="542" spans="2:17" ht="17.25" customHeight="1" thickBot="1">
      <c r="B542" s="125"/>
      <c r="C542" s="685"/>
      <c r="D542" s="685"/>
      <c r="E542" s="685"/>
      <c r="F542" s="685"/>
      <c r="G542" s="685"/>
      <c r="H542" s="685"/>
      <c r="I542" s="685"/>
      <c r="J542" s="685"/>
      <c r="K542" s="685"/>
      <c r="L542" s="685"/>
      <c r="M542" s="685"/>
      <c r="N542" s="685"/>
      <c r="O542" s="685"/>
      <c r="P542" s="118"/>
      <c r="Q542" s="25"/>
    </row>
    <row r="543" spans="2:17" ht="17.25" customHeight="1" thickBot="1">
      <c r="B543" s="125"/>
      <c r="C543" s="126"/>
      <c r="D543" s="126"/>
      <c r="E543" s="31"/>
      <c r="F543" s="32"/>
      <c r="G543" s="678" t="str">
        <f>$G$10</f>
        <v>2010 BILL</v>
      </c>
      <c r="H543" s="679"/>
      <c r="I543" s="680"/>
      <c r="J543" s="678" t="str">
        <f>$J$10</f>
        <v>2011 BILL</v>
      </c>
      <c r="K543" s="679"/>
      <c r="L543" s="680"/>
      <c r="M543" s="678" t="s">
        <v>69</v>
      </c>
      <c r="N543" s="679"/>
      <c r="O543" s="680"/>
      <c r="P543" s="118"/>
      <c r="Q543" s="25"/>
    </row>
    <row r="544" spans="2:17" ht="26.25" thickBot="1">
      <c r="B544" s="125"/>
      <c r="C544" s="31"/>
      <c r="D544" s="31"/>
      <c r="E544" s="33"/>
      <c r="F544" s="34"/>
      <c r="G544" s="285" t="s">
        <v>63</v>
      </c>
      <c r="H544" s="286" t="s">
        <v>64</v>
      </c>
      <c r="I544" s="287" t="s">
        <v>65</v>
      </c>
      <c r="J544" s="288" t="s">
        <v>63</v>
      </c>
      <c r="K544" s="286" t="s">
        <v>64</v>
      </c>
      <c r="L544" s="287" t="s">
        <v>65</v>
      </c>
      <c r="M544" s="145" t="s">
        <v>70</v>
      </c>
      <c r="N544" s="146" t="s">
        <v>71</v>
      </c>
      <c r="O544" s="147" t="s">
        <v>72</v>
      </c>
      <c r="P544" s="118"/>
      <c r="Q544" s="25"/>
    </row>
    <row r="545" spans="2:17" ht="17.25" customHeight="1" thickBot="1">
      <c r="B545" s="125"/>
      <c r="C545" s="681" t="s">
        <v>66</v>
      </c>
      <c r="D545" s="682"/>
      <c r="E545" s="31"/>
      <c r="F545" s="291" t="s">
        <v>67</v>
      </c>
      <c r="G545" s="289"/>
      <c r="H545" s="283"/>
      <c r="I545" s="158">
        <f>+'2010 Existing Rates'!$C$12</f>
        <v>4126.26</v>
      </c>
      <c r="J545" s="156"/>
      <c r="K545" s="284"/>
      <c r="L545" s="185">
        <f>'Rate Schedule (Part 1)'!$E$43</f>
        <v>4219.51</v>
      </c>
      <c r="M545" s="186">
        <f aca="true" t="shared" si="76" ref="M545:M550">+L545-I545</f>
        <v>93.25</v>
      </c>
      <c r="N545" s="187">
        <f>+M545/I545</f>
        <v>0.022599157590651096</v>
      </c>
      <c r="O545" s="179">
        <f>L545/L558</f>
        <v>0.012151922650933141</v>
      </c>
      <c r="P545" s="118"/>
      <c r="Q545" s="25"/>
    </row>
    <row r="546" spans="2:17" ht="17.25" customHeight="1" thickBot="1">
      <c r="B546" s="125"/>
      <c r="C546" s="123">
        <v>3100000</v>
      </c>
      <c r="D546" s="124" t="s">
        <v>15</v>
      </c>
      <c r="E546" s="31"/>
      <c r="F546" s="292" t="s">
        <v>78</v>
      </c>
      <c r="G546" s="290">
        <f>+C547</f>
        <v>7500</v>
      </c>
      <c r="H546" s="149">
        <f>'2010 Existing Rates'!$D$62</f>
        <v>2.4703</v>
      </c>
      <c r="I546" s="164">
        <f>+G546*H546</f>
        <v>18527.25</v>
      </c>
      <c r="J546" s="155">
        <f>G546</f>
        <v>7500</v>
      </c>
      <c r="K546" s="148">
        <f>'Rate Schedule (Part 1)'!$E$44</f>
        <v>2.5261</v>
      </c>
      <c r="L546" s="168">
        <f>+J546*K546</f>
        <v>18945.75</v>
      </c>
      <c r="M546" s="186">
        <f t="shared" si="76"/>
        <v>418.5</v>
      </c>
      <c r="N546" s="187">
        <f>+M546/I546</f>
        <v>0.022588349593166822</v>
      </c>
      <c r="O546" s="179">
        <f>L546/L558</f>
        <v>0.054562564981222125</v>
      </c>
      <c r="P546" s="118"/>
      <c r="Q546" s="25"/>
    </row>
    <row r="547" spans="2:16" ht="17.25" customHeight="1" thickBot="1">
      <c r="B547" s="125"/>
      <c r="C547" s="123">
        <v>7500</v>
      </c>
      <c r="D547" s="124" t="s">
        <v>16</v>
      </c>
      <c r="E547" s="31"/>
      <c r="F547" s="292" t="s">
        <v>237</v>
      </c>
      <c r="G547" s="246">
        <f>G546</f>
        <v>7500</v>
      </c>
      <c r="H547" s="293">
        <f>'2010 Existing Rates'!$D$37</f>
        <v>0.1248</v>
      </c>
      <c r="I547" s="164">
        <f>+G547*H547</f>
        <v>936</v>
      </c>
      <c r="J547" s="155">
        <f>+C547</f>
        <v>7500</v>
      </c>
      <c r="K547" s="148">
        <f>'Rate Schedule (Part 1)'!$E$45</f>
        <v>0.0903</v>
      </c>
      <c r="L547" s="168">
        <f>+J547*K547</f>
        <v>677.25</v>
      </c>
      <c r="M547" s="186">
        <f t="shared" si="76"/>
        <v>-258.75</v>
      </c>
      <c r="N547" s="187">
        <f>+M547/I547</f>
        <v>-0.2764423076923077</v>
      </c>
      <c r="O547" s="179">
        <f>L547/L558</f>
        <v>0.0019504372818987205</v>
      </c>
      <c r="P547" s="118"/>
    </row>
    <row r="548" spans="2:16" ht="17.25" customHeight="1">
      <c r="B548" s="125"/>
      <c r="C548" s="271"/>
      <c r="D548" s="282"/>
      <c r="E548" s="31"/>
      <c r="F548" s="152" t="s">
        <v>166</v>
      </c>
      <c r="G548" s="174"/>
      <c r="H548" s="173"/>
      <c r="I548" s="164">
        <f>'2010 Existing Rates'!$B$49</f>
        <v>2.16</v>
      </c>
      <c r="J548" s="174"/>
      <c r="K548" s="173"/>
      <c r="L548" s="164">
        <f>'Rate Schedule (Part 1)'!$E$47</f>
        <v>-0.43193202035146244</v>
      </c>
      <c r="M548" s="186">
        <f t="shared" si="76"/>
        <v>-2.5919320203514626</v>
      </c>
      <c r="N548" s="187">
        <f>+M548/I548</f>
        <v>-1.199968527940492</v>
      </c>
      <c r="O548" s="179">
        <f>L548/L558</f>
        <v>-1.2439369741444506E-06</v>
      </c>
      <c r="P548" s="118"/>
    </row>
    <row r="549" spans="2:16" ht="17.25" customHeight="1">
      <c r="B549" s="125"/>
      <c r="C549" s="62"/>
      <c r="D549" s="63"/>
      <c r="E549" s="31"/>
      <c r="F549" s="152" t="s">
        <v>238</v>
      </c>
      <c r="G549" s="155">
        <f>G547</f>
        <v>7500</v>
      </c>
      <c r="H549" s="149"/>
      <c r="I549" s="164">
        <f>+G549*H549</f>
        <v>0</v>
      </c>
      <c r="J549" s="155">
        <f>G549</f>
        <v>7500</v>
      </c>
      <c r="K549" s="148">
        <f>'Rate Schedule (Part 1)'!$E$46</f>
        <v>0</v>
      </c>
      <c r="L549" s="168">
        <f>+J549*K549</f>
        <v>0</v>
      </c>
      <c r="M549" s="186">
        <f t="shared" si="76"/>
        <v>0</v>
      </c>
      <c r="N549" s="187">
        <v>0</v>
      </c>
      <c r="O549" s="179">
        <f>L549/L558</f>
        <v>0</v>
      </c>
      <c r="P549" s="118"/>
    </row>
    <row r="550" spans="2:16" ht="17.25" customHeight="1" thickBot="1">
      <c r="B550" s="125"/>
      <c r="C550" s="31"/>
      <c r="D550" s="31"/>
      <c r="E550" s="31"/>
      <c r="F550" s="153" t="s">
        <v>239</v>
      </c>
      <c r="G550" s="155">
        <f>+C547</f>
        <v>7500</v>
      </c>
      <c r="H550" s="149">
        <f>'2010 Existing Rates'!$D$25</f>
        <v>-1.2508</v>
      </c>
      <c r="I550" s="168">
        <f>+G550*H550</f>
        <v>-9381</v>
      </c>
      <c r="J550" s="155">
        <f>+C547</f>
        <v>7500</v>
      </c>
      <c r="K550" s="148">
        <f>'Rate Schedule (Part 1)'!$E$33</f>
        <v>-0.34053261641201166</v>
      </c>
      <c r="L550" s="168">
        <f>+J550*K550</f>
        <v>-2553.9946230900873</v>
      </c>
      <c r="M550" s="186">
        <f t="shared" si="76"/>
        <v>6827.005376909912</v>
      </c>
      <c r="N550" s="187">
        <f aca="true" t="shared" si="77" ref="N550:N558">+M550/I550</f>
        <v>-0.727748148055635</v>
      </c>
      <c r="O550" s="179">
        <f>L550/L558</f>
        <v>-0.007355343419186086</v>
      </c>
      <c r="P550" s="118"/>
    </row>
    <row r="551" spans="2:16" ht="17.25" customHeight="1" thickBot="1">
      <c r="B551" s="125"/>
      <c r="C551" s="31"/>
      <c r="D551" s="31"/>
      <c r="E551" s="31"/>
      <c r="F551" s="476" t="s">
        <v>234</v>
      </c>
      <c r="G551" s="676"/>
      <c r="H551" s="677"/>
      <c r="I551" s="477">
        <f>SUM(I545:I550)</f>
        <v>14210.670000000002</v>
      </c>
      <c r="J551" s="676"/>
      <c r="K551" s="677"/>
      <c r="L551" s="477">
        <f>SUM(L545:L550)</f>
        <v>21288.083444889566</v>
      </c>
      <c r="M551" s="480">
        <f aca="true" t="shared" si="78" ref="M551:M558">+L551-I551</f>
        <v>7077.413444889564</v>
      </c>
      <c r="N551" s="481">
        <f t="shared" si="77"/>
        <v>0.49803516969217937</v>
      </c>
      <c r="O551" s="482">
        <f>SUM(O545:O550)</f>
        <v>0.06130833755789375</v>
      </c>
      <c r="P551" s="118"/>
    </row>
    <row r="552" spans="2:16" ht="17.25" customHeight="1" thickBot="1">
      <c r="B552" s="125"/>
      <c r="C552" s="31"/>
      <c r="D552" s="31"/>
      <c r="E552" s="31"/>
      <c r="F552" s="152" t="s">
        <v>240</v>
      </c>
      <c r="G552" s="273">
        <f>C547</f>
        <v>7500</v>
      </c>
      <c r="H552" s="274">
        <f>'Other Electriciy Rates'!$F$14</f>
        <v>4.7209</v>
      </c>
      <c r="I552" s="164">
        <f>+G552*H552</f>
        <v>35406.75</v>
      </c>
      <c r="J552" s="273">
        <f>C547</f>
        <v>7500</v>
      </c>
      <c r="K552" s="274">
        <f>'Other Electriciy Rates'!$F$29</f>
        <v>4.51170788400048</v>
      </c>
      <c r="L552" s="164">
        <f>+J552*K552</f>
        <v>33837.8091300036</v>
      </c>
      <c r="M552" s="275">
        <f t="shared" si="78"/>
        <v>-1568.940869996397</v>
      </c>
      <c r="N552" s="176">
        <f t="shared" si="77"/>
        <v>-0.04431191425353632</v>
      </c>
      <c r="O552" s="179">
        <f>L552/L558</f>
        <v>0.09745075594674335</v>
      </c>
      <c r="P552" s="118"/>
    </row>
    <row r="553" spans="2:16" ht="17.25" customHeight="1" thickBot="1">
      <c r="B553" s="125"/>
      <c r="C553" s="31"/>
      <c r="D553" s="31"/>
      <c r="E553" s="31"/>
      <c r="F553" s="476" t="s">
        <v>236</v>
      </c>
      <c r="G553" s="676"/>
      <c r="H553" s="677"/>
      <c r="I553" s="477">
        <f>I551+I552</f>
        <v>49617.42</v>
      </c>
      <c r="J553" s="676"/>
      <c r="K553" s="677"/>
      <c r="L553" s="477">
        <f>L551+L552</f>
        <v>55125.892574893165</v>
      </c>
      <c r="M553" s="480">
        <f t="shared" si="78"/>
        <v>5508.472574893167</v>
      </c>
      <c r="N553" s="481">
        <f t="shared" si="77"/>
        <v>0.11101892389594556</v>
      </c>
      <c r="O553" s="483">
        <f>L553/L558</f>
        <v>0.1587590935046371</v>
      </c>
      <c r="P553" s="118"/>
    </row>
    <row r="554" spans="2:16" ht="17.25" customHeight="1">
      <c r="B554" s="125"/>
      <c r="C554" s="31"/>
      <c r="D554" s="31"/>
      <c r="E554" s="31"/>
      <c r="F554" s="150" t="s">
        <v>73</v>
      </c>
      <c r="G554" s="156">
        <f>C546*'Other Electriciy Rates'!$L$12</f>
        <v>3208809.9999999995</v>
      </c>
      <c r="H554" s="157">
        <f>'Other Electriciy Rates'!$C$14+'Other Electriciy Rates'!$D$14</f>
        <v>0.0135</v>
      </c>
      <c r="I554" s="158">
        <f>+G554*H554</f>
        <v>43318.93499999999</v>
      </c>
      <c r="J554" s="156">
        <f>C546*'Other Electriciy Rates'!$L$27</f>
        <v>3212192.868572857</v>
      </c>
      <c r="K554" s="157">
        <f>'Other Electriciy Rates'!$C$29+'Other Electriciy Rates'!$D$29</f>
        <v>0.0135</v>
      </c>
      <c r="L554" s="185">
        <f>+J554*K554</f>
        <v>43364.60372573357</v>
      </c>
      <c r="M554" s="186">
        <f t="shared" si="78"/>
        <v>45.66872573357978</v>
      </c>
      <c r="N554" s="187">
        <f t="shared" si="77"/>
        <v>0.0010542439636057486</v>
      </c>
      <c r="O554" s="179">
        <f>L554/L558</f>
        <v>0.12488732347203382</v>
      </c>
      <c r="P554" s="118"/>
    </row>
    <row r="555" spans="2:16" ht="17.25" customHeight="1" thickBot="1">
      <c r="B555" s="125"/>
      <c r="C555" s="31"/>
      <c r="D555" s="31"/>
      <c r="E555" s="31"/>
      <c r="F555" s="150" t="s">
        <v>74</v>
      </c>
      <c r="G555" s="156">
        <f>G554</f>
        <v>3208809.9999999995</v>
      </c>
      <c r="H555" s="157">
        <f>'Other Electriciy Rates'!$J$14</f>
        <v>0.065</v>
      </c>
      <c r="I555" s="158">
        <f>+G555*H555</f>
        <v>208572.64999999997</v>
      </c>
      <c r="J555" s="156">
        <f>J554</f>
        <v>3212192.868572857</v>
      </c>
      <c r="K555" s="157">
        <f>'Other Electriciy Rates'!$J$29</f>
        <v>0.065</v>
      </c>
      <c r="L555" s="185">
        <f>+J555*K555</f>
        <v>208792.53645723572</v>
      </c>
      <c r="M555" s="186">
        <f t="shared" si="78"/>
        <v>219.8864572357561</v>
      </c>
      <c r="N555" s="187">
        <f t="shared" si="77"/>
        <v>0.0010542439636057562</v>
      </c>
      <c r="O555" s="179">
        <f>L555/L558</f>
        <v>0.6013093352357185</v>
      </c>
      <c r="P555" s="118"/>
    </row>
    <row r="556" spans="2:16" ht="17.25" customHeight="1" thickBot="1">
      <c r="B556" s="125"/>
      <c r="C556" s="31"/>
      <c r="D556" s="31"/>
      <c r="E556" s="31"/>
      <c r="F556" s="476" t="s">
        <v>191</v>
      </c>
      <c r="G556" s="676"/>
      <c r="H556" s="677"/>
      <c r="I556" s="477">
        <f>SUM(I553:I555)</f>
        <v>301509.00499999995</v>
      </c>
      <c r="J556" s="676"/>
      <c r="K556" s="677"/>
      <c r="L556" s="477">
        <f>SUM(L553:L555)</f>
        <v>307283.0327578625</v>
      </c>
      <c r="M556" s="477">
        <f t="shared" si="78"/>
        <v>5774.027757862525</v>
      </c>
      <c r="N556" s="481">
        <f t="shared" si="77"/>
        <v>0.019150432199736542</v>
      </c>
      <c r="O556" s="483">
        <f>L556/L558</f>
        <v>0.8849557522123894</v>
      </c>
      <c r="P556" s="118"/>
    </row>
    <row r="557" spans="2:16" ht="17.25" customHeight="1" thickBot="1">
      <c r="B557" s="125"/>
      <c r="C557" s="31"/>
      <c r="D557" s="31"/>
      <c r="E557" s="31"/>
      <c r="F557" s="222" t="s">
        <v>323</v>
      </c>
      <c r="G557" s="223"/>
      <c r="H557" s="227">
        <v>0.13</v>
      </c>
      <c r="I557" s="224">
        <f>I556*H557</f>
        <v>39196.17064999999</v>
      </c>
      <c r="J557" s="223"/>
      <c r="K557" s="227">
        <v>0.13</v>
      </c>
      <c r="L557" s="225">
        <f>L556*K557</f>
        <v>39946.794258522124</v>
      </c>
      <c r="M557" s="183">
        <f t="shared" si="78"/>
        <v>750.6236085221317</v>
      </c>
      <c r="N557" s="184">
        <f t="shared" si="77"/>
        <v>0.01915043219973663</v>
      </c>
      <c r="O557" s="189">
        <f>L557/L558</f>
        <v>0.11504424778761063</v>
      </c>
      <c r="P557" s="118"/>
    </row>
    <row r="558" spans="2:16" ht="17.25" customHeight="1" thickBot="1">
      <c r="B558" s="125"/>
      <c r="C558" s="31"/>
      <c r="D558" s="31"/>
      <c r="E558" s="35"/>
      <c r="F558" s="490" t="s">
        <v>75</v>
      </c>
      <c r="G558" s="676"/>
      <c r="H558" s="677"/>
      <c r="I558" s="477">
        <f>I556+I557</f>
        <v>340705.17564999993</v>
      </c>
      <c r="J558" s="676"/>
      <c r="K558" s="677"/>
      <c r="L558" s="477">
        <f>L556+L557</f>
        <v>347229.8270163846</v>
      </c>
      <c r="M558" s="477">
        <f t="shared" si="78"/>
        <v>6524.651366384642</v>
      </c>
      <c r="N558" s="481">
        <f t="shared" si="77"/>
        <v>0.019150432199736507</v>
      </c>
      <c r="O558" s="482">
        <f>O556+O557</f>
        <v>1</v>
      </c>
      <c r="P558" s="118"/>
    </row>
    <row r="559" spans="2:16" ht="17.25" customHeight="1" thickBot="1">
      <c r="B559" s="119"/>
      <c r="C559" s="131"/>
      <c r="D559" s="131"/>
      <c r="E559" s="131"/>
      <c r="F559" s="132"/>
      <c r="G559" s="133"/>
      <c r="H559" s="134"/>
      <c r="I559" s="135"/>
      <c r="J559" s="133"/>
      <c r="K559" s="136"/>
      <c r="L559" s="135"/>
      <c r="M559" s="137"/>
      <c r="N559" s="138"/>
      <c r="O559" s="139"/>
      <c r="P559" s="120"/>
    </row>
    <row r="560" spans="2:16" ht="17.25" customHeight="1" thickBot="1">
      <c r="B560" s="25"/>
      <c r="C560" s="31"/>
      <c r="D560" s="31"/>
      <c r="E560" s="31"/>
      <c r="F560" s="49"/>
      <c r="G560" s="50"/>
      <c r="H560" s="51"/>
      <c r="I560" s="52"/>
      <c r="J560" s="50"/>
      <c r="K560" s="53"/>
      <c r="L560" s="52"/>
      <c r="M560" s="54"/>
      <c r="N560" s="128"/>
      <c r="O560" s="129"/>
      <c r="P560" s="25"/>
    </row>
    <row r="561" spans="2:16" ht="17.25" customHeight="1">
      <c r="B561" s="127"/>
      <c r="C561" s="684"/>
      <c r="D561" s="684"/>
      <c r="E561" s="684"/>
      <c r="F561" s="684"/>
      <c r="G561" s="684"/>
      <c r="H561" s="684"/>
      <c r="I561" s="684"/>
      <c r="J561" s="684"/>
      <c r="K561" s="684"/>
      <c r="L561" s="684"/>
      <c r="M561" s="684"/>
      <c r="N561" s="684"/>
      <c r="O561" s="684"/>
      <c r="P561" s="117"/>
    </row>
    <row r="562" spans="2:16" ht="23.25">
      <c r="B562" s="125"/>
      <c r="C562" s="683" t="s">
        <v>81</v>
      </c>
      <c r="D562" s="683"/>
      <c r="E562" s="683"/>
      <c r="F562" s="683"/>
      <c r="G562" s="683"/>
      <c r="H562" s="683"/>
      <c r="I562" s="683"/>
      <c r="J562" s="683"/>
      <c r="K562" s="683"/>
      <c r="L562" s="683"/>
      <c r="M562" s="683"/>
      <c r="N562" s="683"/>
      <c r="O562" s="683"/>
      <c r="P562" s="118"/>
    </row>
    <row r="563" spans="2:17" ht="17.25" customHeight="1" thickBot="1">
      <c r="B563" s="125"/>
      <c r="C563" s="685"/>
      <c r="D563" s="685"/>
      <c r="E563" s="685"/>
      <c r="F563" s="685"/>
      <c r="G563" s="685"/>
      <c r="H563" s="685"/>
      <c r="I563" s="685"/>
      <c r="J563" s="685"/>
      <c r="K563" s="685"/>
      <c r="L563" s="685"/>
      <c r="M563" s="685"/>
      <c r="N563" s="685"/>
      <c r="O563" s="685"/>
      <c r="P563" s="118"/>
      <c r="Q563" s="25"/>
    </row>
    <row r="564" spans="2:17" ht="17.25" customHeight="1" thickBot="1">
      <c r="B564" s="125"/>
      <c r="C564" s="126"/>
      <c r="D564" s="126"/>
      <c r="E564" s="31"/>
      <c r="F564" s="32"/>
      <c r="G564" s="678" t="str">
        <f>$G$10</f>
        <v>2010 BILL</v>
      </c>
      <c r="H564" s="679"/>
      <c r="I564" s="680"/>
      <c r="J564" s="678" t="str">
        <f>$J$10</f>
        <v>2011 BILL</v>
      </c>
      <c r="K564" s="679"/>
      <c r="L564" s="680"/>
      <c r="M564" s="678" t="s">
        <v>69</v>
      </c>
      <c r="N564" s="679"/>
      <c r="O564" s="680"/>
      <c r="P564" s="118"/>
      <c r="Q564" s="25"/>
    </row>
    <row r="565" spans="2:17" ht="26.25" thickBot="1">
      <c r="B565" s="125"/>
      <c r="C565" s="31"/>
      <c r="D565" s="31"/>
      <c r="E565" s="33"/>
      <c r="F565" s="34"/>
      <c r="G565" s="285" t="s">
        <v>63</v>
      </c>
      <c r="H565" s="286" t="s">
        <v>64</v>
      </c>
      <c r="I565" s="287" t="s">
        <v>65</v>
      </c>
      <c r="J565" s="288" t="s">
        <v>63</v>
      </c>
      <c r="K565" s="286" t="s">
        <v>64</v>
      </c>
      <c r="L565" s="287" t="s">
        <v>65</v>
      </c>
      <c r="M565" s="145" t="s">
        <v>70</v>
      </c>
      <c r="N565" s="146" t="s">
        <v>71</v>
      </c>
      <c r="O565" s="147" t="s">
        <v>72</v>
      </c>
      <c r="P565" s="118"/>
      <c r="Q565" s="25"/>
    </row>
    <row r="566" spans="2:17" ht="17.25" customHeight="1" thickBot="1">
      <c r="B566" s="125"/>
      <c r="C566" s="681" t="s">
        <v>66</v>
      </c>
      <c r="D566" s="682"/>
      <c r="E566" s="31"/>
      <c r="F566" s="291" t="s">
        <v>67</v>
      </c>
      <c r="G566" s="289"/>
      <c r="H566" s="283"/>
      <c r="I566" s="158">
        <f>+'2010 Existing Rates'!$C$12</f>
        <v>4126.26</v>
      </c>
      <c r="J566" s="156"/>
      <c r="K566" s="284"/>
      <c r="L566" s="185">
        <f>'Rate Schedule (Part 1)'!$E$43</f>
        <v>4219.51</v>
      </c>
      <c r="M566" s="186">
        <f aca="true" t="shared" si="79" ref="M566:M571">+L566-I566</f>
        <v>93.25</v>
      </c>
      <c r="N566" s="187">
        <f>+M566/I566</f>
        <v>0.022599157590651096</v>
      </c>
      <c r="O566" s="179">
        <f>L566/L579</f>
        <v>0.009025465771343496</v>
      </c>
      <c r="P566" s="118"/>
      <c r="Q566" s="25"/>
    </row>
    <row r="567" spans="2:17" ht="17.25" customHeight="1" thickBot="1">
      <c r="B567" s="125"/>
      <c r="C567" s="123">
        <v>4200000</v>
      </c>
      <c r="D567" s="124" t="s">
        <v>15</v>
      </c>
      <c r="E567" s="31"/>
      <c r="F567" s="292" t="s">
        <v>78</v>
      </c>
      <c r="G567" s="290">
        <f>+C568</f>
        <v>10000</v>
      </c>
      <c r="H567" s="149">
        <f>'2010 Existing Rates'!$D$62</f>
        <v>2.4703</v>
      </c>
      <c r="I567" s="164">
        <f>+G567*H567</f>
        <v>24703</v>
      </c>
      <c r="J567" s="155">
        <f>G567</f>
        <v>10000</v>
      </c>
      <c r="K567" s="148">
        <f>'Rate Schedule (Part 1)'!$E$44</f>
        <v>2.5261</v>
      </c>
      <c r="L567" s="168">
        <f>+J567*K567</f>
        <v>25261</v>
      </c>
      <c r="M567" s="186">
        <f t="shared" si="79"/>
        <v>558</v>
      </c>
      <c r="N567" s="187">
        <f>+M567/I567</f>
        <v>0.022588349593166822</v>
      </c>
      <c r="O567" s="179">
        <f>L567/L579</f>
        <v>0.05403288316650701</v>
      </c>
      <c r="P567" s="118"/>
      <c r="Q567" s="25"/>
    </row>
    <row r="568" spans="2:16" ht="17.25" customHeight="1" thickBot="1">
      <c r="B568" s="125"/>
      <c r="C568" s="123">
        <v>10000</v>
      </c>
      <c r="D568" s="124" t="s">
        <v>16</v>
      </c>
      <c r="E568" s="31"/>
      <c r="F568" s="292" t="s">
        <v>237</v>
      </c>
      <c r="G568" s="246">
        <f>G567</f>
        <v>10000</v>
      </c>
      <c r="H568" s="293">
        <f>'2010 Existing Rates'!$D$37</f>
        <v>0.1248</v>
      </c>
      <c r="I568" s="164">
        <f>+G568*H568</f>
        <v>1248</v>
      </c>
      <c r="J568" s="155">
        <f>+C568</f>
        <v>10000</v>
      </c>
      <c r="K568" s="148">
        <f>'Rate Schedule (Part 1)'!$E$45</f>
        <v>0.0903</v>
      </c>
      <c r="L568" s="168">
        <f>+J568*K568</f>
        <v>903</v>
      </c>
      <c r="M568" s="186">
        <f t="shared" si="79"/>
        <v>-345</v>
      </c>
      <c r="N568" s="187">
        <f>+M568/I568</f>
        <v>-0.2764423076923077</v>
      </c>
      <c r="O568" s="179">
        <f>L568/L579</f>
        <v>0.001931502850217958</v>
      </c>
      <c r="P568" s="118"/>
    </row>
    <row r="569" spans="2:16" ht="17.25" customHeight="1">
      <c r="B569" s="125"/>
      <c r="C569" s="271"/>
      <c r="D569" s="282"/>
      <c r="E569" s="31"/>
      <c r="F569" s="152" t="s">
        <v>166</v>
      </c>
      <c r="G569" s="174"/>
      <c r="H569" s="173"/>
      <c r="I569" s="164">
        <f>'2010 Existing Rates'!$B$49</f>
        <v>2.16</v>
      </c>
      <c r="J569" s="174"/>
      <c r="K569" s="173"/>
      <c r="L569" s="164">
        <f>'Rate Schedule (Part 1)'!$E$47</f>
        <v>-0.43193202035146244</v>
      </c>
      <c r="M569" s="186">
        <f t="shared" si="79"/>
        <v>-2.5919320203514626</v>
      </c>
      <c r="N569" s="187">
        <f>+M569/I569</f>
        <v>-1.199968527940492</v>
      </c>
      <c r="O569" s="179">
        <f>L569/L579</f>
        <v>-9.238958232660584E-07</v>
      </c>
      <c r="P569" s="118"/>
    </row>
    <row r="570" spans="2:16" ht="17.25" customHeight="1">
      <c r="B570" s="125"/>
      <c r="C570" s="62"/>
      <c r="D570" s="63"/>
      <c r="E570" s="31"/>
      <c r="F570" s="152" t="s">
        <v>238</v>
      </c>
      <c r="G570" s="155">
        <f>G568</f>
        <v>10000</v>
      </c>
      <c r="H570" s="149"/>
      <c r="I570" s="164">
        <f>+G570*H570</f>
        <v>0</v>
      </c>
      <c r="J570" s="155">
        <f>G570</f>
        <v>10000</v>
      </c>
      <c r="K570" s="148">
        <f>'Rate Schedule (Part 1)'!$E$46</f>
        <v>0</v>
      </c>
      <c r="L570" s="168">
        <f>+J570*K570</f>
        <v>0</v>
      </c>
      <c r="M570" s="186">
        <f t="shared" si="79"/>
        <v>0</v>
      </c>
      <c r="N570" s="187">
        <v>0</v>
      </c>
      <c r="O570" s="179">
        <f>L570/L579</f>
        <v>0</v>
      </c>
      <c r="P570" s="118"/>
    </row>
    <row r="571" spans="2:16" ht="17.25" customHeight="1" thickBot="1">
      <c r="B571" s="125"/>
      <c r="C571" s="31"/>
      <c r="D571" s="31"/>
      <c r="E571" s="31"/>
      <c r="F571" s="153" t="s">
        <v>239</v>
      </c>
      <c r="G571" s="155">
        <f>+C568</f>
        <v>10000</v>
      </c>
      <c r="H571" s="149">
        <f>'2010 Existing Rates'!$D$25</f>
        <v>-1.2508</v>
      </c>
      <c r="I571" s="168">
        <f>+G571*H571</f>
        <v>-12508</v>
      </c>
      <c r="J571" s="155">
        <f>+C568</f>
        <v>10000</v>
      </c>
      <c r="K571" s="148">
        <f>'Rate Schedule (Part 1)'!$E$33</f>
        <v>-0.34053261641201166</v>
      </c>
      <c r="L571" s="168">
        <f>+J571*K571</f>
        <v>-3405.3261641201166</v>
      </c>
      <c r="M571" s="186">
        <f t="shared" si="79"/>
        <v>9102.673835879883</v>
      </c>
      <c r="N571" s="187">
        <f aca="true" t="shared" si="80" ref="N571:N579">+M571/I571</f>
        <v>-0.727748148055635</v>
      </c>
      <c r="O571" s="179">
        <f>L571/L579</f>
        <v>-0.007283939304451596</v>
      </c>
      <c r="P571" s="118"/>
    </row>
    <row r="572" spans="2:16" ht="17.25" customHeight="1" thickBot="1">
      <c r="B572" s="125"/>
      <c r="C572" s="31"/>
      <c r="D572" s="31"/>
      <c r="E572" s="31"/>
      <c r="F572" s="476" t="s">
        <v>234</v>
      </c>
      <c r="G572" s="676"/>
      <c r="H572" s="677"/>
      <c r="I572" s="477">
        <f>SUM(I566:I571)</f>
        <v>17571.420000000002</v>
      </c>
      <c r="J572" s="676"/>
      <c r="K572" s="677"/>
      <c r="L572" s="477">
        <f>SUM(L566:L571)</f>
        <v>26977.751903859535</v>
      </c>
      <c r="M572" s="480">
        <f aca="true" t="shared" si="81" ref="M572:M579">+L572-I572</f>
        <v>9406.331903859533</v>
      </c>
      <c r="N572" s="481">
        <f t="shared" si="80"/>
        <v>0.5353199629773536</v>
      </c>
      <c r="O572" s="482">
        <f>SUM(O566:O571)</f>
        <v>0.057704988587793604</v>
      </c>
      <c r="P572" s="118"/>
    </row>
    <row r="573" spans="2:16" ht="17.25" customHeight="1" thickBot="1">
      <c r="B573" s="125"/>
      <c r="C573" s="31"/>
      <c r="D573" s="31"/>
      <c r="E573" s="31"/>
      <c r="F573" s="152" t="s">
        <v>240</v>
      </c>
      <c r="G573" s="273">
        <f>C568</f>
        <v>10000</v>
      </c>
      <c r="H573" s="274">
        <f>'Other Electriciy Rates'!$F$14</f>
        <v>4.7209</v>
      </c>
      <c r="I573" s="164">
        <f>+G573*H573</f>
        <v>47209</v>
      </c>
      <c r="J573" s="273">
        <f>C568</f>
        <v>10000</v>
      </c>
      <c r="K573" s="274">
        <f>'Other Electriciy Rates'!$F$29</f>
        <v>4.51170788400048</v>
      </c>
      <c r="L573" s="164">
        <f>+J573*K573</f>
        <v>45117.078840004804</v>
      </c>
      <c r="M573" s="275">
        <f t="shared" si="81"/>
        <v>-2091.921159995196</v>
      </c>
      <c r="N573" s="176">
        <f t="shared" si="80"/>
        <v>-0.04431191425353632</v>
      </c>
      <c r="O573" s="179">
        <f>L573/L579</f>
        <v>0.09650472466553443</v>
      </c>
      <c r="P573" s="118"/>
    </row>
    <row r="574" spans="2:16" ht="17.25" customHeight="1" thickBot="1">
      <c r="B574" s="125"/>
      <c r="C574" s="31"/>
      <c r="D574" s="31"/>
      <c r="E574" s="31"/>
      <c r="F574" s="476" t="s">
        <v>236</v>
      </c>
      <c r="G574" s="676"/>
      <c r="H574" s="677"/>
      <c r="I574" s="477">
        <f>I572+I573</f>
        <v>64780.42</v>
      </c>
      <c r="J574" s="676"/>
      <c r="K574" s="677"/>
      <c r="L574" s="477">
        <f>L572+L573</f>
        <v>72094.83074386434</v>
      </c>
      <c r="M574" s="480">
        <f t="shared" si="81"/>
        <v>7314.4107438643405</v>
      </c>
      <c r="N574" s="481">
        <f t="shared" si="80"/>
        <v>0.11291082620125557</v>
      </c>
      <c r="O574" s="483">
        <f>L574/L579</f>
        <v>0.15420971325332805</v>
      </c>
      <c r="P574" s="118"/>
    </row>
    <row r="575" spans="2:16" ht="17.25" customHeight="1">
      <c r="B575" s="125"/>
      <c r="C575" s="31"/>
      <c r="D575" s="31"/>
      <c r="E575" s="31"/>
      <c r="F575" s="150" t="s">
        <v>73</v>
      </c>
      <c r="G575" s="156">
        <f>C567*'Other Electriciy Rates'!$L$12</f>
        <v>4347420</v>
      </c>
      <c r="H575" s="157">
        <f>'Other Electriciy Rates'!$C$14+'Other Electriciy Rates'!$D$14</f>
        <v>0.0135</v>
      </c>
      <c r="I575" s="158">
        <f>+G575*H575</f>
        <v>58690.17</v>
      </c>
      <c r="J575" s="156">
        <f>C567*'Other Electriciy Rates'!$L$27</f>
        <v>4352003.241292258</v>
      </c>
      <c r="K575" s="157">
        <f>'Other Electriciy Rates'!$C$29+'Other Electriciy Rates'!$D$29</f>
        <v>0.0135</v>
      </c>
      <c r="L575" s="185">
        <f>+J575*K575</f>
        <v>58752.04375744548</v>
      </c>
      <c r="M575" s="186">
        <f t="shared" si="81"/>
        <v>61.87375744547899</v>
      </c>
      <c r="N575" s="187">
        <f t="shared" si="80"/>
        <v>0.0010542439636054724</v>
      </c>
      <c r="O575" s="179">
        <f>L575/L579</f>
        <v>0.12566970096748187</v>
      </c>
      <c r="P575" s="118"/>
    </row>
    <row r="576" spans="2:16" ht="17.25" customHeight="1" thickBot="1">
      <c r="B576" s="125"/>
      <c r="C576" s="31"/>
      <c r="D576" s="31"/>
      <c r="E576" s="31"/>
      <c r="F576" s="150" t="s">
        <v>74</v>
      </c>
      <c r="G576" s="156">
        <f>G575</f>
        <v>4347420</v>
      </c>
      <c r="H576" s="157">
        <f>'Other Electriciy Rates'!$J$14</f>
        <v>0.065</v>
      </c>
      <c r="I576" s="158">
        <f>+G576*H576</f>
        <v>282582.3</v>
      </c>
      <c r="J576" s="156">
        <f>J575</f>
        <v>4352003.241292258</v>
      </c>
      <c r="K576" s="157">
        <f>'Other Electriciy Rates'!$J$29</f>
        <v>0.065</v>
      </c>
      <c r="L576" s="185">
        <f>+J576*K576</f>
        <v>282880.2106839968</v>
      </c>
      <c r="M576" s="186">
        <f t="shared" si="81"/>
        <v>297.9106839968008</v>
      </c>
      <c r="N576" s="187">
        <f t="shared" si="80"/>
        <v>0.0010542439636056498</v>
      </c>
      <c r="O576" s="179">
        <f>L576/L579</f>
        <v>0.6050763379915794</v>
      </c>
      <c r="P576" s="118"/>
    </row>
    <row r="577" spans="2:16" ht="17.25" customHeight="1" thickBot="1">
      <c r="B577" s="125"/>
      <c r="C577" s="31"/>
      <c r="D577" s="31"/>
      <c r="E577" s="31"/>
      <c r="F577" s="476" t="s">
        <v>191</v>
      </c>
      <c r="G577" s="676"/>
      <c r="H577" s="677"/>
      <c r="I577" s="477">
        <f>SUM(I574:I576)</f>
        <v>406052.89</v>
      </c>
      <c r="J577" s="676"/>
      <c r="K577" s="677"/>
      <c r="L577" s="477">
        <f>SUM(L574:L576)</f>
        <v>413727.0851853066</v>
      </c>
      <c r="M577" s="477">
        <f t="shared" si="81"/>
        <v>7674.195185306598</v>
      </c>
      <c r="N577" s="481">
        <f t="shared" si="80"/>
        <v>0.01889949652939694</v>
      </c>
      <c r="O577" s="483">
        <f>L577/L579</f>
        <v>0.8849557522123894</v>
      </c>
      <c r="P577" s="118"/>
    </row>
    <row r="578" spans="2:16" ht="17.25" customHeight="1" thickBot="1">
      <c r="B578" s="125"/>
      <c r="C578" s="31"/>
      <c r="D578" s="31"/>
      <c r="E578" s="31"/>
      <c r="F578" s="222" t="s">
        <v>323</v>
      </c>
      <c r="G578" s="223"/>
      <c r="H578" s="227">
        <v>0.13</v>
      </c>
      <c r="I578" s="224">
        <f>I577*H578</f>
        <v>52786.875700000004</v>
      </c>
      <c r="J578" s="223"/>
      <c r="K578" s="227">
        <v>0.13</v>
      </c>
      <c r="L578" s="225">
        <f>L577*K578</f>
        <v>53784.52107408986</v>
      </c>
      <c r="M578" s="183">
        <f t="shared" si="81"/>
        <v>997.6453740898578</v>
      </c>
      <c r="N578" s="184">
        <f t="shared" si="80"/>
        <v>0.01889949652939694</v>
      </c>
      <c r="O578" s="189">
        <f>L578/L579</f>
        <v>0.11504424778761062</v>
      </c>
      <c r="P578" s="118"/>
    </row>
    <row r="579" spans="2:16" ht="17.25" customHeight="1" thickBot="1">
      <c r="B579" s="125"/>
      <c r="C579" s="31"/>
      <c r="D579" s="31"/>
      <c r="E579" s="35"/>
      <c r="F579" s="490" t="s">
        <v>75</v>
      </c>
      <c r="G579" s="676"/>
      <c r="H579" s="677"/>
      <c r="I579" s="477">
        <f>I577+I578</f>
        <v>458839.7657</v>
      </c>
      <c r="J579" s="676"/>
      <c r="K579" s="677"/>
      <c r="L579" s="477">
        <f>L577+L578</f>
        <v>467511.6062593965</v>
      </c>
      <c r="M579" s="477">
        <f t="shared" si="81"/>
        <v>8671.840559396485</v>
      </c>
      <c r="N579" s="481">
        <f t="shared" si="80"/>
        <v>0.018899496529397007</v>
      </c>
      <c r="O579" s="482">
        <f>O577+O578</f>
        <v>1</v>
      </c>
      <c r="P579" s="118"/>
    </row>
    <row r="580" spans="2:16" ht="17.25" customHeight="1" thickBot="1">
      <c r="B580" s="119"/>
      <c r="C580" s="131"/>
      <c r="D580" s="131"/>
      <c r="E580" s="131"/>
      <c r="F580" s="132"/>
      <c r="G580" s="133"/>
      <c r="H580" s="134"/>
      <c r="I580" s="135"/>
      <c r="J580" s="133"/>
      <c r="K580" s="136"/>
      <c r="L580" s="135"/>
      <c r="M580" s="137"/>
      <c r="N580" s="138"/>
      <c r="O580" s="139"/>
      <c r="P580" s="120"/>
    </row>
    <row r="581" spans="2:16" ht="17.25" customHeight="1" thickBot="1">
      <c r="B581" s="25"/>
      <c r="C581" s="31"/>
      <c r="D581" s="31"/>
      <c r="E581" s="31"/>
      <c r="F581" s="49"/>
      <c r="G581" s="50"/>
      <c r="H581" s="51"/>
      <c r="I581" s="52"/>
      <c r="J581" s="50"/>
      <c r="K581" s="53"/>
      <c r="L581" s="52"/>
      <c r="M581" s="54"/>
      <c r="N581" s="128"/>
      <c r="O581" s="129"/>
      <c r="P581" s="25"/>
    </row>
    <row r="582" spans="2:16" ht="17.25" customHeight="1">
      <c r="B582" s="127"/>
      <c r="C582" s="684"/>
      <c r="D582" s="684"/>
      <c r="E582" s="684"/>
      <c r="F582" s="684"/>
      <c r="G582" s="684"/>
      <c r="H582" s="684"/>
      <c r="I582" s="684"/>
      <c r="J582" s="684"/>
      <c r="K582" s="684"/>
      <c r="L582" s="684"/>
      <c r="M582" s="684"/>
      <c r="N582" s="684"/>
      <c r="O582" s="684"/>
      <c r="P582" s="117"/>
    </row>
    <row r="583" spans="2:16" ht="23.25">
      <c r="B583" s="125"/>
      <c r="C583" s="683" t="s">
        <v>81</v>
      </c>
      <c r="D583" s="683"/>
      <c r="E583" s="683"/>
      <c r="F583" s="683"/>
      <c r="G583" s="683"/>
      <c r="H583" s="683"/>
      <c r="I583" s="683"/>
      <c r="J583" s="683"/>
      <c r="K583" s="683"/>
      <c r="L583" s="683"/>
      <c r="M583" s="683"/>
      <c r="N583" s="683"/>
      <c r="O583" s="683"/>
      <c r="P583" s="118"/>
    </row>
    <row r="584" spans="2:17" ht="17.25" customHeight="1" thickBot="1">
      <c r="B584" s="125"/>
      <c r="C584" s="685"/>
      <c r="D584" s="685"/>
      <c r="E584" s="685"/>
      <c r="F584" s="685"/>
      <c r="G584" s="685"/>
      <c r="H584" s="685"/>
      <c r="I584" s="685"/>
      <c r="J584" s="685"/>
      <c r="K584" s="685"/>
      <c r="L584" s="685"/>
      <c r="M584" s="685"/>
      <c r="N584" s="685"/>
      <c r="O584" s="685"/>
      <c r="P584" s="118"/>
      <c r="Q584" s="25"/>
    </row>
    <row r="585" spans="2:17" ht="17.25" customHeight="1" thickBot="1">
      <c r="B585" s="125"/>
      <c r="C585" s="126"/>
      <c r="D585" s="126"/>
      <c r="E585" s="31"/>
      <c r="F585" s="32"/>
      <c r="G585" s="678" t="str">
        <f>$G$10</f>
        <v>2010 BILL</v>
      </c>
      <c r="H585" s="679"/>
      <c r="I585" s="680"/>
      <c r="J585" s="678" t="str">
        <f>$J$10</f>
        <v>2011 BILL</v>
      </c>
      <c r="K585" s="679"/>
      <c r="L585" s="680"/>
      <c r="M585" s="678" t="s">
        <v>69</v>
      </c>
      <c r="N585" s="679"/>
      <c r="O585" s="680"/>
      <c r="P585" s="118"/>
      <c r="Q585" s="25"/>
    </row>
    <row r="586" spans="2:17" ht="26.25" thickBot="1">
      <c r="B586" s="125"/>
      <c r="C586" s="31"/>
      <c r="D586" s="31"/>
      <c r="E586" s="33"/>
      <c r="F586" s="34"/>
      <c r="G586" s="285" t="s">
        <v>63</v>
      </c>
      <c r="H586" s="286" t="s">
        <v>64</v>
      </c>
      <c r="I586" s="287" t="s">
        <v>65</v>
      </c>
      <c r="J586" s="288" t="s">
        <v>63</v>
      </c>
      <c r="K586" s="286" t="s">
        <v>64</v>
      </c>
      <c r="L586" s="287" t="s">
        <v>65</v>
      </c>
      <c r="M586" s="145" t="s">
        <v>70</v>
      </c>
      <c r="N586" s="146" t="s">
        <v>71</v>
      </c>
      <c r="O586" s="147" t="s">
        <v>72</v>
      </c>
      <c r="P586" s="118"/>
      <c r="Q586" s="25"/>
    </row>
    <row r="587" spans="2:17" ht="17.25" customHeight="1" thickBot="1">
      <c r="B587" s="125"/>
      <c r="C587" s="681" t="s">
        <v>66</v>
      </c>
      <c r="D587" s="682"/>
      <c r="E587" s="31"/>
      <c r="F587" s="291" t="s">
        <v>67</v>
      </c>
      <c r="G587" s="289"/>
      <c r="H587" s="283"/>
      <c r="I587" s="158">
        <f>+'2010 Existing Rates'!$C$12</f>
        <v>4126.26</v>
      </c>
      <c r="J587" s="156"/>
      <c r="K587" s="284"/>
      <c r="L587" s="185">
        <f>'Rate Schedule (Part 1)'!$E$43</f>
        <v>4219.51</v>
      </c>
      <c r="M587" s="186">
        <f aca="true" t="shared" si="82" ref="M587:M592">+L587-I587</f>
        <v>93.25</v>
      </c>
      <c r="N587" s="187">
        <f>+M587/I587</f>
        <v>0.022599157590651096</v>
      </c>
      <c r="O587" s="179">
        <f>L587/L600</f>
        <v>0.0077652720305843555</v>
      </c>
      <c r="P587" s="118"/>
      <c r="Q587" s="25"/>
    </row>
    <row r="588" spans="2:17" ht="17.25" customHeight="1" thickBot="1">
      <c r="B588" s="125"/>
      <c r="C588" s="123">
        <v>4700000</v>
      </c>
      <c r="D588" s="124" t="s">
        <v>15</v>
      </c>
      <c r="E588" s="31"/>
      <c r="F588" s="292" t="s">
        <v>78</v>
      </c>
      <c r="G588" s="290">
        <f>+C589</f>
        <v>13900</v>
      </c>
      <c r="H588" s="149">
        <f>'2010 Existing Rates'!$D$62</f>
        <v>2.4703</v>
      </c>
      <c r="I588" s="164">
        <f>+G588*H588</f>
        <v>34337.17</v>
      </c>
      <c r="J588" s="155">
        <f>G588</f>
        <v>13900</v>
      </c>
      <c r="K588" s="148">
        <f>'Rate Schedule (Part 1)'!$E$44</f>
        <v>2.5261</v>
      </c>
      <c r="L588" s="168">
        <f>+J588*K588</f>
        <v>35112.79</v>
      </c>
      <c r="M588" s="186">
        <f t="shared" si="82"/>
        <v>775.6200000000026</v>
      </c>
      <c r="N588" s="187">
        <f>+M588/I588</f>
        <v>0.022588349593166898</v>
      </c>
      <c r="O588" s="179">
        <f>L588/L600</f>
        <v>0.06461896431168122</v>
      </c>
      <c r="P588" s="118"/>
      <c r="Q588" s="25"/>
    </row>
    <row r="589" spans="2:16" ht="17.25" customHeight="1" thickBot="1">
      <c r="B589" s="125"/>
      <c r="C589" s="123">
        <v>13900</v>
      </c>
      <c r="D589" s="124" t="s">
        <v>16</v>
      </c>
      <c r="E589" s="31"/>
      <c r="F589" s="292" t="s">
        <v>237</v>
      </c>
      <c r="G589" s="246">
        <f>G588</f>
        <v>13900</v>
      </c>
      <c r="H589" s="293">
        <f>'2010 Existing Rates'!$D$37</f>
        <v>0.1248</v>
      </c>
      <c r="I589" s="164">
        <f>+G589*H589</f>
        <v>1734.72</v>
      </c>
      <c r="J589" s="155">
        <f>+C589</f>
        <v>13900</v>
      </c>
      <c r="K589" s="148">
        <f>'Rate Schedule (Part 1)'!$E$45</f>
        <v>0.0903</v>
      </c>
      <c r="L589" s="168">
        <f>+J589*K589</f>
        <v>1255.17</v>
      </c>
      <c r="M589" s="186">
        <f t="shared" si="82"/>
        <v>-479.54999999999995</v>
      </c>
      <c r="N589" s="187">
        <f>+M589/I589</f>
        <v>-0.27644230769230765</v>
      </c>
      <c r="O589" s="179">
        <f>L589/L600</f>
        <v>0.00230992141140288</v>
      </c>
      <c r="P589" s="118"/>
    </row>
    <row r="590" spans="2:16" ht="17.25" customHeight="1">
      <c r="B590" s="125"/>
      <c r="C590" s="271"/>
      <c r="D590" s="282"/>
      <c r="E590" s="31"/>
      <c r="F590" s="152" t="s">
        <v>166</v>
      </c>
      <c r="G590" s="174"/>
      <c r="H590" s="173"/>
      <c r="I590" s="164">
        <f>'2010 Existing Rates'!$B$49</f>
        <v>2.16</v>
      </c>
      <c r="J590" s="174"/>
      <c r="K590" s="173"/>
      <c r="L590" s="164">
        <f>'Rate Schedule (Part 1)'!$E$47</f>
        <v>-0.43193202035146244</v>
      </c>
      <c r="M590" s="186">
        <f t="shared" si="82"/>
        <v>-2.5919320203514626</v>
      </c>
      <c r="N590" s="187">
        <f>+M590/I590</f>
        <v>-1.199968527940492</v>
      </c>
      <c r="O590" s="179">
        <f>L590/L600</f>
        <v>-7.948955297532187E-07</v>
      </c>
      <c r="P590" s="118"/>
    </row>
    <row r="591" spans="2:16" ht="17.25" customHeight="1">
      <c r="B591" s="125"/>
      <c r="C591" s="62"/>
      <c r="D591" s="63"/>
      <c r="E591" s="31"/>
      <c r="F591" s="152" t="s">
        <v>238</v>
      </c>
      <c r="G591" s="155">
        <f>G589</f>
        <v>13900</v>
      </c>
      <c r="H591" s="149"/>
      <c r="I591" s="164">
        <f>+G591*H591</f>
        <v>0</v>
      </c>
      <c r="J591" s="155">
        <f>G591</f>
        <v>13900</v>
      </c>
      <c r="K591" s="148">
        <f>'Rate Schedule (Part 1)'!$E$46</f>
        <v>0</v>
      </c>
      <c r="L591" s="168">
        <f>+J591*K591</f>
        <v>0</v>
      </c>
      <c r="M591" s="186">
        <f t="shared" si="82"/>
        <v>0</v>
      </c>
      <c r="N591" s="187">
        <v>0</v>
      </c>
      <c r="O591" s="179">
        <f>L591/L600</f>
        <v>0</v>
      </c>
      <c r="P591" s="118"/>
    </row>
    <row r="592" spans="2:16" ht="17.25" customHeight="1" thickBot="1">
      <c r="B592" s="125"/>
      <c r="C592" s="31"/>
      <c r="D592" s="31"/>
      <c r="E592" s="31"/>
      <c r="F592" s="153" t="s">
        <v>239</v>
      </c>
      <c r="G592" s="155">
        <f>+C589</f>
        <v>13900</v>
      </c>
      <c r="H592" s="149">
        <f>'2010 Existing Rates'!$D$25</f>
        <v>-1.2508</v>
      </c>
      <c r="I592" s="168">
        <f>+G592*H592</f>
        <v>-17386.12</v>
      </c>
      <c r="J592" s="155">
        <f>+C589</f>
        <v>13900</v>
      </c>
      <c r="K592" s="148">
        <f>'Rate Schedule (Part 1)'!$E$33</f>
        <v>-0.34053261641201166</v>
      </c>
      <c r="L592" s="168">
        <f>+J592*K592</f>
        <v>-4733.403368126962</v>
      </c>
      <c r="M592" s="186">
        <f t="shared" si="82"/>
        <v>12652.716631873038</v>
      </c>
      <c r="N592" s="187">
        <f aca="true" t="shared" si="83" ref="N592:N600">+M592/I592</f>
        <v>-0.7277481480556351</v>
      </c>
      <c r="O592" s="179">
        <f>L592/L600</f>
        <v>-0.008711003122161123</v>
      </c>
      <c r="P592" s="118"/>
    </row>
    <row r="593" spans="2:16" ht="17.25" customHeight="1" thickBot="1">
      <c r="B593" s="125"/>
      <c r="C593" s="31"/>
      <c r="D593" s="31"/>
      <c r="E593" s="31"/>
      <c r="F593" s="476" t="s">
        <v>234</v>
      </c>
      <c r="G593" s="676"/>
      <c r="H593" s="677"/>
      <c r="I593" s="477">
        <f>SUM(I587:I592)</f>
        <v>22814.190000000006</v>
      </c>
      <c r="J593" s="676"/>
      <c r="K593" s="677"/>
      <c r="L593" s="477">
        <f>SUM(L587:L592)</f>
        <v>35853.634699852686</v>
      </c>
      <c r="M593" s="480">
        <f aca="true" t="shared" si="84" ref="M593:M600">+L593-I593</f>
        <v>13039.44469985268</v>
      </c>
      <c r="N593" s="481">
        <f t="shared" si="83"/>
        <v>0.5715497547733528</v>
      </c>
      <c r="O593" s="482">
        <f>SUM(O587:O592)</f>
        <v>0.06598235973597757</v>
      </c>
      <c r="P593" s="118"/>
    </row>
    <row r="594" spans="2:16" ht="17.25" customHeight="1" thickBot="1">
      <c r="B594" s="125"/>
      <c r="C594" s="31"/>
      <c r="D594" s="31"/>
      <c r="E594" s="31"/>
      <c r="F594" s="152" t="s">
        <v>240</v>
      </c>
      <c r="G594" s="273">
        <f>C589</f>
        <v>13900</v>
      </c>
      <c r="H594" s="274">
        <f>'Other Electriciy Rates'!$F$14</f>
        <v>4.7209</v>
      </c>
      <c r="I594" s="164">
        <f>+G594*H594</f>
        <v>65620.51000000001</v>
      </c>
      <c r="J594" s="273">
        <f>C589</f>
        <v>13900</v>
      </c>
      <c r="K594" s="274">
        <f>'Other Electriciy Rates'!$F$29</f>
        <v>4.51170788400048</v>
      </c>
      <c r="L594" s="164">
        <f>+J594*K594</f>
        <v>62712.73958760667</v>
      </c>
      <c r="M594" s="275">
        <f t="shared" si="84"/>
        <v>-2907.7704123933363</v>
      </c>
      <c r="N594" s="176">
        <f t="shared" si="83"/>
        <v>-0.04431191425353652</v>
      </c>
      <c r="O594" s="179">
        <f>L594/L600</f>
        <v>0.11541185651437308</v>
      </c>
      <c r="P594" s="118"/>
    </row>
    <row r="595" spans="2:16" ht="17.25" customHeight="1" thickBot="1">
      <c r="B595" s="125"/>
      <c r="C595" s="31"/>
      <c r="D595" s="31"/>
      <c r="E595" s="31"/>
      <c r="F595" s="476" t="s">
        <v>236</v>
      </c>
      <c r="G595" s="676"/>
      <c r="H595" s="677"/>
      <c r="I595" s="477">
        <f>I593+I594</f>
        <v>88434.70000000001</v>
      </c>
      <c r="J595" s="676"/>
      <c r="K595" s="677"/>
      <c r="L595" s="477">
        <f>L593+L594</f>
        <v>98566.37428745936</v>
      </c>
      <c r="M595" s="480">
        <f t="shared" si="84"/>
        <v>10131.674287459347</v>
      </c>
      <c r="N595" s="481">
        <f t="shared" si="83"/>
        <v>0.11456672875533412</v>
      </c>
      <c r="O595" s="483">
        <f>L595/L600</f>
        <v>0.18139421625035065</v>
      </c>
      <c r="P595" s="118"/>
    </row>
    <row r="596" spans="2:16" ht="17.25" customHeight="1">
      <c r="B596" s="125"/>
      <c r="C596" s="31"/>
      <c r="D596" s="31"/>
      <c r="E596" s="31"/>
      <c r="F596" s="150" t="s">
        <v>73</v>
      </c>
      <c r="G596" s="156">
        <f>C588*'Other Electriciy Rates'!$L$12</f>
        <v>4864970</v>
      </c>
      <c r="H596" s="157">
        <f>'Other Electriciy Rates'!$C$14+'Other Electriciy Rates'!$D$14</f>
        <v>0.0135</v>
      </c>
      <c r="I596" s="158">
        <f>+G596*H596</f>
        <v>65677.095</v>
      </c>
      <c r="J596" s="156">
        <f>C588*'Other Electriciy Rates'!$L$27</f>
        <v>4870098.865255622</v>
      </c>
      <c r="K596" s="157">
        <f>'Other Electriciy Rates'!$C$29+'Other Electriciy Rates'!$D$29</f>
        <v>0.0135</v>
      </c>
      <c r="L596" s="185">
        <f>+J596*K596</f>
        <v>65746.3346809509</v>
      </c>
      <c r="M596" s="186">
        <f t="shared" si="84"/>
        <v>69.23968095089367</v>
      </c>
      <c r="N596" s="187">
        <f t="shared" si="83"/>
        <v>0.0010542439636054802</v>
      </c>
      <c r="O596" s="179">
        <f>L596/L600</f>
        <v>0.12099465905079647</v>
      </c>
      <c r="P596" s="118"/>
    </row>
    <row r="597" spans="2:16" ht="17.25" customHeight="1" thickBot="1">
      <c r="B597" s="125"/>
      <c r="C597" s="31"/>
      <c r="D597" s="31"/>
      <c r="E597" s="31"/>
      <c r="F597" s="150" t="s">
        <v>74</v>
      </c>
      <c r="G597" s="156">
        <f>G596</f>
        <v>4864970</v>
      </c>
      <c r="H597" s="157">
        <f>'Other Electriciy Rates'!$J$14</f>
        <v>0.065</v>
      </c>
      <c r="I597" s="158">
        <f>+G597*H597</f>
        <v>316223.05</v>
      </c>
      <c r="J597" s="156">
        <f>J596</f>
        <v>4870098.865255622</v>
      </c>
      <c r="K597" s="157">
        <f>'Other Electriciy Rates'!$J$29</f>
        <v>0.065</v>
      </c>
      <c r="L597" s="185">
        <f>+J597*K597</f>
        <v>316556.42624161544</v>
      </c>
      <c r="M597" s="186">
        <f t="shared" si="84"/>
        <v>333.37624161544954</v>
      </c>
      <c r="N597" s="187">
        <f t="shared" si="83"/>
        <v>0.0010542439636055927</v>
      </c>
      <c r="O597" s="179">
        <f>L597/L600</f>
        <v>0.5825668769112423</v>
      </c>
      <c r="P597" s="118"/>
    </row>
    <row r="598" spans="2:16" ht="17.25" customHeight="1" thickBot="1">
      <c r="B598" s="125"/>
      <c r="C598" s="31"/>
      <c r="D598" s="31"/>
      <c r="E598" s="31"/>
      <c r="F598" s="476" t="s">
        <v>191</v>
      </c>
      <c r="G598" s="676"/>
      <c r="H598" s="677"/>
      <c r="I598" s="477">
        <f>SUM(I595:I597)</f>
        <v>470334.845</v>
      </c>
      <c r="J598" s="676"/>
      <c r="K598" s="677"/>
      <c r="L598" s="477">
        <f>SUM(L595:L597)</f>
        <v>480869.1352100257</v>
      </c>
      <c r="M598" s="477">
        <f t="shared" si="84"/>
        <v>10534.290210025734</v>
      </c>
      <c r="N598" s="481">
        <f t="shared" si="83"/>
        <v>0.022397426688693954</v>
      </c>
      <c r="O598" s="483">
        <f>L598/L600</f>
        <v>0.8849557522123894</v>
      </c>
      <c r="P598" s="118"/>
    </row>
    <row r="599" spans="2:16" ht="17.25" customHeight="1" thickBot="1">
      <c r="B599" s="125"/>
      <c r="C599" s="31"/>
      <c r="D599" s="31"/>
      <c r="E599" s="31"/>
      <c r="F599" s="222" t="s">
        <v>323</v>
      </c>
      <c r="G599" s="223"/>
      <c r="H599" s="227">
        <v>0.13</v>
      </c>
      <c r="I599" s="224">
        <f>I598*H599</f>
        <v>61143.52985</v>
      </c>
      <c r="J599" s="223"/>
      <c r="K599" s="227">
        <v>0.13</v>
      </c>
      <c r="L599" s="225">
        <f>L598*K599</f>
        <v>62512.98757730334</v>
      </c>
      <c r="M599" s="183">
        <f t="shared" si="84"/>
        <v>1369.4577273033428</v>
      </c>
      <c r="N599" s="184">
        <f t="shared" si="83"/>
        <v>0.022397426688693912</v>
      </c>
      <c r="O599" s="189">
        <f>L599/L600</f>
        <v>0.11504424778761063</v>
      </c>
      <c r="P599" s="118"/>
    </row>
    <row r="600" spans="2:16" ht="17.25" customHeight="1" thickBot="1">
      <c r="B600" s="125"/>
      <c r="C600" s="31"/>
      <c r="D600" s="31"/>
      <c r="E600" s="35"/>
      <c r="F600" s="490" t="s">
        <v>75</v>
      </c>
      <c r="G600" s="676"/>
      <c r="H600" s="677"/>
      <c r="I600" s="477">
        <f>I598+I599</f>
        <v>531478.37485</v>
      </c>
      <c r="J600" s="676"/>
      <c r="K600" s="677"/>
      <c r="L600" s="477">
        <f>L598+L599</f>
        <v>543382.122787329</v>
      </c>
      <c r="M600" s="477">
        <f t="shared" si="84"/>
        <v>11903.747937328997</v>
      </c>
      <c r="N600" s="481">
        <f t="shared" si="83"/>
        <v>0.022397426688693798</v>
      </c>
      <c r="O600" s="482">
        <f>O598+O599</f>
        <v>1</v>
      </c>
      <c r="P600" s="118"/>
    </row>
    <row r="601" spans="2:16" ht="17.25" customHeight="1" thickBot="1">
      <c r="B601" s="119"/>
      <c r="C601" s="131"/>
      <c r="D601" s="131"/>
      <c r="E601" s="131"/>
      <c r="F601" s="208"/>
      <c r="G601" s="209"/>
      <c r="H601" s="210"/>
      <c r="I601" s="211"/>
      <c r="J601" s="209"/>
      <c r="K601" s="212"/>
      <c r="L601" s="211"/>
      <c r="M601" s="294"/>
      <c r="N601" s="213"/>
      <c r="O601" s="214"/>
      <c r="P601" s="120"/>
    </row>
    <row r="602" spans="3:15" s="25" customFormat="1" ht="17.25" customHeight="1" thickBot="1">
      <c r="C602" s="31"/>
      <c r="D602" s="31"/>
      <c r="E602" s="31"/>
      <c r="F602" s="49"/>
      <c r="G602" s="50"/>
      <c r="H602" s="51"/>
      <c r="I602" s="52"/>
      <c r="J602" s="50"/>
      <c r="K602" s="53"/>
      <c r="L602" s="52"/>
      <c r="M602" s="54"/>
      <c r="N602" s="128"/>
      <c r="O602" s="129"/>
    </row>
    <row r="603" spans="2:16" ht="17.25" customHeight="1">
      <c r="B603" s="127"/>
      <c r="C603" s="684"/>
      <c r="D603" s="684"/>
      <c r="E603" s="684"/>
      <c r="F603" s="684"/>
      <c r="G603" s="684"/>
      <c r="H603" s="684"/>
      <c r="I603" s="684"/>
      <c r="J603" s="684"/>
      <c r="K603" s="684"/>
      <c r="L603" s="684"/>
      <c r="M603" s="684"/>
      <c r="N603" s="684"/>
      <c r="O603" s="684"/>
      <c r="P603" s="117"/>
    </row>
    <row r="604" spans="2:16" ht="23.25">
      <c r="B604" s="125"/>
      <c r="C604" s="683" t="s">
        <v>80</v>
      </c>
      <c r="D604" s="683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  <c r="O604" s="683"/>
      <c r="P604" s="118"/>
    </row>
    <row r="605" spans="2:18" ht="17.25" customHeight="1" thickBot="1">
      <c r="B605" s="125"/>
      <c r="C605" s="685"/>
      <c r="D605" s="685"/>
      <c r="E605" s="685"/>
      <c r="F605" s="685"/>
      <c r="G605" s="685"/>
      <c r="H605" s="685"/>
      <c r="I605" s="685"/>
      <c r="J605" s="685"/>
      <c r="K605" s="685"/>
      <c r="L605" s="685"/>
      <c r="M605" s="685"/>
      <c r="N605" s="685"/>
      <c r="O605" s="685"/>
      <c r="P605" s="118"/>
      <c r="Q605" s="25"/>
      <c r="R605" s="302" t="s">
        <v>256</v>
      </c>
    </row>
    <row r="606" spans="2:17" ht="17.25" customHeight="1" thickBot="1">
      <c r="B606" s="125"/>
      <c r="C606" s="126"/>
      <c r="D606" s="126"/>
      <c r="E606" s="31"/>
      <c r="F606" s="32"/>
      <c r="G606" s="678" t="str">
        <f>$G$10</f>
        <v>2010 BILL</v>
      </c>
      <c r="H606" s="679"/>
      <c r="I606" s="680"/>
      <c r="J606" s="678" t="str">
        <f>$J$10</f>
        <v>2011 BILL</v>
      </c>
      <c r="K606" s="679"/>
      <c r="L606" s="680"/>
      <c r="M606" s="678" t="s">
        <v>69</v>
      </c>
      <c r="N606" s="679"/>
      <c r="O606" s="680"/>
      <c r="P606" s="118"/>
      <c r="Q606" s="25"/>
    </row>
    <row r="607" spans="2:17" ht="26.25" thickBot="1">
      <c r="B607" s="125"/>
      <c r="C607" s="31"/>
      <c r="D607" s="31"/>
      <c r="E607" s="33"/>
      <c r="F607" s="34"/>
      <c r="G607" s="285" t="s">
        <v>63</v>
      </c>
      <c r="H607" s="286" t="s">
        <v>64</v>
      </c>
      <c r="I607" s="287" t="s">
        <v>65</v>
      </c>
      <c r="J607" s="288" t="s">
        <v>63</v>
      </c>
      <c r="K607" s="286" t="s">
        <v>64</v>
      </c>
      <c r="L607" s="287" t="s">
        <v>65</v>
      </c>
      <c r="M607" s="145" t="s">
        <v>70</v>
      </c>
      <c r="N607" s="146" t="s">
        <v>71</v>
      </c>
      <c r="O607" s="147" t="s">
        <v>72</v>
      </c>
      <c r="P607" s="118"/>
      <c r="Q607" s="25"/>
    </row>
    <row r="608" spans="2:17" ht="17.25" customHeight="1" thickBot="1">
      <c r="B608" s="125"/>
      <c r="C608" s="681" t="s">
        <v>135</v>
      </c>
      <c r="D608" s="682"/>
      <c r="E608" s="31"/>
      <c r="F608" s="291" t="s">
        <v>67</v>
      </c>
      <c r="G608" s="289">
        <f>C609</f>
        <v>2864.573962684278</v>
      </c>
      <c r="H608" s="283">
        <f>'2010 Existing Rates'!$B$14</f>
        <v>0.16</v>
      </c>
      <c r="I608" s="164">
        <f>+G608*H608</f>
        <v>458.33183402948447</v>
      </c>
      <c r="J608" s="289">
        <f>G608</f>
        <v>2864.573962684278</v>
      </c>
      <c r="K608" s="283">
        <f>'Rate Schedule (Part 1)'!$E$58</f>
        <v>1.1372</v>
      </c>
      <c r="L608" s="164">
        <f>+J608*K608</f>
        <v>3257.5935103645606</v>
      </c>
      <c r="M608" s="186">
        <f aca="true" t="shared" si="85" ref="M608:M620">+L608-I608</f>
        <v>2799.261676335076</v>
      </c>
      <c r="N608" s="187">
        <f aca="true" t="shared" si="86" ref="N608:N620">+M608/I608</f>
        <v>6.107499999999999</v>
      </c>
      <c r="O608" s="179">
        <f>L608/L620</f>
        <v>0.05035705859926238</v>
      </c>
      <c r="P608" s="118"/>
      <c r="Q608" s="25"/>
    </row>
    <row r="609" spans="2:17" ht="17.25" customHeight="1" thickBot="1">
      <c r="B609" s="125"/>
      <c r="C609" s="123">
        <f>+'Forecast Data For 2011'!C23</f>
        <v>2864.573962684278</v>
      </c>
      <c r="D609" s="124" t="s">
        <v>134</v>
      </c>
      <c r="E609" s="31"/>
      <c r="F609" s="292" t="s">
        <v>78</v>
      </c>
      <c r="G609" s="290">
        <f>C611</f>
        <v>1484.1374112626709</v>
      </c>
      <c r="H609" s="149">
        <f>'2010 Existing Rates'!$D$64</f>
        <v>0.6995</v>
      </c>
      <c r="I609" s="164">
        <f>+G609*H609</f>
        <v>1038.1541191782383</v>
      </c>
      <c r="J609" s="155">
        <f>G609</f>
        <v>1484.1374112626709</v>
      </c>
      <c r="K609" s="148">
        <f>'Rate Schedule (Part 1)'!$E$59</f>
        <v>4.9716</v>
      </c>
      <c r="L609" s="164">
        <f>+J609*K609</f>
        <v>7378.537553833494</v>
      </c>
      <c r="M609" s="186">
        <f t="shared" si="85"/>
        <v>6340.383434655256</v>
      </c>
      <c r="N609" s="187">
        <f t="shared" si="86"/>
        <v>6.107362401715511</v>
      </c>
      <c r="O609" s="179">
        <f>L609/L620</f>
        <v>0.11406010197192144</v>
      </c>
      <c r="P609" s="118"/>
      <c r="Q609" s="25"/>
    </row>
    <row r="610" spans="2:16" ht="17.25" customHeight="1" thickBot="1">
      <c r="B610" s="125"/>
      <c r="C610" s="123">
        <f>+'Forecast Data For 2011'!C25/12</f>
        <v>526732.239641291</v>
      </c>
      <c r="D610" s="124" t="s">
        <v>15</v>
      </c>
      <c r="E610" s="31"/>
      <c r="F610" s="292" t="s">
        <v>237</v>
      </c>
      <c r="G610" s="246">
        <f>G609</f>
        <v>1484.1374112626709</v>
      </c>
      <c r="H610" s="293">
        <f>'2010 Existing Rates'!$D$39</f>
        <v>0.0764</v>
      </c>
      <c r="I610" s="164">
        <f>+G610*H610</f>
        <v>113.38809822046805</v>
      </c>
      <c r="J610" s="155">
        <f>G610</f>
        <v>1484.1374112626709</v>
      </c>
      <c r="K610" s="148">
        <f>'Rate Schedule (Part 1)'!$E$60</f>
        <v>0.0552</v>
      </c>
      <c r="L610" s="164">
        <f>+J610*K610</f>
        <v>81.92438510169943</v>
      </c>
      <c r="M610" s="186">
        <f t="shared" si="85"/>
        <v>-31.463713118768624</v>
      </c>
      <c r="N610" s="187">
        <f t="shared" si="86"/>
        <v>-0.2774869109947644</v>
      </c>
      <c r="O610" s="179">
        <f>L610/L620</f>
        <v>0.001266416773040885</v>
      </c>
      <c r="P610" s="118"/>
    </row>
    <row r="611" spans="2:16" ht="17.25" customHeight="1" thickBot="1">
      <c r="B611" s="125"/>
      <c r="C611" s="123">
        <f>+'Forecast Data For 2011'!C24/12</f>
        <v>1484.1374112626709</v>
      </c>
      <c r="D611" s="124" t="s">
        <v>16</v>
      </c>
      <c r="E611" s="31"/>
      <c r="F611" s="152" t="s">
        <v>238</v>
      </c>
      <c r="G611" s="155">
        <f>G610</f>
        <v>1484.1374112626709</v>
      </c>
      <c r="H611" s="149"/>
      <c r="I611" s="164">
        <f>+G611*H611</f>
        <v>0</v>
      </c>
      <c r="J611" s="155">
        <f>G611</f>
        <v>1484.1374112626709</v>
      </c>
      <c r="K611" s="148">
        <f>'Rate Schedule (Part 1)'!$E$61</f>
        <v>0</v>
      </c>
      <c r="L611" s="168">
        <f>+J611*K611</f>
        <v>0</v>
      </c>
      <c r="M611" s="186">
        <f t="shared" si="85"/>
        <v>0</v>
      </c>
      <c r="N611" s="187">
        <v>0</v>
      </c>
      <c r="O611" s="179">
        <f>L611/L620</f>
        <v>0</v>
      </c>
      <c r="P611" s="118"/>
    </row>
    <row r="612" spans="2:16" ht="17.25" customHeight="1" thickBot="1">
      <c r="B612" s="125"/>
      <c r="C612" s="62"/>
      <c r="D612" s="63"/>
      <c r="E612" s="31"/>
      <c r="F612" s="153" t="s">
        <v>239</v>
      </c>
      <c r="G612" s="155">
        <f>G611</f>
        <v>1484.1374112626709</v>
      </c>
      <c r="H612" s="149">
        <f>'2010 Existing Rates'!$D$27</f>
        <v>-1.1241</v>
      </c>
      <c r="I612" s="168">
        <f>+G612*H612</f>
        <v>-1668.3188640003684</v>
      </c>
      <c r="J612" s="155">
        <f>J611</f>
        <v>1484.1374112626709</v>
      </c>
      <c r="K612" s="148">
        <f>'Rate Schedule (Part 1)'!$E$62</f>
        <v>-0.3347942462419059</v>
      </c>
      <c r="L612" s="168">
        <f>+J612*K612</f>
        <v>-496.8806659230994</v>
      </c>
      <c r="M612" s="186">
        <f t="shared" si="85"/>
        <v>1171.4381980772691</v>
      </c>
      <c r="N612" s="187">
        <f t="shared" si="86"/>
        <v>-0.7021668479299833</v>
      </c>
      <c r="O612" s="179">
        <f>L612/L620</f>
        <v>-0.0076809610318538035</v>
      </c>
      <c r="P612" s="118"/>
    </row>
    <row r="613" spans="2:16" ht="17.25" customHeight="1" thickBot="1">
      <c r="B613" s="125"/>
      <c r="C613" s="31"/>
      <c r="D613" s="31"/>
      <c r="E613" s="31"/>
      <c r="F613" s="476" t="s">
        <v>234</v>
      </c>
      <c r="G613" s="676"/>
      <c r="H613" s="677"/>
      <c r="I613" s="477">
        <f>SUM(I608:I612)</f>
        <v>-58.444812572177625</v>
      </c>
      <c r="J613" s="676"/>
      <c r="K613" s="677"/>
      <c r="L613" s="477">
        <f>SUM(L608:L612)</f>
        <v>10221.174783376655</v>
      </c>
      <c r="M613" s="480">
        <f t="shared" si="85"/>
        <v>10279.619595948832</v>
      </c>
      <c r="N613" s="481">
        <f t="shared" si="86"/>
        <v>-175.88591944330054</v>
      </c>
      <c r="O613" s="482">
        <f>SUM(O608:O612)</f>
        <v>0.1580026163123709</v>
      </c>
      <c r="P613" s="118"/>
    </row>
    <row r="614" spans="2:16" ht="17.25" customHeight="1" thickBot="1">
      <c r="B614" s="125"/>
      <c r="C614" s="31"/>
      <c r="D614" s="31"/>
      <c r="E614" s="31"/>
      <c r="F614" s="152" t="s">
        <v>240</v>
      </c>
      <c r="G614" s="273">
        <f>G612</f>
        <v>1484.1374112626709</v>
      </c>
      <c r="H614" s="274">
        <f>'Other Electriciy Rates'!$F$16</f>
        <v>2.9013</v>
      </c>
      <c r="I614" s="164">
        <f>+G614*H614</f>
        <v>4305.927871296387</v>
      </c>
      <c r="J614" s="273">
        <f>G614</f>
        <v>1484.1374112626709</v>
      </c>
      <c r="K614" s="274">
        <f>'Other Electriciy Rates'!$F$31</f>
        <v>2.8175274347373565</v>
      </c>
      <c r="L614" s="164">
        <f>+J614*K614</f>
        <v>4181.597873152654</v>
      </c>
      <c r="M614" s="275">
        <f t="shared" si="85"/>
        <v>-124.32999814373306</v>
      </c>
      <c r="N614" s="176">
        <f t="shared" si="86"/>
        <v>-0.028874147886341857</v>
      </c>
      <c r="O614" s="179">
        <f>L614/L620</f>
        <v>0.06464065220750445</v>
      </c>
      <c r="P614" s="118"/>
    </row>
    <row r="615" spans="2:16" ht="17.25" customHeight="1" thickBot="1">
      <c r="B615" s="125"/>
      <c r="C615" s="31"/>
      <c r="D615" s="31"/>
      <c r="E615" s="31"/>
      <c r="F615" s="476" t="s">
        <v>236</v>
      </c>
      <c r="G615" s="676"/>
      <c r="H615" s="677"/>
      <c r="I615" s="477">
        <f>I613+I614</f>
        <v>4247.4830587242095</v>
      </c>
      <c r="J615" s="676"/>
      <c r="K615" s="677"/>
      <c r="L615" s="477">
        <f>L613+L614</f>
        <v>14402.772656529309</v>
      </c>
      <c r="M615" s="480">
        <f t="shared" si="85"/>
        <v>10155.289597805098</v>
      </c>
      <c r="N615" s="481">
        <f t="shared" si="86"/>
        <v>2.390895845233902</v>
      </c>
      <c r="O615" s="483">
        <f>L615/L620</f>
        <v>0.22264326851987537</v>
      </c>
      <c r="P615" s="118"/>
    </row>
    <row r="616" spans="2:16" ht="17.25" customHeight="1">
      <c r="B616" s="125"/>
      <c r="C616" s="31"/>
      <c r="D616" s="31"/>
      <c r="E616" s="31"/>
      <c r="F616" s="150" t="s">
        <v>73</v>
      </c>
      <c r="G616" s="156">
        <f>C610*'Other Electriciy Rates'!$L$16</f>
        <v>545220.5412527003</v>
      </c>
      <c r="H616" s="157">
        <f>'Other Electriciy Rates'!$C$16+'Other Electriciy Rates'!$D$16</f>
        <v>0.0135</v>
      </c>
      <c r="I616" s="158">
        <f>+G616*H616</f>
        <v>7360.4773069114535</v>
      </c>
      <c r="J616" s="156">
        <f>C610*'Other Electriciy Rates'!$L$31</f>
        <v>545795.3367171497</v>
      </c>
      <c r="K616" s="157">
        <f>'Other Electriciy Rates'!$C$31+'Other Electriciy Rates'!$D$31</f>
        <v>0.0135</v>
      </c>
      <c r="L616" s="185">
        <f>+J616*K616</f>
        <v>7368.237045681521</v>
      </c>
      <c r="M616" s="186">
        <f t="shared" si="85"/>
        <v>7.759738770067088</v>
      </c>
      <c r="N616" s="187">
        <f t="shared" si="86"/>
        <v>0.0010542439636055572</v>
      </c>
      <c r="O616" s="179">
        <f>L616/L620</f>
        <v>0.11390087299170622</v>
      </c>
      <c r="P616" s="118"/>
    </row>
    <row r="617" spans="2:16" ht="17.25" customHeight="1" thickBot="1">
      <c r="B617" s="125"/>
      <c r="C617" s="31"/>
      <c r="D617" s="31"/>
      <c r="E617" s="31"/>
      <c r="F617" s="150" t="s">
        <v>74</v>
      </c>
      <c r="G617" s="156">
        <f>G616</f>
        <v>545220.5412527003</v>
      </c>
      <c r="H617" s="157">
        <f>'Other Electriciy Rates'!$J$16</f>
        <v>0.065</v>
      </c>
      <c r="I617" s="158">
        <f>+G617*H617</f>
        <v>35439.335181425515</v>
      </c>
      <c r="J617" s="156">
        <f>J616</f>
        <v>545795.3367171497</v>
      </c>
      <c r="K617" s="157">
        <f>'Other Electriciy Rates'!$J$31</f>
        <v>0.065</v>
      </c>
      <c r="L617" s="185">
        <f>+J617*K617</f>
        <v>35476.69688661473</v>
      </c>
      <c r="M617" s="186">
        <f t="shared" si="85"/>
        <v>37.36170518921426</v>
      </c>
      <c r="N617" s="187">
        <f t="shared" si="86"/>
        <v>0.0010542439636056237</v>
      </c>
      <c r="O617" s="179">
        <f>L617/L620</f>
        <v>0.5484116107008077</v>
      </c>
      <c r="P617" s="118"/>
    </row>
    <row r="618" spans="2:16" ht="17.25" customHeight="1" thickBot="1">
      <c r="B618" s="125"/>
      <c r="C618" s="31"/>
      <c r="D618" s="31"/>
      <c r="E618" s="31"/>
      <c r="F618" s="476" t="s">
        <v>191</v>
      </c>
      <c r="G618" s="676"/>
      <c r="H618" s="677"/>
      <c r="I618" s="477">
        <f>SUM(I615:I617)</f>
        <v>47047.29554706118</v>
      </c>
      <c r="J618" s="676"/>
      <c r="K618" s="677"/>
      <c r="L618" s="477">
        <f>SUM(L615:L617)</f>
        <v>57247.70658882556</v>
      </c>
      <c r="M618" s="477">
        <f t="shared" si="85"/>
        <v>10200.411041764382</v>
      </c>
      <c r="N618" s="481">
        <f t="shared" si="86"/>
        <v>0.21681184695432623</v>
      </c>
      <c r="O618" s="483">
        <f>L618/L620</f>
        <v>0.8849557522123893</v>
      </c>
      <c r="P618" s="118"/>
    </row>
    <row r="619" spans="2:16" ht="17.25" customHeight="1" thickBot="1">
      <c r="B619" s="125"/>
      <c r="C619" s="31"/>
      <c r="D619" s="31"/>
      <c r="E619" s="31"/>
      <c r="F619" s="222" t="s">
        <v>323</v>
      </c>
      <c r="G619" s="223"/>
      <c r="H619" s="227">
        <v>0.13</v>
      </c>
      <c r="I619" s="224">
        <f>I618*H619</f>
        <v>6116.148421117953</v>
      </c>
      <c r="J619" s="223"/>
      <c r="K619" s="227">
        <v>0.13</v>
      </c>
      <c r="L619" s="225">
        <f>L618*K619</f>
        <v>7442.201856547323</v>
      </c>
      <c r="M619" s="183">
        <f t="shared" si="85"/>
        <v>1326.0534354293695</v>
      </c>
      <c r="N619" s="184">
        <f t="shared" si="86"/>
        <v>0.2168118469543262</v>
      </c>
      <c r="O619" s="189">
        <f>L619/L620</f>
        <v>0.11504424778761062</v>
      </c>
      <c r="P619" s="118"/>
    </row>
    <row r="620" spans="2:16" ht="17.25" customHeight="1" thickBot="1">
      <c r="B620" s="125"/>
      <c r="C620" s="31"/>
      <c r="D620" s="31"/>
      <c r="E620" s="35"/>
      <c r="F620" s="491" t="s">
        <v>75</v>
      </c>
      <c r="G620" s="686"/>
      <c r="H620" s="687"/>
      <c r="I620" s="492">
        <f>SUM(I618:I619)</f>
        <v>53163.443968179134</v>
      </c>
      <c r="J620" s="686"/>
      <c r="K620" s="687"/>
      <c r="L620" s="492">
        <f>L618+L619</f>
        <v>64689.90844537289</v>
      </c>
      <c r="M620" s="492">
        <f t="shared" si="85"/>
        <v>11526.464477193753</v>
      </c>
      <c r="N620" s="493">
        <f t="shared" si="86"/>
        <v>0.21681184695432623</v>
      </c>
      <c r="O620" s="494">
        <f>O618+O619</f>
        <v>0.9999999999999999</v>
      </c>
      <c r="P620" s="118"/>
    </row>
    <row r="621" spans="2:16" ht="17.25" customHeight="1" thickBot="1">
      <c r="B621" s="119"/>
      <c r="C621" s="131"/>
      <c r="D621" s="131"/>
      <c r="E621" s="131"/>
      <c r="F621" s="208"/>
      <c r="G621" s="209"/>
      <c r="H621" s="210"/>
      <c r="I621" s="211"/>
      <c r="J621" s="209"/>
      <c r="K621" s="212"/>
      <c r="L621" s="212"/>
      <c r="M621" s="212"/>
      <c r="N621" s="212"/>
      <c r="O621" s="212"/>
      <c r="P621" s="120"/>
    </row>
    <row r="622" spans="2:16" ht="17.25" customHeight="1" thickBot="1">
      <c r="B622" s="25"/>
      <c r="C622" s="31"/>
      <c r="D622" s="31"/>
      <c r="E622" s="31"/>
      <c r="F622" s="49"/>
      <c r="G622" s="50"/>
      <c r="H622" s="51"/>
      <c r="I622" s="52"/>
      <c r="J622" s="50"/>
      <c r="K622" s="53"/>
      <c r="L622" s="52"/>
      <c r="M622" s="54"/>
      <c r="N622" s="128"/>
      <c r="O622" s="129"/>
      <c r="P622" s="25"/>
    </row>
    <row r="623" spans="2:16" ht="17.25" customHeight="1">
      <c r="B623" s="127"/>
      <c r="C623" s="684"/>
      <c r="D623" s="684"/>
      <c r="E623" s="684"/>
      <c r="F623" s="684"/>
      <c r="G623" s="684"/>
      <c r="H623" s="684"/>
      <c r="I623" s="684"/>
      <c r="J623" s="684"/>
      <c r="K623" s="684"/>
      <c r="L623" s="684"/>
      <c r="M623" s="684"/>
      <c r="N623" s="684"/>
      <c r="O623" s="684"/>
      <c r="P623" s="117"/>
    </row>
    <row r="624" spans="2:16" ht="23.25">
      <c r="B624" s="125"/>
      <c r="C624" s="683" t="s">
        <v>80</v>
      </c>
      <c r="D624" s="683"/>
      <c r="E624" s="683"/>
      <c r="F624" s="683"/>
      <c r="G624" s="683"/>
      <c r="H624" s="683"/>
      <c r="I624" s="683"/>
      <c r="J624" s="683"/>
      <c r="K624" s="683"/>
      <c r="L624" s="683"/>
      <c r="M624" s="683"/>
      <c r="N624" s="683"/>
      <c r="O624" s="683"/>
      <c r="P624" s="118"/>
    </row>
    <row r="625" spans="2:17" ht="17.25" customHeight="1" thickBot="1">
      <c r="B625" s="125"/>
      <c r="C625" s="685"/>
      <c r="D625" s="685"/>
      <c r="E625" s="685"/>
      <c r="F625" s="685"/>
      <c r="G625" s="685"/>
      <c r="H625" s="685"/>
      <c r="I625" s="685"/>
      <c r="J625" s="685"/>
      <c r="K625" s="685"/>
      <c r="L625" s="685"/>
      <c r="M625" s="685"/>
      <c r="N625" s="685"/>
      <c r="O625" s="685"/>
      <c r="P625" s="118"/>
      <c r="Q625" s="25"/>
    </row>
    <row r="626" spans="2:17" ht="17.25" customHeight="1" thickBot="1">
      <c r="B626" s="125"/>
      <c r="C626" s="126"/>
      <c r="D626" s="126"/>
      <c r="E626" s="31"/>
      <c r="F626" s="32"/>
      <c r="G626" s="678" t="str">
        <f>$G$10</f>
        <v>2010 BILL</v>
      </c>
      <c r="H626" s="679"/>
      <c r="I626" s="680"/>
      <c r="J626" s="678" t="str">
        <f>$J$10</f>
        <v>2011 BILL</v>
      </c>
      <c r="K626" s="679"/>
      <c r="L626" s="680"/>
      <c r="M626" s="678" t="s">
        <v>69</v>
      </c>
      <c r="N626" s="679"/>
      <c r="O626" s="680"/>
      <c r="P626" s="118"/>
      <c r="Q626" s="25"/>
    </row>
    <row r="627" spans="2:17" ht="26.25" thickBot="1">
      <c r="B627" s="125"/>
      <c r="C627" s="31"/>
      <c r="D627" s="31"/>
      <c r="E627" s="33"/>
      <c r="F627" s="34"/>
      <c r="G627" s="285" t="s">
        <v>63</v>
      </c>
      <c r="H627" s="286" t="s">
        <v>64</v>
      </c>
      <c r="I627" s="287" t="s">
        <v>65</v>
      </c>
      <c r="J627" s="288" t="s">
        <v>63</v>
      </c>
      <c r="K627" s="286" t="s">
        <v>64</v>
      </c>
      <c r="L627" s="287" t="s">
        <v>65</v>
      </c>
      <c r="M627" s="145" t="s">
        <v>70</v>
      </c>
      <c r="N627" s="146" t="s">
        <v>71</v>
      </c>
      <c r="O627" s="147" t="s">
        <v>72</v>
      </c>
      <c r="P627" s="118"/>
      <c r="Q627" s="25"/>
    </row>
    <row r="628" spans="2:17" ht="17.25" customHeight="1" thickBot="1">
      <c r="B628" s="125"/>
      <c r="C628" s="681" t="s">
        <v>135</v>
      </c>
      <c r="D628" s="682"/>
      <c r="E628" s="31"/>
      <c r="F628" s="291" t="s">
        <v>67</v>
      </c>
      <c r="G628" s="289">
        <f>C629</f>
        <v>0</v>
      </c>
      <c r="H628" s="283">
        <f>'2010 Existing Rates'!$B$14</f>
        <v>0.16</v>
      </c>
      <c r="I628" s="164">
        <f>+G628*H628</f>
        <v>0</v>
      </c>
      <c r="J628" s="289">
        <f>G628</f>
        <v>0</v>
      </c>
      <c r="K628" s="283">
        <f>'Rate Schedule (Part 1)'!$E$58</f>
        <v>1.1372</v>
      </c>
      <c r="L628" s="164">
        <f>+J628*K628</f>
        <v>0</v>
      </c>
      <c r="M628" s="186">
        <f aca="true" t="shared" si="87" ref="M628:M640">+L628-I628</f>
        <v>0</v>
      </c>
      <c r="N628" s="187" t="e">
        <f>+M628/I628</f>
        <v>#DIV/0!</v>
      </c>
      <c r="O628" s="179" t="e">
        <f>L628/L640</f>
        <v>#DIV/0!</v>
      </c>
      <c r="P628" s="118"/>
      <c r="Q628" s="25"/>
    </row>
    <row r="629" spans="2:17" ht="17.25" customHeight="1" thickBot="1">
      <c r="B629" s="125"/>
      <c r="C629" s="123"/>
      <c r="D629" s="124" t="s">
        <v>134</v>
      </c>
      <c r="E629" s="31"/>
      <c r="F629" s="292" t="s">
        <v>78</v>
      </c>
      <c r="G629" s="290">
        <f>C631</f>
        <v>0</v>
      </c>
      <c r="H629" s="149">
        <f>'2010 Existing Rates'!$D$64</f>
        <v>0.6995</v>
      </c>
      <c r="I629" s="164">
        <f>+G629*H629</f>
        <v>0</v>
      </c>
      <c r="J629" s="155">
        <f>G629</f>
        <v>0</v>
      </c>
      <c r="K629" s="148">
        <f>'Rate Schedule (Part 1)'!$E$59</f>
        <v>4.9716</v>
      </c>
      <c r="L629" s="164">
        <f>+J629*K629</f>
        <v>0</v>
      </c>
      <c r="M629" s="186">
        <f t="shared" si="87"/>
        <v>0</v>
      </c>
      <c r="N629" s="187" t="e">
        <f>+M629/I629</f>
        <v>#DIV/0!</v>
      </c>
      <c r="O629" s="179" t="e">
        <f>L629/L640</f>
        <v>#DIV/0!</v>
      </c>
      <c r="P629" s="118"/>
      <c r="Q629" s="25"/>
    </row>
    <row r="630" spans="2:16" ht="17.25" customHeight="1" thickBot="1">
      <c r="B630" s="125"/>
      <c r="C630" s="219"/>
      <c r="D630" s="124" t="s">
        <v>15</v>
      </c>
      <c r="E630" s="31"/>
      <c r="F630" s="292" t="s">
        <v>237</v>
      </c>
      <c r="G630" s="246">
        <f>G629</f>
        <v>0</v>
      </c>
      <c r="H630" s="293">
        <f>'2010 Existing Rates'!$D$39</f>
        <v>0.0764</v>
      </c>
      <c r="I630" s="164">
        <f>+G630*H630</f>
        <v>0</v>
      </c>
      <c r="J630" s="155">
        <f>G630</f>
        <v>0</v>
      </c>
      <c r="K630" s="148">
        <f>'Rate Schedule (Part 1)'!$E$60</f>
        <v>0.0552</v>
      </c>
      <c r="L630" s="164">
        <f>+J630*K630</f>
        <v>0</v>
      </c>
      <c r="M630" s="186">
        <f t="shared" si="87"/>
        <v>0</v>
      </c>
      <c r="N630" s="187" t="e">
        <f>+M630/I630</f>
        <v>#DIV/0!</v>
      </c>
      <c r="O630" s="179" t="e">
        <f>L630/L640</f>
        <v>#DIV/0!</v>
      </c>
      <c r="P630" s="118"/>
    </row>
    <row r="631" spans="2:16" ht="17.25" customHeight="1" thickBot="1">
      <c r="B631" s="125"/>
      <c r="C631" s="219"/>
      <c r="D631" s="124" t="s">
        <v>16</v>
      </c>
      <c r="E631" s="31"/>
      <c r="F631" s="152" t="s">
        <v>238</v>
      </c>
      <c r="G631" s="155">
        <f>G630</f>
        <v>0</v>
      </c>
      <c r="H631" s="149"/>
      <c r="I631" s="164">
        <f>+G631*H631</f>
        <v>0</v>
      </c>
      <c r="J631" s="155">
        <f>G631</f>
        <v>0</v>
      </c>
      <c r="K631" s="148">
        <f>'Rate Schedule (Part 1)'!$E$61</f>
        <v>0</v>
      </c>
      <c r="L631" s="168">
        <f>+J631*K631</f>
        <v>0</v>
      </c>
      <c r="M631" s="186">
        <f t="shared" si="87"/>
        <v>0</v>
      </c>
      <c r="N631" s="187">
        <v>0</v>
      </c>
      <c r="O631" s="179" t="e">
        <f>L631/L640</f>
        <v>#DIV/0!</v>
      </c>
      <c r="P631" s="118"/>
    </row>
    <row r="632" spans="2:16" ht="17.25" customHeight="1" thickBot="1">
      <c r="B632" s="125"/>
      <c r="C632" s="62"/>
      <c r="D632" s="63"/>
      <c r="E632" s="31"/>
      <c r="F632" s="153" t="s">
        <v>239</v>
      </c>
      <c r="G632" s="155">
        <f>G631</f>
        <v>0</v>
      </c>
      <c r="H632" s="149">
        <f>'2010 Existing Rates'!$D$27</f>
        <v>-1.1241</v>
      </c>
      <c r="I632" s="168">
        <f>+G632*H632</f>
        <v>0</v>
      </c>
      <c r="J632" s="155">
        <f>J631</f>
        <v>0</v>
      </c>
      <c r="K632" s="148">
        <f>'Rate Schedule (Part 1)'!$E$62</f>
        <v>-0.3347942462419059</v>
      </c>
      <c r="L632" s="168">
        <f>+J632*K632</f>
        <v>0</v>
      </c>
      <c r="M632" s="186">
        <f t="shared" si="87"/>
        <v>0</v>
      </c>
      <c r="N632" s="187" t="e">
        <f aca="true" t="shared" si="88" ref="N632:N640">+M632/I632</f>
        <v>#DIV/0!</v>
      </c>
      <c r="O632" s="179" t="e">
        <f>L632/L640</f>
        <v>#DIV/0!</v>
      </c>
      <c r="P632" s="118"/>
    </row>
    <row r="633" spans="2:16" ht="17.25" customHeight="1" thickBot="1">
      <c r="B633" s="125"/>
      <c r="C633" s="31"/>
      <c r="D633" s="31"/>
      <c r="E633" s="31"/>
      <c r="F633" s="476" t="s">
        <v>234</v>
      </c>
      <c r="G633" s="676"/>
      <c r="H633" s="677"/>
      <c r="I633" s="477">
        <f>SUM(I628:I632)</f>
        <v>0</v>
      </c>
      <c r="J633" s="676"/>
      <c r="K633" s="677"/>
      <c r="L633" s="477">
        <f>SUM(L628:L632)</f>
        <v>0</v>
      </c>
      <c r="M633" s="480">
        <f t="shared" si="87"/>
        <v>0</v>
      </c>
      <c r="N633" s="481" t="e">
        <f t="shared" si="88"/>
        <v>#DIV/0!</v>
      </c>
      <c r="O633" s="482" t="e">
        <f>SUM(O628:O632)</f>
        <v>#DIV/0!</v>
      </c>
      <c r="P633" s="118"/>
    </row>
    <row r="634" spans="2:16" ht="17.25" customHeight="1" thickBot="1">
      <c r="B634" s="125"/>
      <c r="C634" s="31"/>
      <c r="D634" s="31"/>
      <c r="E634" s="31"/>
      <c r="F634" s="152" t="s">
        <v>240</v>
      </c>
      <c r="G634" s="273">
        <f>G632</f>
        <v>0</v>
      </c>
      <c r="H634" s="274">
        <f>'Other Electriciy Rates'!$F$16</f>
        <v>2.9013</v>
      </c>
      <c r="I634" s="164">
        <f>+G634*H634</f>
        <v>0</v>
      </c>
      <c r="J634" s="273">
        <f>G634</f>
        <v>0</v>
      </c>
      <c r="K634" s="274">
        <f>'Other Electriciy Rates'!$F$31</f>
        <v>2.8175274347373565</v>
      </c>
      <c r="L634" s="164">
        <f>+J634*K634</f>
        <v>0</v>
      </c>
      <c r="M634" s="275">
        <f t="shared" si="87"/>
        <v>0</v>
      </c>
      <c r="N634" s="176" t="e">
        <f t="shared" si="88"/>
        <v>#DIV/0!</v>
      </c>
      <c r="O634" s="179" t="e">
        <f>L634/L640</f>
        <v>#DIV/0!</v>
      </c>
      <c r="P634" s="118"/>
    </row>
    <row r="635" spans="2:16" ht="17.25" customHeight="1" thickBot="1">
      <c r="B635" s="125"/>
      <c r="C635" s="31"/>
      <c r="D635" s="31"/>
      <c r="E635" s="31"/>
      <c r="F635" s="476" t="s">
        <v>236</v>
      </c>
      <c r="G635" s="676"/>
      <c r="H635" s="677"/>
      <c r="I635" s="477">
        <f>I633+I634</f>
        <v>0</v>
      </c>
      <c r="J635" s="676"/>
      <c r="K635" s="677"/>
      <c r="L635" s="477">
        <f>L633+L634</f>
        <v>0</v>
      </c>
      <c r="M635" s="480">
        <f t="shared" si="87"/>
        <v>0</v>
      </c>
      <c r="N635" s="481" t="e">
        <f t="shared" si="88"/>
        <v>#DIV/0!</v>
      </c>
      <c r="O635" s="483" t="e">
        <f>L635/L640</f>
        <v>#DIV/0!</v>
      </c>
      <c r="P635" s="118"/>
    </row>
    <row r="636" spans="2:16" ht="17.25" customHeight="1">
      <c r="B636" s="125"/>
      <c r="C636" s="31"/>
      <c r="D636" s="31"/>
      <c r="E636" s="31"/>
      <c r="F636" s="150" t="s">
        <v>73</v>
      </c>
      <c r="G636" s="156">
        <f>C630*'Other Electriciy Rates'!$L$16</f>
        <v>0</v>
      </c>
      <c r="H636" s="157">
        <f>'Other Electriciy Rates'!$C$16+'Other Electriciy Rates'!$D$16</f>
        <v>0.0135</v>
      </c>
      <c r="I636" s="158">
        <f>+G636*H636</f>
        <v>0</v>
      </c>
      <c r="J636" s="156">
        <f>C630*'Other Electriciy Rates'!$L$31</f>
        <v>0</v>
      </c>
      <c r="K636" s="157">
        <f>'Other Electriciy Rates'!$C$31+'Other Electriciy Rates'!$D$31</f>
        <v>0.0135</v>
      </c>
      <c r="L636" s="185">
        <f>+J636*K636</f>
        <v>0</v>
      </c>
      <c r="M636" s="186">
        <f t="shared" si="87"/>
        <v>0</v>
      </c>
      <c r="N636" s="187" t="e">
        <f t="shared" si="88"/>
        <v>#DIV/0!</v>
      </c>
      <c r="O636" s="179" t="e">
        <f>L636/L640</f>
        <v>#DIV/0!</v>
      </c>
      <c r="P636" s="118"/>
    </row>
    <row r="637" spans="2:16" ht="17.25" customHeight="1" thickBot="1">
      <c r="B637" s="125"/>
      <c r="C637" s="31"/>
      <c r="D637" s="31"/>
      <c r="E637" s="31"/>
      <c r="F637" s="150" t="s">
        <v>74</v>
      </c>
      <c r="G637" s="156">
        <f>G636</f>
        <v>0</v>
      </c>
      <c r="H637" s="157">
        <f>'Other Electriciy Rates'!$J$16</f>
        <v>0.065</v>
      </c>
      <c r="I637" s="158">
        <f>+G637*H637</f>
        <v>0</v>
      </c>
      <c r="J637" s="156">
        <f>J636</f>
        <v>0</v>
      </c>
      <c r="K637" s="157">
        <f>'Other Electriciy Rates'!$J$31</f>
        <v>0.065</v>
      </c>
      <c r="L637" s="185">
        <f>+J637*K637</f>
        <v>0</v>
      </c>
      <c r="M637" s="186">
        <f t="shared" si="87"/>
        <v>0</v>
      </c>
      <c r="N637" s="187" t="e">
        <f t="shared" si="88"/>
        <v>#DIV/0!</v>
      </c>
      <c r="O637" s="179" t="e">
        <f>L637/L640</f>
        <v>#DIV/0!</v>
      </c>
      <c r="P637" s="118"/>
    </row>
    <row r="638" spans="2:16" ht="17.25" customHeight="1" thickBot="1">
      <c r="B638" s="125"/>
      <c r="C638" s="31"/>
      <c r="D638" s="31"/>
      <c r="E638" s="31"/>
      <c r="F638" s="476" t="s">
        <v>191</v>
      </c>
      <c r="G638" s="676"/>
      <c r="H638" s="677"/>
      <c r="I638" s="477">
        <f>SUM(I635:I637)</f>
        <v>0</v>
      </c>
      <c r="J638" s="676"/>
      <c r="K638" s="677"/>
      <c r="L638" s="477">
        <f>SUM(L635:L637)</f>
        <v>0</v>
      </c>
      <c r="M638" s="477">
        <f t="shared" si="87"/>
        <v>0</v>
      </c>
      <c r="N638" s="481" t="e">
        <f t="shared" si="88"/>
        <v>#DIV/0!</v>
      </c>
      <c r="O638" s="483" t="e">
        <f>L638/L640</f>
        <v>#DIV/0!</v>
      </c>
      <c r="P638" s="118"/>
    </row>
    <row r="639" spans="2:16" ht="17.25" customHeight="1" thickBot="1">
      <c r="B639" s="125"/>
      <c r="C639" s="31"/>
      <c r="D639" s="31"/>
      <c r="E639" s="31"/>
      <c r="F639" s="222" t="s">
        <v>323</v>
      </c>
      <c r="G639" s="223"/>
      <c r="H639" s="227">
        <v>0.13</v>
      </c>
      <c r="I639" s="224">
        <f>I638*H639</f>
        <v>0</v>
      </c>
      <c r="J639" s="223"/>
      <c r="K639" s="227">
        <v>0.13</v>
      </c>
      <c r="L639" s="225">
        <f>L638*K639</f>
        <v>0</v>
      </c>
      <c r="M639" s="183">
        <f t="shared" si="87"/>
        <v>0</v>
      </c>
      <c r="N639" s="184" t="e">
        <f t="shared" si="88"/>
        <v>#DIV/0!</v>
      </c>
      <c r="O639" s="189" t="e">
        <f>L639/L640</f>
        <v>#DIV/0!</v>
      </c>
      <c r="P639" s="118"/>
    </row>
    <row r="640" spans="2:16" ht="17.25" customHeight="1" thickBot="1">
      <c r="B640" s="125"/>
      <c r="C640" s="31"/>
      <c r="D640" s="31"/>
      <c r="E640" s="35"/>
      <c r="F640" s="491" t="s">
        <v>75</v>
      </c>
      <c r="G640" s="686"/>
      <c r="H640" s="687"/>
      <c r="I640" s="492">
        <f>SUM(I638:I639)</f>
        <v>0</v>
      </c>
      <c r="J640" s="686"/>
      <c r="K640" s="687"/>
      <c r="L640" s="492">
        <f>L638+L639</f>
        <v>0</v>
      </c>
      <c r="M640" s="492">
        <f t="shared" si="87"/>
        <v>0</v>
      </c>
      <c r="N640" s="493" t="e">
        <f t="shared" si="88"/>
        <v>#DIV/0!</v>
      </c>
      <c r="O640" s="494" t="e">
        <f>O638+O639</f>
        <v>#DIV/0!</v>
      </c>
      <c r="P640" s="118"/>
    </row>
    <row r="641" spans="2:16" ht="17.25" customHeight="1" thickBot="1">
      <c r="B641" s="119"/>
      <c r="C641" s="131"/>
      <c r="D641" s="131"/>
      <c r="E641" s="131"/>
      <c r="F641" s="208"/>
      <c r="G641" s="209"/>
      <c r="H641" s="210"/>
      <c r="I641" s="211"/>
      <c r="J641" s="209"/>
      <c r="K641" s="212"/>
      <c r="L641" s="211"/>
      <c r="M641" s="294"/>
      <c r="N641" s="213"/>
      <c r="O641" s="214"/>
      <c r="P641" s="120"/>
    </row>
    <row r="642" ht="17.25" customHeight="1" thickBot="1"/>
    <row r="643" spans="2:16" ht="17.25" customHeight="1">
      <c r="B643" s="127"/>
      <c r="C643" s="684"/>
      <c r="D643" s="684"/>
      <c r="E643" s="684"/>
      <c r="F643" s="684"/>
      <c r="G643" s="684"/>
      <c r="H643" s="684"/>
      <c r="I643" s="684"/>
      <c r="J643" s="684"/>
      <c r="K643" s="684"/>
      <c r="L643" s="684"/>
      <c r="M643" s="684"/>
      <c r="N643" s="684"/>
      <c r="O643" s="684"/>
      <c r="P643" s="117"/>
    </row>
    <row r="644" spans="2:16" ht="23.25">
      <c r="B644" s="125"/>
      <c r="C644" s="683" t="s">
        <v>79</v>
      </c>
      <c r="D644" s="683"/>
      <c r="E644" s="683"/>
      <c r="F644" s="683"/>
      <c r="G644" s="683"/>
      <c r="H644" s="683"/>
      <c r="I644" s="683"/>
      <c r="J644" s="683"/>
      <c r="K644" s="683"/>
      <c r="L644" s="683"/>
      <c r="M644" s="683"/>
      <c r="N644" s="683"/>
      <c r="O644" s="683"/>
      <c r="P644" s="118"/>
    </row>
    <row r="645" spans="2:17" ht="17.25" customHeight="1" thickBot="1">
      <c r="B645" s="125"/>
      <c r="C645" s="685"/>
      <c r="D645" s="685"/>
      <c r="E645" s="685"/>
      <c r="F645" s="685"/>
      <c r="G645" s="685"/>
      <c r="H645" s="685"/>
      <c r="I645" s="685"/>
      <c r="J645" s="685"/>
      <c r="K645" s="685"/>
      <c r="L645" s="685"/>
      <c r="M645" s="685"/>
      <c r="N645" s="685"/>
      <c r="O645" s="685"/>
      <c r="P645" s="118"/>
      <c r="Q645" s="25"/>
    </row>
    <row r="646" spans="2:17" ht="17.25" customHeight="1" thickBot="1">
      <c r="B646" s="125"/>
      <c r="C646" s="126"/>
      <c r="D646" s="126"/>
      <c r="E646" s="31"/>
      <c r="F646" s="32"/>
      <c r="G646" s="678" t="str">
        <f>$G$10</f>
        <v>2010 BILL</v>
      </c>
      <c r="H646" s="679"/>
      <c r="I646" s="680"/>
      <c r="J646" s="678" t="str">
        <f>$J$10</f>
        <v>2011 BILL</v>
      </c>
      <c r="K646" s="679"/>
      <c r="L646" s="680"/>
      <c r="M646" s="678" t="s">
        <v>69</v>
      </c>
      <c r="N646" s="679"/>
      <c r="O646" s="680"/>
      <c r="P646" s="118"/>
      <c r="Q646" s="25"/>
    </row>
    <row r="647" spans="2:17" ht="26.25" thickBot="1">
      <c r="B647" s="125"/>
      <c r="C647" s="31"/>
      <c r="D647" s="31"/>
      <c r="E647" s="33"/>
      <c r="F647" s="34"/>
      <c r="G647" s="285" t="s">
        <v>63</v>
      </c>
      <c r="H647" s="286" t="s">
        <v>64</v>
      </c>
      <c r="I647" s="287" t="s">
        <v>65</v>
      </c>
      <c r="J647" s="288" t="s">
        <v>63</v>
      </c>
      <c r="K647" s="286" t="s">
        <v>64</v>
      </c>
      <c r="L647" s="287" t="s">
        <v>65</v>
      </c>
      <c r="M647" s="145" t="s">
        <v>70</v>
      </c>
      <c r="N647" s="146" t="s">
        <v>71</v>
      </c>
      <c r="O647" s="147" t="s">
        <v>72</v>
      </c>
      <c r="P647" s="118"/>
      <c r="Q647" s="25"/>
    </row>
    <row r="648" spans="2:17" ht="17.25" customHeight="1" thickBot="1">
      <c r="B648" s="125"/>
      <c r="C648" s="681" t="s">
        <v>135</v>
      </c>
      <c r="D648" s="682"/>
      <c r="E648" s="31"/>
      <c r="F648" s="291" t="s">
        <v>67</v>
      </c>
      <c r="G648" s="289">
        <f>C649</f>
        <v>1</v>
      </c>
      <c r="H648" s="283">
        <f>'2010 Existing Rates'!$B$13</f>
        <v>0.4</v>
      </c>
      <c r="I648" s="164">
        <f>+G648*H648</f>
        <v>0.4</v>
      </c>
      <c r="J648" s="289">
        <f>G648</f>
        <v>1</v>
      </c>
      <c r="K648" s="283">
        <f>'Rate Schedule (Part 1)'!$E$51</f>
        <v>1.4692</v>
      </c>
      <c r="L648" s="164">
        <f>+J648*K648</f>
        <v>1.4692</v>
      </c>
      <c r="M648" s="186">
        <f>+L648-I648</f>
        <v>1.0692</v>
      </c>
      <c r="N648" s="187">
        <f aca="true" t="shared" si="89" ref="N648:N660">+M648/I648</f>
        <v>2.6729999999999996</v>
      </c>
      <c r="O648" s="179">
        <f>L648/L660</f>
        <v>0.0674922779021368</v>
      </c>
      <c r="P648" s="118"/>
      <c r="Q648" s="25"/>
    </row>
    <row r="649" spans="2:17" ht="17.25" customHeight="1" thickBot="1">
      <c r="B649" s="125"/>
      <c r="C649" s="123">
        <v>1</v>
      </c>
      <c r="D649" s="124" t="s">
        <v>134</v>
      </c>
      <c r="E649" s="31"/>
      <c r="F649" s="292" t="s">
        <v>78</v>
      </c>
      <c r="G649" s="290">
        <f>C651</f>
        <v>1</v>
      </c>
      <c r="H649" s="149">
        <f>'2010 Existing Rates'!$D$63</f>
        <v>3.0225</v>
      </c>
      <c r="I649" s="164">
        <f>+G649*H649</f>
        <v>3.0225</v>
      </c>
      <c r="J649" s="155">
        <f>G649</f>
        <v>1</v>
      </c>
      <c r="K649" s="148">
        <f>'Rate Schedule (Part 1)'!$E$52</f>
        <v>11.1018</v>
      </c>
      <c r="L649" s="164">
        <f>+J649*K649</f>
        <v>11.1018</v>
      </c>
      <c r="M649" s="186">
        <f>+L649-I649</f>
        <v>8.0793</v>
      </c>
      <c r="N649" s="187">
        <f t="shared" si="89"/>
        <v>2.6730521091811417</v>
      </c>
      <c r="O649" s="179">
        <f>L649/L660</f>
        <v>0.5099957601510633</v>
      </c>
      <c r="P649" s="118"/>
      <c r="Q649" s="25"/>
    </row>
    <row r="650" spans="2:16" ht="17.25" customHeight="1" thickBot="1">
      <c r="B650" s="125"/>
      <c r="C650" s="123">
        <v>50</v>
      </c>
      <c r="D650" s="124" t="s">
        <v>15</v>
      </c>
      <c r="E650" s="31"/>
      <c r="F650" s="292" t="s">
        <v>237</v>
      </c>
      <c r="G650" s="246">
        <f>G649</f>
        <v>1</v>
      </c>
      <c r="H650" s="293">
        <f>'2010 Existing Rates'!$D$38</f>
        <v>0.0779</v>
      </c>
      <c r="I650" s="164">
        <f>+G650*H650</f>
        <v>0.0779</v>
      </c>
      <c r="J650" s="155">
        <f>G650</f>
        <v>1</v>
      </c>
      <c r="K650" s="148">
        <f>'Rate Schedule (Part 1)'!$E$53</f>
        <v>0.0564</v>
      </c>
      <c r="L650" s="164">
        <f>+J650*K650</f>
        <v>0.0564</v>
      </c>
      <c r="M650" s="186">
        <f>+L650-I650</f>
        <v>-0.0215</v>
      </c>
      <c r="N650" s="187">
        <f t="shared" si="89"/>
        <v>-0.27599486521181</v>
      </c>
      <c r="O650" s="179">
        <f>L650/L660</f>
        <v>0.0025909096608225666</v>
      </c>
      <c r="P650" s="118"/>
    </row>
    <row r="651" spans="2:16" ht="17.25" customHeight="1" thickBot="1">
      <c r="B651" s="125"/>
      <c r="C651" s="123">
        <v>1</v>
      </c>
      <c r="D651" s="124" t="s">
        <v>16</v>
      </c>
      <c r="E651" s="31"/>
      <c r="F651" s="152" t="s">
        <v>238</v>
      </c>
      <c r="G651" s="155">
        <f>G650</f>
        <v>1</v>
      </c>
      <c r="H651" s="149"/>
      <c r="I651" s="164">
        <f>+G651*H651</f>
        <v>0</v>
      </c>
      <c r="J651" s="155">
        <f>G651</f>
        <v>1</v>
      </c>
      <c r="K651" s="148">
        <f>'Rate Schedule (Part 1)'!$E$54</f>
        <v>0</v>
      </c>
      <c r="L651" s="168">
        <f>+J651*K651</f>
        <v>0</v>
      </c>
      <c r="M651" s="186">
        <f>+L651-I651</f>
        <v>0</v>
      </c>
      <c r="N651" s="187">
        <v>0</v>
      </c>
      <c r="O651" s="179">
        <f>L651/L660</f>
        <v>0</v>
      </c>
      <c r="P651" s="118"/>
    </row>
    <row r="652" spans="2:16" ht="17.25" customHeight="1" thickBot="1">
      <c r="B652" s="125"/>
      <c r="C652" s="62"/>
      <c r="D652" s="63"/>
      <c r="E652" s="31"/>
      <c r="F652" s="153" t="s">
        <v>239</v>
      </c>
      <c r="G652" s="155">
        <f>G651</f>
        <v>1</v>
      </c>
      <c r="H652" s="149">
        <f>'2010 Existing Rates'!$D$26</f>
        <v>-3.3185</v>
      </c>
      <c r="I652" s="168">
        <f>+G652*H652</f>
        <v>-3.3185</v>
      </c>
      <c r="J652" s="155">
        <f>J651</f>
        <v>1</v>
      </c>
      <c r="K652" s="148">
        <f>'Rate Schedule (Part 1)'!$E$55</f>
        <v>-0.28275737528032935</v>
      </c>
      <c r="L652" s="168">
        <f>+J652*K652</f>
        <v>-0.28275737528032935</v>
      </c>
      <c r="M652" s="186">
        <f>+L652-I652</f>
        <v>3.0357426247196706</v>
      </c>
      <c r="N652" s="187">
        <f t="shared" si="89"/>
        <v>-0.9147936190205427</v>
      </c>
      <c r="O652" s="179">
        <f>L652/L660</f>
        <v>-0.012989340696500661</v>
      </c>
      <c r="P652" s="118"/>
    </row>
    <row r="653" spans="2:16" ht="17.25" customHeight="1" thickBot="1">
      <c r="B653" s="125"/>
      <c r="C653" s="31"/>
      <c r="D653" s="31"/>
      <c r="E653" s="31"/>
      <c r="F653" s="476" t="s">
        <v>234</v>
      </c>
      <c r="G653" s="676"/>
      <c r="H653" s="677"/>
      <c r="I653" s="477">
        <f>SUM(I648:I652)</f>
        <v>0.18190000000000017</v>
      </c>
      <c r="J653" s="676"/>
      <c r="K653" s="677"/>
      <c r="L653" s="477">
        <f>SUM(L648:L652)</f>
        <v>12.344642624719672</v>
      </c>
      <c r="M653" s="480">
        <f>SUM(M648:M652)</f>
        <v>12.162742624719671</v>
      </c>
      <c r="N653" s="481">
        <f t="shared" si="89"/>
        <v>66.86499518812347</v>
      </c>
      <c r="O653" s="482">
        <f>SUM(O648:O652)</f>
        <v>0.567089607017522</v>
      </c>
      <c r="P653" s="118"/>
    </row>
    <row r="654" spans="2:16" ht="17.25" customHeight="1" thickBot="1">
      <c r="B654" s="125"/>
      <c r="C654" s="31"/>
      <c r="D654" s="31"/>
      <c r="E654" s="31"/>
      <c r="F654" s="152" t="s">
        <v>240</v>
      </c>
      <c r="G654" s="273">
        <f>G652</f>
        <v>1</v>
      </c>
      <c r="H654" s="274">
        <f>'Other Electriciy Rates'!$F$15</f>
        <v>2.9857</v>
      </c>
      <c r="I654" s="164">
        <f>+G654*H654</f>
        <v>2.9857</v>
      </c>
      <c r="J654" s="273">
        <f>G654</f>
        <v>1</v>
      </c>
      <c r="K654" s="274">
        <f>'Other Electriciy Rates'!$F$30</f>
        <v>2.8523919168201015</v>
      </c>
      <c r="L654" s="164">
        <f>+J654*K654</f>
        <v>2.8523919168201015</v>
      </c>
      <c r="M654" s="275">
        <f aca="true" t="shared" si="90" ref="M654:M660">+L654-I654</f>
        <v>-0.1333080831798985</v>
      </c>
      <c r="N654" s="176">
        <f t="shared" si="89"/>
        <v>-0.04464885393036759</v>
      </c>
      <c r="O654" s="179">
        <f>L654/L660</f>
        <v>0.13103350662662056</v>
      </c>
      <c r="P654" s="118"/>
    </row>
    <row r="655" spans="2:16" ht="17.25" customHeight="1" thickBot="1">
      <c r="B655" s="125"/>
      <c r="C655" s="31"/>
      <c r="D655" s="31"/>
      <c r="E655" s="31"/>
      <c r="F655" s="476" t="s">
        <v>236</v>
      </c>
      <c r="G655" s="676"/>
      <c r="H655" s="677"/>
      <c r="I655" s="477">
        <f>I653+I654</f>
        <v>3.1676</v>
      </c>
      <c r="J655" s="676"/>
      <c r="K655" s="677"/>
      <c r="L655" s="477">
        <f>L653+L654</f>
        <v>15.197034541539773</v>
      </c>
      <c r="M655" s="480">
        <f t="shared" si="90"/>
        <v>12.029434541539773</v>
      </c>
      <c r="N655" s="481">
        <f t="shared" si="89"/>
        <v>3.7976494953718185</v>
      </c>
      <c r="O655" s="483">
        <f>L655/L660</f>
        <v>0.6981231136441426</v>
      </c>
      <c r="P655" s="118"/>
    </row>
    <row r="656" spans="2:16" ht="17.25" customHeight="1">
      <c r="B656" s="125"/>
      <c r="C656" s="31"/>
      <c r="D656" s="31"/>
      <c r="E656" s="31"/>
      <c r="F656" s="150" t="s">
        <v>73</v>
      </c>
      <c r="G656" s="156">
        <f>C650*'Other Electriciy Rates'!$L$15</f>
        <v>51.754999999999995</v>
      </c>
      <c r="H656" s="157">
        <f>'Other Electriciy Rates'!$C$15+'Other Electriciy Rates'!$D$15</f>
        <v>0.0135</v>
      </c>
      <c r="I656" s="158">
        <f>+G656*H656</f>
        <v>0.6986924999999999</v>
      </c>
      <c r="J656" s="156">
        <f>C650*'Other Electriciy Rates'!$L$30</f>
        <v>51.8095623963364</v>
      </c>
      <c r="K656" s="157">
        <f>'Other Electriciy Rates'!$C$30+'Other Electriciy Rates'!$D$30</f>
        <v>0.0135</v>
      </c>
      <c r="L656" s="185">
        <f>+J656*K656</f>
        <v>0.6994290923505414</v>
      </c>
      <c r="M656" s="186">
        <f t="shared" si="90"/>
        <v>0.0007365923505414651</v>
      </c>
      <c r="N656" s="187">
        <f t="shared" si="89"/>
        <v>0.001054243963605542</v>
      </c>
      <c r="O656" s="179">
        <f>L656/L660</f>
        <v>0.03213045376651377</v>
      </c>
      <c r="P656" s="118"/>
    </row>
    <row r="657" spans="2:16" ht="17.25" customHeight="1" thickBot="1">
      <c r="B657" s="125"/>
      <c r="C657" s="31"/>
      <c r="D657" s="31"/>
      <c r="E657" s="31"/>
      <c r="F657" s="150" t="s">
        <v>74</v>
      </c>
      <c r="G657" s="156">
        <f>G656</f>
        <v>51.754999999999995</v>
      </c>
      <c r="H657" s="157">
        <f>'Other Electriciy Rates'!$J$15</f>
        <v>0.065</v>
      </c>
      <c r="I657" s="158">
        <f>+G657*H657</f>
        <v>3.3640749999999997</v>
      </c>
      <c r="J657" s="156">
        <f>J656</f>
        <v>51.8095623963364</v>
      </c>
      <c r="K657" s="157">
        <f>'Other Electriciy Rates'!$J$30</f>
        <v>0.065</v>
      </c>
      <c r="L657" s="185">
        <f>+J657*K657</f>
        <v>3.3676215557618665</v>
      </c>
      <c r="M657" s="186">
        <f t="shared" si="90"/>
        <v>0.0035465557618667987</v>
      </c>
      <c r="N657" s="187">
        <f t="shared" si="89"/>
        <v>0.0010542439636056862</v>
      </c>
      <c r="O657" s="179">
        <f>L657/L660</f>
        <v>0.154702184801733</v>
      </c>
      <c r="P657" s="118"/>
    </row>
    <row r="658" spans="2:16" ht="17.25" customHeight="1" thickBot="1">
      <c r="B658" s="125"/>
      <c r="C658" s="31"/>
      <c r="D658" s="31"/>
      <c r="E658" s="31"/>
      <c r="F658" s="476" t="s">
        <v>191</v>
      </c>
      <c r="G658" s="676"/>
      <c r="H658" s="677"/>
      <c r="I658" s="477">
        <f>SUM(I655:I657)</f>
        <v>7.2303675</v>
      </c>
      <c r="J658" s="676"/>
      <c r="K658" s="677"/>
      <c r="L658" s="477">
        <f>SUM(L655:L657)</f>
        <v>19.26408518965218</v>
      </c>
      <c r="M658" s="477">
        <f t="shared" si="90"/>
        <v>12.033717689652182</v>
      </c>
      <c r="N658" s="481">
        <f t="shared" si="89"/>
        <v>1.6643300205213887</v>
      </c>
      <c r="O658" s="483">
        <f>L658/L660</f>
        <v>0.8849557522123894</v>
      </c>
      <c r="P658" s="118"/>
    </row>
    <row r="659" spans="2:16" ht="17.25" customHeight="1" thickBot="1">
      <c r="B659" s="125"/>
      <c r="C659" s="31"/>
      <c r="D659" s="31"/>
      <c r="E659" s="31"/>
      <c r="F659" s="222" t="s">
        <v>323</v>
      </c>
      <c r="G659" s="223"/>
      <c r="H659" s="227">
        <v>0.13</v>
      </c>
      <c r="I659" s="224">
        <f>I658*H659</f>
        <v>0.939947775</v>
      </c>
      <c r="J659" s="223"/>
      <c r="K659" s="227">
        <v>0.13</v>
      </c>
      <c r="L659" s="225">
        <f>L658*K659</f>
        <v>2.5043310746547838</v>
      </c>
      <c r="M659" s="183">
        <f t="shared" si="90"/>
        <v>1.5643832996547837</v>
      </c>
      <c r="N659" s="184">
        <f t="shared" si="89"/>
        <v>1.6643300205213887</v>
      </c>
      <c r="O659" s="189">
        <f>L659/L660</f>
        <v>0.11504424778761063</v>
      </c>
      <c r="P659" s="118"/>
    </row>
    <row r="660" spans="2:16" ht="17.25" customHeight="1" thickBot="1">
      <c r="B660" s="125"/>
      <c r="C660" s="31"/>
      <c r="D660" s="31"/>
      <c r="E660" s="35"/>
      <c r="F660" s="491" t="s">
        <v>75</v>
      </c>
      <c r="G660" s="686"/>
      <c r="H660" s="687"/>
      <c r="I660" s="492">
        <f>I658+I659</f>
        <v>8.170315275</v>
      </c>
      <c r="J660" s="686"/>
      <c r="K660" s="687"/>
      <c r="L660" s="492">
        <f>L658+L659</f>
        <v>21.768416264306964</v>
      </c>
      <c r="M660" s="492">
        <f t="shared" si="90"/>
        <v>13.598100989306964</v>
      </c>
      <c r="N660" s="493">
        <f t="shared" si="89"/>
        <v>1.6643300205213885</v>
      </c>
      <c r="O660" s="494">
        <f>O658+O659</f>
        <v>1</v>
      </c>
      <c r="P660" s="118"/>
    </row>
    <row r="661" spans="2:16" ht="17.25" customHeight="1" thickBot="1">
      <c r="B661" s="119"/>
      <c r="C661" s="131"/>
      <c r="D661" s="131"/>
      <c r="E661" s="131"/>
      <c r="F661" s="208"/>
      <c r="G661" s="209"/>
      <c r="H661" s="210"/>
      <c r="I661" s="211"/>
      <c r="J661" s="209"/>
      <c r="K661" s="212"/>
      <c r="L661" s="211"/>
      <c r="M661" s="294"/>
      <c r="N661" s="213"/>
      <c r="O661" s="214"/>
      <c r="P661" s="120"/>
    </row>
    <row r="662" ht="17.25" customHeight="1" thickBot="1"/>
    <row r="663" spans="2:16" ht="17.25" customHeight="1">
      <c r="B663" s="127"/>
      <c r="C663" s="684"/>
      <c r="D663" s="684"/>
      <c r="E663" s="684"/>
      <c r="F663" s="684"/>
      <c r="G663" s="684"/>
      <c r="H663" s="684"/>
      <c r="I663" s="684"/>
      <c r="J663" s="684"/>
      <c r="K663" s="684"/>
      <c r="L663" s="684"/>
      <c r="M663" s="684"/>
      <c r="N663" s="684"/>
      <c r="O663" s="684"/>
      <c r="P663" s="117"/>
    </row>
    <row r="664" spans="2:16" ht="23.25">
      <c r="B664" s="125"/>
      <c r="C664" s="683" t="s">
        <v>79</v>
      </c>
      <c r="D664" s="683"/>
      <c r="E664" s="683"/>
      <c r="F664" s="683"/>
      <c r="G664" s="683"/>
      <c r="H664" s="683"/>
      <c r="I664" s="683"/>
      <c r="J664" s="683"/>
      <c r="K664" s="683"/>
      <c r="L664" s="683"/>
      <c r="M664" s="683"/>
      <c r="N664" s="683"/>
      <c r="O664" s="683"/>
      <c r="P664" s="118"/>
    </row>
    <row r="665" spans="2:17" ht="17.25" customHeight="1" thickBot="1">
      <c r="B665" s="125"/>
      <c r="C665" s="685"/>
      <c r="D665" s="685"/>
      <c r="E665" s="685"/>
      <c r="F665" s="685"/>
      <c r="G665" s="685"/>
      <c r="H665" s="685"/>
      <c r="I665" s="685"/>
      <c r="J665" s="685"/>
      <c r="K665" s="685"/>
      <c r="L665" s="685"/>
      <c r="M665" s="685"/>
      <c r="N665" s="685"/>
      <c r="O665" s="685"/>
      <c r="P665" s="118"/>
      <c r="Q665" s="25"/>
    </row>
    <row r="666" spans="2:17" ht="17.25" customHeight="1" thickBot="1">
      <c r="B666" s="125"/>
      <c r="C666" s="126"/>
      <c r="D666" s="126"/>
      <c r="E666" s="31"/>
      <c r="F666" s="32"/>
      <c r="G666" s="678" t="str">
        <f>$G$10</f>
        <v>2010 BILL</v>
      </c>
      <c r="H666" s="679"/>
      <c r="I666" s="680"/>
      <c r="J666" s="678" t="str">
        <f>$J$10</f>
        <v>2011 BILL</v>
      </c>
      <c r="K666" s="679"/>
      <c r="L666" s="680"/>
      <c r="M666" s="678" t="s">
        <v>69</v>
      </c>
      <c r="N666" s="679"/>
      <c r="O666" s="680"/>
      <c r="P666" s="118"/>
      <c r="Q666" s="25"/>
    </row>
    <row r="667" spans="2:17" ht="26.25" thickBot="1">
      <c r="B667" s="125"/>
      <c r="C667" s="31"/>
      <c r="D667" s="31"/>
      <c r="E667" s="33"/>
      <c r="F667" s="34"/>
      <c r="G667" s="285" t="s">
        <v>63</v>
      </c>
      <c r="H667" s="286" t="s">
        <v>64</v>
      </c>
      <c r="I667" s="287" t="s">
        <v>65</v>
      </c>
      <c r="J667" s="288" t="s">
        <v>63</v>
      </c>
      <c r="K667" s="286" t="s">
        <v>64</v>
      </c>
      <c r="L667" s="287" t="s">
        <v>65</v>
      </c>
      <c r="M667" s="145" t="s">
        <v>70</v>
      </c>
      <c r="N667" s="146" t="s">
        <v>71</v>
      </c>
      <c r="O667" s="147" t="s">
        <v>72</v>
      </c>
      <c r="P667" s="118"/>
      <c r="Q667" s="25"/>
    </row>
    <row r="668" spans="2:17" ht="17.25" customHeight="1" thickBot="1">
      <c r="B668" s="125"/>
      <c r="C668" s="681" t="s">
        <v>135</v>
      </c>
      <c r="D668" s="682"/>
      <c r="E668" s="31"/>
      <c r="F668" s="291" t="s">
        <v>67</v>
      </c>
      <c r="G668" s="289">
        <f>C669</f>
        <v>0</v>
      </c>
      <c r="H668" s="283">
        <f>'2010 Existing Rates'!$B$13</f>
        <v>0.4</v>
      </c>
      <c r="I668" s="164">
        <f>+G668*H668</f>
        <v>0</v>
      </c>
      <c r="J668" s="289">
        <f>G668</f>
        <v>0</v>
      </c>
      <c r="K668" s="283">
        <f>'Rate Schedule (Part 1)'!$E$51</f>
        <v>1.4692</v>
      </c>
      <c r="L668" s="164">
        <f>+J668*K668</f>
        <v>0</v>
      </c>
      <c r="M668" s="186">
        <f>+L668-I668</f>
        <v>0</v>
      </c>
      <c r="N668" s="187" t="e">
        <f>+M668/I668</f>
        <v>#DIV/0!</v>
      </c>
      <c r="O668" s="179" t="e">
        <f>L668/L680</f>
        <v>#DIV/0!</v>
      </c>
      <c r="P668" s="118"/>
      <c r="Q668" s="25"/>
    </row>
    <row r="669" spans="2:17" ht="17.25" customHeight="1" thickBot="1">
      <c r="B669" s="125"/>
      <c r="C669" s="123"/>
      <c r="D669" s="124" t="s">
        <v>134</v>
      </c>
      <c r="E669" s="31"/>
      <c r="F669" s="292" t="s">
        <v>78</v>
      </c>
      <c r="G669" s="290">
        <f>C671</f>
        <v>0</v>
      </c>
      <c r="H669" s="149">
        <f>'2010 Existing Rates'!$D$63</f>
        <v>3.0225</v>
      </c>
      <c r="I669" s="164">
        <f>+G669*H669</f>
        <v>0</v>
      </c>
      <c r="J669" s="155">
        <f>G669</f>
        <v>0</v>
      </c>
      <c r="K669" s="148">
        <f>'Rate Schedule (Part 1)'!$E$52</f>
        <v>11.1018</v>
      </c>
      <c r="L669" s="164">
        <f>+J669*K669</f>
        <v>0</v>
      </c>
      <c r="M669" s="186">
        <f>+L669-I669</f>
        <v>0</v>
      </c>
      <c r="N669" s="187" t="e">
        <f>+M669/I669</f>
        <v>#DIV/0!</v>
      </c>
      <c r="O669" s="179" t="e">
        <f>L669/L680</f>
        <v>#DIV/0!</v>
      </c>
      <c r="P669" s="118"/>
      <c r="Q669" s="25"/>
    </row>
    <row r="670" spans="2:16" ht="17.25" customHeight="1" thickBot="1">
      <c r="B670" s="125"/>
      <c r="C670" s="219"/>
      <c r="D670" s="124" t="s">
        <v>15</v>
      </c>
      <c r="E670" s="31"/>
      <c r="F670" s="292" t="s">
        <v>237</v>
      </c>
      <c r="G670" s="246">
        <f>G669</f>
        <v>0</v>
      </c>
      <c r="H670" s="293">
        <f>'2010 Existing Rates'!$D$38</f>
        <v>0.0779</v>
      </c>
      <c r="I670" s="164">
        <f>+G670*H670</f>
        <v>0</v>
      </c>
      <c r="J670" s="155">
        <f>G670</f>
        <v>0</v>
      </c>
      <c r="K670" s="148">
        <f>'Rate Schedule (Part 1)'!$E$53</f>
        <v>0.0564</v>
      </c>
      <c r="L670" s="164">
        <f>+J670*K670</f>
        <v>0</v>
      </c>
      <c r="M670" s="186">
        <f>+L670-I670</f>
        <v>0</v>
      </c>
      <c r="N670" s="187" t="e">
        <f>+M670/I670</f>
        <v>#DIV/0!</v>
      </c>
      <c r="O670" s="179" t="e">
        <f>L670/L680</f>
        <v>#DIV/0!</v>
      </c>
      <c r="P670" s="118"/>
    </row>
    <row r="671" spans="2:16" ht="17.25" customHeight="1" thickBot="1">
      <c r="B671" s="125"/>
      <c r="C671" s="219"/>
      <c r="D671" s="124" t="s">
        <v>16</v>
      </c>
      <c r="E671" s="31"/>
      <c r="F671" s="152" t="s">
        <v>238</v>
      </c>
      <c r="G671" s="155">
        <f>G670</f>
        <v>0</v>
      </c>
      <c r="H671" s="149"/>
      <c r="I671" s="164">
        <f>+G671*H671</f>
        <v>0</v>
      </c>
      <c r="J671" s="155">
        <f>G671</f>
        <v>0</v>
      </c>
      <c r="K671" s="148">
        <f>'Rate Schedule (Part 1)'!$E$54</f>
        <v>0</v>
      </c>
      <c r="L671" s="168">
        <f>+J671*K671</f>
        <v>0</v>
      </c>
      <c r="M671" s="186">
        <f>+L671-I671</f>
        <v>0</v>
      </c>
      <c r="N671" s="187">
        <v>0</v>
      </c>
      <c r="O671" s="179" t="e">
        <f>L671/L680</f>
        <v>#DIV/0!</v>
      </c>
      <c r="P671" s="118"/>
    </row>
    <row r="672" spans="2:16" ht="17.25" customHeight="1" thickBot="1">
      <c r="B672" s="125"/>
      <c r="C672" s="62"/>
      <c r="D672" s="63"/>
      <c r="E672" s="31"/>
      <c r="F672" s="153" t="s">
        <v>239</v>
      </c>
      <c r="G672" s="155">
        <f>G671</f>
        <v>0</v>
      </c>
      <c r="H672" s="149">
        <f>'2010 Existing Rates'!$D$26</f>
        <v>-3.3185</v>
      </c>
      <c r="I672" s="168">
        <f>+G672*H672</f>
        <v>0</v>
      </c>
      <c r="J672" s="155">
        <f>J671</f>
        <v>0</v>
      </c>
      <c r="K672" s="148">
        <f>'Rate Schedule (Part 1)'!$E$55</f>
        <v>-0.28275737528032935</v>
      </c>
      <c r="L672" s="168">
        <f>+J672*K672</f>
        <v>0</v>
      </c>
      <c r="M672" s="186">
        <f>+L672-I672</f>
        <v>0</v>
      </c>
      <c r="N672" s="187" t="e">
        <f aca="true" t="shared" si="91" ref="N672:N680">+M672/I672</f>
        <v>#DIV/0!</v>
      </c>
      <c r="O672" s="179" t="e">
        <f>L672/L680</f>
        <v>#DIV/0!</v>
      </c>
      <c r="P672" s="118"/>
    </row>
    <row r="673" spans="2:16" ht="17.25" customHeight="1" thickBot="1">
      <c r="B673" s="125"/>
      <c r="C673" s="31"/>
      <c r="D673" s="31"/>
      <c r="E673" s="31"/>
      <c r="F673" s="476" t="s">
        <v>234</v>
      </c>
      <c r="G673" s="676"/>
      <c r="H673" s="677"/>
      <c r="I673" s="477">
        <f>SUM(I668:I672)</f>
        <v>0</v>
      </c>
      <c r="J673" s="676"/>
      <c r="K673" s="677"/>
      <c r="L673" s="477">
        <f>SUM(L668:L672)</f>
        <v>0</v>
      </c>
      <c r="M673" s="480">
        <f>SUM(M668:M672)</f>
        <v>0</v>
      </c>
      <c r="N673" s="481" t="e">
        <f t="shared" si="91"/>
        <v>#DIV/0!</v>
      </c>
      <c r="O673" s="482" t="e">
        <f>SUM(O668:O672)</f>
        <v>#DIV/0!</v>
      </c>
      <c r="P673" s="118"/>
    </row>
    <row r="674" spans="2:16" ht="17.25" customHeight="1" thickBot="1">
      <c r="B674" s="125"/>
      <c r="C674" s="31"/>
      <c r="D674" s="31"/>
      <c r="E674" s="31"/>
      <c r="F674" s="152" t="s">
        <v>240</v>
      </c>
      <c r="G674" s="273">
        <f>G672</f>
        <v>0</v>
      </c>
      <c r="H674" s="274">
        <f>'Other Electriciy Rates'!$F$15</f>
        <v>2.9857</v>
      </c>
      <c r="I674" s="164">
        <f>+G674*H674</f>
        <v>0</v>
      </c>
      <c r="J674" s="273">
        <f>G674</f>
        <v>0</v>
      </c>
      <c r="K674" s="274">
        <f>'Other Electriciy Rates'!$F$30</f>
        <v>2.8523919168201015</v>
      </c>
      <c r="L674" s="164">
        <f>+J674*K674</f>
        <v>0</v>
      </c>
      <c r="M674" s="275">
        <f aca="true" t="shared" si="92" ref="M674:M680">+L674-I674</f>
        <v>0</v>
      </c>
      <c r="N674" s="176" t="e">
        <f t="shared" si="91"/>
        <v>#DIV/0!</v>
      </c>
      <c r="O674" s="179" t="e">
        <f>L674/L680</f>
        <v>#DIV/0!</v>
      </c>
      <c r="P674" s="118"/>
    </row>
    <row r="675" spans="2:16" ht="17.25" customHeight="1" thickBot="1">
      <c r="B675" s="125"/>
      <c r="C675" s="31"/>
      <c r="D675" s="31"/>
      <c r="E675" s="31"/>
      <c r="F675" s="476" t="s">
        <v>236</v>
      </c>
      <c r="G675" s="676"/>
      <c r="H675" s="677"/>
      <c r="I675" s="477">
        <f>I673+I674</f>
        <v>0</v>
      </c>
      <c r="J675" s="676"/>
      <c r="K675" s="677"/>
      <c r="L675" s="477">
        <f>L673+L674</f>
        <v>0</v>
      </c>
      <c r="M675" s="480">
        <f t="shared" si="92"/>
        <v>0</v>
      </c>
      <c r="N675" s="481" t="e">
        <f t="shared" si="91"/>
        <v>#DIV/0!</v>
      </c>
      <c r="O675" s="483" t="e">
        <f>L675/L680</f>
        <v>#DIV/0!</v>
      </c>
      <c r="P675" s="118"/>
    </row>
    <row r="676" spans="2:16" ht="17.25" customHeight="1">
      <c r="B676" s="125"/>
      <c r="C676" s="31"/>
      <c r="D676" s="31"/>
      <c r="E676" s="31"/>
      <c r="F676" s="150" t="s">
        <v>73</v>
      </c>
      <c r="G676" s="156">
        <f>C670*'Other Electriciy Rates'!$L$15</f>
        <v>0</v>
      </c>
      <c r="H676" s="157">
        <f>'Other Electriciy Rates'!$C$15+'Other Electriciy Rates'!$D$15</f>
        <v>0.0135</v>
      </c>
      <c r="I676" s="158">
        <f>+G676*H676</f>
        <v>0</v>
      </c>
      <c r="J676" s="156">
        <f>C670*'Other Electriciy Rates'!$L$30</f>
        <v>0</v>
      </c>
      <c r="K676" s="157">
        <f>'Other Electriciy Rates'!$C$30+'Other Electriciy Rates'!$D$30</f>
        <v>0.0135</v>
      </c>
      <c r="L676" s="185">
        <f>+J676*K676</f>
        <v>0</v>
      </c>
      <c r="M676" s="186">
        <f t="shared" si="92"/>
        <v>0</v>
      </c>
      <c r="N676" s="187" t="e">
        <f t="shared" si="91"/>
        <v>#DIV/0!</v>
      </c>
      <c r="O676" s="179" t="e">
        <f>L676/L680</f>
        <v>#DIV/0!</v>
      </c>
      <c r="P676" s="118"/>
    </row>
    <row r="677" spans="2:16" ht="17.25" customHeight="1" thickBot="1">
      <c r="B677" s="125"/>
      <c r="C677" s="31"/>
      <c r="D677" s="31"/>
      <c r="E677" s="31"/>
      <c r="F677" s="150" t="s">
        <v>74</v>
      </c>
      <c r="G677" s="156">
        <f>G676</f>
        <v>0</v>
      </c>
      <c r="H677" s="157">
        <f>'Other Electriciy Rates'!$J$15</f>
        <v>0.065</v>
      </c>
      <c r="I677" s="158">
        <f>+G677*H677</f>
        <v>0</v>
      </c>
      <c r="J677" s="156">
        <f>J676</f>
        <v>0</v>
      </c>
      <c r="K677" s="157">
        <f>'Other Electriciy Rates'!$J$30</f>
        <v>0.065</v>
      </c>
      <c r="L677" s="185">
        <f>+J677*K677</f>
        <v>0</v>
      </c>
      <c r="M677" s="186">
        <f t="shared" si="92"/>
        <v>0</v>
      </c>
      <c r="N677" s="187" t="e">
        <f t="shared" si="91"/>
        <v>#DIV/0!</v>
      </c>
      <c r="O677" s="179" t="e">
        <f>L677/L680</f>
        <v>#DIV/0!</v>
      </c>
      <c r="P677" s="118"/>
    </row>
    <row r="678" spans="2:16" ht="17.25" customHeight="1" thickBot="1">
      <c r="B678" s="125"/>
      <c r="C678" s="31"/>
      <c r="D678" s="31"/>
      <c r="E678" s="31"/>
      <c r="F678" s="476" t="s">
        <v>191</v>
      </c>
      <c r="G678" s="676"/>
      <c r="H678" s="677"/>
      <c r="I678" s="477">
        <f>SUM(I675:I677)</f>
        <v>0</v>
      </c>
      <c r="J678" s="676"/>
      <c r="K678" s="677"/>
      <c r="L678" s="477">
        <f>SUM(L675:L677)</f>
        <v>0</v>
      </c>
      <c r="M678" s="477">
        <f t="shared" si="92"/>
        <v>0</v>
      </c>
      <c r="N678" s="481" t="e">
        <f t="shared" si="91"/>
        <v>#DIV/0!</v>
      </c>
      <c r="O678" s="483" t="e">
        <f>L678/L680</f>
        <v>#DIV/0!</v>
      </c>
      <c r="P678" s="118"/>
    </row>
    <row r="679" spans="2:16" ht="17.25" customHeight="1" thickBot="1">
      <c r="B679" s="125"/>
      <c r="C679" s="31"/>
      <c r="D679" s="31"/>
      <c r="E679" s="31"/>
      <c r="F679" s="222" t="s">
        <v>323</v>
      </c>
      <c r="G679" s="223"/>
      <c r="H679" s="227">
        <v>0.13</v>
      </c>
      <c r="I679" s="224">
        <f>I678*H679</f>
        <v>0</v>
      </c>
      <c r="J679" s="223"/>
      <c r="K679" s="227">
        <v>0.13</v>
      </c>
      <c r="L679" s="225">
        <f>L678*K679</f>
        <v>0</v>
      </c>
      <c r="M679" s="183">
        <f t="shared" si="92"/>
        <v>0</v>
      </c>
      <c r="N679" s="184" t="e">
        <f t="shared" si="91"/>
        <v>#DIV/0!</v>
      </c>
      <c r="O679" s="189" t="e">
        <f>L679/L680</f>
        <v>#DIV/0!</v>
      </c>
      <c r="P679" s="118"/>
    </row>
    <row r="680" spans="2:16" ht="17.25" customHeight="1" thickBot="1">
      <c r="B680" s="125"/>
      <c r="C680" s="31"/>
      <c r="D680" s="31"/>
      <c r="E680" s="35"/>
      <c r="F680" s="491" t="s">
        <v>75</v>
      </c>
      <c r="G680" s="686"/>
      <c r="H680" s="687"/>
      <c r="I680" s="492">
        <f>I678+I679</f>
        <v>0</v>
      </c>
      <c r="J680" s="686"/>
      <c r="K680" s="687"/>
      <c r="L680" s="492">
        <f>L678+L679</f>
        <v>0</v>
      </c>
      <c r="M680" s="492">
        <f t="shared" si="92"/>
        <v>0</v>
      </c>
      <c r="N680" s="493" t="e">
        <f t="shared" si="91"/>
        <v>#DIV/0!</v>
      </c>
      <c r="O680" s="494" t="e">
        <f>O678+O679</f>
        <v>#DIV/0!</v>
      </c>
      <c r="P680" s="118"/>
    </row>
    <row r="681" spans="2:16" ht="17.25" customHeight="1" thickBot="1">
      <c r="B681" s="119"/>
      <c r="C681" s="131"/>
      <c r="D681" s="131"/>
      <c r="E681" s="131"/>
      <c r="F681" s="208"/>
      <c r="G681" s="209"/>
      <c r="H681" s="210"/>
      <c r="I681" s="211"/>
      <c r="J681" s="209"/>
      <c r="K681" s="212"/>
      <c r="L681" s="211"/>
      <c r="M681" s="294"/>
      <c r="N681" s="213"/>
      <c r="O681" s="214"/>
      <c r="P681" s="120"/>
    </row>
    <row r="682" ht="18" customHeight="1" thickBot="1"/>
    <row r="683" spans="2:16" ht="21.75" customHeight="1">
      <c r="B683" s="127"/>
      <c r="C683" s="690" t="s">
        <v>190</v>
      </c>
      <c r="D683" s="690"/>
      <c r="E683" s="690"/>
      <c r="F683" s="690"/>
      <c r="G683" s="690"/>
      <c r="H683" s="690"/>
      <c r="I683" s="690"/>
      <c r="J683" s="690"/>
      <c r="K683" s="690"/>
      <c r="L683" s="690"/>
      <c r="M683" s="690"/>
      <c r="N683" s="690"/>
      <c r="O683" s="690"/>
      <c r="P683" s="117"/>
    </row>
    <row r="684" spans="2:16" ht="21.75" customHeight="1" thickBot="1">
      <c r="B684" s="125"/>
      <c r="C684" s="691"/>
      <c r="D684" s="691"/>
      <c r="E684" s="691"/>
      <c r="F684" s="691"/>
      <c r="G684" s="691"/>
      <c r="H684" s="691"/>
      <c r="I684" s="691"/>
      <c r="J684" s="691"/>
      <c r="K684" s="691"/>
      <c r="L684" s="691"/>
      <c r="M684" s="691"/>
      <c r="N684" s="691"/>
      <c r="O684" s="691"/>
      <c r="P684" s="118"/>
    </row>
    <row r="685" spans="2:16" ht="21.75" customHeight="1" thickBot="1">
      <c r="B685" s="125"/>
      <c r="C685" s="126"/>
      <c r="D685" s="126"/>
      <c r="E685" s="31"/>
      <c r="F685" s="37"/>
      <c r="G685" s="678" t="s">
        <v>194</v>
      </c>
      <c r="H685" s="679"/>
      <c r="I685" s="680"/>
      <c r="J685" s="678" t="s">
        <v>231</v>
      </c>
      <c r="K685" s="679"/>
      <c r="L685" s="680"/>
      <c r="M685" s="678" t="s">
        <v>69</v>
      </c>
      <c r="N685" s="679"/>
      <c r="O685" s="680"/>
      <c r="P685" s="118"/>
    </row>
    <row r="686" spans="2:16" ht="26.25" thickBot="1">
      <c r="B686" s="125"/>
      <c r="C686" s="31"/>
      <c r="D686" s="31"/>
      <c r="E686" s="33"/>
      <c r="F686" s="38"/>
      <c r="G686" s="167" t="s">
        <v>63</v>
      </c>
      <c r="H686" s="142" t="s">
        <v>64</v>
      </c>
      <c r="I686" s="143" t="s">
        <v>65</v>
      </c>
      <c r="J686" s="167" t="s">
        <v>63</v>
      </c>
      <c r="K686" s="142" t="s">
        <v>64</v>
      </c>
      <c r="L686" s="143" t="s">
        <v>65</v>
      </c>
      <c r="M686" s="169" t="s">
        <v>70</v>
      </c>
      <c r="N686" s="170" t="s">
        <v>71</v>
      </c>
      <c r="O686" s="171" t="s">
        <v>72</v>
      </c>
      <c r="P686" s="118"/>
    </row>
    <row r="687" spans="2:16" ht="21.75" customHeight="1" thickBot="1">
      <c r="B687" s="125"/>
      <c r="C687" s="681" t="s">
        <v>66</v>
      </c>
      <c r="D687" s="682"/>
      <c r="E687" s="31"/>
      <c r="F687" s="151" t="s">
        <v>67</v>
      </c>
      <c r="G687" s="604">
        <f>+C688</f>
        <v>1</v>
      </c>
      <c r="H687" s="163">
        <f>'2010 Existing Rates'!$B$15</f>
        <v>7.38</v>
      </c>
      <c r="I687" s="164">
        <f>+G687*H687</f>
        <v>7.38</v>
      </c>
      <c r="J687" s="604">
        <f>+C688</f>
        <v>1</v>
      </c>
      <c r="K687" s="166">
        <f>'Rate Schedule (Part 1)'!$E$65</f>
        <v>8.2702</v>
      </c>
      <c r="L687" s="168">
        <f>+J687*K687</f>
        <v>8.2702</v>
      </c>
      <c r="M687" s="175">
        <f>+L687-I687</f>
        <v>0.890200000000001</v>
      </c>
      <c r="N687" s="176">
        <f aca="true" t="shared" si="93" ref="N687:N694">+M687/I687</f>
        <v>0.12062330623306247</v>
      </c>
      <c r="O687" s="177">
        <f>L687/L699</f>
        <v>0.09602241996286354</v>
      </c>
      <c r="P687" s="118"/>
    </row>
    <row r="688" spans="2:16" ht="21.75" customHeight="1" thickBot="1">
      <c r="B688" s="125"/>
      <c r="C688" s="123">
        <v>1</v>
      </c>
      <c r="D688" s="124" t="s">
        <v>134</v>
      </c>
      <c r="E688" s="31"/>
      <c r="F688" s="152" t="s">
        <v>68</v>
      </c>
      <c r="G688" s="155">
        <f>+C689</f>
        <v>630</v>
      </c>
      <c r="H688" s="149">
        <f>'2010 Existing Rates'!$B$65</f>
        <v>0.0156</v>
      </c>
      <c r="I688" s="164">
        <f>+G688*H688</f>
        <v>9.828</v>
      </c>
      <c r="J688" s="155">
        <f>+C689</f>
        <v>630</v>
      </c>
      <c r="K688" s="148">
        <f>'Rate Schedule (Part 1)'!$E$66</f>
        <v>0.0175</v>
      </c>
      <c r="L688" s="168">
        <f>+J688*K688</f>
        <v>11.025</v>
      </c>
      <c r="M688" s="178">
        <f>+L688-I688</f>
        <v>1.197000000000001</v>
      </c>
      <c r="N688" s="172">
        <f t="shared" si="93"/>
        <v>0.1217948717948719</v>
      </c>
      <c r="O688" s="179">
        <f>L688/L699</f>
        <v>0.1280074460219306</v>
      </c>
      <c r="P688" s="118"/>
    </row>
    <row r="689" spans="2:16" ht="21.75" customHeight="1" thickBot="1">
      <c r="B689" s="125"/>
      <c r="C689" s="121">
        <v>630</v>
      </c>
      <c r="D689" s="122" t="s">
        <v>15</v>
      </c>
      <c r="E689" s="31"/>
      <c r="F689" s="152" t="s">
        <v>233</v>
      </c>
      <c r="G689" s="155">
        <f>G688</f>
        <v>630</v>
      </c>
      <c r="H689" s="149">
        <f>'2010 Existing Rates'!$B$40</f>
        <v>0.0002</v>
      </c>
      <c r="I689" s="164">
        <f>+G689*H689</f>
        <v>0.126</v>
      </c>
      <c r="J689" s="155">
        <f>J688</f>
        <v>630</v>
      </c>
      <c r="K689" s="148">
        <f>'Rate Schedule (Part 1)'!$E$67</f>
        <v>0.0002</v>
      </c>
      <c r="L689" s="168">
        <f>+J689*K689</f>
        <v>0.126</v>
      </c>
      <c r="M689" s="178">
        <f>+L689-I689</f>
        <v>0</v>
      </c>
      <c r="N689" s="172">
        <f t="shared" si="93"/>
        <v>0</v>
      </c>
      <c r="O689" s="179">
        <f>L689/L699</f>
        <v>0.0014629422402506352</v>
      </c>
      <c r="P689" s="118"/>
    </row>
    <row r="690" spans="2:16" ht="21.75" customHeight="1">
      <c r="B690" s="125"/>
      <c r="C690" s="62"/>
      <c r="D690" s="63"/>
      <c r="E690" s="31"/>
      <c r="F690" s="152" t="s">
        <v>158</v>
      </c>
      <c r="G690" s="155">
        <f>C689</f>
        <v>630</v>
      </c>
      <c r="H690" s="149"/>
      <c r="I690" s="160">
        <f>+G690*H690</f>
        <v>0</v>
      </c>
      <c r="J690" s="155">
        <f>C689</f>
        <v>630</v>
      </c>
      <c r="K690" s="148">
        <f>'Rate Schedule (Part 1)'!$E$68</f>
        <v>0</v>
      </c>
      <c r="L690" s="168">
        <f>J690*K690</f>
        <v>0</v>
      </c>
      <c r="M690" s="178">
        <f>+L690-I690</f>
        <v>0</v>
      </c>
      <c r="N690" s="172">
        <v>0</v>
      </c>
      <c r="O690" s="179">
        <f>L690/L699</f>
        <v>0</v>
      </c>
      <c r="P690" s="118"/>
    </row>
    <row r="691" spans="2:16" ht="21.75" customHeight="1" thickBot="1">
      <c r="B691" s="125"/>
      <c r="C691" s="31"/>
      <c r="D691" s="31"/>
      <c r="E691" s="31"/>
      <c r="F691" s="153" t="s">
        <v>232</v>
      </c>
      <c r="G691" s="180">
        <f>+C689</f>
        <v>630</v>
      </c>
      <c r="H691" s="181">
        <f>'2010 Existing Rates'!$B$28</f>
        <v>-0.0041</v>
      </c>
      <c r="I691" s="182">
        <f>+G691*H691</f>
        <v>-2.583</v>
      </c>
      <c r="J691" s="180">
        <f>+C689</f>
        <v>630</v>
      </c>
      <c r="K691" s="181">
        <f>'Rate Schedule (Part 1)'!$E$69</f>
        <v>-0.0006837836880171018</v>
      </c>
      <c r="L691" s="182">
        <f>+J691*K691</f>
        <v>-0.43078372345077415</v>
      </c>
      <c r="M691" s="178">
        <f>+L691-I691</f>
        <v>2.152216276549226</v>
      </c>
      <c r="N691" s="172">
        <f t="shared" si="93"/>
        <v>-0.8332234907275361</v>
      </c>
      <c r="O691" s="179">
        <f>L691/L699</f>
        <v>-0.005001680201972902</v>
      </c>
      <c r="P691" s="118"/>
    </row>
    <row r="692" spans="2:16" ht="21.75" customHeight="1" thickBot="1">
      <c r="B692" s="125"/>
      <c r="C692" s="31"/>
      <c r="D692" s="31"/>
      <c r="E692" s="31"/>
      <c r="F692" s="476" t="s">
        <v>234</v>
      </c>
      <c r="G692" s="676"/>
      <c r="H692" s="677"/>
      <c r="I692" s="477">
        <f>SUM(I687:I691)</f>
        <v>14.751</v>
      </c>
      <c r="J692" s="676"/>
      <c r="K692" s="677"/>
      <c r="L692" s="477">
        <f>SUM(L687:L691)</f>
        <v>18.99041627654923</v>
      </c>
      <c r="M692" s="480">
        <f>SUM(M687:M691)</f>
        <v>4.239416276549228</v>
      </c>
      <c r="N692" s="481">
        <f t="shared" si="93"/>
        <v>0.28739856799872743</v>
      </c>
      <c r="O692" s="482">
        <f>L692/L699</f>
        <v>0.2204911280230719</v>
      </c>
      <c r="P692" s="118"/>
    </row>
    <row r="693" spans="2:16" ht="21.75" customHeight="1" thickBot="1">
      <c r="B693" s="125"/>
      <c r="C693" s="31"/>
      <c r="D693" s="31"/>
      <c r="E693" s="31"/>
      <c r="F693" s="152" t="s">
        <v>235</v>
      </c>
      <c r="G693" s="273">
        <f>C689*'Other Electriciy Rates'!$L$17</f>
        <v>652.1129999999999</v>
      </c>
      <c r="H693" s="274">
        <f>'Other Electriciy Rates'!$B$17</f>
        <v>0.009600000000000001</v>
      </c>
      <c r="I693" s="164">
        <f>+G693*H693</f>
        <v>6.2602848</v>
      </c>
      <c r="J693" s="273">
        <f>C689*'Other Electriciy Rates'!$L$32</f>
        <v>652.8004861938388</v>
      </c>
      <c r="K693" s="274">
        <f>'Other Electriciy Rates'!$B$32</f>
        <v>0.009166720502807955</v>
      </c>
      <c r="L693" s="164">
        <f>+J693*K693</f>
        <v>5.984039601036063</v>
      </c>
      <c r="M693" s="275">
        <f aca="true" t="shared" si="94" ref="M693:M699">+L693-I693</f>
        <v>-0.2762451989639372</v>
      </c>
      <c r="N693" s="176">
        <f t="shared" si="93"/>
        <v>-0.04412661848290627</v>
      </c>
      <c r="O693" s="177">
        <f>L693/L699</f>
        <v>0.06947860555308108</v>
      </c>
      <c r="P693" s="118"/>
    </row>
    <row r="694" spans="2:16" ht="21.75" customHeight="1" thickBot="1">
      <c r="B694" s="125"/>
      <c r="C694" s="31"/>
      <c r="D694" s="31"/>
      <c r="E694" s="31"/>
      <c r="F694" s="476" t="s">
        <v>236</v>
      </c>
      <c r="G694" s="676"/>
      <c r="H694" s="677"/>
      <c r="I694" s="477">
        <f>I692+I693</f>
        <v>21.0112848</v>
      </c>
      <c r="J694" s="676"/>
      <c r="K694" s="677"/>
      <c r="L694" s="477">
        <f>L692+L693</f>
        <v>24.974455877585292</v>
      </c>
      <c r="M694" s="480">
        <f t="shared" si="94"/>
        <v>3.9631710775852937</v>
      </c>
      <c r="N694" s="481">
        <f t="shared" si="93"/>
        <v>0.1886210726906759</v>
      </c>
      <c r="O694" s="483">
        <f>L694/L699</f>
        <v>0.28996973357615297</v>
      </c>
      <c r="P694" s="118"/>
    </row>
    <row r="695" spans="2:16" ht="21.75" customHeight="1">
      <c r="B695" s="125"/>
      <c r="C695" s="31"/>
      <c r="D695" s="31"/>
      <c r="E695" s="31"/>
      <c r="F695" s="154" t="s">
        <v>73</v>
      </c>
      <c r="G695" s="156">
        <f>G693</f>
        <v>652.1129999999999</v>
      </c>
      <c r="H695" s="157">
        <f>'Other Electriciy Rates'!$C$17+'Other Electriciy Rates'!$D$17</f>
        <v>0.0135</v>
      </c>
      <c r="I695" s="158">
        <f>+G695*H695</f>
        <v>8.8035255</v>
      </c>
      <c r="J695" s="156">
        <f>J693</f>
        <v>652.8004861938388</v>
      </c>
      <c r="K695" s="157">
        <f>'Other Electriciy Rates'!$C$32+'Other Electriciy Rates'!$D$32</f>
        <v>0.0135</v>
      </c>
      <c r="L695" s="185">
        <f>+J695*K695</f>
        <v>8.812806563616823</v>
      </c>
      <c r="M695" s="186">
        <f t="shared" si="94"/>
        <v>0.00928106361682346</v>
      </c>
      <c r="N695" s="187">
        <f>+M695/I695</f>
        <v>0.0010542439636056556</v>
      </c>
      <c r="O695" s="226">
        <f>L695/L699</f>
        <v>0.10232243632597696</v>
      </c>
      <c r="P695" s="118"/>
    </row>
    <row r="696" spans="2:16" ht="21.75" customHeight="1" thickBot="1">
      <c r="B696" s="125"/>
      <c r="C696" s="31"/>
      <c r="D696" s="31"/>
      <c r="E696" s="31"/>
      <c r="F696" s="152" t="s">
        <v>74</v>
      </c>
      <c r="G696" s="165">
        <f>G695</f>
        <v>652.1129999999999</v>
      </c>
      <c r="H696" s="159">
        <f>'Other Electriciy Rates'!$J$17</f>
        <v>0.065</v>
      </c>
      <c r="I696" s="160">
        <f>+G696*H696</f>
        <v>42.387344999999996</v>
      </c>
      <c r="J696" s="165">
        <f>J695</f>
        <v>652.8004861938388</v>
      </c>
      <c r="K696" s="159">
        <f>'Other Electriciy Rates'!$J$32</f>
        <v>0.065</v>
      </c>
      <c r="L696" s="182">
        <f>+J696*K696</f>
        <v>42.43203160259952</v>
      </c>
      <c r="M696" s="183">
        <f t="shared" si="94"/>
        <v>0.04468660259952628</v>
      </c>
      <c r="N696" s="184">
        <f>+M696/I696</f>
        <v>0.0010542439636057953</v>
      </c>
      <c r="O696" s="189">
        <f>L696/L699</f>
        <v>0.49266358231025953</v>
      </c>
      <c r="P696" s="118"/>
    </row>
    <row r="697" spans="2:16" ht="21.75" customHeight="1" thickBot="1">
      <c r="B697" s="125"/>
      <c r="C697" s="31"/>
      <c r="D697" s="31"/>
      <c r="E697" s="31"/>
      <c r="F697" s="476" t="s">
        <v>191</v>
      </c>
      <c r="G697" s="676"/>
      <c r="H697" s="677"/>
      <c r="I697" s="477">
        <f>SUM(I694:I696)</f>
        <v>72.20215529999999</v>
      </c>
      <c r="J697" s="676"/>
      <c r="K697" s="677"/>
      <c r="L697" s="477">
        <f>SUM(L694:L696)</f>
        <v>76.21929404380164</v>
      </c>
      <c r="M697" s="477">
        <f t="shared" si="94"/>
        <v>4.017138743801652</v>
      </c>
      <c r="N697" s="481">
        <f>+M697/I697</f>
        <v>0.05563737989690805</v>
      </c>
      <c r="O697" s="483">
        <f>L697/L699</f>
        <v>0.8849557522123894</v>
      </c>
      <c r="P697" s="228"/>
    </row>
    <row r="698" spans="2:16" ht="21.75" customHeight="1" thickBot="1">
      <c r="B698" s="125"/>
      <c r="C698" s="31"/>
      <c r="D698" s="31"/>
      <c r="E698" s="31"/>
      <c r="F698" s="222" t="s">
        <v>323</v>
      </c>
      <c r="G698" s="223"/>
      <c r="H698" s="227">
        <v>0.13</v>
      </c>
      <c r="I698" s="224">
        <f>I697*H698</f>
        <v>9.386280188999999</v>
      </c>
      <c r="J698" s="223"/>
      <c r="K698" s="227">
        <v>0.13</v>
      </c>
      <c r="L698" s="225">
        <f>L697*K698</f>
        <v>9.908508225694213</v>
      </c>
      <c r="M698" s="183">
        <f t="shared" si="94"/>
        <v>0.522228036694214</v>
      </c>
      <c r="N698" s="187">
        <f>+M698/I698</f>
        <v>0.055637379896907965</v>
      </c>
      <c r="O698" s="189">
        <f>L698/L699</f>
        <v>0.11504424778761063</v>
      </c>
      <c r="P698" s="118"/>
    </row>
    <row r="699" spans="2:17" ht="21.75" customHeight="1" thickBot="1">
      <c r="B699" s="276"/>
      <c r="C699" s="277"/>
      <c r="D699" s="277"/>
      <c r="E699" s="278"/>
      <c r="F699" s="478" t="s">
        <v>75</v>
      </c>
      <c r="G699" s="693"/>
      <c r="H699" s="694"/>
      <c r="I699" s="479">
        <f>I697+I698</f>
        <v>81.58843548899999</v>
      </c>
      <c r="J699" s="693"/>
      <c r="K699" s="694"/>
      <c r="L699" s="479">
        <f>L697+L698</f>
        <v>86.12780226949585</v>
      </c>
      <c r="M699" s="479">
        <f t="shared" si="94"/>
        <v>4.539366780495854</v>
      </c>
      <c r="N699" s="484">
        <f>+M699/I699</f>
        <v>0.05563737989690788</v>
      </c>
      <c r="O699" s="485">
        <f>O697+O698</f>
        <v>1</v>
      </c>
      <c r="P699" s="279"/>
      <c r="Q699" s="280"/>
    </row>
    <row r="700" spans="2:16" ht="10.5" customHeight="1" thickBot="1">
      <c r="B700" s="119"/>
      <c r="C700" s="692"/>
      <c r="D700" s="692"/>
      <c r="E700" s="692"/>
      <c r="F700" s="692"/>
      <c r="G700" s="692"/>
      <c r="H700" s="692"/>
      <c r="I700" s="692"/>
      <c r="J700" s="692"/>
      <c r="K700" s="692"/>
      <c r="L700" s="692"/>
      <c r="M700" s="692"/>
      <c r="N700" s="692"/>
      <c r="O700" s="692"/>
      <c r="P700" s="120"/>
    </row>
    <row r="701" ht="17.25" customHeight="1" thickBot="1"/>
    <row r="702" spans="2:16" ht="21.75" customHeight="1">
      <c r="B702" s="127"/>
      <c r="C702" s="690" t="s">
        <v>190</v>
      </c>
      <c r="D702" s="690"/>
      <c r="E702" s="690"/>
      <c r="F702" s="690"/>
      <c r="G702" s="690"/>
      <c r="H702" s="690"/>
      <c r="I702" s="690"/>
      <c r="J702" s="690"/>
      <c r="K702" s="690"/>
      <c r="L702" s="690"/>
      <c r="M702" s="690"/>
      <c r="N702" s="690"/>
      <c r="O702" s="690"/>
      <c r="P702" s="117"/>
    </row>
    <row r="703" spans="2:16" ht="21.75" customHeight="1" thickBot="1">
      <c r="B703" s="125"/>
      <c r="C703" s="691"/>
      <c r="D703" s="691"/>
      <c r="E703" s="691"/>
      <c r="F703" s="691"/>
      <c r="G703" s="691"/>
      <c r="H703" s="691"/>
      <c r="I703" s="691"/>
      <c r="J703" s="691"/>
      <c r="K703" s="691"/>
      <c r="L703" s="691"/>
      <c r="M703" s="691"/>
      <c r="N703" s="691"/>
      <c r="O703" s="691"/>
      <c r="P703" s="118"/>
    </row>
    <row r="704" spans="2:16" ht="21.75" customHeight="1" thickBot="1">
      <c r="B704" s="125"/>
      <c r="C704" s="126"/>
      <c r="D704" s="126"/>
      <c r="E704" s="31"/>
      <c r="F704" s="37"/>
      <c r="G704" s="678" t="s">
        <v>194</v>
      </c>
      <c r="H704" s="679"/>
      <c r="I704" s="680"/>
      <c r="J704" s="678" t="s">
        <v>231</v>
      </c>
      <c r="K704" s="679"/>
      <c r="L704" s="680"/>
      <c r="M704" s="678" t="s">
        <v>69</v>
      </c>
      <c r="N704" s="679"/>
      <c r="O704" s="680"/>
      <c r="P704" s="118"/>
    </row>
    <row r="705" spans="2:16" ht="26.25" thickBot="1">
      <c r="B705" s="125"/>
      <c r="C705" s="31"/>
      <c r="D705" s="31"/>
      <c r="E705" s="33"/>
      <c r="F705" s="38"/>
      <c r="G705" s="167" t="s">
        <v>63</v>
      </c>
      <c r="H705" s="142" t="s">
        <v>64</v>
      </c>
      <c r="I705" s="143" t="s">
        <v>65</v>
      </c>
      <c r="J705" s="167" t="s">
        <v>63</v>
      </c>
      <c r="K705" s="142" t="s">
        <v>64</v>
      </c>
      <c r="L705" s="143" t="s">
        <v>65</v>
      </c>
      <c r="M705" s="169" t="s">
        <v>70</v>
      </c>
      <c r="N705" s="170" t="s">
        <v>71</v>
      </c>
      <c r="O705" s="171" t="s">
        <v>72</v>
      </c>
      <c r="P705" s="118"/>
    </row>
    <row r="706" spans="2:16" ht="21.75" customHeight="1" thickBot="1">
      <c r="B706" s="125"/>
      <c r="C706" s="681" t="s">
        <v>66</v>
      </c>
      <c r="D706" s="682"/>
      <c r="E706" s="31"/>
      <c r="F706" s="151" t="s">
        <v>67</v>
      </c>
      <c r="G706" s="161"/>
      <c r="H706" s="162"/>
      <c r="I706" s="163">
        <f>'2010 Existing Rates'!$B$15</f>
        <v>7.38</v>
      </c>
      <c r="J706" s="161"/>
      <c r="K706" s="162"/>
      <c r="L706" s="166">
        <f>'Rate Schedule (Part 1)'!$E$65</f>
        <v>8.2702</v>
      </c>
      <c r="M706" s="175">
        <f>+L706-I706</f>
        <v>0.890200000000001</v>
      </c>
      <c r="N706" s="176">
        <f>+M706/I706</f>
        <v>0.12062330623306247</v>
      </c>
      <c r="O706" s="177">
        <f>L706/L718</f>
        <v>0.8849557522123893</v>
      </c>
      <c r="P706" s="118"/>
    </row>
    <row r="707" spans="2:16" ht="21.75" customHeight="1" thickBot="1">
      <c r="B707" s="125"/>
      <c r="C707" s="123"/>
      <c r="D707" s="124" t="s">
        <v>134</v>
      </c>
      <c r="E707" s="31"/>
      <c r="F707" s="152" t="s">
        <v>68</v>
      </c>
      <c r="G707" s="155">
        <f>+C707</f>
        <v>0</v>
      </c>
      <c r="H707" s="149">
        <f>'2010 Existing Rates'!$B$65</f>
        <v>0.0156</v>
      </c>
      <c r="I707" s="164">
        <f>+G707*H707</f>
        <v>0</v>
      </c>
      <c r="J707" s="155">
        <f>+C707</f>
        <v>0</v>
      </c>
      <c r="K707" s="148">
        <f>'Rate Schedule (Part 1)'!$E$66</f>
        <v>0.0175</v>
      </c>
      <c r="L707" s="168">
        <f>+J707*K707</f>
        <v>0</v>
      </c>
      <c r="M707" s="178">
        <f>+L707-I707</f>
        <v>0</v>
      </c>
      <c r="N707" s="172" t="e">
        <f>+M707/I707</f>
        <v>#DIV/0!</v>
      </c>
      <c r="O707" s="179">
        <f>L707/L718</f>
        <v>0</v>
      </c>
      <c r="P707" s="118"/>
    </row>
    <row r="708" spans="2:16" ht="21.75" customHeight="1" thickBot="1">
      <c r="B708" s="125"/>
      <c r="C708" s="121"/>
      <c r="D708" s="122" t="s">
        <v>15</v>
      </c>
      <c r="E708" s="31"/>
      <c r="F708" s="152" t="s">
        <v>233</v>
      </c>
      <c r="G708" s="155">
        <f>G707</f>
        <v>0</v>
      </c>
      <c r="H708" s="149">
        <f>'2010 Existing Rates'!$B$40</f>
        <v>0.0002</v>
      </c>
      <c r="I708" s="164">
        <f>+G708*H708</f>
        <v>0</v>
      </c>
      <c r="J708" s="155">
        <f>J707</f>
        <v>0</v>
      </c>
      <c r="K708" s="148">
        <f>'Rate Schedule (Part 1)'!$E$67</f>
        <v>0.0002</v>
      </c>
      <c r="L708" s="168">
        <f>+J708*K708</f>
        <v>0</v>
      </c>
      <c r="M708" s="178">
        <f>+L708-I708</f>
        <v>0</v>
      </c>
      <c r="N708" s="172" t="e">
        <f>+M708/I708</f>
        <v>#DIV/0!</v>
      </c>
      <c r="O708" s="179">
        <f>L708/L718</f>
        <v>0</v>
      </c>
      <c r="P708" s="118"/>
    </row>
    <row r="709" spans="2:16" ht="21.75" customHeight="1">
      <c r="B709" s="125"/>
      <c r="C709" s="62"/>
      <c r="D709" s="63"/>
      <c r="E709" s="31"/>
      <c r="F709" s="152" t="s">
        <v>158</v>
      </c>
      <c r="G709" s="155">
        <f>C707</f>
        <v>0</v>
      </c>
      <c r="H709" s="149"/>
      <c r="I709" s="160">
        <f>+G709*H709</f>
        <v>0</v>
      </c>
      <c r="J709" s="155">
        <f>C707</f>
        <v>0</v>
      </c>
      <c r="K709" s="148">
        <f>'Rate Schedule (Part 1)'!$E$68</f>
        <v>0</v>
      </c>
      <c r="L709" s="168">
        <f>J709*K709</f>
        <v>0</v>
      </c>
      <c r="M709" s="178">
        <f>+L709-I709</f>
        <v>0</v>
      </c>
      <c r="N709" s="172">
        <v>0</v>
      </c>
      <c r="O709" s="179">
        <f>L709/L718</f>
        <v>0</v>
      </c>
      <c r="P709" s="118"/>
    </row>
    <row r="710" spans="2:16" ht="21.75" customHeight="1" thickBot="1">
      <c r="B710" s="125"/>
      <c r="C710" s="31"/>
      <c r="D710" s="31"/>
      <c r="E710" s="31"/>
      <c r="F710" s="153" t="s">
        <v>232</v>
      </c>
      <c r="G710" s="180">
        <f>+C707</f>
        <v>0</v>
      </c>
      <c r="H710" s="181">
        <f>'2010 Existing Rates'!$B$28</f>
        <v>-0.0041</v>
      </c>
      <c r="I710" s="182">
        <f>+G710*H710</f>
        <v>0</v>
      </c>
      <c r="J710" s="180">
        <f>+C707</f>
        <v>0</v>
      </c>
      <c r="K710" s="181">
        <f>'Rate Schedule (Part 1)'!$E$69</f>
        <v>-0.0006837836880171018</v>
      </c>
      <c r="L710" s="182">
        <f>+J710*K710</f>
        <v>0</v>
      </c>
      <c r="M710" s="178">
        <f>+L710-I710</f>
        <v>0</v>
      </c>
      <c r="N710" s="172" t="e">
        <f aca="true" t="shared" si="95" ref="N710:N718">+M710/I710</f>
        <v>#DIV/0!</v>
      </c>
      <c r="O710" s="179">
        <f>L710/L718</f>
        <v>0</v>
      </c>
      <c r="P710" s="118"/>
    </row>
    <row r="711" spans="2:16" ht="21.75" customHeight="1" thickBot="1">
      <c r="B711" s="125"/>
      <c r="C711" s="31"/>
      <c r="D711" s="31"/>
      <c r="E711" s="31"/>
      <c r="F711" s="476" t="s">
        <v>234</v>
      </c>
      <c r="G711" s="676"/>
      <c r="H711" s="677"/>
      <c r="I711" s="477">
        <f>SUM(I706:I710)</f>
        <v>7.38</v>
      </c>
      <c r="J711" s="676"/>
      <c r="K711" s="677"/>
      <c r="L711" s="477">
        <f>SUM(L706:L710)</f>
        <v>8.2702</v>
      </c>
      <c r="M711" s="480">
        <f>SUM(M706:M710)</f>
        <v>0.890200000000001</v>
      </c>
      <c r="N711" s="481">
        <f t="shared" si="95"/>
        <v>0.12062330623306247</v>
      </c>
      <c r="O711" s="482">
        <f>L711/L718</f>
        <v>0.8849557522123893</v>
      </c>
      <c r="P711" s="118"/>
    </row>
    <row r="712" spans="2:16" ht="21.75" customHeight="1" thickBot="1">
      <c r="B712" s="125"/>
      <c r="C712" s="31"/>
      <c r="D712" s="31"/>
      <c r="E712" s="31"/>
      <c r="F712" s="152" t="s">
        <v>235</v>
      </c>
      <c r="G712" s="273">
        <f>C707*'Other Electriciy Rates'!$L$17</f>
        <v>0</v>
      </c>
      <c r="H712" s="274">
        <f>'Other Electriciy Rates'!$B$17</f>
        <v>0.009600000000000001</v>
      </c>
      <c r="I712" s="164">
        <f>+G712*H712</f>
        <v>0</v>
      </c>
      <c r="J712" s="273">
        <f>C707*'Other Electriciy Rates'!$L$32</f>
        <v>0</v>
      </c>
      <c r="K712" s="274">
        <f>'Other Electriciy Rates'!$B$32</f>
        <v>0.009166720502807955</v>
      </c>
      <c r="L712" s="164">
        <f>+J712*K712</f>
        <v>0</v>
      </c>
      <c r="M712" s="275">
        <f aca="true" t="shared" si="96" ref="M712:M718">+L712-I712</f>
        <v>0</v>
      </c>
      <c r="N712" s="176" t="e">
        <f t="shared" si="95"/>
        <v>#DIV/0!</v>
      </c>
      <c r="O712" s="177">
        <f>L712/L718</f>
        <v>0</v>
      </c>
      <c r="P712" s="118"/>
    </row>
    <row r="713" spans="2:16" ht="21.75" customHeight="1" thickBot="1">
      <c r="B713" s="125"/>
      <c r="C713" s="31"/>
      <c r="D713" s="31"/>
      <c r="E713" s="31"/>
      <c r="F713" s="476" t="s">
        <v>236</v>
      </c>
      <c r="G713" s="676"/>
      <c r="H713" s="677"/>
      <c r="I713" s="477">
        <f>I711+I712</f>
        <v>7.38</v>
      </c>
      <c r="J713" s="676"/>
      <c r="K713" s="677"/>
      <c r="L713" s="477">
        <f>L711+L712</f>
        <v>8.2702</v>
      </c>
      <c r="M713" s="480">
        <f t="shared" si="96"/>
        <v>0.890200000000001</v>
      </c>
      <c r="N713" s="481">
        <f t="shared" si="95"/>
        <v>0.12062330623306247</v>
      </c>
      <c r="O713" s="483">
        <f>L713/L718</f>
        <v>0.8849557522123893</v>
      </c>
      <c r="P713" s="118"/>
    </row>
    <row r="714" spans="2:16" ht="21.75" customHeight="1">
      <c r="B714" s="125"/>
      <c r="C714" s="31"/>
      <c r="D714" s="31"/>
      <c r="E714" s="31"/>
      <c r="F714" s="154" t="s">
        <v>73</v>
      </c>
      <c r="G714" s="156">
        <f>G712</f>
        <v>0</v>
      </c>
      <c r="H714" s="157">
        <f>'Other Electriciy Rates'!$C$17+'Other Electriciy Rates'!$D$17</f>
        <v>0.0135</v>
      </c>
      <c r="I714" s="158">
        <f>+G714*H714</f>
        <v>0</v>
      </c>
      <c r="J714" s="156">
        <f>J712</f>
        <v>0</v>
      </c>
      <c r="K714" s="157">
        <f>'Other Electriciy Rates'!$C$32+'Other Electriciy Rates'!$D$32</f>
        <v>0.0135</v>
      </c>
      <c r="L714" s="185">
        <f>+J714*K714</f>
        <v>0</v>
      </c>
      <c r="M714" s="186">
        <f t="shared" si="96"/>
        <v>0</v>
      </c>
      <c r="N714" s="187" t="e">
        <f t="shared" si="95"/>
        <v>#DIV/0!</v>
      </c>
      <c r="O714" s="226">
        <f>L714/L718</f>
        <v>0</v>
      </c>
      <c r="P714" s="118"/>
    </row>
    <row r="715" spans="2:16" ht="21.75" customHeight="1" thickBot="1">
      <c r="B715" s="125"/>
      <c r="C715" s="31"/>
      <c r="D715" s="31"/>
      <c r="E715" s="31"/>
      <c r="F715" s="152" t="s">
        <v>74</v>
      </c>
      <c r="G715" s="165">
        <f>G714</f>
        <v>0</v>
      </c>
      <c r="H715" s="159">
        <f>'Other Electriciy Rates'!$J$17</f>
        <v>0.065</v>
      </c>
      <c r="I715" s="160">
        <f>+G715*H715</f>
        <v>0</v>
      </c>
      <c r="J715" s="165">
        <f>J714</f>
        <v>0</v>
      </c>
      <c r="K715" s="159">
        <f>'Other Electriciy Rates'!$J$32</f>
        <v>0.065</v>
      </c>
      <c r="L715" s="182">
        <f>+J715*K715</f>
        <v>0</v>
      </c>
      <c r="M715" s="183">
        <f t="shared" si="96"/>
        <v>0</v>
      </c>
      <c r="N715" s="184" t="e">
        <f t="shared" si="95"/>
        <v>#DIV/0!</v>
      </c>
      <c r="O715" s="189">
        <f>L715/L718</f>
        <v>0</v>
      </c>
      <c r="P715" s="118"/>
    </row>
    <row r="716" spans="2:16" ht="21.75" customHeight="1" thickBot="1">
      <c r="B716" s="125"/>
      <c r="C716" s="31"/>
      <c r="D716" s="31"/>
      <c r="E716" s="31"/>
      <c r="F716" s="476" t="s">
        <v>191</v>
      </c>
      <c r="G716" s="676"/>
      <c r="H716" s="677"/>
      <c r="I716" s="477">
        <f>SUM(I713:I715)</f>
        <v>7.38</v>
      </c>
      <c r="J716" s="676"/>
      <c r="K716" s="677"/>
      <c r="L716" s="477">
        <f>SUM(L713:L715)</f>
        <v>8.2702</v>
      </c>
      <c r="M716" s="477">
        <f t="shared" si="96"/>
        <v>0.890200000000001</v>
      </c>
      <c r="N716" s="481">
        <f t="shared" si="95"/>
        <v>0.12062330623306247</v>
      </c>
      <c r="O716" s="483">
        <f>L716/L718</f>
        <v>0.8849557522123893</v>
      </c>
      <c r="P716" s="228"/>
    </row>
    <row r="717" spans="2:16" ht="21.75" customHeight="1" thickBot="1">
      <c r="B717" s="125"/>
      <c r="C717" s="31"/>
      <c r="D717" s="31"/>
      <c r="E717" s="31"/>
      <c r="F717" s="222" t="s">
        <v>323</v>
      </c>
      <c r="G717" s="223"/>
      <c r="H717" s="227">
        <v>0.13</v>
      </c>
      <c r="I717" s="224">
        <f>I716*H717</f>
        <v>0.9594</v>
      </c>
      <c r="J717" s="223"/>
      <c r="K717" s="227">
        <v>0.13</v>
      </c>
      <c r="L717" s="225">
        <f>L716*K717</f>
        <v>1.0751260000000002</v>
      </c>
      <c r="M717" s="183">
        <f t="shared" si="96"/>
        <v>0.11572600000000022</v>
      </c>
      <c r="N717" s="187">
        <f t="shared" si="95"/>
        <v>0.12062330623306255</v>
      </c>
      <c r="O717" s="189">
        <f>L717/L718</f>
        <v>0.11504424778761062</v>
      </c>
      <c r="P717" s="118"/>
    </row>
    <row r="718" spans="2:17" ht="21.75" customHeight="1" thickBot="1">
      <c r="B718" s="276"/>
      <c r="C718" s="277"/>
      <c r="D718" s="277"/>
      <c r="E718" s="278"/>
      <c r="F718" s="478" t="s">
        <v>75</v>
      </c>
      <c r="G718" s="693"/>
      <c r="H718" s="694"/>
      <c r="I718" s="479">
        <f>I716+I717</f>
        <v>8.3394</v>
      </c>
      <c r="J718" s="693"/>
      <c r="K718" s="694"/>
      <c r="L718" s="479">
        <f>L716+L717</f>
        <v>9.345326000000002</v>
      </c>
      <c r="M718" s="479">
        <f t="shared" si="96"/>
        <v>1.0059260000000023</v>
      </c>
      <c r="N718" s="484">
        <f t="shared" si="95"/>
        <v>0.12062330623306261</v>
      </c>
      <c r="O718" s="485">
        <f>O716+O717</f>
        <v>0.9999999999999999</v>
      </c>
      <c r="P718" s="279"/>
      <c r="Q718" s="280"/>
    </row>
    <row r="719" spans="2:16" ht="10.5" customHeight="1" thickBot="1">
      <c r="B719" s="119"/>
      <c r="C719" s="692"/>
      <c r="D719" s="692"/>
      <c r="E719" s="692"/>
      <c r="F719" s="692"/>
      <c r="G719" s="692"/>
      <c r="H719" s="692"/>
      <c r="I719" s="692"/>
      <c r="J719" s="692"/>
      <c r="K719" s="692"/>
      <c r="L719" s="692"/>
      <c r="M719" s="692"/>
      <c r="N719" s="692"/>
      <c r="O719" s="692"/>
      <c r="P719" s="120"/>
    </row>
    <row r="720" ht="17.25" customHeight="1"/>
    <row r="721" ht="6.75" customHeight="1"/>
    <row r="722" ht="6.75" customHeight="1"/>
    <row r="725" ht="6.75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6.75" customHeight="1"/>
    <row r="738" ht="6.75" customHeight="1"/>
    <row r="741" ht="6.75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6.75" customHeight="1"/>
  </sheetData>
  <sheetProtection/>
  <mergeCells count="517">
    <mergeCell ref="G137:I137"/>
    <mergeCell ref="J137:L137"/>
    <mergeCell ref="G145:H145"/>
    <mergeCell ref="G108:H108"/>
    <mergeCell ref="J108:K108"/>
    <mergeCell ref="G128:H128"/>
    <mergeCell ref="J128:K128"/>
    <mergeCell ref="G130:H130"/>
    <mergeCell ref="J130:K130"/>
    <mergeCell ref="J125:K125"/>
    <mergeCell ref="J84:K84"/>
    <mergeCell ref="G86:H86"/>
    <mergeCell ref="J86:K86"/>
    <mergeCell ref="G106:H106"/>
    <mergeCell ref="J106:K106"/>
    <mergeCell ref="G150:H150"/>
    <mergeCell ref="J150:K150"/>
    <mergeCell ref="C134:O134"/>
    <mergeCell ref="C135:O135"/>
    <mergeCell ref="C136:O136"/>
    <mergeCell ref="G517:H517"/>
    <mergeCell ref="J517:K517"/>
    <mergeCell ref="C504:D504"/>
    <mergeCell ref="G510:H510"/>
    <mergeCell ref="J510:K510"/>
    <mergeCell ref="G512:H512"/>
    <mergeCell ref="J512:K512"/>
    <mergeCell ref="G515:H515"/>
    <mergeCell ref="J515:K515"/>
    <mergeCell ref="G496:H496"/>
    <mergeCell ref="J496:K496"/>
    <mergeCell ref="C499:O499"/>
    <mergeCell ref="C500:O500"/>
    <mergeCell ref="C501:O501"/>
    <mergeCell ref="G502:I502"/>
    <mergeCell ref="J502:L502"/>
    <mergeCell ref="M502:O502"/>
    <mergeCell ref="C483:D483"/>
    <mergeCell ref="G489:H489"/>
    <mergeCell ref="J489:K489"/>
    <mergeCell ref="G491:H491"/>
    <mergeCell ref="J491:K491"/>
    <mergeCell ref="G494:H494"/>
    <mergeCell ref="J494:K494"/>
    <mergeCell ref="G475:H475"/>
    <mergeCell ref="J475:K475"/>
    <mergeCell ref="C478:O478"/>
    <mergeCell ref="C479:O479"/>
    <mergeCell ref="C480:O480"/>
    <mergeCell ref="G481:I481"/>
    <mergeCell ref="J481:L481"/>
    <mergeCell ref="M481:O481"/>
    <mergeCell ref="C462:D462"/>
    <mergeCell ref="G468:H468"/>
    <mergeCell ref="J468:K468"/>
    <mergeCell ref="G470:H470"/>
    <mergeCell ref="J470:K470"/>
    <mergeCell ref="G473:H473"/>
    <mergeCell ref="J473:K473"/>
    <mergeCell ref="G454:H454"/>
    <mergeCell ref="J454:K454"/>
    <mergeCell ref="C457:O457"/>
    <mergeCell ref="C458:O458"/>
    <mergeCell ref="C459:O459"/>
    <mergeCell ref="G460:I460"/>
    <mergeCell ref="J460:L460"/>
    <mergeCell ref="M460:O460"/>
    <mergeCell ref="C441:D441"/>
    <mergeCell ref="G447:H447"/>
    <mergeCell ref="J447:K447"/>
    <mergeCell ref="G449:H449"/>
    <mergeCell ref="J449:K449"/>
    <mergeCell ref="G452:H452"/>
    <mergeCell ref="J452:K452"/>
    <mergeCell ref="G433:H433"/>
    <mergeCell ref="J433:K433"/>
    <mergeCell ref="C436:O436"/>
    <mergeCell ref="C437:O437"/>
    <mergeCell ref="C438:O438"/>
    <mergeCell ref="G439:I439"/>
    <mergeCell ref="J439:L439"/>
    <mergeCell ref="M439:O439"/>
    <mergeCell ref="C420:D420"/>
    <mergeCell ref="G426:H426"/>
    <mergeCell ref="J426:K426"/>
    <mergeCell ref="G428:H428"/>
    <mergeCell ref="J428:K428"/>
    <mergeCell ref="G431:H431"/>
    <mergeCell ref="J431:K431"/>
    <mergeCell ref="G412:H412"/>
    <mergeCell ref="J412:K412"/>
    <mergeCell ref="C415:O415"/>
    <mergeCell ref="C416:O416"/>
    <mergeCell ref="C417:O417"/>
    <mergeCell ref="G418:I418"/>
    <mergeCell ref="J418:L418"/>
    <mergeCell ref="M418:O418"/>
    <mergeCell ref="C399:D399"/>
    <mergeCell ref="G405:H405"/>
    <mergeCell ref="J405:K405"/>
    <mergeCell ref="G407:H407"/>
    <mergeCell ref="J407:K407"/>
    <mergeCell ref="G410:H410"/>
    <mergeCell ref="J410:K410"/>
    <mergeCell ref="C394:O394"/>
    <mergeCell ref="C395:O395"/>
    <mergeCell ref="C396:O396"/>
    <mergeCell ref="G397:I397"/>
    <mergeCell ref="J397:L397"/>
    <mergeCell ref="M397:O397"/>
    <mergeCell ref="C521:O521"/>
    <mergeCell ref="G522:I522"/>
    <mergeCell ref="J522:L522"/>
    <mergeCell ref="M522:O522"/>
    <mergeCell ref="J673:K673"/>
    <mergeCell ref="J675:K675"/>
    <mergeCell ref="C668:D668"/>
    <mergeCell ref="G673:H673"/>
    <mergeCell ref="G675:H675"/>
    <mergeCell ref="C663:O663"/>
    <mergeCell ref="C336:D336"/>
    <mergeCell ref="G342:H342"/>
    <mergeCell ref="J342:K342"/>
    <mergeCell ref="G344:H344"/>
    <mergeCell ref="J344:K344"/>
    <mergeCell ref="G279:H279"/>
    <mergeCell ref="J279:K279"/>
    <mergeCell ref="G286:H286"/>
    <mergeCell ref="J286:K286"/>
    <mergeCell ref="G284:H284"/>
    <mergeCell ref="G328:H328"/>
    <mergeCell ref="J328:K328"/>
    <mergeCell ref="C331:O331"/>
    <mergeCell ref="C332:O332"/>
    <mergeCell ref="C333:O333"/>
    <mergeCell ref="G334:I334"/>
    <mergeCell ref="J334:L334"/>
    <mergeCell ref="M334:O334"/>
    <mergeCell ref="G321:H321"/>
    <mergeCell ref="J321:K321"/>
    <mergeCell ref="G323:H323"/>
    <mergeCell ref="J323:K323"/>
    <mergeCell ref="G326:H326"/>
    <mergeCell ref="J326:K326"/>
    <mergeCell ref="C315:D315"/>
    <mergeCell ref="J284:K284"/>
    <mergeCell ref="C311:O311"/>
    <mergeCell ref="C312:O312"/>
    <mergeCell ref="G313:I313"/>
    <mergeCell ref="G152:H152"/>
    <mergeCell ref="J313:L313"/>
    <mergeCell ref="J152:K152"/>
    <mergeCell ref="C269:O269"/>
    <mergeCell ref="C268:O268"/>
    <mergeCell ref="G18:H18"/>
    <mergeCell ref="J18:K18"/>
    <mergeCell ref="G23:H23"/>
    <mergeCell ref="J23:K23"/>
    <mergeCell ref="G20:H20"/>
    <mergeCell ref="J20:K20"/>
    <mergeCell ref="M137:O137"/>
    <mergeCell ref="G307:H307"/>
    <mergeCell ref="J25:K25"/>
    <mergeCell ref="G25:H25"/>
    <mergeCell ref="J145:K145"/>
    <mergeCell ref="G147:H147"/>
    <mergeCell ref="J147:K147"/>
    <mergeCell ref="C68:O68"/>
    <mergeCell ref="C95:D95"/>
    <mergeCell ref="G101:H101"/>
    <mergeCell ref="G718:H718"/>
    <mergeCell ref="J718:K718"/>
    <mergeCell ref="C719:O719"/>
    <mergeCell ref="C562:O562"/>
    <mergeCell ref="C563:O563"/>
    <mergeCell ref="G564:I564"/>
    <mergeCell ref="J564:L564"/>
    <mergeCell ref="M564:O564"/>
    <mergeCell ref="G598:H598"/>
    <mergeCell ref="J598:K598"/>
    <mergeCell ref="G711:H711"/>
    <mergeCell ref="J711:K711"/>
    <mergeCell ref="G713:H713"/>
    <mergeCell ref="J713:K713"/>
    <mergeCell ref="G716:H716"/>
    <mergeCell ref="J716:K716"/>
    <mergeCell ref="B1:O1"/>
    <mergeCell ref="B2:O2"/>
    <mergeCell ref="B3:O3"/>
    <mergeCell ref="B7:O7"/>
    <mergeCell ref="C6:O6"/>
    <mergeCell ref="C4:O4"/>
    <mergeCell ref="C5:O5"/>
    <mergeCell ref="G71:I71"/>
    <mergeCell ref="M292:O292"/>
    <mergeCell ref="G84:H84"/>
    <mergeCell ref="C139:D139"/>
    <mergeCell ref="J71:L71"/>
    <mergeCell ref="C117:D117"/>
    <mergeCell ref="G123:H123"/>
    <mergeCell ref="C91:O91"/>
    <mergeCell ref="C92:O92"/>
    <mergeCell ref="C273:D273"/>
    <mergeCell ref="C706:D706"/>
    <mergeCell ref="C112:O112"/>
    <mergeCell ref="C113:O113"/>
    <mergeCell ref="C114:O114"/>
    <mergeCell ref="G115:I115"/>
    <mergeCell ref="C702:O702"/>
    <mergeCell ref="J307:K307"/>
    <mergeCell ref="G305:H305"/>
    <mergeCell ref="G694:H694"/>
    <mergeCell ref="J694:K694"/>
    <mergeCell ref="C687:D687"/>
    <mergeCell ref="C700:O700"/>
    <mergeCell ref="M71:O71"/>
    <mergeCell ref="G704:I704"/>
    <mergeCell ref="J704:L704"/>
    <mergeCell ref="M704:O704"/>
    <mergeCell ref="G678:H678"/>
    <mergeCell ref="M313:O313"/>
    <mergeCell ref="J123:K123"/>
    <mergeCell ref="G125:H125"/>
    <mergeCell ref="C684:O684"/>
    <mergeCell ref="J680:K680"/>
    <mergeCell ref="M685:O685"/>
    <mergeCell ref="G692:H692"/>
    <mergeCell ref="J692:K692"/>
    <mergeCell ref="C703:O703"/>
    <mergeCell ref="G699:H699"/>
    <mergeCell ref="J699:K699"/>
    <mergeCell ref="G697:H697"/>
    <mergeCell ref="J697:K697"/>
    <mergeCell ref="J678:K678"/>
    <mergeCell ref="G685:I685"/>
    <mergeCell ref="J685:L685"/>
    <mergeCell ref="C664:O664"/>
    <mergeCell ref="C665:O665"/>
    <mergeCell ref="G666:I666"/>
    <mergeCell ref="J666:L666"/>
    <mergeCell ref="M666:O666"/>
    <mergeCell ref="G680:H680"/>
    <mergeCell ref="C683:O683"/>
    <mergeCell ref="G660:H660"/>
    <mergeCell ref="J660:K660"/>
    <mergeCell ref="J638:K638"/>
    <mergeCell ref="G640:H640"/>
    <mergeCell ref="J640:K640"/>
    <mergeCell ref="J653:K653"/>
    <mergeCell ref="G653:H653"/>
    <mergeCell ref="C644:O644"/>
    <mergeCell ref="C643:O643"/>
    <mergeCell ref="G600:H600"/>
    <mergeCell ref="G638:H638"/>
    <mergeCell ref="G658:H658"/>
    <mergeCell ref="J658:K658"/>
    <mergeCell ref="C625:O625"/>
    <mergeCell ref="G633:H633"/>
    <mergeCell ref="C645:O645"/>
    <mergeCell ref="G646:I646"/>
    <mergeCell ref="J646:L646"/>
    <mergeCell ref="M646:O646"/>
    <mergeCell ref="C270:O270"/>
    <mergeCell ref="G271:I271"/>
    <mergeCell ref="G655:H655"/>
    <mergeCell ref="J655:K655"/>
    <mergeCell ref="G556:H556"/>
    <mergeCell ref="J556:K556"/>
    <mergeCell ref="G558:H558"/>
    <mergeCell ref="G302:H302"/>
    <mergeCell ref="M271:O271"/>
    <mergeCell ref="C519:O519"/>
    <mergeCell ref="J115:L115"/>
    <mergeCell ref="C648:D648"/>
    <mergeCell ref="G577:H577"/>
    <mergeCell ref="J101:K101"/>
    <mergeCell ref="G103:H103"/>
    <mergeCell ref="J103:K103"/>
    <mergeCell ref="J558:K558"/>
    <mergeCell ref="C561:O561"/>
    <mergeCell ref="M115:O115"/>
    <mergeCell ref="J305:K305"/>
    <mergeCell ref="C8:O8"/>
    <mergeCell ref="C9:O9"/>
    <mergeCell ref="C12:D12"/>
    <mergeCell ref="G10:I10"/>
    <mergeCell ref="J10:L10"/>
    <mergeCell ref="M10:O10"/>
    <mergeCell ref="G81:H81"/>
    <mergeCell ref="J81:K81"/>
    <mergeCell ref="J271:L271"/>
    <mergeCell ref="C294:D294"/>
    <mergeCell ref="G300:H300"/>
    <mergeCell ref="J300:K300"/>
    <mergeCell ref="C289:O289"/>
    <mergeCell ref="C156:O156"/>
    <mergeCell ref="C157:O157"/>
    <mergeCell ref="C158:O158"/>
    <mergeCell ref="C520:O520"/>
    <mergeCell ref="C310:O310"/>
    <mergeCell ref="G347:H347"/>
    <mergeCell ref="J347:K347"/>
    <mergeCell ref="G349:H349"/>
    <mergeCell ref="C290:O290"/>
    <mergeCell ref="J302:K302"/>
    <mergeCell ref="G355:I355"/>
    <mergeCell ref="J355:L355"/>
    <mergeCell ref="M355:O355"/>
    <mergeCell ref="C26:O26"/>
    <mergeCell ref="C90:O90"/>
    <mergeCell ref="J292:L292"/>
    <mergeCell ref="C73:D73"/>
    <mergeCell ref="G93:I93"/>
    <mergeCell ref="J93:L93"/>
    <mergeCell ref="M93:O93"/>
    <mergeCell ref="C291:O291"/>
    <mergeCell ref="G292:I292"/>
    <mergeCell ref="C69:O69"/>
    <mergeCell ref="G45:H45"/>
    <mergeCell ref="J45:K45"/>
    <mergeCell ref="C66:O66"/>
    <mergeCell ref="G79:H79"/>
    <mergeCell ref="J79:K79"/>
    <mergeCell ref="G281:H281"/>
    <mergeCell ref="J281:K281"/>
    <mergeCell ref="C52:D52"/>
    <mergeCell ref="G58:H58"/>
    <mergeCell ref="J58:K58"/>
    <mergeCell ref="G60:H60"/>
    <mergeCell ref="J60:K60"/>
    <mergeCell ref="C70:O70"/>
    <mergeCell ref="G63:H63"/>
    <mergeCell ref="J63:K63"/>
    <mergeCell ref="G65:H65"/>
    <mergeCell ref="J65:K65"/>
    <mergeCell ref="C48:O48"/>
    <mergeCell ref="C46:O46"/>
    <mergeCell ref="C49:O49"/>
    <mergeCell ref="G50:I50"/>
    <mergeCell ref="J50:L50"/>
    <mergeCell ref="M50:O50"/>
    <mergeCell ref="G38:H38"/>
    <mergeCell ref="J38:K38"/>
    <mergeCell ref="G43:H43"/>
    <mergeCell ref="J43:K43"/>
    <mergeCell ref="G40:H40"/>
    <mergeCell ref="J40:K40"/>
    <mergeCell ref="C28:O28"/>
    <mergeCell ref="G30:I30"/>
    <mergeCell ref="J30:L30"/>
    <mergeCell ref="M30:O30"/>
    <mergeCell ref="C29:O29"/>
    <mergeCell ref="C32:D32"/>
    <mergeCell ref="G159:I159"/>
    <mergeCell ref="J159:L159"/>
    <mergeCell ref="M159:O159"/>
    <mergeCell ref="G173:H173"/>
    <mergeCell ref="J173:K173"/>
    <mergeCell ref="G175:H175"/>
    <mergeCell ref="J175:K175"/>
    <mergeCell ref="C161:D161"/>
    <mergeCell ref="G167:H167"/>
    <mergeCell ref="J167:K167"/>
    <mergeCell ref="G169:H169"/>
    <mergeCell ref="J169:K169"/>
    <mergeCell ref="C178:O178"/>
    <mergeCell ref="C179:O179"/>
    <mergeCell ref="C180:O180"/>
    <mergeCell ref="G181:I181"/>
    <mergeCell ref="J181:L181"/>
    <mergeCell ref="M181:O181"/>
    <mergeCell ref="G195:H195"/>
    <mergeCell ref="J195:K195"/>
    <mergeCell ref="G197:H197"/>
    <mergeCell ref="J197:K197"/>
    <mergeCell ref="C183:D183"/>
    <mergeCell ref="G189:H189"/>
    <mergeCell ref="J189:K189"/>
    <mergeCell ref="G191:H191"/>
    <mergeCell ref="J191:K191"/>
    <mergeCell ref="C200:O200"/>
    <mergeCell ref="C201:O201"/>
    <mergeCell ref="C202:O202"/>
    <mergeCell ref="G203:I203"/>
    <mergeCell ref="J203:L203"/>
    <mergeCell ref="M203:O203"/>
    <mergeCell ref="G217:H217"/>
    <mergeCell ref="J217:K217"/>
    <mergeCell ref="G219:H219"/>
    <mergeCell ref="J219:K219"/>
    <mergeCell ref="C205:D205"/>
    <mergeCell ref="G211:H211"/>
    <mergeCell ref="J211:K211"/>
    <mergeCell ref="G213:H213"/>
    <mergeCell ref="J213:K213"/>
    <mergeCell ref="C222:O222"/>
    <mergeCell ref="C223:O223"/>
    <mergeCell ref="C224:O224"/>
    <mergeCell ref="G225:I225"/>
    <mergeCell ref="J225:L225"/>
    <mergeCell ref="M225:O225"/>
    <mergeCell ref="G239:H239"/>
    <mergeCell ref="J239:K239"/>
    <mergeCell ref="G241:H241"/>
    <mergeCell ref="J241:K241"/>
    <mergeCell ref="C227:D227"/>
    <mergeCell ref="G233:H233"/>
    <mergeCell ref="J233:K233"/>
    <mergeCell ref="G235:H235"/>
    <mergeCell ref="J235:K235"/>
    <mergeCell ref="C244:O244"/>
    <mergeCell ref="C245:O245"/>
    <mergeCell ref="C246:O246"/>
    <mergeCell ref="G247:I247"/>
    <mergeCell ref="J247:L247"/>
    <mergeCell ref="M247:O247"/>
    <mergeCell ref="G261:H261"/>
    <mergeCell ref="J261:K261"/>
    <mergeCell ref="G263:H263"/>
    <mergeCell ref="J263:K263"/>
    <mergeCell ref="C249:D249"/>
    <mergeCell ref="G255:H255"/>
    <mergeCell ref="J255:K255"/>
    <mergeCell ref="G257:H257"/>
    <mergeCell ref="J257:K257"/>
    <mergeCell ref="C357:D357"/>
    <mergeCell ref="J349:K349"/>
    <mergeCell ref="C352:O352"/>
    <mergeCell ref="C353:O353"/>
    <mergeCell ref="C354:O354"/>
    <mergeCell ref="G368:H368"/>
    <mergeCell ref="J368:K368"/>
    <mergeCell ref="G370:H370"/>
    <mergeCell ref="J370:K370"/>
    <mergeCell ref="G363:H363"/>
    <mergeCell ref="J363:K363"/>
    <mergeCell ref="G365:H365"/>
    <mergeCell ref="J365:K365"/>
    <mergeCell ref="C373:O373"/>
    <mergeCell ref="C374:O374"/>
    <mergeCell ref="C375:O375"/>
    <mergeCell ref="G376:I376"/>
    <mergeCell ref="J376:L376"/>
    <mergeCell ref="M376:O376"/>
    <mergeCell ref="G389:H389"/>
    <mergeCell ref="J389:K389"/>
    <mergeCell ref="G391:H391"/>
    <mergeCell ref="J391:K391"/>
    <mergeCell ref="C378:D378"/>
    <mergeCell ref="G384:H384"/>
    <mergeCell ref="J384:K384"/>
    <mergeCell ref="G386:H386"/>
    <mergeCell ref="J386:K386"/>
    <mergeCell ref="M543:O543"/>
    <mergeCell ref="G535:H535"/>
    <mergeCell ref="J535:K535"/>
    <mergeCell ref="G537:H537"/>
    <mergeCell ref="J537:K537"/>
    <mergeCell ref="C524:D524"/>
    <mergeCell ref="G530:H530"/>
    <mergeCell ref="J530:K530"/>
    <mergeCell ref="G532:H532"/>
    <mergeCell ref="J532:K532"/>
    <mergeCell ref="C545:D545"/>
    <mergeCell ref="G551:H551"/>
    <mergeCell ref="J551:K551"/>
    <mergeCell ref="G553:H553"/>
    <mergeCell ref="J553:K553"/>
    <mergeCell ref="C540:O540"/>
    <mergeCell ref="C541:O541"/>
    <mergeCell ref="C542:O542"/>
    <mergeCell ref="G543:I543"/>
    <mergeCell ref="J543:L543"/>
    <mergeCell ref="J577:K577"/>
    <mergeCell ref="G579:H579"/>
    <mergeCell ref="J579:K579"/>
    <mergeCell ref="C566:D566"/>
    <mergeCell ref="G572:H572"/>
    <mergeCell ref="J572:K572"/>
    <mergeCell ref="G574:H574"/>
    <mergeCell ref="J574:K574"/>
    <mergeCell ref="C582:O582"/>
    <mergeCell ref="C583:O583"/>
    <mergeCell ref="C584:O584"/>
    <mergeCell ref="G585:I585"/>
    <mergeCell ref="J585:L585"/>
    <mergeCell ref="M585:O585"/>
    <mergeCell ref="C587:D587"/>
    <mergeCell ref="G593:H593"/>
    <mergeCell ref="J593:K593"/>
    <mergeCell ref="G595:H595"/>
    <mergeCell ref="J595:K595"/>
    <mergeCell ref="J633:K633"/>
    <mergeCell ref="J600:K600"/>
    <mergeCell ref="G615:H615"/>
    <mergeCell ref="J615:K615"/>
    <mergeCell ref="G606:I606"/>
    <mergeCell ref="J606:L606"/>
    <mergeCell ref="C603:O603"/>
    <mergeCell ref="C604:O604"/>
    <mergeCell ref="C605:O605"/>
    <mergeCell ref="C623:O623"/>
    <mergeCell ref="G618:H618"/>
    <mergeCell ref="J618:K618"/>
    <mergeCell ref="G620:H620"/>
    <mergeCell ref="J620:K620"/>
    <mergeCell ref="G613:H613"/>
    <mergeCell ref="J613:K613"/>
    <mergeCell ref="M606:O606"/>
    <mergeCell ref="C608:D608"/>
    <mergeCell ref="C628:D628"/>
    <mergeCell ref="G635:H635"/>
    <mergeCell ref="J635:K635"/>
    <mergeCell ref="C624:O624"/>
    <mergeCell ref="G626:I626"/>
    <mergeCell ref="J626:L626"/>
    <mergeCell ref="M626:O626"/>
  </mergeCells>
  <printOptions/>
  <pageMargins left="0.75" right="0.75" top="1" bottom="1" header="0.5" footer="0.5"/>
  <pageSetup fitToHeight="6" horizontalDpi="355" verticalDpi="355" orientation="landscape" scale="21" r:id="rId1"/>
  <rowBreaks count="10" manualBreakCount="10">
    <brk id="66" max="15" man="1"/>
    <brk id="154" max="15" man="1"/>
    <brk id="198" max="15" man="1"/>
    <brk id="264" max="15" man="1"/>
    <brk id="329" max="15" man="1"/>
    <brk id="392" max="15" man="1"/>
    <brk id="455" max="15" man="1"/>
    <brk id="518" max="15" man="1"/>
    <brk id="601" max="15" man="1"/>
    <brk id="681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38.7109375" style="0" bestFit="1" customWidth="1"/>
    <col min="4" max="4" width="13.00390625" style="0" customWidth="1"/>
    <col min="5" max="5" width="16.28125" style="0" customWidth="1"/>
  </cols>
  <sheetData>
    <row r="1" spans="1:5" ht="12.75">
      <c r="A1" s="617" t="str">
        <f>+'Revenue Input'!A1</f>
        <v>MILTON HYDRO DISTRIBUTION INC.</v>
      </c>
      <c r="B1" s="617"/>
      <c r="C1" s="617"/>
      <c r="D1" s="617"/>
      <c r="E1" s="617"/>
    </row>
    <row r="2" spans="1:5" ht="12.75">
      <c r="A2" s="644"/>
      <c r="B2" s="644"/>
      <c r="C2" s="644"/>
      <c r="D2" s="644"/>
      <c r="E2" s="644"/>
    </row>
    <row r="3" spans="1:5" ht="12.75">
      <c r="A3" s="644"/>
      <c r="B3" s="644"/>
      <c r="C3" s="644"/>
      <c r="D3" s="644"/>
      <c r="E3" s="644"/>
    </row>
    <row r="4" spans="1:5" ht="8.25" customHeight="1">
      <c r="A4" s="633"/>
      <c r="B4" s="633"/>
      <c r="C4" s="633"/>
      <c r="D4" s="633"/>
      <c r="E4" s="633"/>
    </row>
    <row r="5" spans="1:5" ht="19.5" customHeight="1">
      <c r="A5" s="654" t="s">
        <v>87</v>
      </c>
      <c r="B5" s="654"/>
      <c r="C5" s="654"/>
      <c r="D5" s="654"/>
      <c r="E5" s="654"/>
    </row>
    <row r="6" spans="1:5" ht="19.5" customHeight="1">
      <c r="A6" s="695" t="s">
        <v>86</v>
      </c>
      <c r="B6" s="695"/>
      <c r="C6" s="695"/>
      <c r="D6" s="695"/>
      <c r="E6" s="695"/>
    </row>
    <row r="7" spans="1:5" ht="19.5" customHeight="1">
      <c r="A7" s="695" t="s">
        <v>224</v>
      </c>
      <c r="B7" s="695"/>
      <c r="C7" s="695"/>
      <c r="D7" s="695"/>
      <c r="E7" s="695"/>
    </row>
    <row r="8" spans="1:5" ht="19.5" customHeight="1">
      <c r="A8" s="624"/>
      <c r="B8" s="624"/>
      <c r="C8" s="624"/>
      <c r="D8" s="624"/>
      <c r="E8" s="624"/>
    </row>
    <row r="9" spans="1:6" ht="11.25" customHeight="1" thickBot="1">
      <c r="A9" s="16"/>
      <c r="B9" s="45"/>
      <c r="C9" s="16"/>
      <c r="D9" s="16"/>
      <c r="E9" s="46"/>
      <c r="F9" s="16"/>
    </row>
    <row r="10" spans="1:6" ht="26.25" thickBot="1">
      <c r="A10" s="39"/>
      <c r="B10" s="496" t="s">
        <v>0</v>
      </c>
      <c r="C10" s="496" t="s">
        <v>82</v>
      </c>
      <c r="D10" s="496" t="s">
        <v>83</v>
      </c>
      <c r="E10" s="496" t="s">
        <v>180</v>
      </c>
      <c r="F10" s="16"/>
    </row>
    <row r="11" spans="1:6" ht="15.75">
      <c r="A11" s="24"/>
      <c r="B11" s="696" t="str">
        <f>'Distribution Rate Schedule'!A11</f>
        <v>Residential</v>
      </c>
      <c r="C11" s="697"/>
      <c r="D11" s="697"/>
      <c r="E11" s="698"/>
      <c r="F11" s="25"/>
    </row>
    <row r="12" spans="1:6" ht="15">
      <c r="A12" s="24"/>
      <c r="B12" s="190"/>
      <c r="C12" s="42" t="s">
        <v>67</v>
      </c>
      <c r="D12" s="40" t="s">
        <v>84</v>
      </c>
      <c r="E12" s="191">
        <f>'Distribution Rate Schedule'!C11</f>
        <v>15.36</v>
      </c>
      <c r="F12" s="25"/>
    </row>
    <row r="13" spans="1:6" ht="15">
      <c r="A13" s="24"/>
      <c r="B13" s="190"/>
      <c r="C13" s="42" t="s">
        <v>85</v>
      </c>
      <c r="D13" s="40" t="s">
        <v>53</v>
      </c>
      <c r="E13" s="192">
        <f>'Distribution Rate Schedule'!E11</f>
        <v>0.0143</v>
      </c>
      <c r="F13" s="25"/>
    </row>
    <row r="14" spans="1:6" ht="15">
      <c r="A14" s="24"/>
      <c r="B14" s="190"/>
      <c r="C14" s="42" t="s">
        <v>227</v>
      </c>
      <c r="D14" s="40" t="s">
        <v>53</v>
      </c>
      <c r="E14" s="192">
        <f>'Distribution Rate Schedule'!E22</f>
        <v>0.0002</v>
      </c>
      <c r="F14" s="25"/>
    </row>
    <row r="15" spans="1:6" ht="15">
      <c r="A15" s="24"/>
      <c r="B15" s="190"/>
      <c r="C15" s="42" t="s">
        <v>159</v>
      </c>
      <c r="D15" s="40" t="s">
        <v>53</v>
      </c>
      <c r="E15" s="192">
        <f>'LRAM and SSM Rate Rider'!L9</f>
        <v>0</v>
      </c>
      <c r="F15" s="25"/>
    </row>
    <row r="16" spans="1:6" ht="15">
      <c r="A16" s="24"/>
      <c r="B16" s="190"/>
      <c r="C16" s="42" t="s">
        <v>226</v>
      </c>
      <c r="D16" s="40" t="s">
        <v>84</v>
      </c>
      <c r="E16" s="582">
        <f>'2011 Rate Rider'!D7</f>
        <v>-0.43193202035146244</v>
      </c>
      <c r="F16" s="25"/>
    </row>
    <row r="17" spans="1:6" ht="15.75" thickBot="1">
      <c r="A17" s="24"/>
      <c r="B17" s="193"/>
      <c r="C17" s="194" t="s">
        <v>225</v>
      </c>
      <c r="D17" s="195" t="s">
        <v>53</v>
      </c>
      <c r="E17" s="196">
        <f>'2011 Rate Rider'!B7</f>
        <v>-0.0006676344696067126</v>
      </c>
      <c r="F17" s="25"/>
    </row>
    <row r="18" spans="1:6" ht="6.75" customHeight="1" thickBot="1">
      <c r="A18" s="24"/>
      <c r="B18" s="41"/>
      <c r="C18" s="42"/>
      <c r="D18" s="40"/>
      <c r="E18" s="43"/>
      <c r="F18" s="25"/>
    </row>
    <row r="19" spans="1:5" ht="15.75" customHeight="1">
      <c r="A19" s="23"/>
      <c r="B19" s="696" t="str">
        <f>'Distribution Rate Schedule'!A12</f>
        <v>GS &lt; 50 kW</v>
      </c>
      <c r="C19" s="697"/>
      <c r="D19" s="697"/>
      <c r="E19" s="698"/>
    </row>
    <row r="20" spans="1:5" ht="15">
      <c r="A20" s="23"/>
      <c r="B20" s="190"/>
      <c r="C20" s="42" t="s">
        <v>67</v>
      </c>
      <c r="D20" s="40" t="s">
        <v>84</v>
      </c>
      <c r="E20" s="191">
        <f>'Distribution Rate Schedule'!C12</f>
        <v>16.78</v>
      </c>
    </row>
    <row r="21" spans="1:5" ht="15">
      <c r="A21" s="23"/>
      <c r="B21" s="190"/>
      <c r="C21" s="42" t="s">
        <v>85</v>
      </c>
      <c r="D21" s="40" t="s">
        <v>53</v>
      </c>
      <c r="E21" s="192">
        <f>'Distribution Rate Schedule'!E12</f>
        <v>0.0178</v>
      </c>
    </row>
    <row r="22" spans="1:5" ht="15">
      <c r="A22" s="23"/>
      <c r="B22" s="190"/>
      <c r="C22" s="42" t="s">
        <v>227</v>
      </c>
      <c r="D22" s="40" t="s">
        <v>53</v>
      </c>
      <c r="E22" s="192">
        <f>'Distribution Rate Schedule'!E23</f>
        <v>0.0002</v>
      </c>
    </row>
    <row r="23" spans="1:5" ht="15">
      <c r="A23" s="23"/>
      <c r="B23" s="190"/>
      <c r="C23" s="42" t="s">
        <v>159</v>
      </c>
      <c r="D23" s="40" t="s">
        <v>53</v>
      </c>
      <c r="E23" s="192">
        <f>'LRAM and SSM Rate Rider'!L10</f>
        <v>0</v>
      </c>
    </row>
    <row r="24" spans="1:5" ht="15">
      <c r="A24" s="23"/>
      <c r="B24" s="190"/>
      <c r="C24" s="42" t="s">
        <v>165</v>
      </c>
      <c r="D24" s="40" t="s">
        <v>84</v>
      </c>
      <c r="E24" s="582">
        <f>'2011 Rate Rider'!D8</f>
        <v>-0.43193202035146244</v>
      </c>
    </row>
    <row r="25" spans="1:5" ht="15.75" thickBot="1">
      <c r="A25" s="23"/>
      <c r="B25" s="193"/>
      <c r="C25" s="194" t="s">
        <v>225</v>
      </c>
      <c r="D25" s="195" t="s">
        <v>53</v>
      </c>
      <c r="E25" s="196">
        <f>+'2011 Rate Rider'!B8</f>
        <v>-0.0007654152677371481</v>
      </c>
    </row>
    <row r="26" spans="1:5" ht="6.75" customHeight="1" thickBot="1">
      <c r="A26" s="23"/>
      <c r="B26" s="41"/>
      <c r="C26" s="42"/>
      <c r="D26" s="40"/>
      <c r="E26" s="43"/>
    </row>
    <row r="27" spans="1:5" ht="15.75" customHeight="1">
      <c r="A27" s="23"/>
      <c r="B27" s="696" t="str">
        <f>'Distribution Rate Schedule'!A13</f>
        <v>GS &gt;50 to 999 kW</v>
      </c>
      <c r="C27" s="697"/>
      <c r="D27" s="697"/>
      <c r="E27" s="698"/>
    </row>
    <row r="28" spans="1:5" ht="15">
      <c r="A28" s="23"/>
      <c r="B28" s="190"/>
      <c r="C28" s="42" t="s">
        <v>67</v>
      </c>
      <c r="D28" s="40" t="s">
        <v>84</v>
      </c>
      <c r="E28" s="191">
        <f>'Distribution Rate Schedule'!C13</f>
        <v>88.37</v>
      </c>
    </row>
    <row r="29" spans="1:5" ht="15">
      <c r="A29" s="23"/>
      <c r="B29" s="190"/>
      <c r="C29" s="42" t="s">
        <v>85</v>
      </c>
      <c r="D29" s="40" t="s">
        <v>22</v>
      </c>
      <c r="E29" s="192">
        <f>'Distribution Rate Schedule'!D13</f>
        <v>2.9288</v>
      </c>
    </row>
    <row r="30" spans="1:5" ht="15">
      <c r="A30" s="23"/>
      <c r="B30" s="190"/>
      <c r="C30" s="42" t="s">
        <v>227</v>
      </c>
      <c r="D30" s="40" t="s">
        <v>22</v>
      </c>
      <c r="E30" s="192">
        <f>'Distribution Rate Schedule'!D24</f>
        <v>0.0821</v>
      </c>
    </row>
    <row r="31" spans="1:5" ht="15">
      <c r="A31" s="23"/>
      <c r="B31" s="190"/>
      <c r="C31" s="42" t="s">
        <v>159</v>
      </c>
      <c r="D31" s="40" t="s">
        <v>53</v>
      </c>
      <c r="E31" s="192">
        <f>'LRAM and SSM Rate Rider'!L11</f>
        <v>0</v>
      </c>
    </row>
    <row r="32" spans="1:5" ht="15">
      <c r="A32" s="23"/>
      <c r="B32" s="190"/>
      <c r="C32" s="42" t="s">
        <v>165</v>
      </c>
      <c r="D32" s="40" t="s">
        <v>84</v>
      </c>
      <c r="E32" s="582">
        <f>'2011 Rate Rider'!D9</f>
        <v>-0.43193202035146244</v>
      </c>
    </row>
    <row r="33" spans="1:5" ht="15.75" thickBot="1">
      <c r="A33" s="23"/>
      <c r="B33" s="193"/>
      <c r="C33" s="194" t="s">
        <v>225</v>
      </c>
      <c r="D33" s="195" t="s">
        <v>22</v>
      </c>
      <c r="E33" s="196">
        <f>+'2011 Rate Rider'!C9</f>
        <v>-0.34053261641201166</v>
      </c>
    </row>
    <row r="34" spans="1:5" ht="6.75" customHeight="1" thickBot="1">
      <c r="A34" s="23"/>
      <c r="B34" s="41"/>
      <c r="C34" s="42"/>
      <c r="D34" s="40"/>
      <c r="E34" s="43"/>
    </row>
    <row r="35" spans="1:5" ht="15.75" customHeight="1">
      <c r="A35" s="23"/>
      <c r="B35" s="696" t="str">
        <f>'Distribution Rate Schedule'!A14</f>
        <v>GS &gt;1000 to 4999 kW</v>
      </c>
      <c r="C35" s="697"/>
      <c r="D35" s="697"/>
      <c r="E35" s="698"/>
    </row>
    <row r="36" spans="1:5" ht="15">
      <c r="A36" s="23"/>
      <c r="B36" s="190"/>
      <c r="C36" s="42" t="s">
        <v>67</v>
      </c>
      <c r="D36" s="40" t="s">
        <v>84</v>
      </c>
      <c r="E36" s="191">
        <f>'Distribution Rate Schedule'!C14</f>
        <v>1008.02</v>
      </c>
    </row>
    <row r="37" spans="1:5" ht="15">
      <c r="A37" s="23"/>
      <c r="B37" s="190"/>
      <c r="C37" s="42" t="s">
        <v>85</v>
      </c>
      <c r="D37" s="40" t="s">
        <v>22</v>
      </c>
      <c r="E37" s="192">
        <f>'Distribution Rate Schedule'!D14</f>
        <v>3.1373</v>
      </c>
    </row>
    <row r="38" spans="1:5" ht="15">
      <c r="A38" s="23"/>
      <c r="B38" s="190"/>
      <c r="C38" s="42" t="s">
        <v>227</v>
      </c>
      <c r="D38" s="40" t="s">
        <v>22</v>
      </c>
      <c r="E38" s="192">
        <f>'Distribution Rate Schedule'!D25</f>
        <v>0.0808</v>
      </c>
    </row>
    <row r="39" spans="1:5" ht="15">
      <c r="A39" s="23"/>
      <c r="B39" s="190"/>
      <c r="C39" s="42" t="s">
        <v>159</v>
      </c>
      <c r="D39" s="40" t="s">
        <v>53</v>
      </c>
      <c r="E39" s="192">
        <f>'LRAM and SSM Rate Rider'!L12</f>
        <v>0</v>
      </c>
    </row>
    <row r="40" spans="1:5" ht="15">
      <c r="A40" s="23"/>
      <c r="B40" s="190"/>
      <c r="C40" s="42" t="s">
        <v>165</v>
      </c>
      <c r="D40" s="40" t="s">
        <v>84</v>
      </c>
      <c r="E40" s="582">
        <f>'2011 Rate Rider'!D10</f>
        <v>-0.43193202035146244</v>
      </c>
    </row>
    <row r="41" spans="1:5" ht="15.75" thickBot="1">
      <c r="A41" s="23"/>
      <c r="B41" s="193"/>
      <c r="C41" s="194" t="s">
        <v>225</v>
      </c>
      <c r="D41" s="195" t="s">
        <v>22</v>
      </c>
      <c r="E41" s="196">
        <f>+'2011 Rate Rider'!C10</f>
        <v>-0.41100197330267557</v>
      </c>
    </row>
    <row r="42" spans="1:5" ht="15.75" customHeight="1">
      <c r="A42" s="23"/>
      <c r="B42" s="696" t="str">
        <f>'Distribution Rate Schedule'!A15</f>
        <v>Large Use</v>
      </c>
      <c r="C42" s="697"/>
      <c r="D42" s="697"/>
      <c r="E42" s="698"/>
    </row>
    <row r="43" spans="1:5" ht="15">
      <c r="A43" s="23"/>
      <c r="B43" s="190"/>
      <c r="C43" s="42" t="s">
        <v>67</v>
      </c>
      <c r="D43" s="40" t="s">
        <v>84</v>
      </c>
      <c r="E43" s="191">
        <f>'Distribution Rate Schedule'!C15</f>
        <v>4219.51</v>
      </c>
    </row>
    <row r="44" spans="1:5" ht="15">
      <c r="A44" s="23"/>
      <c r="B44" s="190"/>
      <c r="C44" s="42" t="s">
        <v>85</v>
      </c>
      <c r="D44" s="40" t="s">
        <v>22</v>
      </c>
      <c r="E44" s="192">
        <f>'Distribution Rate Schedule'!D15</f>
        <v>2.5261</v>
      </c>
    </row>
    <row r="45" spans="1:5" ht="15">
      <c r="A45" s="23"/>
      <c r="B45" s="190"/>
      <c r="C45" s="42" t="s">
        <v>227</v>
      </c>
      <c r="D45" s="40" t="s">
        <v>22</v>
      </c>
      <c r="E45" s="192">
        <f>'Distribution Rate Schedule'!D26</f>
        <v>0.0903</v>
      </c>
    </row>
    <row r="46" spans="1:5" ht="15">
      <c r="A46" s="23"/>
      <c r="B46" s="190"/>
      <c r="C46" s="42" t="s">
        <v>159</v>
      </c>
      <c r="D46" s="40" t="s">
        <v>22</v>
      </c>
      <c r="E46" s="192">
        <f>'LRAM and SSM Rate Rider'!L13</f>
        <v>0</v>
      </c>
    </row>
    <row r="47" spans="1:5" ht="15">
      <c r="A47" s="23"/>
      <c r="B47" s="190"/>
      <c r="C47" s="42" t="s">
        <v>165</v>
      </c>
      <c r="D47" s="40" t="s">
        <v>84</v>
      </c>
      <c r="E47" s="582">
        <f>'2011 Rate Rider'!D11</f>
        <v>-0.43193202035146244</v>
      </c>
    </row>
    <row r="48" spans="1:5" ht="15.75" thickBot="1">
      <c r="A48" s="23"/>
      <c r="B48" s="193"/>
      <c r="C48" s="194" t="s">
        <v>225</v>
      </c>
      <c r="D48" s="195" t="s">
        <v>22</v>
      </c>
      <c r="E48" s="196">
        <f>'2011 Rate Rider'!C11</f>
        <v>-0.3563803210846431</v>
      </c>
    </row>
    <row r="49" spans="1:5" ht="6.75" customHeight="1" thickBot="1">
      <c r="A49" s="23"/>
      <c r="B49" s="41"/>
      <c r="C49" s="42"/>
      <c r="D49" s="40"/>
      <c r="E49" s="43"/>
    </row>
    <row r="50" spans="1:5" ht="15.75">
      <c r="A50" s="23"/>
      <c r="B50" s="696" t="str">
        <f>'Distribution Rate Schedule'!A16</f>
        <v>Sentinel Lights</v>
      </c>
      <c r="C50" s="697"/>
      <c r="D50" s="697"/>
      <c r="E50" s="698"/>
    </row>
    <row r="51" spans="1:5" ht="15">
      <c r="A51" s="23"/>
      <c r="B51" s="190"/>
      <c r="C51" s="42" t="s">
        <v>67</v>
      </c>
      <c r="D51" s="40" t="s">
        <v>84</v>
      </c>
      <c r="E51" s="191">
        <f>'Distribution Rate Schedule'!B16</f>
        <v>1.4692</v>
      </c>
    </row>
    <row r="52" spans="1:5" ht="15">
      <c r="A52" s="23"/>
      <c r="B52" s="190"/>
      <c r="C52" s="42" t="s">
        <v>85</v>
      </c>
      <c r="D52" s="40" t="s">
        <v>22</v>
      </c>
      <c r="E52" s="192">
        <f>'Distribution Rate Schedule'!D16</f>
        <v>11.1018</v>
      </c>
    </row>
    <row r="53" spans="1:5" ht="15">
      <c r="A53" s="23"/>
      <c r="B53" s="190"/>
      <c r="C53" s="42" t="s">
        <v>227</v>
      </c>
      <c r="D53" s="40" t="s">
        <v>22</v>
      </c>
      <c r="E53" s="192">
        <f>'Distribution Rate Schedule'!D27</f>
        <v>0.0564</v>
      </c>
    </row>
    <row r="54" spans="1:5" ht="15">
      <c r="A54" s="23"/>
      <c r="B54" s="190"/>
      <c r="C54" s="42" t="s">
        <v>159</v>
      </c>
      <c r="D54" s="40" t="s">
        <v>22</v>
      </c>
      <c r="E54" s="192">
        <f>'LRAM and SSM Rate Rider'!L14</f>
        <v>0</v>
      </c>
    </row>
    <row r="55" spans="1:5" ht="15.75" thickBot="1">
      <c r="A55" s="23"/>
      <c r="B55" s="193"/>
      <c r="C55" s="194" t="s">
        <v>225</v>
      </c>
      <c r="D55" s="195" t="s">
        <v>22</v>
      </c>
      <c r="E55" s="196">
        <f>+'2011 Rate Rider'!C12</f>
        <v>-0.28275737528032935</v>
      </c>
    </row>
    <row r="56" spans="1:5" ht="6.75" customHeight="1" thickBot="1">
      <c r="A56" s="23"/>
      <c r="B56" s="41"/>
      <c r="C56" s="42"/>
      <c r="D56" s="40"/>
      <c r="E56" s="43"/>
    </row>
    <row r="57" spans="1:5" ht="15.75">
      <c r="A57" s="23"/>
      <c r="B57" s="696" t="str">
        <f>'Distribution Rate Schedule'!A17</f>
        <v>Street Lighting</v>
      </c>
      <c r="C57" s="697"/>
      <c r="D57" s="697"/>
      <c r="E57" s="698"/>
    </row>
    <row r="58" spans="1:5" ht="15">
      <c r="A58" s="23"/>
      <c r="B58" s="190"/>
      <c r="C58" s="42" t="s">
        <v>67</v>
      </c>
      <c r="D58" s="40" t="s">
        <v>84</v>
      </c>
      <c r="E58" s="191">
        <f>'Distribution Rate Schedule'!B17</f>
        <v>1.1372</v>
      </c>
    </row>
    <row r="59" spans="1:5" ht="15">
      <c r="A59" s="23"/>
      <c r="B59" s="190"/>
      <c r="C59" s="42" t="s">
        <v>85</v>
      </c>
      <c r="D59" s="40" t="s">
        <v>22</v>
      </c>
      <c r="E59" s="192">
        <f>'Distribution Rate Schedule'!D17</f>
        <v>4.9716</v>
      </c>
    </row>
    <row r="60" spans="1:5" ht="15">
      <c r="A60" s="23"/>
      <c r="B60" s="190"/>
      <c r="C60" s="42" t="s">
        <v>227</v>
      </c>
      <c r="D60" s="40" t="s">
        <v>22</v>
      </c>
      <c r="E60" s="192">
        <f>'Distribution Rate Schedule'!D28</f>
        <v>0.0552</v>
      </c>
    </row>
    <row r="61" spans="1:5" ht="15">
      <c r="A61" s="23"/>
      <c r="B61" s="190"/>
      <c r="C61" s="42" t="s">
        <v>159</v>
      </c>
      <c r="D61" s="40" t="s">
        <v>22</v>
      </c>
      <c r="E61" s="192">
        <f>'LRAM and SSM Rate Rider'!L15</f>
        <v>0</v>
      </c>
    </row>
    <row r="62" spans="1:5" ht="15.75" thickBot="1">
      <c r="A62" s="23"/>
      <c r="B62" s="193"/>
      <c r="C62" s="194" t="s">
        <v>225</v>
      </c>
      <c r="D62" s="195" t="s">
        <v>22</v>
      </c>
      <c r="E62" s="196">
        <f>'2011 Rate Rider'!C13</f>
        <v>-0.3347942462419059</v>
      </c>
    </row>
    <row r="63" spans="1:5" ht="6.75" customHeight="1" thickBot="1">
      <c r="A63" s="23"/>
      <c r="B63" s="41"/>
      <c r="C63" s="42"/>
      <c r="D63" s="40"/>
      <c r="E63" s="43"/>
    </row>
    <row r="64" spans="1:5" ht="15.75">
      <c r="A64" s="23"/>
      <c r="B64" s="696" t="str">
        <f>'Distribution Rate Schedule'!A18</f>
        <v>Unmetered and Scattered</v>
      </c>
      <c r="C64" s="697"/>
      <c r="D64" s="697"/>
      <c r="E64" s="698"/>
    </row>
    <row r="65" spans="1:5" ht="15">
      <c r="A65" s="23"/>
      <c r="B65" s="190"/>
      <c r="C65" s="42" t="s">
        <v>67</v>
      </c>
      <c r="D65" s="40" t="s">
        <v>84</v>
      </c>
      <c r="E65" s="191">
        <f>'Distribution Rate Schedule'!B18</f>
        <v>8.2702</v>
      </c>
    </row>
    <row r="66" spans="1:5" ht="15">
      <c r="A66" s="23"/>
      <c r="B66" s="190"/>
      <c r="C66" s="42" t="s">
        <v>85</v>
      </c>
      <c r="D66" s="40" t="s">
        <v>53</v>
      </c>
      <c r="E66" s="192">
        <f>'Distribution Rate Schedule'!E18</f>
        <v>0.0175</v>
      </c>
    </row>
    <row r="67" spans="1:5" ht="15">
      <c r="A67" s="23"/>
      <c r="B67" s="190"/>
      <c r="C67" s="42" t="s">
        <v>227</v>
      </c>
      <c r="D67" s="40" t="s">
        <v>53</v>
      </c>
      <c r="E67" s="192">
        <f>'Distribution Rate Schedule'!E29</f>
        <v>0.0002</v>
      </c>
    </row>
    <row r="68" spans="1:5" ht="15">
      <c r="A68" s="23"/>
      <c r="B68" s="190"/>
      <c r="C68" s="42" t="s">
        <v>159</v>
      </c>
      <c r="D68" s="40" t="s">
        <v>53</v>
      </c>
      <c r="E68" s="192">
        <f>'LRAM and SSM Rate Rider'!L16</f>
        <v>0</v>
      </c>
    </row>
    <row r="69" spans="1:5" ht="15.75" thickBot="1">
      <c r="A69" s="23"/>
      <c r="B69" s="193"/>
      <c r="C69" s="194" t="s">
        <v>225</v>
      </c>
      <c r="D69" s="195" t="s">
        <v>53</v>
      </c>
      <c r="E69" s="196">
        <f>+'2011 Rate Rider'!B14</f>
        <v>-0.0006837836880171018</v>
      </c>
    </row>
    <row r="70" spans="2:5" ht="12.75">
      <c r="B70" s="16"/>
      <c r="C70" s="25"/>
      <c r="D70" s="25"/>
      <c r="E70" s="44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</sheetData>
  <sheetProtection/>
  <mergeCells count="16">
    <mergeCell ref="A7:E7"/>
    <mergeCell ref="A8:E8"/>
    <mergeCell ref="B50:E50"/>
    <mergeCell ref="B57:E57"/>
    <mergeCell ref="B64:E64"/>
    <mergeCell ref="B11:E11"/>
    <mergeCell ref="B19:E19"/>
    <mergeCell ref="B27:E27"/>
    <mergeCell ref="B42:E42"/>
    <mergeCell ref="B35:E35"/>
    <mergeCell ref="A1:E1"/>
    <mergeCell ref="A2:E2"/>
    <mergeCell ref="A3:E3"/>
    <mergeCell ref="A4:E4"/>
    <mergeCell ref="A5:E5"/>
    <mergeCell ref="A6:E6"/>
  </mergeCells>
  <printOptions/>
  <pageMargins left="0.75" right="0.75" top="1" bottom="1" header="0.5" footer="0.5"/>
  <pageSetup fitToHeight="1" fitToWidth="1" horizontalDpi="355" verticalDpi="355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" sqref="A1:D1"/>
    </sheetView>
  </sheetViews>
  <sheetFormatPr defaultColWidth="9.7109375" defaultRowHeight="12.75"/>
  <cols>
    <col min="1" max="1" width="1.57421875" style="0" customWidth="1"/>
    <col min="2" max="2" width="74.7109375" style="0" customWidth="1"/>
    <col min="3" max="3" width="14.8515625" style="0" customWidth="1"/>
    <col min="4" max="4" width="9.57421875" style="0" bestFit="1" customWidth="1"/>
  </cols>
  <sheetData>
    <row r="1" spans="1:4" ht="12.75">
      <c r="A1" s="617" t="str">
        <f>+'Revenue Input'!A1</f>
        <v>MILTON HYDRO DISTRIBUTION INC.</v>
      </c>
      <c r="B1" s="617"/>
      <c r="C1" s="617"/>
      <c r="D1" s="617"/>
    </row>
    <row r="2" spans="1:4" ht="12.75">
      <c r="A2" s="644"/>
      <c r="B2" s="644"/>
      <c r="C2" s="644"/>
      <c r="D2" s="644"/>
    </row>
    <row r="3" spans="1:4" ht="12.75">
      <c r="A3" s="644"/>
      <c r="B3" s="644"/>
      <c r="C3" s="644"/>
      <c r="D3" s="644"/>
    </row>
    <row r="4" spans="1:4" ht="12.75">
      <c r="A4" s="699"/>
      <c r="B4" s="699"/>
      <c r="C4" s="699"/>
      <c r="D4" s="699"/>
    </row>
    <row r="5" spans="1:4" ht="19.5" customHeight="1">
      <c r="A5" s="655" t="s">
        <v>123</v>
      </c>
      <c r="B5" s="655"/>
      <c r="C5" s="655"/>
      <c r="D5" s="655"/>
    </row>
    <row r="6" spans="1:4" ht="19.5" customHeight="1">
      <c r="A6" s="695" t="s">
        <v>86</v>
      </c>
      <c r="B6" s="695"/>
      <c r="C6" s="695"/>
      <c r="D6" s="695"/>
    </row>
    <row r="7" spans="1:4" ht="19.5" customHeight="1">
      <c r="A7" s="695" t="s">
        <v>224</v>
      </c>
      <c r="B7" s="695"/>
      <c r="C7" s="695"/>
      <c r="D7" s="695"/>
    </row>
    <row r="8" spans="1:4" ht="19.5" customHeight="1">
      <c r="A8" s="700"/>
      <c r="B8" s="700"/>
      <c r="C8" s="700"/>
      <c r="D8" s="700"/>
    </row>
    <row r="9" spans="1:4" ht="30.75" customHeight="1">
      <c r="A9" s="29"/>
      <c r="B9" s="495" t="s">
        <v>88</v>
      </c>
      <c r="C9" s="495" t="s">
        <v>89</v>
      </c>
      <c r="D9" s="495" t="s">
        <v>180</v>
      </c>
    </row>
    <row r="10" spans="1:4" ht="44.25" customHeight="1">
      <c r="A10" s="30"/>
      <c r="B10" s="198" t="s">
        <v>90</v>
      </c>
      <c r="C10" s="199" t="s">
        <v>120</v>
      </c>
      <c r="D10" s="200">
        <v>15</v>
      </c>
    </row>
    <row r="11" spans="1:4" ht="44.25" customHeight="1">
      <c r="A11" s="30"/>
      <c r="B11" s="198" t="s">
        <v>91</v>
      </c>
      <c r="C11" s="199" t="s">
        <v>120</v>
      </c>
      <c r="D11" s="200">
        <v>15</v>
      </c>
    </row>
    <row r="12" spans="1:4" ht="44.25" customHeight="1">
      <c r="A12" s="30"/>
      <c r="B12" s="198" t="s">
        <v>92</v>
      </c>
      <c r="C12" s="199" t="s">
        <v>120</v>
      </c>
      <c r="D12" s="200">
        <v>15</v>
      </c>
    </row>
    <row r="13" spans="1:4" ht="44.25" customHeight="1">
      <c r="A13" s="30"/>
      <c r="B13" s="198" t="s">
        <v>93</v>
      </c>
      <c r="C13" s="199" t="s">
        <v>120</v>
      </c>
      <c r="D13" s="200">
        <v>15</v>
      </c>
    </row>
    <row r="14" spans="1:4" ht="44.25" customHeight="1">
      <c r="A14" s="30"/>
      <c r="B14" s="198" t="s">
        <v>94</v>
      </c>
      <c r="C14" s="199" t="s">
        <v>120</v>
      </c>
      <c r="D14" s="200">
        <v>15</v>
      </c>
    </row>
    <row r="15" spans="1:4" ht="44.25" customHeight="1">
      <c r="A15" s="30"/>
      <c r="B15" s="198" t="s">
        <v>95</v>
      </c>
      <c r="C15" s="199" t="s">
        <v>120</v>
      </c>
      <c r="D15" s="200">
        <v>15</v>
      </c>
    </row>
    <row r="16" spans="1:4" ht="44.25" customHeight="1">
      <c r="A16" s="30"/>
      <c r="B16" s="198" t="s">
        <v>96</v>
      </c>
      <c r="C16" s="199" t="s">
        <v>120</v>
      </c>
      <c r="D16" s="200">
        <v>15</v>
      </c>
    </row>
    <row r="17" spans="1:4" ht="44.25" customHeight="1">
      <c r="A17" s="30"/>
      <c r="B17" s="198" t="s">
        <v>97</v>
      </c>
      <c r="C17" s="199" t="s">
        <v>120</v>
      </c>
      <c r="D17" s="200">
        <v>15</v>
      </c>
    </row>
    <row r="18" spans="1:4" ht="44.25" customHeight="1">
      <c r="A18" s="30"/>
      <c r="B18" s="198" t="s">
        <v>98</v>
      </c>
      <c r="C18" s="199" t="s">
        <v>120</v>
      </c>
      <c r="D18" s="200">
        <v>15</v>
      </c>
    </row>
    <row r="19" spans="1:4" ht="44.25" customHeight="1">
      <c r="A19" s="30"/>
      <c r="B19" s="198" t="s">
        <v>99</v>
      </c>
      <c r="C19" s="199" t="s">
        <v>120</v>
      </c>
      <c r="D19" s="200">
        <v>15</v>
      </c>
    </row>
    <row r="20" spans="1:4" ht="44.25" customHeight="1">
      <c r="A20" s="30"/>
      <c r="B20" s="198" t="s">
        <v>100</v>
      </c>
      <c r="C20" s="199" t="s">
        <v>120</v>
      </c>
      <c r="D20" s="200">
        <v>15</v>
      </c>
    </row>
    <row r="21" spans="1:4" ht="44.25" customHeight="1">
      <c r="A21" s="30"/>
      <c r="B21" s="198" t="s">
        <v>101</v>
      </c>
      <c r="C21" s="199" t="s">
        <v>120</v>
      </c>
      <c r="D21" s="200">
        <v>15</v>
      </c>
    </row>
    <row r="22" spans="1:4" ht="44.25" customHeight="1">
      <c r="A22" s="30"/>
      <c r="B22" s="198" t="s">
        <v>102</v>
      </c>
      <c r="C22" s="199" t="s">
        <v>120</v>
      </c>
      <c r="D22" s="200">
        <v>15</v>
      </c>
    </row>
    <row r="23" spans="1:4" ht="44.25" customHeight="1">
      <c r="A23" s="30"/>
      <c r="B23" s="198" t="s">
        <v>103</v>
      </c>
      <c r="C23" s="199" t="s">
        <v>120</v>
      </c>
      <c r="D23" s="200">
        <v>30</v>
      </c>
    </row>
    <row r="24" spans="1:4" ht="44.25" customHeight="1">
      <c r="A24" s="30"/>
      <c r="B24" s="198" t="s">
        <v>104</v>
      </c>
      <c r="C24" s="199" t="s">
        <v>120</v>
      </c>
      <c r="D24" s="200">
        <v>30</v>
      </c>
    </row>
    <row r="25" spans="1:4" ht="44.25" customHeight="1">
      <c r="A25" s="30"/>
      <c r="B25" s="198" t="s">
        <v>105</v>
      </c>
      <c r="C25" s="199" t="s">
        <v>120</v>
      </c>
      <c r="D25" s="200">
        <v>30</v>
      </c>
    </row>
    <row r="26" spans="1:4" ht="44.25" customHeight="1">
      <c r="A26" s="30"/>
      <c r="B26" s="198" t="s">
        <v>106</v>
      </c>
      <c r="C26" s="199" t="s">
        <v>120</v>
      </c>
      <c r="D26" s="200">
        <v>165</v>
      </c>
    </row>
    <row r="27" spans="1:4" ht="44.25" customHeight="1">
      <c r="A27" s="30"/>
      <c r="B27" s="198" t="s">
        <v>107</v>
      </c>
      <c r="C27" s="199" t="s">
        <v>120</v>
      </c>
      <c r="D27" s="200">
        <v>65</v>
      </c>
    </row>
    <row r="28" spans="1:4" ht="44.25" customHeight="1">
      <c r="A28" s="30"/>
      <c r="B28" s="198" t="s">
        <v>108</v>
      </c>
      <c r="C28" s="199" t="s">
        <v>120</v>
      </c>
      <c r="D28" s="200">
        <v>65</v>
      </c>
    </row>
    <row r="29" spans="1:4" ht="44.25" customHeight="1">
      <c r="A29" s="30"/>
      <c r="B29" s="198" t="s">
        <v>109</v>
      </c>
      <c r="C29" s="199" t="s">
        <v>120</v>
      </c>
      <c r="D29" s="200">
        <v>185</v>
      </c>
    </row>
    <row r="30" spans="1:4" ht="44.25" customHeight="1">
      <c r="A30" s="30"/>
      <c r="B30" s="198" t="s">
        <v>110</v>
      </c>
      <c r="C30" s="199" t="s">
        <v>120</v>
      </c>
      <c r="D30" s="200">
        <v>185</v>
      </c>
    </row>
    <row r="31" spans="1:4" ht="44.25" customHeight="1">
      <c r="A31" s="30"/>
      <c r="B31" s="198" t="s">
        <v>111</v>
      </c>
      <c r="C31" s="199" t="s">
        <v>120</v>
      </c>
      <c r="D31" s="200">
        <v>185</v>
      </c>
    </row>
    <row r="32" spans="1:4" ht="44.25" customHeight="1">
      <c r="A32" s="30"/>
      <c r="B32" s="198" t="s">
        <v>112</v>
      </c>
      <c r="C32" s="199" t="s">
        <v>120</v>
      </c>
      <c r="D32" s="200">
        <v>415</v>
      </c>
    </row>
    <row r="33" spans="1:4" ht="44.25" customHeight="1">
      <c r="A33" s="30"/>
      <c r="B33" s="198" t="s">
        <v>113</v>
      </c>
      <c r="C33" s="199" t="s">
        <v>120</v>
      </c>
      <c r="D33" s="200">
        <v>30</v>
      </c>
    </row>
    <row r="34" spans="1:4" ht="44.25" customHeight="1">
      <c r="A34" s="30"/>
      <c r="B34" s="198" t="s">
        <v>114</v>
      </c>
      <c r="C34" s="199" t="s">
        <v>120</v>
      </c>
      <c r="D34" s="200">
        <v>30</v>
      </c>
    </row>
    <row r="35" spans="1:4" ht="44.25" customHeight="1">
      <c r="A35" s="30"/>
      <c r="B35" s="198" t="s">
        <v>115</v>
      </c>
      <c r="C35" s="199" t="s">
        <v>120</v>
      </c>
      <c r="D35" s="200">
        <v>165</v>
      </c>
    </row>
    <row r="36" spans="1:4" ht="44.25" customHeight="1">
      <c r="A36" s="30"/>
      <c r="B36" s="198" t="s">
        <v>116</v>
      </c>
      <c r="C36" s="199" t="s">
        <v>120</v>
      </c>
      <c r="D36" s="200">
        <v>500</v>
      </c>
    </row>
    <row r="37" spans="1:4" ht="44.25" customHeight="1">
      <c r="A37" s="30"/>
      <c r="B37" s="198" t="s">
        <v>117</v>
      </c>
      <c r="C37" s="199" t="s">
        <v>120</v>
      </c>
      <c r="D37" s="200">
        <v>300</v>
      </c>
    </row>
    <row r="38" spans="1:4" ht="44.25" customHeight="1">
      <c r="A38" s="30"/>
      <c r="B38" s="198" t="s">
        <v>118</v>
      </c>
      <c r="C38" s="199" t="s">
        <v>120</v>
      </c>
      <c r="D38" s="200">
        <v>1000</v>
      </c>
    </row>
    <row r="39" spans="1:4" ht="44.25" customHeight="1">
      <c r="A39" s="30"/>
      <c r="B39" s="198" t="s">
        <v>119</v>
      </c>
      <c r="C39" s="199" t="s">
        <v>120</v>
      </c>
      <c r="D39" s="200">
        <v>22.35</v>
      </c>
    </row>
    <row r="40" spans="1:4" ht="28.5" customHeight="1">
      <c r="A40" s="36"/>
      <c r="B40" s="422" t="s">
        <v>121</v>
      </c>
      <c r="C40" s="423" t="s">
        <v>169</v>
      </c>
      <c r="D40" s="424">
        <v>150</v>
      </c>
    </row>
    <row r="41" spans="1:4" s="8" customFormat="1" ht="12" customHeight="1">
      <c r="A41" s="36"/>
      <c r="B41" s="201"/>
      <c r="C41" s="202"/>
      <c r="D41" s="203"/>
    </row>
    <row r="42" spans="1:4" ht="18">
      <c r="A42" s="30"/>
      <c r="B42" s="701" t="s">
        <v>122</v>
      </c>
      <c r="C42" s="702"/>
      <c r="D42" s="703"/>
    </row>
    <row r="43" spans="2:4" ht="15.75">
      <c r="B43" s="704" t="s">
        <v>381</v>
      </c>
      <c r="C43" s="705"/>
      <c r="D43" s="197">
        <f>+'[8]Summary Loss Factors'!$B$6</f>
        <v>1.0048380019325205</v>
      </c>
    </row>
    <row r="44" spans="2:4" ht="15.75">
      <c r="B44" s="706" t="s">
        <v>54</v>
      </c>
      <c r="C44" s="705"/>
      <c r="D44" s="197">
        <f>+'[8]Summary Loss Factors'!$B$10</f>
        <v>1.031202289258476</v>
      </c>
    </row>
    <row r="45" spans="2:4" ht="15.75">
      <c r="B45" s="706" t="s">
        <v>55</v>
      </c>
      <c r="C45" s="705"/>
      <c r="D45" s="197">
        <f>+'[8]Summary Loss Factors'!$B$11</f>
        <v>1.01</v>
      </c>
    </row>
    <row r="46" spans="2:4" ht="15.75">
      <c r="B46" s="706" t="s">
        <v>56</v>
      </c>
      <c r="C46" s="705"/>
      <c r="D46" s="197">
        <f>+'[8]Summary Loss Factors'!$B$12</f>
        <v>1.0208902663658912</v>
      </c>
    </row>
    <row r="47" spans="2:4" ht="15.75">
      <c r="B47" s="706" t="s">
        <v>57</v>
      </c>
      <c r="C47" s="705"/>
      <c r="D47" s="197">
        <f>+'[8]Summary Loss Factors'!$B$13</f>
        <v>1</v>
      </c>
    </row>
    <row r="48" spans="2:4" ht="15.75">
      <c r="B48" s="706" t="s">
        <v>58</v>
      </c>
      <c r="C48" s="705"/>
      <c r="D48" s="197">
        <f>+'[8]Summary Loss Factors'!$B$17</f>
        <v>1.0361912479267281</v>
      </c>
    </row>
    <row r="49" spans="2:4" ht="15.75">
      <c r="B49" s="706" t="s">
        <v>59</v>
      </c>
      <c r="C49" s="705"/>
      <c r="D49" s="197">
        <f>+'[8]Summary Loss Factors'!$B$18</f>
        <v>1.0148863819518457</v>
      </c>
    </row>
    <row r="50" spans="2:4" ht="15.75">
      <c r="B50" s="706" t="s">
        <v>60</v>
      </c>
      <c r="C50" s="705"/>
      <c r="D50" s="197">
        <f>+'[8]Summary Loss Factors'!$B$19</f>
        <v>1.0258293354474608</v>
      </c>
    </row>
    <row r="51" spans="2:4" ht="15.75">
      <c r="B51" s="706" t="s">
        <v>61</v>
      </c>
      <c r="C51" s="705"/>
      <c r="D51" s="197">
        <f>+'[8]Summary Loss Factors'!$B$20</f>
        <v>1.0048380019325205</v>
      </c>
    </row>
  </sheetData>
  <sheetProtection/>
  <mergeCells count="18">
    <mergeCell ref="B50:C50"/>
    <mergeCell ref="B51:C51"/>
    <mergeCell ref="B46:C46"/>
    <mergeCell ref="B47:C47"/>
    <mergeCell ref="B48:C48"/>
    <mergeCell ref="B49:C49"/>
    <mergeCell ref="A7:D7"/>
    <mergeCell ref="A8:D8"/>
    <mergeCell ref="B42:D42"/>
    <mergeCell ref="B43:C43"/>
    <mergeCell ref="B44:C44"/>
    <mergeCell ref="B45:C45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fitToHeight="1" fitToWidth="1" horizontalDpi="355" verticalDpi="355" orientation="portrait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1.28125" style="0" bestFit="1" customWidth="1"/>
    <col min="2" max="2" width="18.0039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617" t="str">
        <f>+'Revenue Input'!A1</f>
        <v>MILTON HYDRO DISTRIBUTION INC.</v>
      </c>
      <c r="B1" s="617"/>
      <c r="C1" s="617"/>
      <c r="D1" s="617"/>
      <c r="E1" s="617"/>
      <c r="F1" s="617"/>
    </row>
    <row r="2" spans="1:6" ht="12.75">
      <c r="A2" s="644"/>
      <c r="B2" s="644"/>
      <c r="C2" s="644"/>
      <c r="D2" s="644"/>
      <c r="E2" s="644"/>
      <c r="F2" s="644"/>
    </row>
    <row r="3" spans="1:6" ht="12.75">
      <c r="A3" s="644"/>
      <c r="B3" s="644"/>
      <c r="C3" s="644"/>
      <c r="D3" s="644"/>
      <c r="E3" s="644"/>
      <c r="F3" s="644"/>
    </row>
    <row r="4" spans="1:6" ht="12.75">
      <c r="A4" s="633"/>
      <c r="B4" s="633"/>
      <c r="C4" s="633"/>
      <c r="D4" s="633"/>
      <c r="E4" s="633"/>
      <c r="F4" s="633"/>
    </row>
    <row r="5" spans="1:6" ht="20.25">
      <c r="A5" s="663" t="s">
        <v>250</v>
      </c>
      <c r="B5" s="663"/>
      <c r="C5" s="663"/>
      <c r="D5" s="663"/>
      <c r="E5" s="663"/>
      <c r="F5" s="663"/>
    </row>
    <row r="6" spans="1:6" ht="12.75">
      <c r="A6" s="656"/>
      <c r="B6" s="656"/>
      <c r="C6" s="656"/>
      <c r="D6" s="656"/>
      <c r="E6" s="656"/>
      <c r="F6" s="656"/>
    </row>
    <row r="7" spans="1:12" ht="38.25">
      <c r="A7" s="443" t="s">
        <v>0</v>
      </c>
      <c r="B7" s="442" t="s">
        <v>10</v>
      </c>
      <c r="C7" s="442" t="s">
        <v>11</v>
      </c>
      <c r="D7" s="442" t="s">
        <v>30</v>
      </c>
      <c r="E7" s="442" t="s">
        <v>28</v>
      </c>
      <c r="F7" s="443" t="s">
        <v>32</v>
      </c>
      <c r="G7" s="11"/>
      <c r="H7" s="11"/>
      <c r="I7" s="11"/>
      <c r="J7" s="11"/>
      <c r="K7" s="11"/>
      <c r="L7" s="11"/>
    </row>
    <row r="8" spans="1:12" ht="19.5" customHeight="1">
      <c r="A8" s="230" t="str">
        <f>'Other Electriciy Rates'!A10</f>
        <v>Residential</v>
      </c>
      <c r="B8" s="96">
        <f>+'Distribution Rate Schedule'!C11*'Forecast Data For 2011'!C7*12</f>
        <v>4991754.239999999</v>
      </c>
      <c r="C8" s="96">
        <f>+'Distribution Rate Schedule'!E11*'Forecast Data For 2011'!C8</f>
        <v>3696844.665143701</v>
      </c>
      <c r="D8" s="243"/>
      <c r="E8" s="96">
        <f>+B8+C8+D8</f>
        <v>8688598.9051437</v>
      </c>
      <c r="F8" s="96">
        <f>+'Rates By Rate Class'!I8-'Rates By Rate Class'!H8</f>
        <v>8699057.718738288</v>
      </c>
      <c r="G8" s="12"/>
      <c r="H8" s="12"/>
      <c r="I8" s="13"/>
      <c r="J8" s="14"/>
      <c r="K8" s="14"/>
      <c r="L8" s="14"/>
    </row>
    <row r="9" spans="1:12" ht="19.5" customHeight="1">
      <c r="A9" s="230" t="str">
        <f>'Other Electriciy Rates'!A11</f>
        <v>GS &lt; 50 kW</v>
      </c>
      <c r="B9" s="96">
        <f>+'Distribution Rate Schedule'!C12*'Forecast Data For 2011'!C9*12</f>
        <v>460409.0580420641</v>
      </c>
      <c r="C9" s="96">
        <f>+'Distribution Rate Schedule'!E12*'Forecast Data For 2011'!C10</f>
        <v>1335796.8499378269</v>
      </c>
      <c r="D9" s="243"/>
      <c r="E9" s="96">
        <f aca="true" t="shared" si="0" ref="E9:E15">+B9+C9+D9</f>
        <v>1796205.907979891</v>
      </c>
      <c r="F9" s="96">
        <f>+'Rates By Rate Class'!I9-'Rates By Rate Class'!H9</f>
        <v>1797243.0128530879</v>
      </c>
      <c r="G9" s="12"/>
      <c r="H9" s="12"/>
      <c r="I9" s="13"/>
      <c r="J9" s="14"/>
      <c r="K9" s="14"/>
      <c r="L9" s="14"/>
    </row>
    <row r="10" spans="1:12" ht="19.5" customHeight="1">
      <c r="A10" s="230" t="str">
        <f>'Other Electriciy Rates'!A12</f>
        <v>GS &gt;50 to 999 kW</v>
      </c>
      <c r="B10" s="96">
        <f>+'Distribution Rate Schedule'!C13*'Forecast Data For 2011'!C11*12</f>
        <v>310571.7021507423</v>
      </c>
      <c r="C10" s="96">
        <f>+'Distribution Rate Schedule'!D13*'Forecast Data For 2011'!C12</f>
        <v>1487622.3318465839</v>
      </c>
      <c r="D10" s="243">
        <f>'Transformer Allowance'!C12</f>
        <v>-41349.21917371997</v>
      </c>
      <c r="E10" s="96">
        <f>+B10+C10+D10</f>
        <v>1756844.8148236063</v>
      </c>
      <c r="F10" s="96">
        <f>+'Rates By Rate Class'!I10-'Rates By Rate Class'!H10</f>
        <v>1756841.5969082993</v>
      </c>
      <c r="G10" s="12"/>
      <c r="H10" s="12"/>
      <c r="I10" s="12"/>
      <c r="J10" s="14"/>
      <c r="K10" s="14"/>
      <c r="L10" s="14"/>
    </row>
    <row r="11" spans="1:12" ht="19.5" customHeight="1">
      <c r="A11" s="230" t="str">
        <f>'Other Electriciy Rates'!A13</f>
        <v>GS &gt;1000 to 4999 kW</v>
      </c>
      <c r="B11" s="96">
        <f>+'Distribution Rate Schedule'!C14*'Forecast Data For 2011'!C14*12</f>
        <v>136070.04179611203</v>
      </c>
      <c r="C11" s="96">
        <f>+'Distribution Rate Schedule'!D14*'Forecast Data For 2011'!C15</f>
        <v>606270.3480297669</v>
      </c>
      <c r="D11" s="243">
        <f>'Transformer Allowance'!C13</f>
        <v>-111057.50472960008</v>
      </c>
      <c r="E11" s="96">
        <f>+B11+C11+D11</f>
        <v>631282.8850962789</v>
      </c>
      <c r="F11" s="96">
        <f>+'Rates By Rate Class'!I11-'Rates By Rate Class'!H11</f>
        <v>631279.1848360687</v>
      </c>
      <c r="G11" s="12"/>
      <c r="H11" s="12"/>
      <c r="I11" s="12"/>
      <c r="J11" s="14"/>
      <c r="K11" s="14"/>
      <c r="L11" s="14"/>
    </row>
    <row r="12" spans="1:12" ht="19.5" customHeight="1">
      <c r="A12" s="230" t="str">
        <f>'Other Electriciy Rates'!A14</f>
        <v>Large Use</v>
      </c>
      <c r="B12" s="96">
        <f>+'Distribution Rate Schedule'!C15*'Forecast Data For 2011'!C17*12</f>
        <v>101268.24</v>
      </c>
      <c r="C12" s="96">
        <f>+'Distribution Rate Schedule'!D15*'Forecast Data For 2011'!C18</f>
        <v>438331.09151277976</v>
      </c>
      <c r="D12" s="243">
        <f>'Transformer Allowance'!C14</f>
        <v>0</v>
      </c>
      <c r="E12" s="96">
        <f>+B12+C12+D12</f>
        <v>539599.3315127798</v>
      </c>
      <c r="F12" s="96">
        <f>+'Rates By Rate Class'!I12-'Rates By Rate Class'!H12</f>
        <v>539603.3557740125</v>
      </c>
      <c r="G12" s="12"/>
      <c r="H12" s="12"/>
      <c r="I12" s="12"/>
      <c r="J12" s="14"/>
      <c r="K12" s="14"/>
      <c r="L12" s="14"/>
    </row>
    <row r="13" spans="1:12" ht="19.5" customHeight="1">
      <c r="A13" s="230" t="str">
        <f>'Other Electriciy Rates'!A15</f>
        <v>Sentinel Lights</v>
      </c>
      <c r="B13" s="96">
        <f>+'Distribution Rate Schedule'!B16*'Forecast Data For 2011'!C20*12</f>
        <v>4801.0931810612265</v>
      </c>
      <c r="C13" s="96">
        <f>+'Distribution Rate Schedule'!D16*'Forecast Data For 2011'!C21</f>
        <v>5164.816589298199</v>
      </c>
      <c r="D13" s="243"/>
      <c r="E13" s="96">
        <f t="shared" si="0"/>
        <v>9965.909770359425</v>
      </c>
      <c r="F13" s="96">
        <f>+'Rates By Rate Class'!I13-'Rates By Rate Class'!H13</f>
        <v>9965.995363811842</v>
      </c>
      <c r="G13" s="12"/>
      <c r="H13" s="12"/>
      <c r="I13" s="13"/>
      <c r="J13" s="14"/>
      <c r="K13" s="14"/>
      <c r="L13" s="14"/>
    </row>
    <row r="14" spans="1:12" ht="19.5" customHeight="1">
      <c r="A14" s="230" t="str">
        <f>'Other Electriciy Rates'!A16</f>
        <v>Street Lighting</v>
      </c>
      <c r="B14" s="96">
        <f>+'Distribution Rate Schedule'!B17*'Forecast Data For 2011'!C23*12</f>
        <v>39091.12212437473</v>
      </c>
      <c r="C14" s="96">
        <f>+'Distribution Rate Schedule'!D17*'Forecast Data For 2011'!C24</f>
        <v>88542.45064600193</v>
      </c>
      <c r="D14" s="243"/>
      <c r="E14" s="96">
        <f t="shared" si="0"/>
        <v>127633.57277037666</v>
      </c>
      <c r="F14" s="96">
        <f>+'Rates By Rate Class'!I14-'Rates By Rate Class'!H14</f>
        <v>127633.47179260117</v>
      </c>
      <c r="G14" s="12"/>
      <c r="H14" s="12"/>
      <c r="I14" s="13"/>
      <c r="J14" s="14"/>
      <c r="K14" s="14"/>
      <c r="L14" s="14"/>
    </row>
    <row r="15" spans="1:12" ht="19.5" customHeight="1">
      <c r="A15" s="230" t="str">
        <f>'Other Electriciy Rates'!A17</f>
        <v>Unmetered and Scattered</v>
      </c>
      <c r="B15" s="96">
        <f>+'Distribution Rate Schedule'!B18*'Forecast Data For 2011'!C26*12</f>
        <v>19990.17184475468</v>
      </c>
      <c r="C15" s="96">
        <f>+'Distribution Rate Schedule'!E18*'Forecast Data For 2011'!C27</f>
        <v>26596.763120993597</v>
      </c>
      <c r="D15" s="243"/>
      <c r="E15" s="96">
        <f t="shared" si="0"/>
        <v>46586.93496574828</v>
      </c>
      <c r="F15" s="96">
        <f>+'Rates By Rate Class'!I15-'Rates By Rate Class'!H15</f>
        <v>46559.118421733685</v>
      </c>
      <c r="G15" s="12"/>
      <c r="H15" s="12"/>
      <c r="I15" s="13"/>
      <c r="J15" s="14"/>
      <c r="K15" s="14"/>
      <c r="L15" s="14"/>
    </row>
    <row r="16" spans="1:12" ht="31.5" customHeight="1" thickBot="1">
      <c r="A16" s="57" t="s">
        <v>31</v>
      </c>
      <c r="B16" s="204">
        <f>SUM(B8:B15)</f>
        <v>6063955.66913911</v>
      </c>
      <c r="C16" s="204">
        <f>SUM(C8:C15)</f>
        <v>7685169.316826953</v>
      </c>
      <c r="D16" s="244">
        <f>SUM(D8:D15)</f>
        <v>-152406.72390332006</v>
      </c>
      <c r="E16" s="204">
        <f>SUM(E8:E15)</f>
        <v>13596718.26206274</v>
      </c>
      <c r="F16" s="204">
        <f>SUM(F8:F15)</f>
        <v>13608183.454687903</v>
      </c>
      <c r="G16" s="15"/>
      <c r="H16" s="15"/>
      <c r="I16" s="15"/>
      <c r="J16" s="15"/>
      <c r="K16" s="15"/>
      <c r="L16" s="15"/>
    </row>
    <row r="17" spans="6:12" ht="13.5" thickTop="1">
      <c r="F17" s="9"/>
      <c r="G17" s="16"/>
      <c r="H17" s="16"/>
      <c r="I17" s="16"/>
      <c r="J17" s="16"/>
      <c r="K17" s="16"/>
      <c r="L17" s="16"/>
    </row>
    <row r="18" spans="5:7" ht="12.75">
      <c r="E18" s="707" t="s">
        <v>167</v>
      </c>
      <c r="F18" s="707"/>
      <c r="G18" s="8"/>
    </row>
    <row r="19" spans="5:6" ht="12.75">
      <c r="E19" s="555"/>
      <c r="F19" s="8"/>
    </row>
    <row r="20" spans="5:6" ht="13.5" thickBot="1">
      <c r="E20" s="556">
        <f>+F16-E16</f>
        <v>11465.192625163123</v>
      </c>
      <c r="F20" s="8"/>
    </row>
    <row r="23" ht="12.75">
      <c r="E23" s="9"/>
    </row>
  </sheetData>
  <sheetProtection/>
  <mergeCells count="7">
    <mergeCell ref="A6:F6"/>
    <mergeCell ref="E18:F18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7" width="17.00390625" style="0" bestFit="1" customWidth="1"/>
    <col min="8" max="8" width="15.421875" style="0" bestFit="1" customWidth="1"/>
    <col min="9" max="9" width="17.00390625" style="0" bestFit="1" customWidth="1"/>
  </cols>
  <sheetData>
    <row r="1" spans="1:9" ht="12.75">
      <c r="A1" s="617" t="str">
        <f>+'Revenue Input'!A1</f>
        <v>MILTON HYDRO DISTRIBUTION INC.</v>
      </c>
      <c r="B1" s="617"/>
      <c r="C1" s="617"/>
      <c r="D1" s="617"/>
      <c r="E1" s="617"/>
      <c r="F1" s="617"/>
      <c r="G1" s="617"/>
      <c r="H1" s="617"/>
      <c r="I1" s="617"/>
    </row>
    <row r="2" spans="1:9" ht="12.75">
      <c r="A2" s="644"/>
      <c r="B2" s="644"/>
      <c r="C2" s="644"/>
      <c r="D2" s="644"/>
      <c r="E2" s="644"/>
      <c r="F2" s="644"/>
      <c r="G2" s="644"/>
      <c r="H2" s="644"/>
      <c r="I2" s="644"/>
    </row>
    <row r="3" spans="1:9" ht="12.75">
      <c r="A3" s="644"/>
      <c r="B3" s="644"/>
      <c r="C3" s="644"/>
      <c r="D3" s="644"/>
      <c r="E3" s="644"/>
      <c r="F3" s="644"/>
      <c r="G3" s="644"/>
      <c r="H3" s="644"/>
      <c r="I3" s="644"/>
    </row>
    <row r="4" spans="1:9" ht="7.5" customHeight="1">
      <c r="A4" s="633"/>
      <c r="B4" s="633"/>
      <c r="C4" s="633"/>
      <c r="D4" s="633"/>
      <c r="E4" s="633"/>
      <c r="F4" s="633"/>
      <c r="G4" s="633"/>
      <c r="H4" s="633"/>
      <c r="I4" s="633"/>
    </row>
    <row r="5" spans="1:9" ht="15.75">
      <c r="A5" s="646" t="s">
        <v>251</v>
      </c>
      <c r="B5" s="646"/>
      <c r="C5" s="646"/>
      <c r="D5" s="646"/>
      <c r="E5" s="646"/>
      <c r="F5" s="646"/>
      <c r="G5" s="646"/>
      <c r="H5" s="646"/>
      <c r="I5" s="646"/>
    </row>
    <row r="6" spans="1:9" ht="8.25" customHeight="1">
      <c r="A6" s="646"/>
      <c r="B6" s="646"/>
      <c r="C6" s="646"/>
      <c r="D6" s="646"/>
      <c r="E6" s="646"/>
      <c r="F6" s="646"/>
      <c r="G6" s="646"/>
      <c r="H6" s="646"/>
      <c r="I6" s="646"/>
    </row>
    <row r="7" spans="1:9" ht="38.25">
      <c r="A7" s="443" t="s">
        <v>0</v>
      </c>
      <c r="B7" s="442" t="s">
        <v>6</v>
      </c>
      <c r="C7" s="442" t="s">
        <v>7</v>
      </c>
      <c r="D7" s="442" t="s">
        <v>8</v>
      </c>
      <c r="E7" s="442" t="s">
        <v>9</v>
      </c>
      <c r="F7" s="442" t="s">
        <v>26</v>
      </c>
      <c r="G7" s="442" t="s">
        <v>10</v>
      </c>
      <c r="H7" s="442" t="s">
        <v>11</v>
      </c>
      <c r="I7" s="442" t="s">
        <v>124</v>
      </c>
    </row>
    <row r="8" spans="1:10" ht="19.5" customHeight="1">
      <c r="A8" s="231" t="str">
        <f>'Dist. Rev. Reconciliation'!A8</f>
        <v>Residential</v>
      </c>
      <c r="B8" s="205">
        <f>+'Forecast Data For 2011'!$C$8</f>
        <v>258520605.95410493</v>
      </c>
      <c r="C8" s="205"/>
      <c r="D8" s="205"/>
      <c r="E8" s="205">
        <f>+'Forecast Data For 2011'!$C$7*12</f>
        <v>324984</v>
      </c>
      <c r="F8" s="205"/>
      <c r="G8" s="234">
        <f>+E8*'2010 Existing Rates'!$C$8</f>
        <v>4455530.640000001</v>
      </c>
      <c r="H8" s="234">
        <f>+B8*('2010 Existing Rates'!$E$8)</f>
        <v>3309063.756212543</v>
      </c>
      <c r="I8" s="234">
        <f>+G8+H8</f>
        <v>7764594.396212544</v>
      </c>
      <c r="J8" s="55"/>
    </row>
    <row r="9" spans="1:10" ht="19.5" customHeight="1">
      <c r="A9" s="231" t="str">
        <f>'Dist. Rev. Reconciliation'!A9</f>
        <v>GS &lt; 50 kW</v>
      </c>
      <c r="B9" s="205">
        <f>+'Forecast Data For 2011'!$C$10</f>
        <v>75044766.85043971</v>
      </c>
      <c r="C9" s="205"/>
      <c r="D9" s="205"/>
      <c r="E9" s="205">
        <f>+'Forecast Data For 2011'!$C$9*12</f>
        <v>27437.965318359005</v>
      </c>
      <c r="F9" s="205"/>
      <c r="G9" s="234">
        <f>+E9*'2010 Existing Rates'!$C$9</f>
        <v>403338.09017987736</v>
      </c>
      <c r="H9" s="234">
        <f>+B9*('2010 Existing Rates'!$E$9)</f>
        <v>1170698.3628668594</v>
      </c>
      <c r="I9" s="234">
        <f aca="true" t="shared" si="0" ref="I9:I15">+G9+H9</f>
        <v>1574036.4530467368</v>
      </c>
      <c r="J9" s="55"/>
    </row>
    <row r="10" spans="1:10" ht="19.5" customHeight="1">
      <c r="A10" s="231" t="str">
        <f>'Dist. Rev. Reconciliation'!A10</f>
        <v>GS &gt;50 to 999 kW</v>
      </c>
      <c r="B10" s="205">
        <f>+'Forecast Data For 2011'!$C$13</f>
        <v>187300109.05913255</v>
      </c>
      <c r="C10" s="205">
        <f>+'Forecast Data For 2011'!$C$12</f>
        <v>507928.9578826085</v>
      </c>
      <c r="D10" s="205">
        <f>'Transformer Allowance'!B12</f>
        <v>68915.36528953328</v>
      </c>
      <c r="E10" s="205">
        <f>+'Forecast Data For 2011'!$C$11*12</f>
        <v>3514.447234929753</v>
      </c>
      <c r="F10" s="205"/>
      <c r="G10" s="234">
        <f>+E10*'2010 Existing Rates'!$C$10</f>
        <v>249174.3089565195</v>
      </c>
      <c r="H10" s="234">
        <f>+C10*('2010 Existing Rates'!$D$10)</f>
        <v>1201658.3285586752</v>
      </c>
      <c r="I10" s="234">
        <f t="shared" si="0"/>
        <v>1450832.6375151947</v>
      </c>
      <c r="J10" s="55"/>
    </row>
    <row r="11" spans="1:10" ht="19.5" customHeight="1">
      <c r="A11" s="231" t="str">
        <f>'Dist. Rev. Reconciliation'!A11</f>
        <v>GS &gt;1000 to 4999 kW</v>
      </c>
      <c r="B11" s="205">
        <f>+'Forecast Data For 2011'!$C$16</f>
        <v>94342583.94811662</v>
      </c>
      <c r="C11" s="205">
        <f>+'Forecast Data For 2011'!$C$15</f>
        <v>193245.89552474002</v>
      </c>
      <c r="D11" s="205">
        <f>'Transformer Allowance'!B13</f>
        <v>185095.84121600015</v>
      </c>
      <c r="E11" s="205">
        <f>+'Forecast Data For 2011'!$C$14*12</f>
        <v>134.98744250720426</v>
      </c>
      <c r="F11" s="205"/>
      <c r="G11" s="234">
        <f>+E11*'2010 Existing Rates'!$C$11</f>
        <v>125042.91761769853</v>
      </c>
      <c r="H11" s="234">
        <f>+C11*('2010 Existing Rates'!$D$11)</f>
        <v>566133.1755292783</v>
      </c>
      <c r="I11" s="234">
        <f>+G11+H11</f>
        <v>691176.0931469769</v>
      </c>
      <c r="J11" s="55"/>
    </row>
    <row r="12" spans="1:10" ht="19.5" customHeight="1">
      <c r="A12" s="231" t="str">
        <f>'Dist. Rev. Reconciliation'!A12</f>
        <v>Large Use</v>
      </c>
      <c r="B12" s="205">
        <f>'Forecast Data For 2011'!C19</f>
        <v>78821751.02614906</v>
      </c>
      <c r="C12" s="205">
        <f>+'Forecast Data For 2011'!$C$18</f>
        <v>173520.87863219183</v>
      </c>
      <c r="D12" s="205">
        <f>'Transformer Allowance'!B14</f>
        <v>0</v>
      </c>
      <c r="E12" s="205">
        <f>+'Forecast Data For 2011'!$C$17*12</f>
        <v>24</v>
      </c>
      <c r="F12" s="205"/>
      <c r="G12" s="234">
        <f>+E12*'2010 Existing Rates'!$C$12</f>
        <v>99030.24</v>
      </c>
      <c r="H12" s="234">
        <f>+C12*('2010 Existing Rates'!$D$12)</f>
        <v>428648.62648510345</v>
      </c>
      <c r="I12" s="234">
        <f t="shared" si="0"/>
        <v>527678.8664851035</v>
      </c>
      <c r="J12" s="55"/>
    </row>
    <row r="13" spans="1:10" ht="19.5" customHeight="1">
      <c r="A13" s="231" t="str">
        <f>'Dist. Rev. Reconciliation'!A13</f>
        <v>Sentinel Lights</v>
      </c>
      <c r="B13" s="205">
        <f>+'Forecast Data For 2011'!$C$22</f>
        <v>167188.12026241363</v>
      </c>
      <c r="C13" s="205">
        <f>+'Forecast Data For 2011'!$C$21</f>
        <v>465.2233502043091</v>
      </c>
      <c r="D13" s="205"/>
      <c r="E13" s="205"/>
      <c r="F13" s="205">
        <f>+'Forecast Data For 2011'!$C$20*12</f>
        <v>3267.8281929357654</v>
      </c>
      <c r="G13" s="234">
        <f>+F13*'2010 Existing Rates'!$B$13</f>
        <v>1307.1312771743062</v>
      </c>
      <c r="H13" s="234">
        <f>+C13*('2010 Existing Rates'!$D$13)</f>
        <v>1406.1375759925243</v>
      </c>
      <c r="I13" s="234">
        <f t="shared" si="0"/>
        <v>2713.2688531668305</v>
      </c>
      <c r="J13" s="55"/>
    </row>
    <row r="14" spans="1:10" ht="19.5" customHeight="1">
      <c r="A14" s="231" t="str">
        <f>'Dist. Rev. Reconciliation'!A14</f>
        <v>Street Lighting</v>
      </c>
      <c r="B14" s="205">
        <f>+'Forecast Data For 2011'!$C$25</f>
        <v>6320786.875695491</v>
      </c>
      <c r="C14" s="205">
        <f>+'Forecast Data For 2011'!$C$24</f>
        <v>17809.64893515205</v>
      </c>
      <c r="D14" s="205"/>
      <c r="E14" s="205"/>
      <c r="F14" s="205">
        <f>+'Forecast Data For 2011'!$C$23*12</f>
        <v>34374.88755221134</v>
      </c>
      <c r="G14" s="234">
        <f>+F14*'2010 Existing Rates'!$B$14</f>
        <v>5499.982008353814</v>
      </c>
      <c r="H14" s="234">
        <f>+C14*('2010 Existing Rates'!$D$14)</f>
        <v>12457.84943013886</v>
      </c>
      <c r="I14" s="234">
        <f t="shared" si="0"/>
        <v>17957.831438492674</v>
      </c>
      <c r="J14" s="55"/>
    </row>
    <row r="15" spans="1:10" ht="19.5" customHeight="1">
      <c r="A15" s="231" t="str">
        <f>'Dist. Rev. Reconciliation'!A15</f>
        <v>Unmetered and Scattered</v>
      </c>
      <c r="B15" s="205">
        <f>+'Forecast Data For 2011'!$C$27</f>
        <v>1519815.0354853482</v>
      </c>
      <c r="C15" s="205"/>
      <c r="D15" s="205"/>
      <c r="E15" s="205"/>
      <c r="F15" s="205">
        <f>+'Forecast Data For 2011'!$C$26*12</f>
        <v>2417.132819611942</v>
      </c>
      <c r="G15" s="234">
        <f>+F15*'2010 Existing Rates'!$B$15</f>
        <v>17838.44020873613</v>
      </c>
      <c r="H15" s="234">
        <f>+B15*('2010 Existing Rates'!$E$15)</f>
        <v>23709.11455357143</v>
      </c>
      <c r="I15" s="234">
        <f t="shared" si="0"/>
        <v>41547.55476230756</v>
      </c>
      <c r="J15" s="55"/>
    </row>
    <row r="16" spans="1:9" ht="24.75" customHeight="1" thickBot="1">
      <c r="A16" s="57" t="s">
        <v>40</v>
      </c>
      <c r="B16" s="206">
        <f aca="true" t="shared" si="1" ref="B16:I16">SUM(B8:B15)</f>
        <v>702037606.8693861</v>
      </c>
      <c r="C16" s="206">
        <f t="shared" si="1"/>
        <v>892970.6043248967</v>
      </c>
      <c r="D16" s="206">
        <f t="shared" si="1"/>
        <v>254011.20650553342</v>
      </c>
      <c r="E16" s="206">
        <f t="shared" si="1"/>
        <v>356095.399995796</v>
      </c>
      <c r="F16" s="206">
        <f t="shared" si="1"/>
        <v>40059.84856475904</v>
      </c>
      <c r="G16" s="207">
        <f t="shared" si="1"/>
        <v>5356761.75024836</v>
      </c>
      <c r="H16" s="207">
        <f t="shared" si="1"/>
        <v>6713775.351212163</v>
      </c>
      <c r="I16" s="207">
        <f t="shared" si="1"/>
        <v>12070537.101460524</v>
      </c>
    </row>
    <row r="17" spans="1:9" ht="9.75" customHeight="1" thickTop="1">
      <c r="A17" s="633"/>
      <c r="B17" s="633"/>
      <c r="C17" s="633"/>
      <c r="D17" s="633"/>
      <c r="E17" s="633"/>
      <c r="F17" s="633"/>
      <c r="G17" s="633"/>
      <c r="H17" s="633"/>
      <c r="I17" s="633"/>
    </row>
    <row r="18" spans="1:9" ht="18" customHeight="1">
      <c r="A18" s="708" t="s">
        <v>141</v>
      </c>
      <c r="B18" s="633"/>
      <c r="C18" s="633"/>
      <c r="D18" s="633"/>
      <c r="E18" s="633"/>
      <c r="F18" s="633"/>
      <c r="G18" s="633"/>
      <c r="H18" s="633"/>
      <c r="I18" s="8"/>
    </row>
    <row r="19" spans="1:9" ht="18" customHeight="1">
      <c r="A19" s="709" t="str">
        <f>A10</f>
        <v>GS &gt;50 to 999 kW</v>
      </c>
      <c r="B19" s="633"/>
      <c r="C19" s="633"/>
      <c r="D19" s="633"/>
      <c r="E19" s="633"/>
      <c r="F19" s="633"/>
      <c r="G19" s="633"/>
      <c r="H19" s="633"/>
      <c r="I19" s="236">
        <f>'Transformer Allowance'!C12</f>
        <v>-41349.21917371997</v>
      </c>
    </row>
    <row r="20" spans="1:9" ht="18" customHeight="1">
      <c r="A20" s="295" t="str">
        <f>+A11</f>
        <v>GS &gt;1000 to 4999 kW</v>
      </c>
      <c r="B20" s="8"/>
      <c r="C20" s="8"/>
      <c r="D20" s="8"/>
      <c r="E20" s="8"/>
      <c r="F20" s="8"/>
      <c r="G20" s="8"/>
      <c r="H20" s="8"/>
      <c r="I20" s="236">
        <f>'Transformer Allowance'!C13</f>
        <v>-111057.50472960008</v>
      </c>
    </row>
    <row r="21" spans="1:9" ht="18" customHeight="1">
      <c r="A21" s="709" t="str">
        <f>A12</f>
        <v>Large Use</v>
      </c>
      <c r="B21" s="633"/>
      <c r="C21" s="633"/>
      <c r="D21" s="633"/>
      <c r="E21" s="633"/>
      <c r="F21" s="633"/>
      <c r="G21" s="633"/>
      <c r="H21" s="633"/>
      <c r="I21" s="236">
        <f>'Transformer Allowance'!C14</f>
        <v>0</v>
      </c>
    </row>
    <row r="22" spans="1:9" ht="7.5" customHeight="1">
      <c r="A22" s="633"/>
      <c r="B22" s="633"/>
      <c r="C22" s="633"/>
      <c r="D22" s="633"/>
      <c r="E22" s="633"/>
      <c r="F22" s="633"/>
      <c r="G22" s="633"/>
      <c r="H22" s="633"/>
      <c r="I22" s="236"/>
    </row>
    <row r="23" spans="1:9" ht="18" customHeight="1" thickBot="1">
      <c r="A23" s="625" t="s">
        <v>142</v>
      </c>
      <c r="B23" s="625"/>
      <c r="C23" s="625"/>
      <c r="D23" s="625"/>
      <c r="E23" s="625"/>
      <c r="F23" s="625"/>
      <c r="G23" s="625"/>
      <c r="H23" s="625"/>
      <c r="I23" s="237">
        <f>+I16+I19+I20+I21</f>
        <v>11918130.377557203</v>
      </c>
    </row>
    <row r="24" spans="1:9" ht="7.5" customHeight="1" thickTop="1">
      <c r="A24" s="633"/>
      <c r="B24" s="633"/>
      <c r="C24" s="633"/>
      <c r="D24" s="633"/>
      <c r="E24" s="633"/>
      <c r="F24" s="633"/>
      <c r="G24" s="633"/>
      <c r="H24" s="633"/>
      <c r="I24" s="238"/>
    </row>
    <row r="25" spans="1:9" ht="18" customHeight="1">
      <c r="A25" s="656" t="s">
        <v>139</v>
      </c>
      <c r="B25" s="656"/>
      <c r="C25" s="656"/>
      <c r="D25" s="656"/>
      <c r="E25" s="656"/>
      <c r="F25" s="656"/>
      <c r="G25" s="656"/>
      <c r="H25" s="656"/>
      <c r="I25" s="239">
        <f>+'Revenue Input'!B9</f>
        <v>1453649</v>
      </c>
    </row>
    <row r="26" spans="1:9" ht="18" customHeight="1" thickBot="1">
      <c r="A26" s="625" t="s">
        <v>140</v>
      </c>
      <c r="B26" s="625"/>
      <c r="C26" s="625"/>
      <c r="D26" s="625"/>
      <c r="E26" s="625"/>
      <c r="F26" s="625"/>
      <c r="G26" s="625"/>
      <c r="H26" s="625"/>
      <c r="I26" s="240">
        <f>+I23+I25</f>
        <v>13371779.377557203</v>
      </c>
    </row>
    <row r="27" spans="1:9" ht="7.5" customHeight="1">
      <c r="A27" s="633"/>
      <c r="B27" s="633"/>
      <c r="C27" s="633"/>
      <c r="D27" s="633"/>
      <c r="E27" s="633"/>
      <c r="F27" s="633"/>
      <c r="G27" s="633"/>
      <c r="H27" s="633"/>
      <c r="I27" s="238"/>
    </row>
    <row r="28" spans="1:9" ht="18" customHeight="1" thickBot="1">
      <c r="A28" s="625" t="s">
        <v>137</v>
      </c>
      <c r="B28" s="625"/>
      <c r="C28" s="625"/>
      <c r="D28" s="625"/>
      <c r="E28" s="625"/>
      <c r="F28" s="625"/>
      <c r="G28" s="625"/>
      <c r="H28" s="625"/>
      <c r="I28" s="240">
        <f>+'Revenue Input'!B8</f>
        <v>15061832.283097586</v>
      </c>
    </row>
    <row r="29" spans="1:9" ht="7.5" customHeight="1">
      <c r="A29" s="633"/>
      <c r="B29" s="633"/>
      <c r="C29" s="633"/>
      <c r="D29" s="633"/>
      <c r="E29" s="633"/>
      <c r="F29" s="633"/>
      <c r="G29" s="633"/>
      <c r="H29" s="633"/>
      <c r="I29" s="241"/>
    </row>
    <row r="30" spans="1:9" ht="18" customHeight="1" thickBot="1">
      <c r="A30" s="710" t="s">
        <v>138</v>
      </c>
      <c r="B30" s="710"/>
      <c r="C30" s="710"/>
      <c r="D30" s="710"/>
      <c r="E30" s="710"/>
      <c r="F30" s="710"/>
      <c r="G30" s="710"/>
      <c r="H30" s="710"/>
      <c r="I30" s="518">
        <f>+I28-I26</f>
        <v>1690052.9055403825</v>
      </c>
    </row>
    <row r="31" ht="13.5" thickTop="1"/>
    <row r="32" spans="7:11" ht="12.75">
      <c r="G32" s="16"/>
      <c r="H32" s="16"/>
      <c r="I32" s="16"/>
      <c r="J32" s="16"/>
      <c r="K32" s="16"/>
    </row>
    <row r="33" spans="7:11" ht="12.75">
      <c r="G33" s="16"/>
      <c r="H33" s="16"/>
      <c r="I33" s="16"/>
      <c r="J33" s="16"/>
      <c r="K33" s="16"/>
    </row>
    <row r="34" ht="12.75">
      <c r="I34" s="9"/>
    </row>
  </sheetData>
  <sheetProtection/>
  <mergeCells count="19">
    <mergeCell ref="A24:H24"/>
    <mergeCell ref="A25:H25"/>
    <mergeCell ref="A30:H30"/>
    <mergeCell ref="A26:H26"/>
    <mergeCell ref="A27:H27"/>
    <mergeCell ref="A28:H28"/>
    <mergeCell ref="A29:H29"/>
    <mergeCell ref="A17:I17"/>
    <mergeCell ref="A18:H18"/>
    <mergeCell ref="A19:H19"/>
    <mergeCell ref="A21:H21"/>
    <mergeCell ref="A22:H22"/>
    <mergeCell ref="A23:H23"/>
    <mergeCell ref="A5:I5"/>
    <mergeCell ref="A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355" verticalDpi="355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5.28125" style="0" customWidth="1"/>
    <col min="4" max="4" width="16.8515625" style="0" customWidth="1"/>
    <col min="7" max="7" width="20.7109375" style="0" bestFit="1" customWidth="1"/>
    <col min="8" max="8" width="10.8515625" style="0" bestFit="1" customWidth="1"/>
    <col min="11" max="11" width="22.8515625" style="0" customWidth="1"/>
  </cols>
  <sheetData>
    <row r="1" ht="12.75">
      <c r="A1" s="302" t="s">
        <v>280</v>
      </c>
    </row>
    <row r="2" spans="1:5" ht="12.75">
      <c r="A2" s="711" t="s">
        <v>270</v>
      </c>
      <c r="B2" s="712"/>
      <c r="C2" s="712"/>
      <c r="D2" s="712"/>
      <c r="E2" s="713"/>
    </row>
    <row r="3" spans="1:5" ht="12.75">
      <c r="A3" s="714" t="s">
        <v>269</v>
      </c>
      <c r="B3" s="715"/>
      <c r="C3" s="715"/>
      <c r="D3" s="715"/>
      <c r="E3" s="716"/>
    </row>
    <row r="4" spans="1:5" ht="54" customHeight="1">
      <c r="A4" s="335" t="s">
        <v>271</v>
      </c>
      <c r="B4" s="321" t="s">
        <v>392</v>
      </c>
      <c r="C4" s="321" t="s">
        <v>272</v>
      </c>
      <c r="D4" s="321" t="s">
        <v>273</v>
      </c>
      <c r="E4" s="321" t="s">
        <v>272</v>
      </c>
    </row>
    <row r="5" spans="1:5" ht="15" customHeight="1">
      <c r="A5" s="319" t="s">
        <v>200</v>
      </c>
      <c r="B5" s="333">
        <v>5358896</v>
      </c>
      <c r="C5" s="334">
        <f>+B5/$B$13</f>
        <v>0.5494378584897845</v>
      </c>
      <c r="D5" s="333">
        <f>+'Cost Allocation Study'!B7</f>
        <v>9317732.734378543</v>
      </c>
      <c r="E5" s="334">
        <f>+D5/$D$13</f>
        <v>0.6186320866708175</v>
      </c>
    </row>
    <row r="6" spans="1:5" ht="15" customHeight="1">
      <c r="A6" s="319" t="s">
        <v>274</v>
      </c>
      <c r="B6" s="333">
        <v>1289836</v>
      </c>
      <c r="C6" s="334">
        <f aca="true" t="shared" si="0" ref="C6:C12">+B6/$B$13</f>
        <v>0.1322445387339164</v>
      </c>
      <c r="D6" s="333">
        <f>+'Cost Allocation Study'!B8</f>
        <v>1984035.2617746547</v>
      </c>
      <c r="E6" s="334">
        <f aca="true" t="shared" si="1" ref="E6:E12">+D6/$D$13</f>
        <v>0.1317260227363667</v>
      </c>
    </row>
    <row r="7" spans="1:5" ht="15" customHeight="1">
      <c r="A7" s="319" t="s">
        <v>275</v>
      </c>
      <c r="B7" s="333">
        <v>1708476</v>
      </c>
      <c r="C7" s="334">
        <f t="shared" si="0"/>
        <v>0.17516693638413455</v>
      </c>
      <c r="D7" s="333">
        <f>+'Cost Allocation Study'!B9</f>
        <v>2165182.979200719</v>
      </c>
      <c r="E7" s="334">
        <f t="shared" si="1"/>
        <v>0.14375296036395857</v>
      </c>
    </row>
    <row r="8" spans="1:5" ht="15" customHeight="1">
      <c r="A8" s="319" t="s">
        <v>276</v>
      </c>
      <c r="B8" s="333">
        <v>526345</v>
      </c>
      <c r="C8" s="334">
        <f t="shared" si="0"/>
        <v>0.05396519537360039</v>
      </c>
      <c r="D8" s="333">
        <f>+'Cost Allocation Study'!B10</f>
        <v>622046.7207290027</v>
      </c>
      <c r="E8" s="334">
        <f t="shared" si="1"/>
        <v>0.04129953839859607</v>
      </c>
    </row>
    <row r="9" spans="1:5" ht="15" customHeight="1">
      <c r="A9" s="319" t="s">
        <v>277</v>
      </c>
      <c r="B9" s="333">
        <v>421280</v>
      </c>
      <c r="C9" s="334">
        <f t="shared" si="0"/>
        <v>0.043193072047783054</v>
      </c>
      <c r="D9" s="333">
        <f>+'Cost Allocation Study'!B11</f>
        <v>524425.4850359296</v>
      </c>
      <c r="E9" s="334">
        <f t="shared" si="1"/>
        <v>0.03481817319294152</v>
      </c>
    </row>
    <row r="10" spans="1:5" ht="15" customHeight="1">
      <c r="A10" s="319" t="s">
        <v>278</v>
      </c>
      <c r="B10" s="333">
        <v>327716</v>
      </c>
      <c r="C10" s="334">
        <f t="shared" si="0"/>
        <v>0.03360012533044833</v>
      </c>
      <c r="D10" s="333">
        <f>+'Cost Allocation Study'!B13</f>
        <v>374778.8988381113</v>
      </c>
      <c r="E10" s="334">
        <f t="shared" si="1"/>
        <v>0.02488268968833817</v>
      </c>
    </row>
    <row r="11" spans="1:5" ht="15" customHeight="1">
      <c r="A11" s="319" t="s">
        <v>203</v>
      </c>
      <c r="B11" s="333">
        <v>53863</v>
      </c>
      <c r="C11" s="334">
        <f t="shared" si="0"/>
        <v>0.0055224754075905306</v>
      </c>
      <c r="D11" s="333">
        <f>+'Cost Allocation Study'!B12</f>
        <v>26739.495665338465</v>
      </c>
      <c r="E11" s="334">
        <f t="shared" si="1"/>
        <v>0.0017753149260163765</v>
      </c>
    </row>
    <row r="12" spans="1:5" ht="15" customHeight="1">
      <c r="A12" s="319" t="s">
        <v>279</v>
      </c>
      <c r="B12" s="333">
        <v>67004</v>
      </c>
      <c r="C12" s="334">
        <f t="shared" si="0"/>
        <v>0.0068697982327422516</v>
      </c>
      <c r="D12" s="333">
        <f>+'Cost Allocation Study'!B14</f>
        <v>46890.70747528825</v>
      </c>
      <c r="E12" s="334">
        <f t="shared" si="1"/>
        <v>0.003113214022965126</v>
      </c>
    </row>
    <row r="13" spans="1:5" ht="15" customHeight="1">
      <c r="A13" s="497" t="s">
        <v>40</v>
      </c>
      <c r="B13" s="498">
        <f>SUM(B5:B12)</f>
        <v>9753416</v>
      </c>
      <c r="C13" s="499">
        <f>SUM(C5:C12)</f>
        <v>1</v>
      </c>
      <c r="D13" s="498">
        <f>SUM(D5:D12)</f>
        <v>15061832.283097588</v>
      </c>
      <c r="E13" s="499">
        <f>SUM(E5:E12)</f>
        <v>1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3" ht="12.75">
      <c r="A1" s="617" t="str">
        <f>+'Revenue Input'!A1</f>
        <v>MILTON HYDRO DISTRIBUTION INC.</v>
      </c>
      <c r="B1" s="617"/>
      <c r="C1" s="617"/>
    </row>
    <row r="2" spans="1:3" ht="12.75">
      <c r="A2" s="332"/>
      <c r="B2" s="357"/>
      <c r="C2" s="357"/>
    </row>
    <row r="4" spans="1:9" ht="8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324" t="s">
        <v>37</v>
      </c>
      <c r="B6" s="324"/>
      <c r="C6" s="324"/>
    </row>
    <row r="7" ht="15" customHeight="1"/>
    <row r="8" spans="1:3" ht="15" customHeight="1">
      <c r="A8" s="616"/>
      <c r="B8" s="616"/>
      <c r="C8" s="616"/>
    </row>
    <row r="9" spans="1:3" ht="15.75">
      <c r="A9" s="610" t="s">
        <v>175</v>
      </c>
      <c r="B9" s="614" t="s">
        <v>213</v>
      </c>
      <c r="C9" s="615"/>
    </row>
    <row r="10" spans="1:3" ht="15.75">
      <c r="A10" s="611"/>
      <c r="B10" s="446" t="s">
        <v>33</v>
      </c>
      <c r="C10" s="447" t="s">
        <v>36</v>
      </c>
    </row>
    <row r="11" spans="1:3" ht="15.75">
      <c r="A11" s="72" t="s">
        <v>34</v>
      </c>
      <c r="B11" s="73"/>
      <c r="C11" s="74"/>
    </row>
    <row r="12" spans="1:9" ht="15.75">
      <c r="A12" s="75" t="str">
        <f>+'Forecast Data For 2011'!A11</f>
        <v>GS &gt;50 to 999 kW</v>
      </c>
      <c r="B12" s="525">
        <f>+'[1]Transformer'!$D$40</f>
        <v>68915.36528953328</v>
      </c>
      <c r="C12" s="235">
        <f>+B12*$B$18</f>
        <v>-41349.21917371997</v>
      </c>
      <c r="E12" s="56"/>
      <c r="F12" s="56"/>
      <c r="G12" s="56"/>
      <c r="H12" s="8"/>
      <c r="I12" s="8"/>
    </row>
    <row r="13" spans="1:9" ht="15.75">
      <c r="A13" s="75" t="str">
        <f>+'Forecast Data For 2011'!A14</f>
        <v>GS &gt;1000 to 4999 kW</v>
      </c>
      <c r="B13" s="525">
        <f>+'[1]Transformer'!$H$40</f>
        <v>185095.84121600015</v>
      </c>
      <c r="C13" s="235">
        <f>+B13*$B$18</f>
        <v>-111057.50472960008</v>
      </c>
      <c r="E13" s="56"/>
      <c r="F13" s="56"/>
      <c r="G13" s="56"/>
      <c r="H13" s="8"/>
      <c r="I13" s="8"/>
    </row>
    <row r="14" spans="1:9" ht="15.75">
      <c r="A14" s="75" t="str">
        <f>'Forecast Data For 2011'!A17</f>
        <v>Large Use</v>
      </c>
      <c r="B14" s="525">
        <v>0</v>
      </c>
      <c r="C14" s="235">
        <f>+B14*$B$18</f>
        <v>0</v>
      </c>
      <c r="E14" s="56"/>
      <c r="F14" s="56"/>
      <c r="G14" s="56"/>
      <c r="H14" s="8"/>
      <c r="I14" s="8"/>
    </row>
    <row r="15" spans="1:9" ht="15.75">
      <c r="A15" s="75"/>
      <c r="B15" s="525">
        <v>0</v>
      </c>
      <c r="C15" s="235">
        <f>+B15*$B$18</f>
        <v>0</v>
      </c>
      <c r="E15" s="56"/>
      <c r="F15" s="56"/>
      <c r="G15" s="56"/>
      <c r="H15" s="8"/>
      <c r="I15" s="8"/>
    </row>
    <row r="16" spans="1:3" ht="15.75">
      <c r="A16" s="76" t="s">
        <v>35</v>
      </c>
      <c r="B16" s="229">
        <f>SUM(B12:B15)</f>
        <v>254011.20650553342</v>
      </c>
      <c r="C16" s="235">
        <f>SUM(C12:C15)</f>
        <v>-152406.72390332006</v>
      </c>
    </row>
    <row r="17" ht="13.5" thickBot="1"/>
    <row r="18" spans="1:2" ht="16.5" thickBot="1">
      <c r="A18" s="5" t="s">
        <v>176</v>
      </c>
      <c r="B18" s="445">
        <v>-0.6</v>
      </c>
    </row>
    <row r="19" ht="15">
      <c r="A19" s="4"/>
    </row>
    <row r="20" ht="15.75">
      <c r="A20" s="5"/>
    </row>
    <row r="21" ht="15">
      <c r="A21" s="4" t="s">
        <v>255</v>
      </c>
    </row>
    <row r="22" spans="1:3" ht="15.75">
      <c r="A22" s="610" t="s">
        <v>175</v>
      </c>
      <c r="B22" s="612" t="s">
        <v>254</v>
      </c>
      <c r="C22" s="613"/>
    </row>
    <row r="23" spans="1:3" ht="15.75">
      <c r="A23" s="611"/>
      <c r="B23" s="446" t="s">
        <v>33</v>
      </c>
      <c r="C23" s="447" t="s">
        <v>36</v>
      </c>
    </row>
    <row r="24" spans="1:3" ht="15.75">
      <c r="A24" s="72" t="s">
        <v>34</v>
      </c>
      <c r="B24" s="73"/>
      <c r="C24" s="74"/>
    </row>
    <row r="25" spans="1:9" ht="15.75">
      <c r="A25" s="75" t="str">
        <f>+A12</f>
        <v>GS &gt;50 to 999 kW</v>
      </c>
      <c r="B25" s="525">
        <f>+'[1]Transformer'!$D$22</f>
        <v>67697.09827356956</v>
      </c>
      <c r="C25" s="235">
        <f>+B25*$B$18</f>
        <v>-40618.258964141736</v>
      </c>
      <c r="E25" s="56"/>
      <c r="F25" s="56"/>
      <c r="G25" s="56"/>
      <c r="H25" s="8"/>
      <c r="I25" s="8"/>
    </row>
    <row r="26" spans="1:9" ht="15.75">
      <c r="A26" s="75" t="str">
        <f>+A13</f>
        <v>GS &gt;1000 to 4999 kW</v>
      </c>
      <c r="B26" s="525">
        <f>+'[1]Transformer'!$H$22</f>
        <v>196788.52687954606</v>
      </c>
      <c r="C26" s="235">
        <f>+B26*$B$18</f>
        <v>-118073.11612772763</v>
      </c>
      <c r="E26" s="56"/>
      <c r="F26" s="56"/>
      <c r="G26" s="56"/>
      <c r="H26" s="8"/>
      <c r="I26" s="8"/>
    </row>
    <row r="27" spans="1:9" ht="15.75">
      <c r="A27" s="75" t="str">
        <f>+A14</f>
        <v>Large Use</v>
      </c>
      <c r="B27" s="525">
        <f>+'[1]Transformer'!$L$22</f>
        <v>152542.2755559694</v>
      </c>
      <c r="C27" s="235">
        <f>+B27*$B$18</f>
        <v>-91525.36533358163</v>
      </c>
      <c r="E27" s="56"/>
      <c r="F27" s="56"/>
      <c r="G27" s="56"/>
      <c r="H27" s="8"/>
      <c r="I27" s="8"/>
    </row>
    <row r="28" spans="1:9" ht="15.75">
      <c r="A28" s="75"/>
      <c r="B28" s="525">
        <v>0</v>
      </c>
      <c r="C28" s="235">
        <f>+B28*$B$18</f>
        <v>0</v>
      </c>
      <c r="E28" s="56"/>
      <c r="F28" s="56"/>
      <c r="G28" s="56"/>
      <c r="H28" s="8"/>
      <c r="I28" s="8"/>
    </row>
    <row r="29" spans="1:3" ht="15.75">
      <c r="A29" s="76" t="s">
        <v>35</v>
      </c>
      <c r="B29" s="229">
        <f>SUM(B25:B28)</f>
        <v>417027.900709085</v>
      </c>
      <c r="C29" s="235">
        <f>SUM(C25:C28)</f>
        <v>-250216.740425451</v>
      </c>
    </row>
    <row r="30" ht="13.5" thickBot="1"/>
    <row r="31" spans="1:2" ht="16.5" thickBot="1">
      <c r="A31" s="5" t="s">
        <v>176</v>
      </c>
      <c r="B31" s="445">
        <v>-0.6</v>
      </c>
    </row>
    <row r="32" ht="15.75">
      <c r="A32" s="5"/>
    </row>
    <row r="33" ht="15">
      <c r="A33" s="4"/>
    </row>
    <row r="34" ht="15.75">
      <c r="A34" s="5"/>
    </row>
    <row r="35" ht="15">
      <c r="A35" s="4"/>
    </row>
    <row r="36" ht="15">
      <c r="A36" s="4"/>
    </row>
    <row r="37" ht="15">
      <c r="A37" s="4"/>
    </row>
  </sheetData>
  <sheetProtection/>
  <mergeCells count="6">
    <mergeCell ref="A22:A23"/>
    <mergeCell ref="B22:C22"/>
    <mergeCell ref="B9:C9"/>
    <mergeCell ref="A9:A10"/>
    <mergeCell ref="A8:C8"/>
    <mergeCell ref="A1:C1"/>
  </mergeCells>
  <printOptions/>
  <pageMargins left="0.75" right="0.75" top="1" bottom="1" header="0.5" footer="0.5"/>
  <pageSetup fitToHeight="1" fitToWidth="1" horizontalDpi="355" verticalDpi="3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2" max="2" width="18.00390625" style="0" customWidth="1"/>
    <col min="3" max="3" width="18.57421875" style="0" customWidth="1"/>
    <col min="4" max="4" width="16.140625" style="0" customWidth="1"/>
    <col min="5" max="5" width="21.140625" style="0" customWidth="1"/>
    <col min="7" max="7" width="20.7109375" style="0" bestFit="1" customWidth="1"/>
    <col min="10" max="10" width="12.8515625" style="1" bestFit="1" customWidth="1"/>
    <col min="11" max="11" width="10.28125" style="1" bestFit="1" customWidth="1"/>
  </cols>
  <sheetData>
    <row r="1" ht="12.75">
      <c r="A1" s="302" t="s">
        <v>281</v>
      </c>
    </row>
    <row r="2" spans="1:5" ht="12.75">
      <c r="A2" s="711" t="s">
        <v>270</v>
      </c>
      <c r="B2" s="712"/>
      <c r="C2" s="712"/>
      <c r="D2" s="712"/>
      <c r="E2" s="713"/>
    </row>
    <row r="3" spans="1:5" ht="12.75">
      <c r="A3" s="714" t="s">
        <v>282</v>
      </c>
      <c r="B3" s="715"/>
      <c r="C3" s="715"/>
      <c r="D3" s="715"/>
      <c r="E3" s="716"/>
    </row>
    <row r="4" spans="1:5" ht="12.75">
      <c r="A4" s="320"/>
      <c r="B4" s="320" t="s">
        <v>284</v>
      </c>
      <c r="C4" s="320" t="s">
        <v>285</v>
      </c>
      <c r="D4" s="320" t="s">
        <v>286</v>
      </c>
      <c r="E4" s="320" t="s">
        <v>287</v>
      </c>
    </row>
    <row r="5" spans="1:10" ht="39" customHeight="1">
      <c r="A5" s="318" t="s">
        <v>271</v>
      </c>
      <c r="B5" s="440" t="s">
        <v>283</v>
      </c>
      <c r="C5" s="440" t="s">
        <v>288</v>
      </c>
      <c r="D5" s="440" t="s">
        <v>289</v>
      </c>
      <c r="E5" s="440" t="s">
        <v>290</v>
      </c>
      <c r="H5" s="2"/>
      <c r="J5" s="55"/>
    </row>
    <row r="6" spans="1:8" ht="15" customHeight="1">
      <c r="A6" s="319" t="s">
        <v>200</v>
      </c>
      <c r="B6" s="336">
        <f>+'2011 Test Yr On Existing Rates'!J9</f>
        <v>7764594.396212544</v>
      </c>
      <c r="C6" s="336">
        <f>+B6*$D$19</f>
        <v>8865654.285972808</v>
      </c>
      <c r="D6" s="336">
        <f>+'Rates By Rate Class'!F8+'Rates By Rate Class'!G8-'Rates By Rate Class'!H8+'Rates By Rate Class'!H8</f>
        <v>8699057.718738288</v>
      </c>
      <c r="E6" s="336">
        <f>+'Cost Allocation Study'!J7</f>
        <v>951506.2924588042</v>
      </c>
      <c r="G6" s="337"/>
      <c r="H6" s="250"/>
    </row>
    <row r="7" spans="1:8" ht="15" customHeight="1">
      <c r="A7" s="319" t="s">
        <v>274</v>
      </c>
      <c r="B7" s="336">
        <f>+'2011 Test Yr On Existing Rates'!J10</f>
        <v>1574036.4530467368</v>
      </c>
      <c r="C7" s="336">
        <f aca="true" t="shared" si="0" ref="C7:C13">+B7*$D$19</f>
        <v>1797243.0128530883</v>
      </c>
      <c r="D7" s="336">
        <f>+'Rates By Rate Class'!F9+'Rates By Rate Class'!G9-'Rates By Rate Class'!H9+'Rates By Rate Class'!H9</f>
        <v>1797243.0128530879</v>
      </c>
      <c r="E7" s="336">
        <f>+'Cost Allocation Study'!J8</f>
        <v>185595.76591825564</v>
      </c>
      <c r="G7" s="337"/>
      <c r="H7" s="250"/>
    </row>
    <row r="8" spans="1:8" ht="15" customHeight="1">
      <c r="A8" s="319" t="s">
        <v>275</v>
      </c>
      <c r="B8" s="336">
        <f>+'2011 Test Yr On Existing Rates'!J11</f>
        <v>1409483.4183414748</v>
      </c>
      <c r="C8" s="336">
        <f t="shared" si="0"/>
        <v>1609355.5015471333</v>
      </c>
      <c r="D8" s="336">
        <f>+'Rates By Rate Class'!F10+'Rates By Rate Class'!G10-'Rates By Rate Class'!H10+'Rates By Rate Class'!H10</f>
        <v>1756841.5969082993</v>
      </c>
      <c r="E8" s="336">
        <f>+'Cost Allocation Study'!J9</f>
        <v>191823.08437234786</v>
      </c>
      <c r="G8" s="337"/>
      <c r="H8" s="250"/>
    </row>
    <row r="9" spans="1:8" ht="15" customHeight="1">
      <c r="A9" s="319" t="s">
        <v>276</v>
      </c>
      <c r="B9" s="336">
        <f>+'2011 Test Yr On Existing Rates'!J12</f>
        <v>580118.5884173769</v>
      </c>
      <c r="C9" s="336">
        <f>+B9*$D$19</f>
        <v>662382.4229999388</v>
      </c>
      <c r="D9" s="336">
        <f>+'Rates By Rate Class'!F11+'Rates By Rate Class'!G11-'Rates By Rate Class'!H11+'Rates By Rate Class'!H11</f>
        <v>631279.1848360687</v>
      </c>
      <c r="E9" s="336">
        <f>+'Cost Allocation Study'!J10</f>
        <v>52972.20796583443</v>
      </c>
      <c r="G9" s="337"/>
      <c r="H9" s="250"/>
    </row>
    <row r="10" spans="1:8" ht="15" customHeight="1">
      <c r="A10" s="319" t="s">
        <v>277</v>
      </c>
      <c r="B10" s="336">
        <f>+'2011 Test Yr On Existing Rates'!J13</f>
        <v>527678.8664851035</v>
      </c>
      <c r="C10" s="336">
        <f t="shared" si="0"/>
        <v>602506.4756187261</v>
      </c>
      <c r="D10" s="336">
        <f>+'Rates By Rate Class'!F12+'Rates By Rate Class'!G12-'Rates By Rate Class'!H12+'Rates By Rate Class'!H12</f>
        <v>539603.3557740125</v>
      </c>
      <c r="E10" s="336">
        <f>+'Cost Allocation Study'!J11</f>
        <v>37264.677765510016</v>
      </c>
      <c r="G10" s="337"/>
      <c r="H10" s="250"/>
    </row>
    <row r="11" spans="1:8" ht="15" customHeight="1">
      <c r="A11" s="319" t="s">
        <v>278</v>
      </c>
      <c r="B11" s="336">
        <f>+'2011 Test Yr On Existing Rates'!J15</f>
        <v>17957.831438492674</v>
      </c>
      <c r="C11" s="336">
        <f t="shared" si="0"/>
        <v>20504.345383077463</v>
      </c>
      <c r="D11" s="336">
        <f>+'Rates By Rate Class'!F14+'Rates By Rate Class'!G14-'Rates By Rate Class'!H14+'Rates By Rate Class'!H14</f>
        <v>127633.47179260117</v>
      </c>
      <c r="E11" s="336">
        <f>+'Cost Allocation Study'!J13</f>
        <v>27582.63098455305</v>
      </c>
      <c r="G11" s="337"/>
      <c r="H11" s="250"/>
    </row>
    <row r="12" spans="1:8" ht="15" customHeight="1">
      <c r="A12" s="319" t="s">
        <v>203</v>
      </c>
      <c r="B12" s="336">
        <f>+'2011 Test Yr On Existing Rates'!J14</f>
        <v>2713.2688531668305</v>
      </c>
      <c r="C12" s="336">
        <f t="shared" si="0"/>
        <v>3098.024495498267</v>
      </c>
      <c r="D12" s="336">
        <f>+'Rates By Rate Class'!F13+'Rates By Rate Class'!G13-'Rates By Rate Class'!H13+'Rates By Rate Class'!H13</f>
        <v>9965.995363811842</v>
      </c>
      <c r="E12" s="336">
        <f>+'Cost Allocation Study'!J12</f>
        <v>1883.6807336115046</v>
      </c>
      <c r="G12" s="337"/>
      <c r="H12" s="250"/>
    </row>
    <row r="13" spans="1:8" ht="15" customHeight="1">
      <c r="A13" s="319" t="s">
        <v>279</v>
      </c>
      <c r="B13" s="336">
        <f>+'2011 Test Yr On Existing Rates'!J16</f>
        <v>41547.55476230756</v>
      </c>
      <c r="C13" s="336">
        <f t="shared" si="0"/>
        <v>47439.214227315715</v>
      </c>
      <c r="D13" s="336">
        <f>+'Rates By Rate Class'!F15+'Rates By Rate Class'!G15-'Rates By Rate Class'!H15+'Rates By Rate Class'!H15</f>
        <v>46559.118421733685</v>
      </c>
      <c r="E13" s="336">
        <f>+'Cost Allocation Study'!J14</f>
        <v>5020.659801083389</v>
      </c>
      <c r="G13" s="337"/>
      <c r="H13" s="250"/>
    </row>
    <row r="14" spans="1:8" ht="15" customHeight="1">
      <c r="A14" s="497" t="s">
        <v>40</v>
      </c>
      <c r="B14" s="498">
        <f>SUM(B6:B13)</f>
        <v>11918130.377557205</v>
      </c>
      <c r="C14" s="498">
        <f>SUM(C6:C13)</f>
        <v>13608183.283097584</v>
      </c>
      <c r="D14" s="498">
        <f>SUM(D6:D13)</f>
        <v>13608183.454687903</v>
      </c>
      <c r="E14" s="498">
        <f>SUM(E6:E13)</f>
        <v>1453649.0000000005</v>
      </c>
      <c r="H14" s="250"/>
    </row>
    <row r="16" ht="12.75">
      <c r="C16" s="432">
        <f>+D14-B14</f>
        <v>1690053.0771306977</v>
      </c>
    </row>
    <row r="18" spans="1:4" ht="12.75">
      <c r="A18" s="302" t="s">
        <v>313</v>
      </c>
      <c r="D18">
        <f>+'Revenue Deficiency Analysis'!I30/'2011 Test Yr On Existing Rates'!J17</f>
        <v>0.14180520366876398</v>
      </c>
    </row>
    <row r="19" spans="1:4" ht="12.75">
      <c r="A19" t="s">
        <v>393</v>
      </c>
      <c r="D19">
        <f>1+D18</f>
        <v>1.141805203668764</v>
      </c>
    </row>
    <row r="20" spans="3:4" ht="12.75">
      <c r="C20" s="434"/>
      <c r="D20" s="433"/>
    </row>
    <row r="21" ht="12.75">
      <c r="B21" s="61"/>
    </row>
    <row r="22" ht="12.75">
      <c r="D22" s="433"/>
    </row>
    <row r="24" ht="12.75">
      <c r="D24" s="433"/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2" max="2" width="20.421875" style="0" customWidth="1"/>
    <col min="3" max="3" width="20.57421875" style="0" customWidth="1"/>
    <col min="4" max="4" width="19.00390625" style="0" customWidth="1"/>
  </cols>
  <sheetData>
    <row r="1" ht="12.75">
      <c r="A1" s="302" t="s">
        <v>296</v>
      </c>
    </row>
    <row r="2" spans="1:4" ht="12.75">
      <c r="A2" s="711" t="s">
        <v>270</v>
      </c>
      <c r="B2" s="712"/>
      <c r="C2" s="712"/>
      <c r="D2" s="713"/>
    </row>
    <row r="3" spans="1:4" ht="12.75">
      <c r="A3" s="714" t="s">
        <v>315</v>
      </c>
      <c r="B3" s="715"/>
      <c r="C3" s="715"/>
      <c r="D3" s="716"/>
    </row>
    <row r="4" spans="1:4" ht="27.75" customHeight="1">
      <c r="A4" s="320"/>
      <c r="B4" s="321" t="s">
        <v>291</v>
      </c>
      <c r="C4" s="320" t="s">
        <v>292</v>
      </c>
      <c r="D4" s="320" t="s">
        <v>293</v>
      </c>
    </row>
    <row r="5" spans="1:4" ht="38.25">
      <c r="A5" s="318" t="s">
        <v>271</v>
      </c>
      <c r="B5" s="313" t="s">
        <v>314</v>
      </c>
      <c r="C5" s="322" t="s">
        <v>294</v>
      </c>
      <c r="D5" s="322" t="s">
        <v>295</v>
      </c>
    </row>
    <row r="6" spans="1:4" ht="15" customHeight="1">
      <c r="A6" s="319" t="s">
        <v>200</v>
      </c>
      <c r="B6" s="557">
        <f>1.0225*100</f>
        <v>102.25</v>
      </c>
      <c r="C6" s="444">
        <f>(+'Appendix 2-O Table b'!C6+'Appendix 2-O Table b'!E6)/'Appendix 2-O Table a'!D5*100</f>
        <v>105.35997176878007</v>
      </c>
      <c r="D6" s="444">
        <f>+('Appendix 2-O Table b'!D6+'Appendix 2-O Table b'!E6)/'Appendix 2-O Table a'!D5*100</f>
        <v>103.57202000000001</v>
      </c>
    </row>
    <row r="7" spans="1:4" ht="15" customHeight="1">
      <c r="A7" s="319" t="s">
        <v>274</v>
      </c>
      <c r="B7" s="444">
        <f>110.88/100*100</f>
        <v>110.88</v>
      </c>
      <c r="C7" s="444">
        <f>(+'Appendix 2-O Table b'!C7+'Appendix 2-O Table b'!E7)/'Appendix 2-O Table a'!D6*100</f>
        <v>99.93969446882508</v>
      </c>
      <c r="D7" s="444">
        <f>+('Appendix 2-O Table b'!D7+'Appendix 2-O Table b'!E7)/'Appendix 2-O Table a'!D6*100</f>
        <v>99.93969446882505</v>
      </c>
    </row>
    <row r="8" spans="1:4" ht="15" customHeight="1">
      <c r="A8" s="319" t="s">
        <v>275</v>
      </c>
      <c r="B8" s="444">
        <f>79.1/100*100</f>
        <v>79.1</v>
      </c>
      <c r="C8" s="444">
        <f>(+'Appendix 2-O Table b'!C8+'Appendix 2-O Table b'!E8)/'Appendix 2-O Table a'!D7*100</f>
        <v>83.18828492658803</v>
      </c>
      <c r="D8" s="444">
        <f>+('Appendix 2-O Table b'!D8+'Appendix 2-O Table b'!E8)/'Appendix 2-O Table a'!D7*100</f>
        <v>90</v>
      </c>
    </row>
    <row r="9" spans="1:4" ht="15" customHeight="1">
      <c r="A9" s="319" t="s">
        <v>276</v>
      </c>
      <c r="B9" s="444">
        <f>156.67/100*100</f>
        <v>156.67</v>
      </c>
      <c r="C9" s="444">
        <f>(+'Appendix 2-O Table b'!C9+'Appendix 2-O Table b'!E9)/'Appendix 2-O Table a'!D8*100</f>
        <v>115.00014502566931</v>
      </c>
      <c r="D9" s="444">
        <f>+('Appendix 2-O Table b'!D9+'Appendix 2-O Table b'!E9)/'Appendix 2-O Table a'!D8*100</f>
        <v>110.00000000000001</v>
      </c>
    </row>
    <row r="10" spans="1:4" ht="15" customHeight="1">
      <c r="A10" s="319" t="s">
        <v>277</v>
      </c>
      <c r="B10" s="444">
        <f>139.79/100*100</f>
        <v>139.79</v>
      </c>
      <c r="C10" s="444">
        <f>(+'Appendix 2-O Table b'!C10+'Appendix 2-O Table b'!E10)/'Appendix 2-O Table a'!D9*100</f>
        <v>121.99467257782179</v>
      </c>
      <c r="D10" s="444">
        <f>+('Appendix 2-O Table b'!D10+'Appendix 2-O Table b'!E10)/'Appendix 2-O Table a'!D9*100</f>
        <v>110.00000000000001</v>
      </c>
    </row>
    <row r="11" spans="1:4" ht="15" customHeight="1">
      <c r="A11" s="319" t="s">
        <v>278</v>
      </c>
      <c r="B11" s="444">
        <f>8.97/100*100</f>
        <v>8.97</v>
      </c>
      <c r="C11" s="444">
        <f>(+'Appendix 2-O Table b'!C11+'Appendix 2-O Table b'!E11)/'Appendix 2-O Table a'!D10*100</f>
        <v>12.830758753150098</v>
      </c>
      <c r="D11" s="444">
        <f>+('Appendix 2-O Table b'!D11+'Appendix 2-O Table b'!E11)/'Appendix 2-O Table a'!D10*100</f>
        <v>41.415379376575046</v>
      </c>
    </row>
    <row r="12" spans="1:4" ht="15" customHeight="1">
      <c r="A12" s="319" t="s">
        <v>203</v>
      </c>
      <c r="B12" s="444">
        <f>10.97/100*100</f>
        <v>10.97</v>
      </c>
      <c r="C12" s="444">
        <f>(+'Appendix 2-O Table b'!C12+'Appendix 2-O Table b'!E12)/'Appendix 2-O Table a'!D11*100</f>
        <v>18.630513048783463</v>
      </c>
      <c r="D12" s="444">
        <f>+('Appendix 2-O Table b'!D12+'Appendix 2-O Table b'!E12)/'Appendix 2-O Table a'!D11*100</f>
        <v>44.31525652439173</v>
      </c>
    </row>
    <row r="13" spans="1:4" ht="15" customHeight="1">
      <c r="A13" s="319" t="s">
        <v>279</v>
      </c>
      <c r="B13" s="444">
        <f>64.78/100*100</f>
        <v>64.78</v>
      </c>
      <c r="C13" s="444">
        <f>(+'Appendix 2-O Table b'!C13+'Appendix 2-O Table b'!E13)/'Appendix 2-O Table a'!D12*100</f>
        <v>111.87690877994505</v>
      </c>
      <c r="D13" s="444">
        <f>+('Appendix 2-O Table b'!D13+'Appendix 2-O Table b'!E13)/'Appendix 2-O Table a'!D12*100</f>
        <v>110.00000000000001</v>
      </c>
    </row>
    <row r="14" spans="1:4" ht="15" customHeight="1" hidden="1">
      <c r="A14" s="497"/>
      <c r="B14" s="500"/>
      <c r="C14" s="500"/>
      <c r="D14" s="500"/>
    </row>
    <row r="15" ht="15" customHeight="1"/>
    <row r="16" ht="1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2" max="5" width="12.7109375" style="0" customWidth="1"/>
  </cols>
  <sheetData>
    <row r="1" ht="12.75">
      <c r="A1" s="302" t="s">
        <v>299</v>
      </c>
    </row>
    <row r="2" spans="1:5" ht="12.75">
      <c r="A2" s="711" t="s">
        <v>270</v>
      </c>
      <c r="B2" s="712"/>
      <c r="C2" s="712"/>
      <c r="D2" s="712"/>
      <c r="E2" s="713"/>
    </row>
    <row r="3" spans="1:7" ht="12.75">
      <c r="A3" s="714" t="s">
        <v>297</v>
      </c>
      <c r="B3" s="715"/>
      <c r="C3" s="715"/>
      <c r="D3" s="715"/>
      <c r="E3" s="716"/>
      <c r="G3" s="302"/>
    </row>
    <row r="4" spans="1:5" ht="27.75" customHeight="1">
      <c r="A4" s="657" t="s">
        <v>271</v>
      </c>
      <c r="B4" s="321">
        <v>2011</v>
      </c>
      <c r="C4" s="320">
        <v>2012</v>
      </c>
      <c r="D4" s="320">
        <v>2013</v>
      </c>
      <c r="E4" s="320" t="s">
        <v>298</v>
      </c>
    </row>
    <row r="5" spans="1:5" ht="12.75">
      <c r="A5" s="659"/>
      <c r="B5" s="313" t="s">
        <v>272</v>
      </c>
      <c r="C5" s="313" t="s">
        <v>272</v>
      </c>
      <c r="D5" s="313" t="s">
        <v>272</v>
      </c>
      <c r="E5" s="313" t="s">
        <v>272</v>
      </c>
    </row>
    <row r="6" spans="1:5" ht="15" customHeight="1">
      <c r="A6" s="319" t="s">
        <v>200</v>
      </c>
      <c r="B6" s="338">
        <f>+'Cost Allocation Study'!H7</f>
        <v>1.0357202</v>
      </c>
      <c r="C6" s="338">
        <v>1.018</v>
      </c>
      <c r="D6" s="338"/>
      <c r="E6" s="323" t="s">
        <v>300</v>
      </c>
    </row>
    <row r="7" spans="1:5" ht="15" customHeight="1">
      <c r="A7" s="319" t="s">
        <v>274</v>
      </c>
      <c r="B7" s="338">
        <f>+'Cost Allocation Study'!H8</f>
        <v>0.9993969446882507</v>
      </c>
      <c r="C7" s="338">
        <v>0.999</v>
      </c>
      <c r="D7" s="338"/>
      <c r="E7" s="323" t="s">
        <v>301</v>
      </c>
    </row>
    <row r="8" spans="1:5" ht="15" customHeight="1">
      <c r="A8" s="319" t="s">
        <v>275</v>
      </c>
      <c r="B8" s="338">
        <f>+'Cost Allocation Study'!H9</f>
        <v>0.9</v>
      </c>
      <c r="C8" s="338">
        <v>0.95</v>
      </c>
      <c r="D8" s="338"/>
      <c r="E8" s="323" t="s">
        <v>302</v>
      </c>
    </row>
    <row r="9" spans="1:5" ht="15" customHeight="1">
      <c r="A9" s="319" t="s">
        <v>276</v>
      </c>
      <c r="B9" s="338">
        <f>+'Cost Allocation Study'!H10</f>
        <v>1.1</v>
      </c>
      <c r="C9" s="338">
        <v>1.05</v>
      </c>
      <c r="D9" s="338"/>
      <c r="E9" s="323" t="s">
        <v>302</v>
      </c>
    </row>
    <row r="10" spans="1:5" ht="15" customHeight="1">
      <c r="A10" s="319" t="s">
        <v>277</v>
      </c>
      <c r="B10" s="338">
        <f>+'Cost Allocation Study'!H11</f>
        <v>1.1</v>
      </c>
      <c r="C10" s="338">
        <v>1.05</v>
      </c>
      <c r="D10" s="338"/>
      <c r="E10" s="323" t="s">
        <v>300</v>
      </c>
    </row>
    <row r="11" spans="1:5" ht="15" customHeight="1">
      <c r="A11" s="319" t="s">
        <v>278</v>
      </c>
      <c r="B11" s="338">
        <f>+'Cost Allocation Study'!H13</f>
        <v>0.41415379376575046</v>
      </c>
      <c r="C11" s="338">
        <v>0.7</v>
      </c>
      <c r="D11" s="338"/>
      <c r="E11" s="323" t="s">
        <v>303</v>
      </c>
    </row>
    <row r="12" spans="1:5" ht="15" customHeight="1">
      <c r="A12" s="319" t="s">
        <v>203</v>
      </c>
      <c r="B12" s="338">
        <f>+'Cost Allocation Study'!H12</f>
        <v>0.4431525652439173</v>
      </c>
      <c r="C12" s="338">
        <v>0.7</v>
      </c>
      <c r="D12" s="338"/>
      <c r="E12" s="323" t="s">
        <v>303</v>
      </c>
    </row>
    <row r="13" spans="1:5" ht="15" customHeight="1">
      <c r="A13" s="319" t="s">
        <v>279</v>
      </c>
      <c r="B13" s="338">
        <f>+'Cost Allocation Study'!H14</f>
        <v>1.1</v>
      </c>
      <c r="C13" s="338">
        <v>1.05</v>
      </c>
      <c r="D13" s="338"/>
      <c r="E13" s="323" t="s">
        <v>301</v>
      </c>
    </row>
  </sheetData>
  <sheetProtection/>
  <mergeCells count="3">
    <mergeCell ref="A2:E2"/>
    <mergeCell ref="A3:E3"/>
    <mergeCell ref="A4:A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37"/>
  <sheetViews>
    <sheetView showGridLines="0" zoomScalePageLayoutView="0" workbookViewId="0" topLeftCell="A148">
      <selection activeCell="A148" sqref="A148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3.7109375" style="362" bestFit="1" customWidth="1"/>
    <col min="9" max="9" width="8.57421875" style="362" customWidth="1"/>
    <col min="10" max="10" width="13.0039062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3.00390625" style="362" bestFit="1" customWidth="1"/>
    <col min="15" max="15" width="2.8515625" style="362" customWidth="1"/>
    <col min="16" max="16" width="11.8515625" style="362" bestFit="1" customWidth="1"/>
    <col min="17" max="17" width="10.00390625" style="362" bestFit="1" customWidth="1"/>
    <col min="18" max="18" width="3.8515625" style="362" customWidth="1"/>
    <col min="19" max="16384" width="9.140625" style="362" customWidth="1"/>
  </cols>
  <sheetData>
    <row r="1" spans="1:18" s="355" customFormat="1" ht="15" customHeight="1">
      <c r="A1" s="583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32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367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200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9" ht="12.75">
      <c r="B12" s="363" t="s">
        <v>53</v>
      </c>
      <c r="F12" s="367" t="s">
        <v>66</v>
      </c>
      <c r="G12" s="367"/>
      <c r="H12" s="504">
        <v>100</v>
      </c>
      <c r="I12" s="367" t="s">
        <v>332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83">
        <f>+'2010 Existing Rates'!$C$8</f>
        <v>13.71</v>
      </c>
      <c r="I17" s="378">
        <v>1</v>
      </c>
      <c r="J17" s="379">
        <f aca="true" t="shared" si="0" ref="J17:J31">I17*H17</f>
        <v>13.71</v>
      </c>
      <c r="K17" s="376"/>
      <c r="L17" s="583">
        <f>+'Rate Schedule (Part 1)'!$E$12</f>
        <v>15.36</v>
      </c>
      <c r="M17" s="380">
        <v>1</v>
      </c>
      <c r="N17" s="379">
        <f aca="true" t="shared" si="1" ref="N17:N31">M17*L17</f>
        <v>15.36</v>
      </c>
      <c r="O17" s="376"/>
      <c r="P17" s="381">
        <f aca="true" t="shared" si="2" ref="P17:P46">N17-J17</f>
        <v>1.6499999999999986</v>
      </c>
      <c r="Q17" s="382">
        <f aca="true" t="shared" si="3" ref="Q17:Q46">IF((J17)=0,"",(P17/J17))</f>
        <v>0.12035010940919026</v>
      </c>
    </row>
    <row r="18" spans="4:17" ht="12.75">
      <c r="D18" s="376" t="s">
        <v>226</v>
      </c>
      <c r="E18" s="376"/>
      <c r="F18" s="514" t="s">
        <v>330</v>
      </c>
      <c r="G18" s="377"/>
      <c r="H18" s="583">
        <f>+'2010 Existing Rates'!$B$45</f>
        <v>2.16</v>
      </c>
      <c r="I18" s="378">
        <v>1</v>
      </c>
      <c r="J18" s="379">
        <f t="shared" si="0"/>
        <v>2.16</v>
      </c>
      <c r="K18" s="376"/>
      <c r="L18" s="583">
        <f>+'Rate Schedule (Part 1)'!$E$16</f>
        <v>-0.43193202035146244</v>
      </c>
      <c r="M18" s="380">
        <v>1</v>
      </c>
      <c r="N18" s="379">
        <f t="shared" si="1"/>
        <v>-0.43193202035146244</v>
      </c>
      <c r="O18" s="376"/>
      <c r="P18" s="381">
        <f t="shared" si="2"/>
        <v>-2.5919320203514626</v>
      </c>
      <c r="Q18" s="382">
        <f t="shared" si="3"/>
        <v>-1.199968527940492</v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53</v>
      </c>
      <c r="G21" s="377"/>
      <c r="H21" s="505">
        <f>+'2010 Existing Rates'!$B$58</f>
        <v>0.0128</v>
      </c>
      <c r="I21" s="378">
        <f>H12</f>
        <v>100</v>
      </c>
      <c r="J21" s="379">
        <f t="shared" si="0"/>
        <v>1.28</v>
      </c>
      <c r="K21" s="376"/>
      <c r="L21" s="505">
        <f>+'Rate Schedule (Part 1)'!$E$13</f>
        <v>0.0143</v>
      </c>
      <c r="M21" s="380">
        <f>H12</f>
        <v>100</v>
      </c>
      <c r="N21" s="379">
        <f t="shared" si="1"/>
        <v>1.43</v>
      </c>
      <c r="O21" s="376"/>
      <c r="P21" s="381">
        <f t="shared" si="2"/>
        <v>0.1499999999999999</v>
      </c>
      <c r="Q21" s="382">
        <f t="shared" si="3"/>
        <v>0.11718749999999993</v>
      </c>
    </row>
    <row r="22" spans="4:17" ht="12.75">
      <c r="D22" s="376" t="s">
        <v>344</v>
      </c>
      <c r="E22" s="376"/>
      <c r="F22" s="514" t="s">
        <v>53</v>
      </c>
      <c r="G22" s="377"/>
      <c r="H22" s="505">
        <f>+'2010 Existing Rates'!$B$33</f>
        <v>0.0003</v>
      </c>
      <c r="I22" s="378">
        <f aca="true" t="shared" si="4" ref="I22:I27">I21</f>
        <v>100</v>
      </c>
      <c r="J22" s="379">
        <f t="shared" si="0"/>
        <v>0.03</v>
      </c>
      <c r="K22" s="376"/>
      <c r="L22" s="505">
        <f>+'Rate Schedule (Part 1)'!$E$14</f>
        <v>0.0002</v>
      </c>
      <c r="M22" s="380">
        <f aca="true" t="shared" si="5" ref="M22:M27">M21</f>
        <v>100</v>
      </c>
      <c r="N22" s="379">
        <f t="shared" si="1"/>
        <v>0.02</v>
      </c>
      <c r="O22" s="376"/>
      <c r="P22" s="381">
        <f t="shared" si="2"/>
        <v>-0.009999999999999998</v>
      </c>
      <c r="Q22" s="382">
        <f t="shared" si="3"/>
        <v>-0.3333333333333333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100</v>
      </c>
      <c r="J23" s="379">
        <f t="shared" si="0"/>
        <v>0</v>
      </c>
      <c r="K23" s="376"/>
      <c r="L23" s="505"/>
      <c r="M23" s="380">
        <f t="shared" si="5"/>
        <v>100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100</v>
      </c>
      <c r="J24" s="379">
        <f t="shared" si="0"/>
        <v>0</v>
      </c>
      <c r="K24" s="376"/>
      <c r="L24" s="505"/>
      <c r="M24" s="380">
        <f t="shared" si="5"/>
        <v>100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100</v>
      </c>
      <c r="J25" s="379">
        <f t="shared" si="0"/>
        <v>0</v>
      </c>
      <c r="K25" s="376"/>
      <c r="L25" s="505"/>
      <c r="M25" s="380">
        <f t="shared" si="5"/>
        <v>100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100</v>
      </c>
      <c r="J26" s="379">
        <f t="shared" si="0"/>
        <v>0</v>
      </c>
      <c r="K26" s="376"/>
      <c r="L26" s="505"/>
      <c r="M26" s="380">
        <f t="shared" si="5"/>
        <v>100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53</v>
      </c>
      <c r="G27" s="377"/>
      <c r="H27" s="505">
        <f>+'2010 Existing Rates'!$B$21</f>
        <v>-0.0039</v>
      </c>
      <c r="I27" s="378">
        <f t="shared" si="4"/>
        <v>100</v>
      </c>
      <c r="J27" s="379">
        <f t="shared" si="0"/>
        <v>-0.38999999999999996</v>
      </c>
      <c r="K27" s="376"/>
      <c r="L27" s="505">
        <f>+'Rate Schedule (Part 1)'!$E$17</f>
        <v>-0.0006676344696067126</v>
      </c>
      <c r="M27" s="380">
        <f t="shared" si="5"/>
        <v>100</v>
      </c>
      <c r="N27" s="379">
        <f t="shared" si="1"/>
        <v>-0.06676344696067127</v>
      </c>
      <c r="O27" s="376"/>
      <c r="P27" s="381">
        <f t="shared" si="2"/>
        <v>0.3232365530393287</v>
      </c>
      <c r="Q27" s="382">
        <f t="shared" si="3"/>
        <v>-0.8288116744598173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16.790000000000003</v>
      </c>
      <c r="L32" s="385"/>
      <c r="M32" s="388"/>
      <c r="N32" s="387">
        <f>SUM(N17:N31)</f>
        <v>16.311304532687867</v>
      </c>
      <c r="P32" s="389">
        <f t="shared" si="2"/>
        <v>-0.47869546731213575</v>
      </c>
      <c r="Q32" s="390">
        <f t="shared" si="3"/>
        <v>-0.028510748499829403</v>
      </c>
    </row>
    <row r="33" spans="4:17" ht="12.75">
      <c r="D33" s="391" t="s">
        <v>351</v>
      </c>
      <c r="E33" s="391"/>
      <c r="F33" s="515" t="s">
        <v>53</v>
      </c>
      <c r="G33" s="392"/>
      <c r="H33" s="506">
        <v>0.0059</v>
      </c>
      <c r="I33" s="393">
        <f>H12*(1+H48)</f>
        <v>103.50999999999999</v>
      </c>
      <c r="J33" s="394">
        <f>I33*H33</f>
        <v>0.610709</v>
      </c>
      <c r="K33" s="391"/>
      <c r="L33" s="506">
        <f>+'[7]E1.1 Adj Network to Fcst Whsl'!$S$22</f>
        <v>0.005484115818898886</v>
      </c>
      <c r="M33" s="395">
        <f>H12*(1+L48)</f>
        <v>103.6191247926728</v>
      </c>
      <c r="N33" s="394">
        <f>M33*L33</f>
        <v>0.5682592814159546</v>
      </c>
      <c r="O33" s="391"/>
      <c r="P33" s="396">
        <f t="shared" si="2"/>
        <v>-0.04244971858404534</v>
      </c>
      <c r="Q33" s="397">
        <f t="shared" si="3"/>
        <v>-0.0695089127293774</v>
      </c>
    </row>
    <row r="34" spans="4:17" ht="26.25" thickBot="1">
      <c r="D34" s="398" t="s">
        <v>352</v>
      </c>
      <c r="E34" s="391"/>
      <c r="F34" s="515" t="s">
        <v>53</v>
      </c>
      <c r="G34" s="392"/>
      <c r="H34" s="506">
        <v>0.0047</v>
      </c>
      <c r="I34" s="393">
        <f>I33</f>
        <v>103.50999999999999</v>
      </c>
      <c r="J34" s="394">
        <f>I34*H34</f>
        <v>0.48649699999999996</v>
      </c>
      <c r="K34" s="391"/>
      <c r="L34" s="506">
        <f>+'[7]E1.2 Adj Conn to Fcst Whsl'!$S$22</f>
        <v>0.004641093626279696</v>
      </c>
      <c r="M34" s="395">
        <f>M33</f>
        <v>103.6191247926728</v>
      </c>
      <c r="N34" s="394">
        <f>M34*L34</f>
        <v>0.48090605963595423</v>
      </c>
      <c r="O34" s="391"/>
      <c r="P34" s="396">
        <f t="shared" si="2"/>
        <v>-0.005590940364045727</v>
      </c>
      <c r="Q34" s="397">
        <f t="shared" si="3"/>
        <v>-0.011492240166014852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17.887206000000003</v>
      </c>
      <c r="K35" s="403"/>
      <c r="L35" s="404"/>
      <c r="M35" s="405"/>
      <c r="N35" s="402">
        <f>SUM(N32:N34)</f>
        <v>17.360469873739778</v>
      </c>
      <c r="O35" s="403"/>
      <c r="P35" s="406">
        <f t="shared" si="2"/>
        <v>-0.526736126260225</v>
      </c>
      <c r="Q35" s="407">
        <f t="shared" si="3"/>
        <v>-0.029447646896906366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I34</f>
        <v>103.50999999999999</v>
      </c>
      <c r="J36" s="379">
        <f aca="true" t="shared" si="6" ref="J36:J43">I36*H36</f>
        <v>0.538252</v>
      </c>
      <c r="K36" s="376"/>
      <c r="L36" s="505">
        <v>0.0052</v>
      </c>
      <c r="M36" s="380">
        <f>M34</f>
        <v>103.6191247926728</v>
      </c>
      <c r="N36" s="379">
        <f aca="true" t="shared" si="7" ref="N36:N43">M36*L36</f>
        <v>0.5388194489218986</v>
      </c>
      <c r="O36" s="376"/>
      <c r="P36" s="381">
        <f t="shared" si="2"/>
        <v>0.0005674489218986389</v>
      </c>
      <c r="Q36" s="382">
        <f t="shared" si="3"/>
        <v>0.0010542439636055956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I34</f>
        <v>103.50999999999999</v>
      </c>
      <c r="J37" s="379">
        <f t="shared" si="6"/>
        <v>0.134563</v>
      </c>
      <c r="K37" s="376"/>
      <c r="L37" s="505">
        <v>0.0013</v>
      </c>
      <c r="M37" s="380">
        <f>M34</f>
        <v>103.6191247926728</v>
      </c>
      <c r="N37" s="379">
        <f t="shared" si="7"/>
        <v>0.13470486223047465</v>
      </c>
      <c r="O37" s="376"/>
      <c r="P37" s="381">
        <f t="shared" si="2"/>
        <v>0.00014186223047465973</v>
      </c>
      <c r="Q37" s="382">
        <f t="shared" si="3"/>
        <v>0.0010542439636055956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I34</f>
        <v>103.50999999999999</v>
      </c>
      <c r="J38" s="379">
        <f t="shared" si="6"/>
        <v>0.03860923</v>
      </c>
      <c r="K38" s="376"/>
      <c r="L38" s="508">
        <v>0.000373</v>
      </c>
      <c r="M38" s="380">
        <f>M34</f>
        <v>103.6191247926728</v>
      </c>
      <c r="N38" s="379">
        <f t="shared" si="7"/>
        <v>0.03864993354766696</v>
      </c>
      <c r="O38" s="376"/>
      <c r="P38" s="381">
        <f t="shared" si="2"/>
        <v>4.07035476669565E-05</v>
      </c>
      <c r="Q38" s="382">
        <f t="shared" si="3"/>
        <v>0.001054243963605503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100</v>
      </c>
      <c r="J40" s="379">
        <f t="shared" si="6"/>
        <v>0.7000000000000001</v>
      </c>
      <c r="K40" s="376"/>
      <c r="L40" s="505">
        <v>0.007</v>
      </c>
      <c r="M40" s="380">
        <f>+$H12</f>
        <v>100</v>
      </c>
      <c r="N40" s="379">
        <f t="shared" si="7"/>
        <v>0.7000000000000001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/>
      <c r="G41" s="377"/>
      <c r="H41" s="505"/>
      <c r="I41" s="378"/>
      <c r="J41" s="379">
        <f t="shared" si="6"/>
        <v>0</v>
      </c>
      <c r="K41" s="376"/>
      <c r="L41" s="505"/>
      <c r="M41" s="380"/>
      <c r="N41" s="379">
        <f t="shared" si="7"/>
        <v>0</v>
      </c>
      <c r="O41" s="376"/>
      <c r="P41" s="381">
        <f t="shared" si="2"/>
        <v>0</v>
      </c>
      <c r="Q41" s="382">
        <f t="shared" si="3"/>
      </c>
    </row>
    <row r="42" spans="4:17" ht="12.75">
      <c r="D42" s="502" t="s">
        <v>366</v>
      </c>
      <c r="E42" s="376"/>
      <c r="F42" s="514" t="s">
        <v>53</v>
      </c>
      <c r="G42" s="377"/>
      <c r="H42" s="505">
        <f>+'Other Electriciy Rates'!$J$10</f>
        <v>0.065</v>
      </c>
      <c r="I42" s="509">
        <f>IF($H12*(1+$H48)&gt;600,600,($H12*(1+$H48)))</f>
        <v>103.50999999999999</v>
      </c>
      <c r="J42" s="379">
        <f t="shared" si="6"/>
        <v>6.728149999999999</v>
      </c>
      <c r="K42" s="376"/>
      <c r="L42" s="505">
        <f>+'Other Electriciy Rates'!$J$25</f>
        <v>0.065</v>
      </c>
      <c r="M42" s="509">
        <f>IF($H12*(1+$L48)&gt;600,600,($H12*(1+$L48)))</f>
        <v>103.6191247926728</v>
      </c>
      <c r="N42" s="379">
        <f t="shared" si="7"/>
        <v>6.735243111523733</v>
      </c>
      <c r="O42" s="376"/>
      <c r="P42" s="381">
        <f t="shared" si="2"/>
        <v>0.007093111523733597</v>
      </c>
      <c r="Q42" s="382">
        <f t="shared" si="3"/>
        <v>0.0010542439636056862</v>
      </c>
    </row>
    <row r="43" spans="4:17" ht="13.5" thickBot="1">
      <c r="D43" s="501" t="s">
        <v>365</v>
      </c>
      <c r="E43" s="376"/>
      <c r="F43" s="514"/>
      <c r="G43" s="377"/>
      <c r="H43" s="505">
        <f>+'Other Electriciy Rates'!$K$10</f>
        <v>0.075</v>
      </c>
      <c r="I43" s="509">
        <f>IF($H12*(1+$H48)&gt;600,$H12*(1+$H48)-$I42,0)</f>
        <v>0</v>
      </c>
      <c r="J43" s="379">
        <f t="shared" si="6"/>
        <v>0</v>
      </c>
      <c r="K43" s="376"/>
      <c r="L43" s="505">
        <f>+'Other Electriciy Rates'!$K$25</f>
        <v>0.075</v>
      </c>
      <c r="M43" s="509">
        <f>IF($H12*(1+$L48)&gt;600,$H12*(1+$L48)-$I42,0)</f>
        <v>0</v>
      </c>
      <c r="N43" s="379">
        <f t="shared" si="7"/>
        <v>0</v>
      </c>
      <c r="O43" s="376"/>
      <c r="P43" s="381">
        <f t="shared" si="2"/>
        <v>0</v>
      </c>
      <c r="Q43" s="382">
        <f t="shared" si="3"/>
      </c>
    </row>
    <row r="44" spans="4:17" ht="13.5" thickBot="1">
      <c r="D44" s="503" t="s">
        <v>360</v>
      </c>
      <c r="E44" s="376"/>
      <c r="F44" s="376"/>
      <c r="G44" s="376"/>
      <c r="H44" s="409"/>
      <c r="I44" s="410"/>
      <c r="J44" s="402">
        <f>SUM(J35:J43)</f>
        <v>26.27678023</v>
      </c>
      <c r="K44" s="403"/>
      <c r="L44" s="411"/>
      <c r="M44" s="412"/>
      <c r="N44" s="402">
        <f>SUM(N35:N43)</f>
        <v>25.75788722996355</v>
      </c>
      <c r="O44" s="403"/>
      <c r="P44" s="406">
        <f t="shared" si="2"/>
        <v>-0.5188930000364493</v>
      </c>
      <c r="Q44" s="407">
        <f t="shared" si="3"/>
        <v>-0.019747206297521688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3.4159814299</v>
      </c>
      <c r="K45" s="376"/>
      <c r="L45" s="511">
        <v>0.13</v>
      </c>
      <c r="M45" s="415"/>
      <c r="N45" s="414">
        <f>N44*L45</f>
        <v>3.3485253398952617</v>
      </c>
      <c r="O45" s="376"/>
      <c r="P45" s="381">
        <f t="shared" si="2"/>
        <v>-0.06745609000473829</v>
      </c>
      <c r="Q45" s="382">
        <f t="shared" si="3"/>
        <v>-0.01974720629752165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29.69</v>
      </c>
      <c r="K46" s="403"/>
      <c r="L46" s="404"/>
      <c r="M46" s="405"/>
      <c r="N46" s="402">
        <f>ROUND(SUM(N44:N45),2)</f>
        <v>29.11</v>
      </c>
      <c r="O46" s="403"/>
      <c r="P46" s="406">
        <f t="shared" si="2"/>
        <v>-0.5800000000000018</v>
      </c>
      <c r="Q46" s="407">
        <f t="shared" si="3"/>
        <v>-0.01953519703603913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">
        <v>200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9" ht="12.75">
      <c r="B59" s="363" t="s">
        <v>53</v>
      </c>
      <c r="F59" s="367" t="s">
        <v>66</v>
      </c>
      <c r="G59" s="367"/>
      <c r="H59" s="504">
        <v>250</v>
      </c>
      <c r="I59" s="367" t="s">
        <v>332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83">
        <f>+'2010 Existing Rates'!$C$8</f>
        <v>13.71</v>
      </c>
      <c r="I64" s="378">
        <v>1</v>
      </c>
      <c r="J64" s="379">
        <f aca="true" t="shared" si="8" ref="J64:J78">I64*H64</f>
        <v>13.71</v>
      </c>
      <c r="K64" s="376"/>
      <c r="L64" s="583">
        <f>+'Rate Schedule (Part 1)'!$E$12</f>
        <v>15.36</v>
      </c>
      <c r="M64" s="380">
        <v>1</v>
      </c>
      <c r="N64" s="379">
        <f aca="true" t="shared" si="9" ref="N64:N78">M64*L64</f>
        <v>15.36</v>
      </c>
      <c r="O64" s="376"/>
      <c r="P64" s="381">
        <f aca="true" t="shared" si="10" ref="P64:P90">N64-J64</f>
        <v>1.6499999999999986</v>
      </c>
      <c r="Q64" s="382">
        <f aca="true" t="shared" si="11" ref="Q64:Q90">IF((J64)=0,"",(P64/J64))</f>
        <v>0.12035010940919026</v>
      </c>
    </row>
    <row r="65" spans="4:17" ht="12.75">
      <c r="D65" s="376" t="s">
        <v>226</v>
      </c>
      <c r="E65" s="376"/>
      <c r="F65" s="514" t="s">
        <v>330</v>
      </c>
      <c r="G65" s="377"/>
      <c r="H65" s="583">
        <f>+'2010 Existing Rates'!$B$45</f>
        <v>2.16</v>
      </c>
      <c r="I65" s="378">
        <v>1</v>
      </c>
      <c r="J65" s="379">
        <f t="shared" si="8"/>
        <v>2.16</v>
      </c>
      <c r="K65" s="376"/>
      <c r="L65" s="583">
        <f>+'Rate Schedule (Part 1)'!$E$16</f>
        <v>-0.43193202035146244</v>
      </c>
      <c r="M65" s="380">
        <v>1</v>
      </c>
      <c r="N65" s="379">
        <f t="shared" si="9"/>
        <v>-0.43193202035146244</v>
      </c>
      <c r="O65" s="376"/>
      <c r="P65" s="381">
        <f t="shared" si="10"/>
        <v>-2.5919320203514626</v>
      </c>
      <c r="Q65" s="382">
        <f t="shared" si="11"/>
        <v>-1.199968527940492</v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53</v>
      </c>
      <c r="G68" s="377"/>
      <c r="H68" s="505">
        <f>+'2010 Existing Rates'!$B$58</f>
        <v>0.0128</v>
      </c>
      <c r="I68" s="378">
        <f>H59</f>
        <v>250</v>
      </c>
      <c r="J68" s="379">
        <f t="shared" si="8"/>
        <v>3.2</v>
      </c>
      <c r="K68" s="376"/>
      <c r="L68" s="505">
        <f>+'Rate Schedule (Part 1)'!$E$13</f>
        <v>0.0143</v>
      </c>
      <c r="M68" s="380">
        <f>H59</f>
        <v>250</v>
      </c>
      <c r="N68" s="379">
        <f t="shared" si="9"/>
        <v>3.575</v>
      </c>
      <c r="O68" s="376"/>
      <c r="P68" s="381">
        <f t="shared" si="10"/>
        <v>0.375</v>
      </c>
      <c r="Q68" s="382">
        <f t="shared" si="11"/>
        <v>0.1171875</v>
      </c>
    </row>
    <row r="69" spans="4:17" ht="12.75">
      <c r="D69" s="376" t="s">
        <v>344</v>
      </c>
      <c r="E69" s="376"/>
      <c r="F69" s="514" t="s">
        <v>53</v>
      </c>
      <c r="G69" s="377"/>
      <c r="H69" s="505">
        <f>+'2010 Existing Rates'!$B$33</f>
        <v>0.0003</v>
      </c>
      <c r="I69" s="378">
        <f aca="true" t="shared" si="12" ref="I69:I74">I68</f>
        <v>250</v>
      </c>
      <c r="J69" s="379">
        <f t="shared" si="8"/>
        <v>0.075</v>
      </c>
      <c r="K69" s="376"/>
      <c r="L69" s="505">
        <f>+'Rate Schedule (Part 1)'!$E$14</f>
        <v>0.0002</v>
      </c>
      <c r="M69" s="380">
        <f aca="true" t="shared" si="13" ref="M69:M74">M68</f>
        <v>250</v>
      </c>
      <c r="N69" s="379">
        <f t="shared" si="9"/>
        <v>0.05</v>
      </c>
      <c r="O69" s="376"/>
      <c r="P69" s="381">
        <f t="shared" si="10"/>
        <v>-0.024999999999999994</v>
      </c>
      <c r="Q69" s="382">
        <f t="shared" si="11"/>
        <v>-0.33333333333333326</v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250</v>
      </c>
      <c r="J70" s="379">
        <f t="shared" si="8"/>
        <v>0</v>
      </c>
      <c r="K70" s="376"/>
      <c r="L70" s="505"/>
      <c r="M70" s="380">
        <f t="shared" si="13"/>
        <v>250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250</v>
      </c>
      <c r="J71" s="379">
        <f t="shared" si="8"/>
        <v>0</v>
      </c>
      <c r="K71" s="376"/>
      <c r="L71" s="505"/>
      <c r="M71" s="380">
        <f t="shared" si="13"/>
        <v>250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250</v>
      </c>
      <c r="J72" s="379">
        <f t="shared" si="8"/>
        <v>0</v>
      </c>
      <c r="K72" s="376"/>
      <c r="L72" s="505"/>
      <c r="M72" s="380">
        <f t="shared" si="13"/>
        <v>250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250</v>
      </c>
      <c r="J73" s="379">
        <f t="shared" si="8"/>
        <v>0</v>
      </c>
      <c r="K73" s="376"/>
      <c r="L73" s="505"/>
      <c r="M73" s="380">
        <f t="shared" si="13"/>
        <v>250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53</v>
      </c>
      <c r="G74" s="377"/>
      <c r="H74" s="505">
        <f>+'2010 Existing Rates'!$B$21</f>
        <v>-0.0039</v>
      </c>
      <c r="I74" s="378">
        <f t="shared" si="12"/>
        <v>250</v>
      </c>
      <c r="J74" s="379">
        <f t="shared" si="8"/>
        <v>-0.975</v>
      </c>
      <c r="K74" s="376"/>
      <c r="L74" s="505">
        <f>+'Rate Schedule (Part 1)'!$E$17</f>
        <v>-0.0006676344696067126</v>
      </c>
      <c r="M74" s="380">
        <f t="shared" si="13"/>
        <v>250</v>
      </c>
      <c r="N74" s="379">
        <f t="shared" si="9"/>
        <v>-0.16690861740167814</v>
      </c>
      <c r="O74" s="376"/>
      <c r="P74" s="381">
        <f t="shared" si="10"/>
        <v>0.8080913825983218</v>
      </c>
      <c r="Q74" s="382">
        <f t="shared" si="11"/>
        <v>-0.8288116744598173</v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18.169999999999998</v>
      </c>
      <c r="L79" s="385"/>
      <c r="M79" s="388"/>
      <c r="N79" s="387">
        <f>SUM(N64:N78)</f>
        <v>18.38615936224686</v>
      </c>
      <c r="P79" s="389">
        <f t="shared" si="10"/>
        <v>0.21615936224686294</v>
      </c>
      <c r="Q79" s="390">
        <f t="shared" si="11"/>
        <v>0.011896497647048044</v>
      </c>
    </row>
    <row r="80" spans="4:17" ht="12.75">
      <c r="D80" s="391" t="s">
        <v>351</v>
      </c>
      <c r="E80" s="391"/>
      <c r="F80" s="515" t="s">
        <v>53</v>
      </c>
      <c r="G80" s="392"/>
      <c r="H80" s="506">
        <v>0.0059</v>
      </c>
      <c r="I80" s="393">
        <f>H59*(1+H95)</f>
        <v>258.775</v>
      </c>
      <c r="J80" s="394">
        <f>I80*H80</f>
        <v>1.5267724999999999</v>
      </c>
      <c r="K80" s="391"/>
      <c r="L80" s="506">
        <f>+'[7]E1.1 Adj Network to Fcst Whsl'!$S$22</f>
        <v>0.005484115818898886</v>
      </c>
      <c r="M80" s="395">
        <f>H59*(1+L95)</f>
        <v>259.047811981682</v>
      </c>
      <c r="N80" s="394">
        <f>M80*L80</f>
        <v>1.4206482035398866</v>
      </c>
      <c r="O80" s="391"/>
      <c r="P80" s="396">
        <f t="shared" si="10"/>
        <v>-0.10612429646011323</v>
      </c>
      <c r="Q80" s="397">
        <f t="shared" si="11"/>
        <v>-0.06950891272937733</v>
      </c>
    </row>
    <row r="81" spans="4:17" ht="26.25" thickBot="1">
      <c r="D81" s="398" t="s">
        <v>352</v>
      </c>
      <c r="E81" s="391"/>
      <c r="F81" s="515" t="s">
        <v>53</v>
      </c>
      <c r="G81" s="392"/>
      <c r="H81" s="506">
        <v>0.0047</v>
      </c>
      <c r="I81" s="393">
        <f>I80</f>
        <v>258.775</v>
      </c>
      <c r="J81" s="394">
        <f>I81*H81</f>
        <v>1.2162425</v>
      </c>
      <c r="K81" s="391"/>
      <c r="L81" s="506">
        <f>+'[7]E1.2 Adj Conn to Fcst Whsl'!$S$22</f>
        <v>0.004641093626279696</v>
      </c>
      <c r="M81" s="395">
        <f>M80</f>
        <v>259.047811981682</v>
      </c>
      <c r="N81" s="394">
        <f>M81*L81</f>
        <v>1.2022651490898855</v>
      </c>
      <c r="O81" s="391"/>
      <c r="P81" s="396">
        <f t="shared" si="10"/>
        <v>-0.013977350910114428</v>
      </c>
      <c r="Q81" s="397">
        <f t="shared" si="11"/>
        <v>-0.011492240166014942</v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20.913014999999998</v>
      </c>
      <c r="K82" s="403"/>
      <c r="L82" s="404"/>
      <c r="M82" s="405"/>
      <c r="N82" s="402">
        <f>SUM(N79:N81)</f>
        <v>21.009072714876634</v>
      </c>
      <c r="O82" s="403"/>
      <c r="P82" s="406">
        <f t="shared" si="10"/>
        <v>0.09605771487663617</v>
      </c>
      <c r="Q82" s="407">
        <f t="shared" si="11"/>
        <v>0.004593202600229387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I81</f>
        <v>258.775</v>
      </c>
      <c r="J83" s="379">
        <f aca="true" t="shared" si="14" ref="J83:J90">I83*H83</f>
        <v>1.3456299999999999</v>
      </c>
      <c r="K83" s="376"/>
      <c r="L83" s="505">
        <v>0.0052</v>
      </c>
      <c r="M83" s="380">
        <f>M81</f>
        <v>259.047811981682</v>
      </c>
      <c r="N83" s="379">
        <f aca="true" t="shared" si="15" ref="N83:N90">M83*L83</f>
        <v>1.3470486223047464</v>
      </c>
      <c r="O83" s="376"/>
      <c r="P83" s="381">
        <f t="shared" si="10"/>
        <v>0.0014186223047465418</v>
      </c>
      <c r="Q83" s="382">
        <f t="shared" si="11"/>
        <v>0.0010542439636055541</v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I81</f>
        <v>258.775</v>
      </c>
      <c r="J84" s="379">
        <f t="shared" si="14"/>
        <v>0.33640749999999997</v>
      </c>
      <c r="K84" s="376"/>
      <c r="L84" s="505">
        <v>0.0013</v>
      </c>
      <c r="M84" s="380">
        <f>M81</f>
        <v>259.047811981682</v>
      </c>
      <c r="N84" s="379">
        <f t="shared" si="15"/>
        <v>0.3367621555761866</v>
      </c>
      <c r="O84" s="376"/>
      <c r="P84" s="381">
        <f t="shared" si="10"/>
        <v>0.00035465557618663546</v>
      </c>
      <c r="Q84" s="382">
        <f t="shared" si="11"/>
        <v>0.0010542439636055541</v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I81</f>
        <v>258.775</v>
      </c>
      <c r="J85" s="379">
        <f t="shared" si="14"/>
        <v>0.096523075</v>
      </c>
      <c r="K85" s="376"/>
      <c r="L85" s="508">
        <v>0.000373</v>
      </c>
      <c r="M85" s="380">
        <f>M81</f>
        <v>259.047811981682</v>
      </c>
      <c r="N85" s="379">
        <f t="shared" si="15"/>
        <v>0.09662483386916738</v>
      </c>
      <c r="O85" s="376"/>
      <c r="P85" s="381">
        <f t="shared" si="10"/>
        <v>0.0001017588691673843</v>
      </c>
      <c r="Q85" s="382">
        <f t="shared" si="11"/>
        <v>0.0010542439636054312</v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250</v>
      </c>
      <c r="J87" s="379">
        <f t="shared" si="14"/>
        <v>1.75</v>
      </c>
      <c r="K87" s="376"/>
      <c r="L87" s="505">
        <v>0.007</v>
      </c>
      <c r="M87" s="380">
        <f>+$H59</f>
        <v>250</v>
      </c>
      <c r="N87" s="379">
        <f t="shared" si="15"/>
        <v>1.75</v>
      </c>
      <c r="O87" s="376"/>
      <c r="P87" s="381">
        <f t="shared" si="10"/>
        <v>0</v>
      </c>
      <c r="Q87" s="382">
        <f t="shared" si="11"/>
        <v>0</v>
      </c>
    </row>
    <row r="88" spans="4:17" ht="12.75">
      <c r="D88" s="376" t="s">
        <v>359</v>
      </c>
      <c r="E88" s="376"/>
      <c r="F88" s="514"/>
      <c r="G88" s="377"/>
      <c r="H88" s="505"/>
      <c r="I88" s="378"/>
      <c r="J88" s="379">
        <f t="shared" si="14"/>
        <v>0</v>
      </c>
      <c r="K88" s="376"/>
      <c r="L88" s="505"/>
      <c r="M88" s="380"/>
      <c r="N88" s="379">
        <f t="shared" si="15"/>
        <v>0</v>
      </c>
      <c r="O88" s="376"/>
      <c r="P88" s="381">
        <f t="shared" si="10"/>
        <v>0</v>
      </c>
      <c r="Q88" s="382">
        <f t="shared" si="11"/>
      </c>
    </row>
    <row r="89" spans="4:17" ht="12.75">
      <c r="D89" s="502" t="s">
        <v>366</v>
      </c>
      <c r="E89" s="376"/>
      <c r="F89" s="514" t="s">
        <v>53</v>
      </c>
      <c r="G89" s="377"/>
      <c r="H89" s="505">
        <f>+'Other Electriciy Rates'!$J$10</f>
        <v>0.065</v>
      </c>
      <c r="I89" s="509">
        <f>IF($H59*(1+$H95)&gt;600,600,($H59*(1+$H95)))</f>
        <v>258.775</v>
      </c>
      <c r="J89" s="379">
        <f t="shared" si="14"/>
        <v>16.820375</v>
      </c>
      <c r="K89" s="376"/>
      <c r="L89" s="505">
        <f>+'Other Electriciy Rates'!$J$25</f>
        <v>0.065</v>
      </c>
      <c r="M89" s="509">
        <f>IF($H59*(1+$L95)&gt;600,600,($H59*(1+$L95)))</f>
        <v>259.047811981682</v>
      </c>
      <c r="N89" s="379">
        <f t="shared" si="15"/>
        <v>16.83810777880933</v>
      </c>
      <c r="O89" s="376"/>
      <c r="P89" s="381">
        <f t="shared" si="10"/>
        <v>0.017732778809332217</v>
      </c>
      <c r="Q89" s="382">
        <f t="shared" si="11"/>
        <v>0.0010542439636055806</v>
      </c>
    </row>
    <row r="90" spans="4:17" ht="13.5" thickBot="1">
      <c r="D90" s="501" t="s">
        <v>365</v>
      </c>
      <c r="E90" s="376"/>
      <c r="F90" s="514"/>
      <c r="G90" s="377"/>
      <c r="H90" s="505">
        <f>+'Other Electriciy Rates'!$K$10</f>
        <v>0.075</v>
      </c>
      <c r="I90" s="509">
        <f>IF($H59*(1+$H95)&gt;600,$H59*(1+$H95)-$I89,0)</f>
        <v>0</v>
      </c>
      <c r="J90" s="379">
        <f t="shared" si="14"/>
        <v>0</v>
      </c>
      <c r="K90" s="376"/>
      <c r="L90" s="505">
        <f>+'Other Electriciy Rates'!$K$25</f>
        <v>0.075</v>
      </c>
      <c r="M90" s="509">
        <f>IF($H59*(1+$L95)&gt;600,$H59*(1+$L95)-$I89,0)</f>
        <v>0</v>
      </c>
      <c r="N90" s="379">
        <f t="shared" si="15"/>
        <v>0</v>
      </c>
      <c r="O90" s="376"/>
      <c r="P90" s="381">
        <f t="shared" si="10"/>
        <v>0</v>
      </c>
      <c r="Q90" s="382">
        <f t="shared" si="11"/>
      </c>
    </row>
    <row r="91" spans="4:17" ht="13.5" thickBot="1">
      <c r="D91" s="503" t="s">
        <v>360</v>
      </c>
      <c r="E91" s="376"/>
      <c r="F91" s="376"/>
      <c r="G91" s="376"/>
      <c r="H91" s="409"/>
      <c r="I91" s="410"/>
      <c r="J91" s="402">
        <f>SUM(J82:J90)</f>
        <v>41.511950575</v>
      </c>
      <c r="K91" s="403"/>
      <c r="L91" s="411"/>
      <c r="M91" s="412"/>
      <c r="N91" s="402">
        <f>SUM(N82:N90)</f>
        <v>41.62761610543606</v>
      </c>
      <c r="O91" s="403"/>
      <c r="P91" s="406">
        <f>N91-J91</f>
        <v>0.1156655304360612</v>
      </c>
      <c r="Q91" s="407">
        <f>IF((J91)=0,"",(P91/J91))</f>
        <v>0.0027863188511724423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5.39655357475</v>
      </c>
      <c r="K92" s="376"/>
      <c r="L92" s="511">
        <v>0.13</v>
      </c>
      <c r="M92" s="415"/>
      <c r="N92" s="414">
        <f>N91*L92</f>
        <v>5.411590093706688</v>
      </c>
      <c r="O92" s="376"/>
      <c r="P92" s="381">
        <f>N92-J92</f>
        <v>0.015036518956687672</v>
      </c>
      <c r="Q92" s="382">
        <f>IF((J92)=0,"",(P92/J92))</f>
        <v>0.0027863188511723894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46.91</v>
      </c>
      <c r="K93" s="403"/>
      <c r="L93" s="404"/>
      <c r="M93" s="405"/>
      <c r="N93" s="402">
        <f>ROUND(SUM(N91:N92),2)</f>
        <v>47.04</v>
      </c>
      <c r="O93" s="403"/>
      <c r="P93" s="406">
        <f>N93-J93</f>
        <v>0.13000000000000256</v>
      </c>
      <c r="Q93" s="407">
        <f>IF((J93)=0,"",(P93/J93))</f>
        <v>0.0027712641227883726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">
        <v>200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9" ht="12.75">
      <c r="B106" s="363" t="s">
        <v>53</v>
      </c>
      <c r="F106" s="367" t="s">
        <v>66</v>
      </c>
      <c r="G106" s="367"/>
      <c r="H106" s="504">
        <v>500</v>
      </c>
      <c r="I106" s="367" t="s">
        <v>332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83">
        <f>+'2010 Existing Rates'!$C$8</f>
        <v>13.71</v>
      </c>
      <c r="I111" s="378">
        <v>1</v>
      </c>
      <c r="J111" s="379">
        <f aca="true" t="shared" si="16" ref="J111:J125">I111*H111</f>
        <v>13.71</v>
      </c>
      <c r="K111" s="376"/>
      <c r="L111" s="583">
        <f>+'Rate Schedule (Part 1)'!$E$12</f>
        <v>15.36</v>
      </c>
      <c r="M111" s="380">
        <v>1</v>
      </c>
      <c r="N111" s="379">
        <f aca="true" t="shared" si="17" ref="N111:N125">M111*L111</f>
        <v>15.36</v>
      </c>
      <c r="O111" s="376"/>
      <c r="P111" s="381">
        <f aca="true" t="shared" si="18" ref="P111:P137">N111-J111</f>
        <v>1.6499999999999986</v>
      </c>
      <c r="Q111" s="382">
        <f aca="true" t="shared" si="19" ref="Q111:Q137">IF((J111)=0,"",(P111/J111))</f>
        <v>0.12035010940919026</v>
      </c>
    </row>
    <row r="112" spans="4:17" ht="12.75">
      <c r="D112" s="376" t="s">
        <v>226</v>
      </c>
      <c r="E112" s="376"/>
      <c r="F112" s="514" t="s">
        <v>330</v>
      </c>
      <c r="G112" s="377"/>
      <c r="H112" s="583">
        <f>+'2010 Existing Rates'!$B$45</f>
        <v>2.16</v>
      </c>
      <c r="I112" s="378">
        <v>1</v>
      </c>
      <c r="J112" s="379">
        <f t="shared" si="16"/>
        <v>2.16</v>
      </c>
      <c r="K112" s="376"/>
      <c r="L112" s="583">
        <f>+'Rate Schedule (Part 1)'!$E$16</f>
        <v>-0.43193202035146244</v>
      </c>
      <c r="M112" s="380">
        <v>1</v>
      </c>
      <c r="N112" s="379">
        <f t="shared" si="17"/>
        <v>-0.43193202035146244</v>
      </c>
      <c r="O112" s="376"/>
      <c r="P112" s="381">
        <f t="shared" si="18"/>
        <v>-2.5919320203514626</v>
      </c>
      <c r="Q112" s="382">
        <f t="shared" si="19"/>
        <v>-1.199968527940492</v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53</v>
      </c>
      <c r="G115" s="377"/>
      <c r="H115" s="505">
        <f>+'2010 Existing Rates'!$B$58</f>
        <v>0.0128</v>
      </c>
      <c r="I115" s="378">
        <f>H106</f>
        <v>500</v>
      </c>
      <c r="J115" s="379">
        <f t="shared" si="16"/>
        <v>6.4</v>
      </c>
      <c r="K115" s="376"/>
      <c r="L115" s="505">
        <f>+'Rate Schedule (Part 1)'!$E$13</f>
        <v>0.0143</v>
      </c>
      <c r="M115" s="380">
        <f>H106</f>
        <v>500</v>
      </c>
      <c r="N115" s="379">
        <f t="shared" si="17"/>
        <v>7.15</v>
      </c>
      <c r="O115" s="376"/>
      <c r="P115" s="381">
        <f t="shared" si="18"/>
        <v>0.75</v>
      </c>
      <c r="Q115" s="382">
        <f t="shared" si="19"/>
        <v>0.1171875</v>
      </c>
    </row>
    <row r="116" spans="4:17" ht="12.75">
      <c r="D116" s="376" t="s">
        <v>344</v>
      </c>
      <c r="E116" s="376"/>
      <c r="F116" s="514" t="s">
        <v>53</v>
      </c>
      <c r="G116" s="377"/>
      <c r="H116" s="505">
        <f>+'2010 Existing Rates'!$B$33</f>
        <v>0.0003</v>
      </c>
      <c r="I116" s="378">
        <f aca="true" t="shared" si="20" ref="I116:I121">I115</f>
        <v>500</v>
      </c>
      <c r="J116" s="379">
        <f t="shared" si="16"/>
        <v>0.15</v>
      </c>
      <c r="K116" s="376"/>
      <c r="L116" s="505">
        <f>+'Rate Schedule (Part 1)'!$E$14</f>
        <v>0.0002</v>
      </c>
      <c r="M116" s="380">
        <f aca="true" t="shared" si="21" ref="M116:M121">M115</f>
        <v>500</v>
      </c>
      <c r="N116" s="379">
        <f t="shared" si="17"/>
        <v>0.1</v>
      </c>
      <c r="O116" s="376"/>
      <c r="P116" s="381">
        <f t="shared" si="18"/>
        <v>-0.04999999999999999</v>
      </c>
      <c r="Q116" s="382">
        <f t="shared" si="19"/>
        <v>-0.33333333333333326</v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500</v>
      </c>
      <c r="J117" s="379">
        <f t="shared" si="16"/>
        <v>0</v>
      </c>
      <c r="K117" s="376"/>
      <c r="L117" s="505"/>
      <c r="M117" s="380">
        <f t="shared" si="21"/>
        <v>500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500</v>
      </c>
      <c r="J118" s="379">
        <f t="shared" si="16"/>
        <v>0</v>
      </c>
      <c r="K118" s="376"/>
      <c r="L118" s="505"/>
      <c r="M118" s="380">
        <f t="shared" si="21"/>
        <v>500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500</v>
      </c>
      <c r="J119" s="379">
        <f t="shared" si="16"/>
        <v>0</v>
      </c>
      <c r="K119" s="376"/>
      <c r="L119" s="505"/>
      <c r="M119" s="380">
        <f t="shared" si="21"/>
        <v>500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500</v>
      </c>
      <c r="J120" s="379">
        <f t="shared" si="16"/>
        <v>0</v>
      </c>
      <c r="K120" s="376"/>
      <c r="L120" s="505"/>
      <c r="M120" s="380">
        <f t="shared" si="21"/>
        <v>500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53</v>
      </c>
      <c r="G121" s="377"/>
      <c r="H121" s="505">
        <f>+'2010 Existing Rates'!$B$21</f>
        <v>-0.0039</v>
      </c>
      <c r="I121" s="378">
        <f t="shared" si="20"/>
        <v>500</v>
      </c>
      <c r="J121" s="379">
        <f t="shared" si="16"/>
        <v>-1.95</v>
      </c>
      <c r="K121" s="376"/>
      <c r="L121" s="505">
        <f>+'Rate Schedule (Part 1)'!$E$17</f>
        <v>-0.0006676344696067126</v>
      </c>
      <c r="M121" s="380">
        <f t="shared" si="21"/>
        <v>500</v>
      </c>
      <c r="N121" s="379">
        <f t="shared" si="17"/>
        <v>-0.3338172348033563</v>
      </c>
      <c r="O121" s="376"/>
      <c r="P121" s="381">
        <f t="shared" si="18"/>
        <v>1.6161827651966436</v>
      </c>
      <c r="Q121" s="382">
        <f t="shared" si="19"/>
        <v>-0.8288116744598173</v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20.470000000000002</v>
      </c>
      <c r="L126" s="385"/>
      <c r="M126" s="388"/>
      <c r="N126" s="387">
        <f>SUM(N111:N125)</f>
        <v>21.844250744845183</v>
      </c>
      <c r="P126" s="389">
        <f t="shared" si="18"/>
        <v>1.374250744845181</v>
      </c>
      <c r="Q126" s="390">
        <f t="shared" si="19"/>
        <v>0.06713486784783493</v>
      </c>
    </row>
    <row r="127" spans="4:17" ht="12.75">
      <c r="D127" s="391" t="s">
        <v>351</v>
      </c>
      <c r="E127" s="391"/>
      <c r="F127" s="515" t="s">
        <v>53</v>
      </c>
      <c r="G127" s="392"/>
      <c r="H127" s="506">
        <v>0.0059</v>
      </c>
      <c r="I127" s="393">
        <f>H106*(1+H142)</f>
        <v>517.55</v>
      </c>
      <c r="J127" s="394">
        <f>I127*H127</f>
        <v>3.0535449999999997</v>
      </c>
      <c r="K127" s="391"/>
      <c r="L127" s="506">
        <f>+'[7]E1.1 Adj Network to Fcst Whsl'!$S$22</f>
        <v>0.005484115818898886</v>
      </c>
      <c r="M127" s="395">
        <f>H106*(1+L142)</f>
        <v>518.095623963364</v>
      </c>
      <c r="N127" s="394">
        <f>M127*L127</f>
        <v>2.8412964070797733</v>
      </c>
      <c r="O127" s="391"/>
      <c r="P127" s="396">
        <f t="shared" si="18"/>
        <v>-0.21224859292022646</v>
      </c>
      <c r="Q127" s="397">
        <f t="shared" si="19"/>
        <v>-0.06950891272937733</v>
      </c>
    </row>
    <row r="128" spans="4:17" ht="26.25" thickBot="1">
      <c r="D128" s="398" t="s">
        <v>352</v>
      </c>
      <c r="E128" s="391"/>
      <c r="F128" s="515" t="s">
        <v>53</v>
      </c>
      <c r="G128" s="392"/>
      <c r="H128" s="506">
        <v>0.0047</v>
      </c>
      <c r="I128" s="393">
        <f>I127</f>
        <v>517.55</v>
      </c>
      <c r="J128" s="394">
        <f>I128*H128</f>
        <v>2.432485</v>
      </c>
      <c r="K128" s="391"/>
      <c r="L128" s="506">
        <f>+'[7]E1.2 Adj Conn to Fcst Whsl'!$S$22</f>
        <v>0.004641093626279696</v>
      </c>
      <c r="M128" s="395">
        <f>M127</f>
        <v>518.095623963364</v>
      </c>
      <c r="N128" s="394">
        <f>M128*L128</f>
        <v>2.404530298179771</v>
      </c>
      <c r="O128" s="391"/>
      <c r="P128" s="396">
        <f t="shared" si="18"/>
        <v>-0.027954701820228856</v>
      </c>
      <c r="Q128" s="397">
        <f t="shared" si="19"/>
        <v>-0.011492240166014942</v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25.956030000000002</v>
      </c>
      <c r="K129" s="403"/>
      <c r="L129" s="404"/>
      <c r="M129" s="405"/>
      <c r="N129" s="402">
        <f>SUM(N126:N128)</f>
        <v>27.09007745010473</v>
      </c>
      <c r="O129" s="403"/>
      <c r="P129" s="406">
        <f t="shared" si="18"/>
        <v>1.1340474501047275</v>
      </c>
      <c r="Q129" s="407">
        <f t="shared" si="19"/>
        <v>0.043691097987817375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I128</f>
        <v>517.55</v>
      </c>
      <c r="J130" s="379">
        <f aca="true" t="shared" si="22" ref="J130:J137">I130*H130</f>
        <v>2.6912599999999998</v>
      </c>
      <c r="K130" s="376"/>
      <c r="L130" s="505">
        <v>0.0052</v>
      </c>
      <c r="M130" s="380">
        <f>M128</f>
        <v>518.095623963364</v>
      </c>
      <c r="N130" s="379">
        <f aca="true" t="shared" si="23" ref="N130:N137">M130*L130</f>
        <v>2.694097244609493</v>
      </c>
      <c r="O130" s="376"/>
      <c r="P130" s="381">
        <f t="shared" si="18"/>
        <v>0.0028372446094930837</v>
      </c>
      <c r="Q130" s="382">
        <f t="shared" si="19"/>
        <v>0.0010542439636055541</v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I128</f>
        <v>517.55</v>
      </c>
      <c r="J131" s="379">
        <f t="shared" si="22"/>
        <v>0.6728149999999999</v>
      </c>
      <c r="K131" s="376"/>
      <c r="L131" s="505">
        <v>0.0013</v>
      </c>
      <c r="M131" s="380">
        <f>M128</f>
        <v>518.095623963364</v>
      </c>
      <c r="N131" s="379">
        <f t="shared" si="23"/>
        <v>0.6735243111523732</v>
      </c>
      <c r="O131" s="376"/>
      <c r="P131" s="381">
        <f t="shared" si="18"/>
        <v>0.0007093111523732709</v>
      </c>
      <c r="Q131" s="382">
        <f t="shared" si="19"/>
        <v>0.0010542439636055541</v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I128</f>
        <v>517.55</v>
      </c>
      <c r="J132" s="379">
        <f t="shared" si="22"/>
        <v>0.19304615</v>
      </c>
      <c r="K132" s="376"/>
      <c r="L132" s="508">
        <v>0.000373</v>
      </c>
      <c r="M132" s="380">
        <f>M128</f>
        <v>518.095623963364</v>
      </c>
      <c r="N132" s="379">
        <f t="shared" si="23"/>
        <v>0.19324966773833477</v>
      </c>
      <c r="O132" s="376"/>
      <c r="P132" s="381">
        <f t="shared" si="18"/>
        <v>0.0002035177383347686</v>
      </c>
      <c r="Q132" s="382">
        <f t="shared" si="19"/>
        <v>0.0010542439636054312</v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500</v>
      </c>
      <c r="J134" s="379">
        <f t="shared" si="22"/>
        <v>3.5</v>
      </c>
      <c r="K134" s="376"/>
      <c r="L134" s="505">
        <v>0.007</v>
      </c>
      <c r="M134" s="380">
        <f>+$H106</f>
        <v>500</v>
      </c>
      <c r="N134" s="379">
        <f t="shared" si="23"/>
        <v>3.5</v>
      </c>
      <c r="O134" s="376"/>
      <c r="P134" s="381">
        <f t="shared" si="18"/>
        <v>0</v>
      </c>
      <c r="Q134" s="382">
        <f t="shared" si="19"/>
        <v>0</v>
      </c>
    </row>
    <row r="135" spans="4:17" ht="12.75">
      <c r="D135" s="376" t="s">
        <v>359</v>
      </c>
      <c r="E135" s="376"/>
      <c r="F135" s="514"/>
      <c r="G135" s="377"/>
      <c r="H135" s="505"/>
      <c r="I135" s="378"/>
      <c r="J135" s="379">
        <f t="shared" si="22"/>
        <v>0</v>
      </c>
      <c r="K135" s="376"/>
      <c r="L135" s="505"/>
      <c r="M135" s="380"/>
      <c r="N135" s="379">
        <f t="shared" si="23"/>
        <v>0</v>
      </c>
      <c r="O135" s="376"/>
      <c r="P135" s="381">
        <f t="shared" si="18"/>
        <v>0</v>
      </c>
      <c r="Q135" s="382">
        <f t="shared" si="19"/>
      </c>
    </row>
    <row r="136" spans="4:17" ht="12.75">
      <c r="D136" s="502" t="s">
        <v>366</v>
      </c>
      <c r="E136" s="376"/>
      <c r="F136" s="514" t="s">
        <v>53</v>
      </c>
      <c r="G136" s="377"/>
      <c r="H136" s="505">
        <f>+'Other Electriciy Rates'!$J$10</f>
        <v>0.065</v>
      </c>
      <c r="I136" s="509">
        <f>IF($H106*(1+$H142)&gt;600,600,($H106*(1+$H142)))</f>
        <v>517.55</v>
      </c>
      <c r="J136" s="379">
        <f t="shared" si="22"/>
        <v>33.64075</v>
      </c>
      <c r="K136" s="376"/>
      <c r="L136" s="505">
        <f>+'Other Electriciy Rates'!$J$25</f>
        <v>0.065</v>
      </c>
      <c r="M136" s="509">
        <f>IF($H106*(1+$L142)&gt;600,600,($H106*(1+$L142)))</f>
        <v>518.095623963364</v>
      </c>
      <c r="N136" s="379">
        <f t="shared" si="23"/>
        <v>33.67621555761866</v>
      </c>
      <c r="O136" s="376"/>
      <c r="P136" s="381">
        <f t="shared" si="18"/>
        <v>0.035465557618664434</v>
      </c>
      <c r="Q136" s="382">
        <f t="shared" si="19"/>
        <v>0.0010542439636055806</v>
      </c>
    </row>
    <row r="137" spans="4:17" ht="13.5" thickBot="1">
      <c r="D137" s="501" t="s">
        <v>365</v>
      </c>
      <c r="E137" s="376"/>
      <c r="F137" s="514"/>
      <c r="G137" s="377"/>
      <c r="H137" s="505">
        <f>+'Other Electriciy Rates'!$K$10</f>
        <v>0.075</v>
      </c>
      <c r="I137" s="509">
        <f>IF($H106*(1+$H142)&gt;600,$H106*(1+$H142)-$I136,0)</f>
        <v>0</v>
      </c>
      <c r="J137" s="379">
        <f t="shared" si="22"/>
        <v>0</v>
      </c>
      <c r="K137" s="376"/>
      <c r="L137" s="505">
        <f>+'Other Electriciy Rates'!$K$25</f>
        <v>0.075</v>
      </c>
      <c r="M137" s="509">
        <f>IF($H106*(1+$L142)&gt;600,$H106*(1+$L142)-$I136,0)</f>
        <v>0</v>
      </c>
      <c r="N137" s="379">
        <f t="shared" si="23"/>
        <v>0</v>
      </c>
      <c r="O137" s="376"/>
      <c r="P137" s="381">
        <f t="shared" si="18"/>
        <v>0</v>
      </c>
      <c r="Q137" s="382">
        <f t="shared" si="19"/>
      </c>
    </row>
    <row r="138" spans="4:17" ht="13.5" thickBot="1">
      <c r="D138" s="503" t="s">
        <v>360</v>
      </c>
      <c r="E138" s="376"/>
      <c r="F138" s="376"/>
      <c r="G138" s="376"/>
      <c r="H138" s="409"/>
      <c r="I138" s="410"/>
      <c r="J138" s="402">
        <f>SUM(J129:J137)</f>
        <v>66.90390115</v>
      </c>
      <c r="K138" s="403"/>
      <c r="L138" s="411"/>
      <c r="M138" s="412"/>
      <c r="N138" s="402">
        <f>SUM(N129:N137)</f>
        <v>68.07716423122359</v>
      </c>
      <c r="O138" s="403"/>
      <c r="P138" s="406">
        <f>N138-J138</f>
        <v>1.1732630812235953</v>
      </c>
      <c r="Q138" s="407">
        <f>IF((J138)=0,"",(P138/J138))</f>
        <v>0.017536542130676566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8.6975071495</v>
      </c>
      <c r="K139" s="376"/>
      <c r="L139" s="511">
        <v>0.13</v>
      </c>
      <c r="M139" s="415"/>
      <c r="N139" s="414">
        <f>N138*L139</f>
        <v>8.850031350059067</v>
      </c>
      <c r="O139" s="376"/>
      <c r="P139" s="381">
        <f>N139-J139</f>
        <v>0.15252420055906768</v>
      </c>
      <c r="Q139" s="382">
        <f>IF((J139)=0,"",(P139/J139))</f>
        <v>0.0175365421306766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75.6</v>
      </c>
      <c r="K140" s="403"/>
      <c r="L140" s="404"/>
      <c r="M140" s="405"/>
      <c r="N140" s="402">
        <f>ROUND(SUM(N138:N139),2)</f>
        <v>76.93</v>
      </c>
      <c r="O140" s="403"/>
      <c r="P140" s="406">
        <f>N140-J140</f>
        <v>1.3300000000000125</v>
      </c>
      <c r="Q140" s="407">
        <f>IF((J140)=0,"",(P140/J140))</f>
        <v>0.01759259259259276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">
        <v>200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9" ht="12.75">
      <c r="B153" s="363" t="s">
        <v>53</v>
      </c>
      <c r="F153" s="367" t="s">
        <v>66</v>
      </c>
      <c r="G153" s="367"/>
      <c r="H153" s="504">
        <v>800</v>
      </c>
      <c r="I153" s="367" t="s">
        <v>332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83">
        <f>+'2010 Existing Rates'!$C$8</f>
        <v>13.71</v>
      </c>
      <c r="I158" s="378">
        <v>1</v>
      </c>
      <c r="J158" s="379">
        <f aca="true" t="shared" si="24" ref="J158:J172">I158*H158</f>
        <v>13.71</v>
      </c>
      <c r="K158" s="376"/>
      <c r="L158" s="583">
        <f>+'Rate Schedule (Part 1)'!$E$12</f>
        <v>15.36</v>
      </c>
      <c r="M158" s="380">
        <v>1</v>
      </c>
      <c r="N158" s="379">
        <f aca="true" t="shared" si="25" ref="N158:N172">M158*L158</f>
        <v>15.36</v>
      </c>
      <c r="O158" s="376"/>
      <c r="P158" s="381">
        <f aca="true" t="shared" si="26" ref="P158:P184">N158-J158</f>
        <v>1.6499999999999986</v>
      </c>
      <c r="Q158" s="382">
        <f aca="true" t="shared" si="27" ref="Q158:Q184">IF((J158)=0,"",(P158/J158))</f>
        <v>0.12035010940919026</v>
      </c>
    </row>
    <row r="159" spans="4:17" ht="12.75">
      <c r="D159" s="376" t="s">
        <v>226</v>
      </c>
      <c r="E159" s="376"/>
      <c r="F159" s="514" t="s">
        <v>330</v>
      </c>
      <c r="G159" s="377"/>
      <c r="H159" s="583">
        <f>+'2010 Existing Rates'!$B$45</f>
        <v>2.16</v>
      </c>
      <c r="I159" s="378">
        <v>1</v>
      </c>
      <c r="J159" s="379">
        <f t="shared" si="24"/>
        <v>2.16</v>
      </c>
      <c r="K159" s="376"/>
      <c r="L159" s="583">
        <f>+'Rate Schedule (Part 1)'!$E$16</f>
        <v>-0.43193202035146244</v>
      </c>
      <c r="M159" s="380">
        <v>1</v>
      </c>
      <c r="N159" s="379">
        <f t="shared" si="25"/>
        <v>-0.43193202035146244</v>
      </c>
      <c r="O159" s="376"/>
      <c r="P159" s="381">
        <f t="shared" si="26"/>
        <v>-2.5919320203514626</v>
      </c>
      <c r="Q159" s="382">
        <f t="shared" si="27"/>
        <v>-1.199968527940492</v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53</v>
      </c>
      <c r="G162" s="377"/>
      <c r="H162" s="505">
        <f>+'2010 Existing Rates'!$B$58</f>
        <v>0.0128</v>
      </c>
      <c r="I162" s="378">
        <f>H153</f>
        <v>800</v>
      </c>
      <c r="J162" s="379">
        <f t="shared" si="24"/>
        <v>10.24</v>
      </c>
      <c r="K162" s="376"/>
      <c r="L162" s="505">
        <f>+'Rate Schedule (Part 1)'!$E$13</f>
        <v>0.0143</v>
      </c>
      <c r="M162" s="380">
        <f>H153</f>
        <v>800</v>
      </c>
      <c r="N162" s="379">
        <f t="shared" si="25"/>
        <v>11.44</v>
      </c>
      <c r="O162" s="376"/>
      <c r="P162" s="381">
        <f t="shared" si="26"/>
        <v>1.1999999999999993</v>
      </c>
      <c r="Q162" s="382">
        <f t="shared" si="27"/>
        <v>0.11718749999999993</v>
      </c>
    </row>
    <row r="163" spans="4:17" ht="12.75">
      <c r="D163" s="376" t="s">
        <v>344</v>
      </c>
      <c r="E163" s="376"/>
      <c r="F163" s="514" t="s">
        <v>53</v>
      </c>
      <c r="G163" s="377"/>
      <c r="H163" s="505">
        <f>+'2010 Existing Rates'!$B$33</f>
        <v>0.0003</v>
      </c>
      <c r="I163" s="378">
        <f aca="true" t="shared" si="28" ref="I163:I168">I162</f>
        <v>800</v>
      </c>
      <c r="J163" s="379">
        <f t="shared" si="24"/>
        <v>0.24</v>
      </c>
      <c r="K163" s="376"/>
      <c r="L163" s="505">
        <f>+'Rate Schedule (Part 1)'!$E$14</f>
        <v>0.0002</v>
      </c>
      <c r="M163" s="380">
        <f aca="true" t="shared" si="29" ref="M163:M168">M162</f>
        <v>800</v>
      </c>
      <c r="N163" s="379">
        <f t="shared" si="25"/>
        <v>0.16</v>
      </c>
      <c r="O163" s="376"/>
      <c r="P163" s="381">
        <f t="shared" si="26"/>
        <v>-0.07999999999999999</v>
      </c>
      <c r="Q163" s="382">
        <f t="shared" si="27"/>
        <v>-0.3333333333333333</v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800</v>
      </c>
      <c r="J164" s="379">
        <f t="shared" si="24"/>
        <v>0</v>
      </c>
      <c r="K164" s="376"/>
      <c r="L164" s="505"/>
      <c r="M164" s="380">
        <f t="shared" si="29"/>
        <v>800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800</v>
      </c>
      <c r="J165" s="379">
        <f t="shared" si="24"/>
        <v>0</v>
      </c>
      <c r="K165" s="376"/>
      <c r="L165" s="505"/>
      <c r="M165" s="380">
        <f t="shared" si="29"/>
        <v>800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800</v>
      </c>
      <c r="J166" s="379">
        <f t="shared" si="24"/>
        <v>0</v>
      </c>
      <c r="K166" s="376"/>
      <c r="L166" s="505"/>
      <c r="M166" s="380">
        <f t="shared" si="29"/>
        <v>800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800</v>
      </c>
      <c r="J167" s="379">
        <f t="shared" si="24"/>
        <v>0</v>
      </c>
      <c r="K167" s="376"/>
      <c r="L167" s="505"/>
      <c r="M167" s="380">
        <f t="shared" si="29"/>
        <v>800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53</v>
      </c>
      <c r="G168" s="377"/>
      <c r="H168" s="505">
        <f>+'2010 Existing Rates'!$B$21</f>
        <v>-0.0039</v>
      </c>
      <c r="I168" s="378">
        <f t="shared" si="28"/>
        <v>800</v>
      </c>
      <c r="J168" s="379">
        <f t="shared" si="24"/>
        <v>-3.1199999999999997</v>
      </c>
      <c r="K168" s="376"/>
      <c r="L168" s="505">
        <f>+'Rate Schedule (Part 1)'!$E$17</f>
        <v>-0.0006676344696067126</v>
      </c>
      <c r="M168" s="380">
        <f t="shared" si="29"/>
        <v>800</v>
      </c>
      <c r="N168" s="379">
        <f t="shared" si="25"/>
        <v>-0.5341075756853702</v>
      </c>
      <c r="O168" s="376"/>
      <c r="P168" s="381">
        <f t="shared" si="26"/>
        <v>2.5858924243146295</v>
      </c>
      <c r="Q168" s="382">
        <f t="shared" si="27"/>
        <v>-0.8288116744598173</v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23.229999999999997</v>
      </c>
      <c r="L173" s="385"/>
      <c r="M173" s="388"/>
      <c r="N173" s="387">
        <f>SUM(N158:N172)</f>
        <v>25.993960403963165</v>
      </c>
      <c r="P173" s="389">
        <f t="shared" si="26"/>
        <v>2.7639604039631678</v>
      </c>
      <c r="Q173" s="390">
        <f t="shared" si="27"/>
        <v>0.11898236779867276</v>
      </c>
    </row>
    <row r="174" spans="4:17" ht="12.75">
      <c r="D174" s="391" t="s">
        <v>351</v>
      </c>
      <c r="E174" s="391"/>
      <c r="F174" s="515" t="s">
        <v>53</v>
      </c>
      <c r="G174" s="392"/>
      <c r="H174" s="506">
        <v>0.0059</v>
      </c>
      <c r="I174" s="393">
        <f>H153*(1+H189)</f>
        <v>828.0799999999999</v>
      </c>
      <c r="J174" s="394">
        <f>I174*H174</f>
        <v>4.885672</v>
      </c>
      <c r="K174" s="391"/>
      <c r="L174" s="506">
        <f>+'[7]E1.1 Adj Network to Fcst Whsl'!$S$22</f>
        <v>0.005484115818898886</v>
      </c>
      <c r="M174" s="395">
        <f>H153*(1+L189)</f>
        <v>828.9529983413825</v>
      </c>
      <c r="N174" s="394">
        <f>M174*L174</f>
        <v>4.546074251327637</v>
      </c>
      <c r="O174" s="391"/>
      <c r="P174" s="396">
        <f t="shared" si="26"/>
        <v>-0.3395977486723627</v>
      </c>
      <c r="Q174" s="397">
        <f t="shared" si="27"/>
        <v>-0.0695089127293774</v>
      </c>
    </row>
    <row r="175" spans="4:17" ht="26.25" thickBot="1">
      <c r="D175" s="398" t="s">
        <v>352</v>
      </c>
      <c r="E175" s="391"/>
      <c r="F175" s="515" t="s">
        <v>53</v>
      </c>
      <c r="G175" s="392"/>
      <c r="H175" s="506">
        <v>0.0047</v>
      </c>
      <c r="I175" s="393">
        <f>I174</f>
        <v>828.0799999999999</v>
      </c>
      <c r="J175" s="394">
        <f>I175*H175</f>
        <v>3.8919759999999997</v>
      </c>
      <c r="K175" s="391"/>
      <c r="L175" s="506">
        <f>+'[7]E1.2 Adj Conn to Fcst Whsl'!$S$22</f>
        <v>0.004641093626279696</v>
      </c>
      <c r="M175" s="395">
        <f>M174</f>
        <v>828.9529983413825</v>
      </c>
      <c r="N175" s="394">
        <f>M175*L175</f>
        <v>3.847248477087634</v>
      </c>
      <c r="O175" s="391"/>
      <c r="P175" s="396">
        <f t="shared" si="26"/>
        <v>-0.044727522912365814</v>
      </c>
      <c r="Q175" s="397">
        <f t="shared" si="27"/>
        <v>-0.011492240166014852</v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32.007647999999996</v>
      </c>
      <c r="K176" s="403"/>
      <c r="L176" s="404"/>
      <c r="M176" s="405"/>
      <c r="N176" s="402">
        <f>SUM(N173:N175)</f>
        <v>34.387283132378435</v>
      </c>
      <c r="O176" s="403"/>
      <c r="P176" s="406">
        <f t="shared" si="26"/>
        <v>2.3796351323784393</v>
      </c>
      <c r="Q176" s="407">
        <f t="shared" si="27"/>
        <v>0.0743458292336394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I175</f>
        <v>828.0799999999999</v>
      </c>
      <c r="J177" s="379">
        <f aca="true" t="shared" si="30" ref="J177:J184">I177*H177</f>
        <v>4.306016</v>
      </c>
      <c r="K177" s="376"/>
      <c r="L177" s="505">
        <v>0.0052</v>
      </c>
      <c r="M177" s="380">
        <f>M175</f>
        <v>828.9529983413825</v>
      </c>
      <c r="N177" s="379">
        <f aca="true" t="shared" si="31" ref="N177:N184">M177*L177</f>
        <v>4.310555591375189</v>
      </c>
      <c r="O177" s="376"/>
      <c r="P177" s="381">
        <f t="shared" si="26"/>
        <v>0.0045395913751891115</v>
      </c>
      <c r="Q177" s="382">
        <f t="shared" si="27"/>
        <v>0.0010542439636055956</v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I175</f>
        <v>828.0799999999999</v>
      </c>
      <c r="J178" s="379">
        <f t="shared" si="30"/>
        <v>1.076504</v>
      </c>
      <c r="K178" s="376"/>
      <c r="L178" s="505">
        <v>0.0013</v>
      </c>
      <c r="M178" s="380">
        <f>M175</f>
        <v>828.9529983413825</v>
      </c>
      <c r="N178" s="379">
        <f t="shared" si="31"/>
        <v>1.0776388978437972</v>
      </c>
      <c r="O178" s="376"/>
      <c r="P178" s="381">
        <f t="shared" si="26"/>
        <v>0.0011348978437972779</v>
      </c>
      <c r="Q178" s="382">
        <f t="shared" si="27"/>
        <v>0.0010542439636055956</v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I175</f>
        <v>828.0799999999999</v>
      </c>
      <c r="J179" s="379">
        <f t="shared" si="30"/>
        <v>0.30887384</v>
      </c>
      <c r="K179" s="376"/>
      <c r="L179" s="508">
        <v>0.000373</v>
      </c>
      <c r="M179" s="380">
        <f>M175</f>
        <v>828.9529983413825</v>
      </c>
      <c r="N179" s="379">
        <f t="shared" si="31"/>
        <v>0.30919946838133566</v>
      </c>
      <c r="O179" s="376"/>
      <c r="P179" s="381">
        <f t="shared" si="26"/>
        <v>0.000325628381335652</v>
      </c>
      <c r="Q179" s="382">
        <f t="shared" si="27"/>
        <v>0.001054243963605503</v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800</v>
      </c>
      <c r="J181" s="379">
        <f t="shared" si="30"/>
        <v>5.6000000000000005</v>
      </c>
      <c r="K181" s="376"/>
      <c r="L181" s="505">
        <v>0.007</v>
      </c>
      <c r="M181" s="380">
        <f>+$H153</f>
        <v>800</v>
      </c>
      <c r="N181" s="379">
        <f t="shared" si="31"/>
        <v>5.6000000000000005</v>
      </c>
      <c r="O181" s="376"/>
      <c r="P181" s="381">
        <f t="shared" si="26"/>
        <v>0</v>
      </c>
      <c r="Q181" s="382">
        <f t="shared" si="27"/>
        <v>0</v>
      </c>
    </row>
    <row r="182" spans="4:17" ht="12.75">
      <c r="D182" s="376" t="s">
        <v>359</v>
      </c>
      <c r="E182" s="376"/>
      <c r="F182" s="514"/>
      <c r="G182" s="377"/>
      <c r="H182" s="505"/>
      <c r="I182" s="378"/>
      <c r="J182" s="379">
        <f t="shared" si="30"/>
        <v>0</v>
      </c>
      <c r="K182" s="376"/>
      <c r="L182" s="505"/>
      <c r="M182" s="380"/>
      <c r="N182" s="379">
        <f t="shared" si="31"/>
        <v>0</v>
      </c>
      <c r="O182" s="376"/>
      <c r="P182" s="381">
        <f t="shared" si="26"/>
        <v>0</v>
      </c>
      <c r="Q182" s="382">
        <f t="shared" si="27"/>
      </c>
    </row>
    <row r="183" spans="4:17" ht="12.75">
      <c r="D183" s="502" t="s">
        <v>366</v>
      </c>
      <c r="E183" s="376"/>
      <c r="F183" s="514" t="s">
        <v>53</v>
      </c>
      <c r="G183" s="377"/>
      <c r="H183" s="505">
        <f>+'Other Electriciy Rates'!$J$10</f>
        <v>0.065</v>
      </c>
      <c r="I183" s="509">
        <f>IF($H153*(1+$H189)&gt;600,600,($H153*(1+$H189)))</f>
        <v>600</v>
      </c>
      <c r="J183" s="379">
        <f t="shared" si="30"/>
        <v>39</v>
      </c>
      <c r="K183" s="376"/>
      <c r="L183" s="505">
        <f>+'Other Electriciy Rates'!$J$25</f>
        <v>0.065</v>
      </c>
      <c r="M183" s="509">
        <f>IF($H153*(1+$L189)&gt;600,600,($H153*(1+$L189)))</f>
        <v>600</v>
      </c>
      <c r="N183" s="379">
        <f t="shared" si="31"/>
        <v>39</v>
      </c>
      <c r="O183" s="376"/>
      <c r="P183" s="381">
        <f t="shared" si="26"/>
        <v>0</v>
      </c>
      <c r="Q183" s="382">
        <f t="shared" si="27"/>
        <v>0</v>
      </c>
    </row>
    <row r="184" spans="4:17" ht="13.5" thickBot="1">
      <c r="D184" s="501" t="s">
        <v>365</v>
      </c>
      <c r="E184" s="376"/>
      <c r="F184" s="514"/>
      <c r="G184" s="377"/>
      <c r="H184" s="505">
        <f>+'Other Electriciy Rates'!$K$10</f>
        <v>0.075</v>
      </c>
      <c r="I184" s="509">
        <f>IF($H153*(1+$H189)&gt;600,$H153*(1+$H189)-$I183,0)</f>
        <v>228.07999999999993</v>
      </c>
      <c r="J184" s="379">
        <f t="shared" si="30"/>
        <v>17.105999999999995</v>
      </c>
      <c r="K184" s="376"/>
      <c r="L184" s="505">
        <f>+'Other Electriciy Rates'!$K$25</f>
        <v>0.075</v>
      </c>
      <c r="M184" s="509">
        <f>IF($H153*(1+$L189)&gt;600,$H153*(1+$L189)-$I183,0)</f>
        <v>228.95299834138245</v>
      </c>
      <c r="N184" s="379">
        <f t="shared" si="31"/>
        <v>17.171474875603682</v>
      </c>
      <c r="O184" s="376"/>
      <c r="P184" s="381">
        <f t="shared" si="26"/>
        <v>0.06547487560368737</v>
      </c>
      <c r="Q184" s="382">
        <f t="shared" si="27"/>
        <v>0.0038275970772645496</v>
      </c>
    </row>
    <row r="185" spans="4:17" ht="13.5" thickBot="1">
      <c r="D185" s="503" t="s">
        <v>360</v>
      </c>
      <c r="E185" s="376"/>
      <c r="F185" s="376"/>
      <c r="G185" s="376"/>
      <c r="H185" s="409"/>
      <c r="I185" s="410"/>
      <c r="J185" s="402">
        <f>SUM(J176:J184)</f>
        <v>99.65504184</v>
      </c>
      <c r="K185" s="403"/>
      <c r="L185" s="411"/>
      <c r="M185" s="412"/>
      <c r="N185" s="402">
        <f>SUM(N176:N184)</f>
        <v>102.10615196558244</v>
      </c>
      <c r="O185" s="403"/>
      <c r="P185" s="406">
        <f>N185-J185</f>
        <v>2.4511101255824457</v>
      </c>
      <c r="Q185" s="407">
        <f>IF((J185)=0,"",(P185/J185))</f>
        <v>0.02459594698196803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12.9551554392</v>
      </c>
      <c r="K186" s="376"/>
      <c r="L186" s="511">
        <v>0.13</v>
      </c>
      <c r="M186" s="415"/>
      <c r="N186" s="414">
        <f>N185*L186</f>
        <v>13.273799755525717</v>
      </c>
      <c r="O186" s="376"/>
      <c r="P186" s="381">
        <f>N186-J186</f>
        <v>0.31864431632571666</v>
      </c>
      <c r="Q186" s="382">
        <f>IF((J186)=0,"",(P186/J186))</f>
        <v>0.02459594698196793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112.61</v>
      </c>
      <c r="K187" s="403"/>
      <c r="L187" s="404"/>
      <c r="M187" s="405"/>
      <c r="N187" s="402">
        <f>ROUND(SUM(N185:N186),2)</f>
        <v>115.38</v>
      </c>
      <c r="O187" s="403"/>
      <c r="P187" s="406">
        <f>N187-J187</f>
        <v>2.769999999999996</v>
      </c>
      <c r="Q187" s="407">
        <f>IF((J187)=0,"",(P187/J187))</f>
        <v>0.024598170677559685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">
        <v>200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9" ht="12.75">
      <c r="B200" s="363" t="s">
        <v>53</v>
      </c>
      <c r="F200" s="367" t="s">
        <v>66</v>
      </c>
      <c r="G200" s="367"/>
      <c r="H200" s="504">
        <v>1000</v>
      </c>
      <c r="I200" s="367" t="s">
        <v>332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83">
        <f>+'2010 Existing Rates'!$C$8</f>
        <v>13.71</v>
      </c>
      <c r="I205" s="378">
        <v>1</v>
      </c>
      <c r="J205" s="379">
        <f aca="true" t="shared" si="32" ref="J205:J219">I205*H205</f>
        <v>13.71</v>
      </c>
      <c r="K205" s="376"/>
      <c r="L205" s="583">
        <f>+'Rate Schedule (Part 1)'!$E$12</f>
        <v>15.36</v>
      </c>
      <c r="M205" s="380">
        <v>1</v>
      </c>
      <c r="N205" s="379">
        <f aca="true" t="shared" si="33" ref="N205:N219">M205*L205</f>
        <v>15.36</v>
      </c>
      <c r="O205" s="376"/>
      <c r="P205" s="381">
        <f aca="true" t="shared" si="34" ref="P205:P231">N205-J205</f>
        <v>1.6499999999999986</v>
      </c>
      <c r="Q205" s="382">
        <f aca="true" t="shared" si="35" ref="Q205:Q231">IF((J205)=0,"",(P205/J205))</f>
        <v>0.12035010940919026</v>
      </c>
    </row>
    <row r="206" spans="4:17" ht="12.75">
      <c r="D206" s="376" t="s">
        <v>226</v>
      </c>
      <c r="E206" s="376"/>
      <c r="F206" s="514" t="s">
        <v>330</v>
      </c>
      <c r="G206" s="377"/>
      <c r="H206" s="583">
        <f>+'2010 Existing Rates'!$B$45</f>
        <v>2.16</v>
      </c>
      <c r="I206" s="378">
        <v>1</v>
      </c>
      <c r="J206" s="379">
        <f t="shared" si="32"/>
        <v>2.16</v>
      </c>
      <c r="K206" s="376"/>
      <c r="L206" s="583">
        <f>+'Rate Schedule (Part 1)'!$E$16</f>
        <v>-0.43193202035146244</v>
      </c>
      <c r="M206" s="380">
        <v>1</v>
      </c>
      <c r="N206" s="379">
        <f t="shared" si="33"/>
        <v>-0.43193202035146244</v>
      </c>
      <c r="O206" s="376"/>
      <c r="P206" s="381">
        <f t="shared" si="34"/>
        <v>-2.5919320203514626</v>
      </c>
      <c r="Q206" s="382">
        <f t="shared" si="35"/>
        <v>-1.199968527940492</v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05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53</v>
      </c>
      <c r="G209" s="377"/>
      <c r="H209" s="505">
        <f>+'2010 Existing Rates'!$B$58</f>
        <v>0.0128</v>
      </c>
      <c r="I209" s="378">
        <f>H200</f>
        <v>1000</v>
      </c>
      <c r="J209" s="379">
        <f t="shared" si="32"/>
        <v>12.8</v>
      </c>
      <c r="K209" s="376"/>
      <c r="L209" s="505">
        <f>+'Rate Schedule (Part 1)'!$E$13</f>
        <v>0.0143</v>
      </c>
      <c r="M209" s="380">
        <f>H200</f>
        <v>1000</v>
      </c>
      <c r="N209" s="379">
        <f t="shared" si="33"/>
        <v>14.3</v>
      </c>
      <c r="O209" s="376"/>
      <c r="P209" s="381">
        <f t="shared" si="34"/>
        <v>1.5</v>
      </c>
      <c r="Q209" s="382">
        <f t="shared" si="35"/>
        <v>0.1171875</v>
      </c>
    </row>
    <row r="210" spans="4:17" ht="12.75">
      <c r="D210" s="376" t="s">
        <v>344</v>
      </c>
      <c r="E210" s="376"/>
      <c r="F210" s="514" t="s">
        <v>53</v>
      </c>
      <c r="G210" s="377"/>
      <c r="H210" s="505">
        <f>+'2010 Existing Rates'!$B$33</f>
        <v>0.0003</v>
      </c>
      <c r="I210" s="378">
        <f aca="true" t="shared" si="36" ref="I210:I215">I209</f>
        <v>1000</v>
      </c>
      <c r="J210" s="379">
        <f t="shared" si="32"/>
        <v>0.3</v>
      </c>
      <c r="K210" s="376"/>
      <c r="L210" s="505">
        <f>+'Rate Schedule (Part 1)'!$E$14</f>
        <v>0.0002</v>
      </c>
      <c r="M210" s="380">
        <f aca="true" t="shared" si="37" ref="M210:M215">M209</f>
        <v>1000</v>
      </c>
      <c r="N210" s="379">
        <f t="shared" si="33"/>
        <v>0.2</v>
      </c>
      <c r="O210" s="376"/>
      <c r="P210" s="381">
        <f t="shared" si="34"/>
        <v>-0.09999999999999998</v>
      </c>
      <c r="Q210" s="382">
        <f t="shared" si="35"/>
        <v>-0.33333333333333326</v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1000</v>
      </c>
      <c r="J211" s="379">
        <f t="shared" si="32"/>
        <v>0</v>
      </c>
      <c r="K211" s="376"/>
      <c r="L211" s="505"/>
      <c r="M211" s="380">
        <f t="shared" si="37"/>
        <v>1000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1000</v>
      </c>
      <c r="J212" s="379">
        <f t="shared" si="32"/>
        <v>0</v>
      </c>
      <c r="K212" s="376"/>
      <c r="L212" s="505"/>
      <c r="M212" s="380">
        <f t="shared" si="37"/>
        <v>1000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1000</v>
      </c>
      <c r="J213" s="379">
        <f t="shared" si="32"/>
        <v>0</v>
      </c>
      <c r="K213" s="376"/>
      <c r="L213" s="505"/>
      <c r="M213" s="380">
        <f t="shared" si="37"/>
        <v>1000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1000</v>
      </c>
      <c r="J214" s="379">
        <f t="shared" si="32"/>
        <v>0</v>
      </c>
      <c r="K214" s="376"/>
      <c r="L214" s="505"/>
      <c r="M214" s="380">
        <f t="shared" si="37"/>
        <v>1000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53</v>
      </c>
      <c r="G215" s="377"/>
      <c r="H215" s="505">
        <f>+'2010 Existing Rates'!$B$21</f>
        <v>-0.0039</v>
      </c>
      <c r="I215" s="378">
        <f t="shared" si="36"/>
        <v>1000</v>
      </c>
      <c r="J215" s="379">
        <f t="shared" si="32"/>
        <v>-3.9</v>
      </c>
      <c r="K215" s="376"/>
      <c r="L215" s="505">
        <f>+'Rate Schedule (Part 1)'!$E$17</f>
        <v>-0.0006676344696067126</v>
      </c>
      <c r="M215" s="380">
        <f t="shared" si="37"/>
        <v>1000</v>
      </c>
      <c r="N215" s="379">
        <f t="shared" si="33"/>
        <v>-0.6676344696067126</v>
      </c>
      <c r="O215" s="376"/>
      <c r="P215" s="381">
        <f t="shared" si="34"/>
        <v>3.2323655303932872</v>
      </c>
      <c r="Q215" s="382">
        <f t="shared" si="35"/>
        <v>-0.8288116744598173</v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25.070000000000004</v>
      </c>
      <c r="L220" s="385"/>
      <c r="M220" s="388"/>
      <c r="N220" s="387">
        <f>SUM(N205:N219)</f>
        <v>28.76043351004182</v>
      </c>
      <c r="P220" s="389">
        <f t="shared" si="34"/>
        <v>3.6904335100418173</v>
      </c>
      <c r="Q220" s="390">
        <f t="shared" si="35"/>
        <v>0.14720516593704894</v>
      </c>
    </row>
    <row r="221" spans="4:17" ht="12.75">
      <c r="D221" s="391" t="s">
        <v>351</v>
      </c>
      <c r="E221" s="391"/>
      <c r="F221" s="515" t="s">
        <v>53</v>
      </c>
      <c r="G221" s="392"/>
      <c r="H221" s="506">
        <v>0.0059</v>
      </c>
      <c r="I221" s="393">
        <f>H200*(1+H236)</f>
        <v>1035.1</v>
      </c>
      <c r="J221" s="394">
        <f>I221*H221</f>
        <v>6.1070899999999995</v>
      </c>
      <c r="K221" s="391"/>
      <c r="L221" s="506">
        <f>+'[7]E1.1 Adj Network to Fcst Whsl'!$S$22</f>
        <v>0.005484115818898886</v>
      </c>
      <c r="M221" s="395">
        <f>H200*(1+L236)</f>
        <v>1036.191247926728</v>
      </c>
      <c r="N221" s="394">
        <f>M221*L221</f>
        <v>5.6825928141595465</v>
      </c>
      <c r="O221" s="391"/>
      <c r="P221" s="396">
        <f t="shared" si="34"/>
        <v>-0.42449718584045293</v>
      </c>
      <c r="Q221" s="397">
        <f t="shared" si="35"/>
        <v>-0.06950891272937733</v>
      </c>
    </row>
    <row r="222" spans="4:17" ht="26.25" thickBot="1">
      <c r="D222" s="398" t="s">
        <v>352</v>
      </c>
      <c r="E222" s="391"/>
      <c r="F222" s="515" t="s">
        <v>53</v>
      </c>
      <c r="G222" s="392"/>
      <c r="H222" s="506">
        <v>0.0047</v>
      </c>
      <c r="I222" s="393">
        <f>I221</f>
        <v>1035.1</v>
      </c>
      <c r="J222" s="394">
        <f>I222*H222</f>
        <v>4.86497</v>
      </c>
      <c r="K222" s="391"/>
      <c r="L222" s="506">
        <f>+'[7]E1.2 Adj Conn to Fcst Whsl'!$S$22</f>
        <v>0.004641093626279696</v>
      </c>
      <c r="M222" s="395">
        <f>M221</f>
        <v>1036.191247926728</v>
      </c>
      <c r="N222" s="394">
        <f>M222*L222</f>
        <v>4.809060596359542</v>
      </c>
      <c r="O222" s="391"/>
      <c r="P222" s="396">
        <f t="shared" si="34"/>
        <v>-0.05590940364045771</v>
      </c>
      <c r="Q222" s="397">
        <f t="shared" si="35"/>
        <v>-0.011492240166014942</v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36.042060000000006</v>
      </c>
      <c r="K223" s="403"/>
      <c r="L223" s="404"/>
      <c r="M223" s="405"/>
      <c r="N223" s="402">
        <f>SUM(N220:N222)</f>
        <v>39.25208692056091</v>
      </c>
      <c r="O223" s="403"/>
      <c r="P223" s="406">
        <f t="shared" si="34"/>
        <v>3.2100269205609067</v>
      </c>
      <c r="Q223" s="407">
        <f t="shared" si="35"/>
        <v>0.0890633587691965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I222</f>
        <v>1035.1</v>
      </c>
      <c r="J224" s="379">
        <f aca="true" t="shared" si="38" ref="J224:J231">I224*H224</f>
        <v>5.3825199999999995</v>
      </c>
      <c r="K224" s="376"/>
      <c r="L224" s="505">
        <v>0.0052</v>
      </c>
      <c r="M224" s="380">
        <f>M222</f>
        <v>1036.191247926728</v>
      </c>
      <c r="N224" s="379">
        <f aca="true" t="shared" si="39" ref="N224:N231">M224*L224</f>
        <v>5.388194489218986</v>
      </c>
      <c r="O224" s="376"/>
      <c r="P224" s="381">
        <f t="shared" si="34"/>
        <v>0.005674489218986167</v>
      </c>
      <c r="Q224" s="382">
        <f t="shared" si="35"/>
        <v>0.0010542439636055541</v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I222</f>
        <v>1035.1</v>
      </c>
      <c r="J225" s="379">
        <f t="shared" si="38"/>
        <v>1.3456299999999999</v>
      </c>
      <c r="K225" s="376"/>
      <c r="L225" s="505">
        <v>0.0013</v>
      </c>
      <c r="M225" s="380">
        <f>M222</f>
        <v>1036.191247926728</v>
      </c>
      <c r="N225" s="379">
        <f t="shared" si="39"/>
        <v>1.3470486223047464</v>
      </c>
      <c r="O225" s="376"/>
      <c r="P225" s="381">
        <f t="shared" si="34"/>
        <v>0.0014186223047465418</v>
      </c>
      <c r="Q225" s="382">
        <f t="shared" si="35"/>
        <v>0.0010542439636055541</v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I222</f>
        <v>1035.1</v>
      </c>
      <c r="J226" s="379">
        <f t="shared" si="38"/>
        <v>0.3860923</v>
      </c>
      <c r="K226" s="376"/>
      <c r="L226" s="508">
        <v>0.000373</v>
      </c>
      <c r="M226" s="380">
        <f>M222</f>
        <v>1036.191247926728</v>
      </c>
      <c r="N226" s="379">
        <f t="shared" si="39"/>
        <v>0.38649933547666954</v>
      </c>
      <c r="O226" s="376"/>
      <c r="P226" s="381">
        <f t="shared" si="34"/>
        <v>0.0004070354766695372</v>
      </c>
      <c r="Q226" s="382">
        <f t="shared" si="35"/>
        <v>0.0010542439636054312</v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1000</v>
      </c>
      <c r="J228" s="379">
        <f t="shared" si="38"/>
        <v>7</v>
      </c>
      <c r="K228" s="376"/>
      <c r="L228" s="505">
        <v>0.007</v>
      </c>
      <c r="M228" s="380">
        <f>+$H200</f>
        <v>1000</v>
      </c>
      <c r="N228" s="379">
        <f t="shared" si="39"/>
        <v>7</v>
      </c>
      <c r="O228" s="376"/>
      <c r="P228" s="381">
        <f t="shared" si="34"/>
        <v>0</v>
      </c>
      <c r="Q228" s="382">
        <f t="shared" si="35"/>
        <v>0</v>
      </c>
    </row>
    <row r="229" spans="4:17" ht="12.75">
      <c r="D229" s="376" t="s">
        <v>359</v>
      </c>
      <c r="E229" s="376"/>
      <c r="F229" s="514"/>
      <c r="G229" s="377"/>
      <c r="H229" s="505"/>
      <c r="I229" s="378"/>
      <c r="J229" s="379">
        <f t="shared" si="38"/>
        <v>0</v>
      </c>
      <c r="K229" s="376"/>
      <c r="L229" s="505"/>
      <c r="M229" s="380"/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 t="s">
        <v>366</v>
      </c>
      <c r="E230" s="376"/>
      <c r="F230" s="514" t="s">
        <v>53</v>
      </c>
      <c r="G230" s="377"/>
      <c r="H230" s="505">
        <f>+'Other Electriciy Rates'!$J$10</f>
        <v>0.065</v>
      </c>
      <c r="I230" s="509">
        <f>IF($H200*(1+$H236)&gt;600,600,($H200*(1+$H236)))</f>
        <v>600</v>
      </c>
      <c r="J230" s="379">
        <f t="shared" si="38"/>
        <v>39</v>
      </c>
      <c r="K230" s="376"/>
      <c r="L230" s="505">
        <f>+'Other Electriciy Rates'!$J$25</f>
        <v>0.065</v>
      </c>
      <c r="M230" s="509">
        <f>IF($H200*(1+$L236)&gt;600,600,($H200*(1+$L236)))</f>
        <v>600</v>
      </c>
      <c r="N230" s="379">
        <f t="shared" si="39"/>
        <v>39</v>
      </c>
      <c r="O230" s="376"/>
      <c r="P230" s="381">
        <f t="shared" si="34"/>
        <v>0</v>
      </c>
      <c r="Q230" s="382">
        <f t="shared" si="35"/>
        <v>0</v>
      </c>
    </row>
    <row r="231" spans="4:17" ht="13.5" thickBot="1">
      <c r="D231" s="501" t="s">
        <v>365</v>
      </c>
      <c r="E231" s="376"/>
      <c r="F231" s="514"/>
      <c r="G231" s="377"/>
      <c r="H231" s="505">
        <f>+'Other Electriciy Rates'!$K$10</f>
        <v>0.075</v>
      </c>
      <c r="I231" s="509">
        <f>IF($H200*(1+$H236)&gt;600,$H200*(1+$H236)-$I230,0)</f>
        <v>435.0999999999999</v>
      </c>
      <c r="J231" s="379">
        <f t="shared" si="38"/>
        <v>32.63249999999999</v>
      </c>
      <c r="K231" s="376"/>
      <c r="L231" s="505">
        <f>+'Other Electriciy Rates'!$K$25</f>
        <v>0.075</v>
      </c>
      <c r="M231" s="509">
        <f>IF($H200*(1+$L236)&gt;600,$H200*(1+$L236)-$I230,0)</f>
        <v>436.191247926728</v>
      </c>
      <c r="N231" s="379">
        <f t="shared" si="39"/>
        <v>32.7143435945046</v>
      </c>
      <c r="O231" s="376"/>
      <c r="P231" s="381">
        <f t="shared" si="34"/>
        <v>0.08184359450460477</v>
      </c>
      <c r="Q231" s="382">
        <f t="shared" si="35"/>
        <v>0.0025080393627397468</v>
      </c>
    </row>
    <row r="232" spans="4:17" ht="13.5" thickBot="1">
      <c r="D232" s="503" t="s">
        <v>360</v>
      </c>
      <c r="E232" s="376"/>
      <c r="F232" s="376"/>
      <c r="G232" s="376"/>
      <c r="H232" s="409"/>
      <c r="I232" s="410"/>
      <c r="J232" s="402">
        <f>SUM(J223:J231)</f>
        <v>122.0388023</v>
      </c>
      <c r="K232" s="403"/>
      <c r="L232" s="411"/>
      <c r="M232" s="412"/>
      <c r="N232" s="402">
        <f>SUM(N223:N231)</f>
        <v>125.33817296206591</v>
      </c>
      <c r="O232" s="403"/>
      <c r="P232" s="406">
        <f>N232-J232</f>
        <v>3.299370662065911</v>
      </c>
      <c r="Q232" s="407">
        <f>IF((J232)=0,"",(P232/J232))</f>
        <v>0.027035423159556125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15.865044299000001</v>
      </c>
      <c r="K233" s="376"/>
      <c r="L233" s="511">
        <v>0.13</v>
      </c>
      <c r="M233" s="415"/>
      <c r="N233" s="414">
        <f>N232*L233</f>
        <v>16.29396248506857</v>
      </c>
      <c r="O233" s="376"/>
      <c r="P233" s="381">
        <f>N233-J233</f>
        <v>0.428918186068568</v>
      </c>
      <c r="Q233" s="382">
        <f>IF((J233)=0,"",(P233/J233))</f>
        <v>0.027035423159556093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137.9</v>
      </c>
      <c r="K234" s="403"/>
      <c r="L234" s="404"/>
      <c r="M234" s="405"/>
      <c r="N234" s="402">
        <f>ROUND(SUM(N232:N233),2)</f>
        <v>141.63</v>
      </c>
      <c r="O234" s="403"/>
      <c r="P234" s="406">
        <f>N234-J234</f>
        <v>3.7299999999999898</v>
      </c>
      <c r="Q234" s="407">
        <f>IF((J234)=0,"",(P234/J234))</f>
        <v>0.02704858593183459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">
        <v>200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9" ht="12.75">
      <c r="B247" s="363" t="s">
        <v>53</v>
      </c>
      <c r="F247" s="367" t="s">
        <v>66</v>
      </c>
      <c r="G247" s="367"/>
      <c r="H247" s="504">
        <v>1500</v>
      </c>
      <c r="I247" s="367" t="s">
        <v>332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83">
        <f>+'2010 Existing Rates'!$C$8</f>
        <v>13.71</v>
      </c>
      <c r="I252" s="378">
        <v>1</v>
      </c>
      <c r="J252" s="379">
        <f aca="true" t="shared" si="40" ref="J252:J266">I252*H252</f>
        <v>13.71</v>
      </c>
      <c r="K252" s="376"/>
      <c r="L252" s="583">
        <f>+'Rate Schedule (Part 1)'!$E$12</f>
        <v>15.36</v>
      </c>
      <c r="M252" s="380">
        <v>1</v>
      </c>
      <c r="N252" s="379">
        <f aca="true" t="shared" si="41" ref="N252:N266">M252*L252</f>
        <v>15.36</v>
      </c>
      <c r="O252" s="376"/>
      <c r="P252" s="381">
        <f aca="true" t="shared" si="42" ref="P252:P278">N252-J252</f>
        <v>1.6499999999999986</v>
      </c>
      <c r="Q252" s="382">
        <f aca="true" t="shared" si="43" ref="Q252:Q278">IF((J252)=0,"",(P252/J252))</f>
        <v>0.12035010940919026</v>
      </c>
    </row>
    <row r="253" spans="4:17" ht="12.75">
      <c r="D253" s="376" t="s">
        <v>226</v>
      </c>
      <c r="E253" s="376"/>
      <c r="F253" s="514" t="s">
        <v>330</v>
      </c>
      <c r="G253" s="377"/>
      <c r="H253" s="583">
        <f>+'2010 Existing Rates'!$B$45</f>
        <v>2.16</v>
      </c>
      <c r="I253" s="378">
        <v>1</v>
      </c>
      <c r="J253" s="379">
        <f t="shared" si="40"/>
        <v>2.16</v>
      </c>
      <c r="K253" s="376"/>
      <c r="L253" s="583">
        <f>+'Rate Schedule (Part 1)'!$E$16</f>
        <v>-0.43193202035146244</v>
      </c>
      <c r="M253" s="380">
        <v>1</v>
      </c>
      <c r="N253" s="379">
        <f t="shared" si="41"/>
        <v>-0.43193202035146244</v>
      </c>
      <c r="O253" s="376"/>
      <c r="P253" s="381">
        <f t="shared" si="42"/>
        <v>-2.5919320203514626</v>
      </c>
      <c r="Q253" s="382">
        <f t="shared" si="43"/>
        <v>-1.199968527940492</v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53</v>
      </c>
      <c r="G256" s="377"/>
      <c r="H256" s="505">
        <f>+'2010 Existing Rates'!$B$58</f>
        <v>0.0128</v>
      </c>
      <c r="I256" s="378">
        <f>H247</f>
        <v>1500</v>
      </c>
      <c r="J256" s="379">
        <f t="shared" si="40"/>
        <v>19.2</v>
      </c>
      <c r="K256" s="376"/>
      <c r="L256" s="505">
        <f>+'Rate Schedule (Part 1)'!$E$13</f>
        <v>0.0143</v>
      </c>
      <c r="M256" s="380">
        <f>H247</f>
        <v>1500</v>
      </c>
      <c r="N256" s="379">
        <f t="shared" si="41"/>
        <v>21.45</v>
      </c>
      <c r="O256" s="376"/>
      <c r="P256" s="381">
        <f t="shared" si="42"/>
        <v>2.25</v>
      </c>
      <c r="Q256" s="382">
        <f t="shared" si="43"/>
        <v>0.1171875</v>
      </c>
    </row>
    <row r="257" spans="4:17" ht="12.75">
      <c r="D257" s="376" t="s">
        <v>344</v>
      </c>
      <c r="E257" s="376"/>
      <c r="F257" s="514" t="s">
        <v>53</v>
      </c>
      <c r="G257" s="377"/>
      <c r="H257" s="505">
        <f>+'2010 Existing Rates'!$B$33</f>
        <v>0.0003</v>
      </c>
      <c r="I257" s="378">
        <f aca="true" t="shared" si="44" ref="I257:I262">I256</f>
        <v>1500</v>
      </c>
      <c r="J257" s="379">
        <f t="shared" si="40"/>
        <v>0.44999999999999996</v>
      </c>
      <c r="K257" s="376"/>
      <c r="L257" s="505">
        <f>+'Rate Schedule (Part 1)'!$E$14</f>
        <v>0.0002</v>
      </c>
      <c r="M257" s="380">
        <f aca="true" t="shared" si="45" ref="M257:M262">M256</f>
        <v>1500</v>
      </c>
      <c r="N257" s="379">
        <f t="shared" si="41"/>
        <v>0.3</v>
      </c>
      <c r="O257" s="376"/>
      <c r="P257" s="381">
        <f t="shared" si="42"/>
        <v>-0.14999999999999997</v>
      </c>
      <c r="Q257" s="382">
        <f t="shared" si="43"/>
        <v>-0.3333333333333333</v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1500</v>
      </c>
      <c r="J258" s="379">
        <f t="shared" si="40"/>
        <v>0</v>
      </c>
      <c r="K258" s="376"/>
      <c r="L258" s="505"/>
      <c r="M258" s="380">
        <f t="shared" si="45"/>
        <v>1500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1500</v>
      </c>
      <c r="J259" s="379">
        <f t="shared" si="40"/>
        <v>0</v>
      </c>
      <c r="K259" s="376"/>
      <c r="L259" s="505"/>
      <c r="M259" s="380">
        <f t="shared" si="45"/>
        <v>1500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1500</v>
      </c>
      <c r="J260" s="379">
        <f t="shared" si="40"/>
        <v>0</v>
      </c>
      <c r="K260" s="376"/>
      <c r="L260" s="505"/>
      <c r="M260" s="380">
        <f t="shared" si="45"/>
        <v>1500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1500</v>
      </c>
      <c r="J261" s="379">
        <f t="shared" si="40"/>
        <v>0</v>
      </c>
      <c r="K261" s="376"/>
      <c r="L261" s="505"/>
      <c r="M261" s="380">
        <f t="shared" si="45"/>
        <v>1500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53</v>
      </c>
      <c r="G262" s="377"/>
      <c r="H262" s="505">
        <f>+'2010 Existing Rates'!$B$21</f>
        <v>-0.0039</v>
      </c>
      <c r="I262" s="378">
        <f t="shared" si="44"/>
        <v>1500</v>
      </c>
      <c r="J262" s="379">
        <f t="shared" si="40"/>
        <v>-5.85</v>
      </c>
      <c r="K262" s="376"/>
      <c r="L262" s="505">
        <f>+'Rate Schedule (Part 1)'!$E$17</f>
        <v>-0.0006676344696067126</v>
      </c>
      <c r="M262" s="380">
        <f t="shared" si="45"/>
        <v>1500</v>
      </c>
      <c r="N262" s="379">
        <f t="shared" si="41"/>
        <v>-1.001451704410069</v>
      </c>
      <c r="O262" s="376"/>
      <c r="P262" s="381">
        <f t="shared" si="42"/>
        <v>4.84854829558993</v>
      </c>
      <c r="Q262" s="382">
        <f t="shared" si="43"/>
        <v>-0.8288116744598172</v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29.67</v>
      </c>
      <c r="L267" s="385"/>
      <c r="M267" s="388"/>
      <c r="N267" s="387">
        <f>SUM(N252:N266)</f>
        <v>35.676616275238466</v>
      </c>
      <c r="P267" s="389">
        <f t="shared" si="42"/>
        <v>6.006616275238464</v>
      </c>
      <c r="Q267" s="390">
        <f t="shared" si="43"/>
        <v>0.2024474646187551</v>
      </c>
    </row>
    <row r="268" spans="4:17" ht="12.75">
      <c r="D268" s="391" t="s">
        <v>351</v>
      </c>
      <c r="E268" s="391"/>
      <c r="F268" s="515" t="s">
        <v>53</v>
      </c>
      <c r="G268" s="392"/>
      <c r="H268" s="506">
        <v>0.0059</v>
      </c>
      <c r="I268" s="393">
        <f>H247*(1+H283)</f>
        <v>1552.6499999999999</v>
      </c>
      <c r="J268" s="394">
        <f>I268*H268</f>
        <v>9.160635</v>
      </c>
      <c r="K268" s="391"/>
      <c r="L268" s="506">
        <f>+'[7]E1.1 Adj Network to Fcst Whsl'!$S$22</f>
        <v>0.005484115818898886</v>
      </c>
      <c r="M268" s="395">
        <f>H247*(1+L283)</f>
        <v>1554.2868718900922</v>
      </c>
      <c r="N268" s="394">
        <f>M268*L268</f>
        <v>8.52388922123932</v>
      </c>
      <c r="O268" s="391"/>
      <c r="P268" s="396">
        <f t="shared" si="42"/>
        <v>-0.6367457787606785</v>
      </c>
      <c r="Q268" s="397">
        <f t="shared" si="43"/>
        <v>-0.06950891272937723</v>
      </c>
    </row>
    <row r="269" spans="4:17" ht="26.25" thickBot="1">
      <c r="D269" s="398" t="s">
        <v>352</v>
      </c>
      <c r="E269" s="391"/>
      <c r="F269" s="515" t="s">
        <v>53</v>
      </c>
      <c r="G269" s="392"/>
      <c r="H269" s="506">
        <v>0.0047</v>
      </c>
      <c r="I269" s="393">
        <f>I268</f>
        <v>1552.6499999999999</v>
      </c>
      <c r="J269" s="394">
        <f>I269*H269</f>
        <v>7.297454999999999</v>
      </c>
      <c r="K269" s="391"/>
      <c r="L269" s="506">
        <f>+'[7]E1.2 Adj Conn to Fcst Whsl'!$S$22</f>
        <v>0.004641093626279696</v>
      </c>
      <c r="M269" s="395">
        <f>M268</f>
        <v>1554.2868718900922</v>
      </c>
      <c r="N269" s="394">
        <f>M269*L269</f>
        <v>7.213590894539314</v>
      </c>
      <c r="O269" s="391"/>
      <c r="P269" s="396">
        <f t="shared" si="42"/>
        <v>-0.08386410546068568</v>
      </c>
      <c r="Q269" s="397">
        <f t="shared" si="43"/>
        <v>-0.01149224016601482</v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46.12809</v>
      </c>
      <c r="K270" s="403"/>
      <c r="L270" s="404"/>
      <c r="M270" s="405"/>
      <c r="N270" s="402">
        <f>SUM(N267:N269)</f>
        <v>51.414096391017104</v>
      </c>
      <c r="O270" s="403"/>
      <c r="P270" s="406">
        <f t="shared" si="42"/>
        <v>5.286006391017104</v>
      </c>
      <c r="Q270" s="407">
        <f t="shared" si="43"/>
        <v>0.11459408770267972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I269</f>
        <v>1552.6499999999999</v>
      </c>
      <c r="J271" s="379">
        <f aca="true" t="shared" si="46" ref="J271:J278">I271*H271</f>
        <v>8.07378</v>
      </c>
      <c r="K271" s="376"/>
      <c r="L271" s="505">
        <v>0.0052</v>
      </c>
      <c r="M271" s="380">
        <f>M269</f>
        <v>1554.2868718900922</v>
      </c>
      <c r="N271" s="379">
        <f aca="true" t="shared" si="47" ref="N271:N278">M271*L271</f>
        <v>8.082291733828479</v>
      </c>
      <c r="O271" s="376"/>
      <c r="P271" s="381">
        <f t="shared" si="42"/>
        <v>0.008511733828479251</v>
      </c>
      <c r="Q271" s="382">
        <f t="shared" si="43"/>
        <v>0.0010542439636055541</v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I269</f>
        <v>1552.6499999999999</v>
      </c>
      <c r="J272" s="379">
        <f t="shared" si="46"/>
        <v>2.018445</v>
      </c>
      <c r="K272" s="376"/>
      <c r="L272" s="505">
        <v>0.0013</v>
      </c>
      <c r="M272" s="380">
        <f>M269</f>
        <v>1554.2868718900922</v>
      </c>
      <c r="N272" s="379">
        <f t="shared" si="47"/>
        <v>2.0205729334571196</v>
      </c>
      <c r="O272" s="376"/>
      <c r="P272" s="381">
        <f t="shared" si="42"/>
        <v>0.0021279334571198127</v>
      </c>
      <c r="Q272" s="382">
        <f t="shared" si="43"/>
        <v>0.0010542439636055541</v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I269</f>
        <v>1552.6499999999999</v>
      </c>
      <c r="J273" s="379">
        <f t="shared" si="46"/>
        <v>0.57913845</v>
      </c>
      <c r="K273" s="376"/>
      <c r="L273" s="508">
        <v>0.000373</v>
      </c>
      <c r="M273" s="380">
        <f>M269</f>
        <v>1554.2868718900922</v>
      </c>
      <c r="N273" s="379">
        <f t="shared" si="47"/>
        <v>0.5797490032150044</v>
      </c>
      <c r="O273" s="376"/>
      <c r="P273" s="381">
        <f t="shared" si="42"/>
        <v>0.0006105532150044723</v>
      </c>
      <c r="Q273" s="382">
        <f t="shared" si="43"/>
        <v>0.0010542439636057187</v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1500</v>
      </c>
      <c r="J275" s="379">
        <f t="shared" si="46"/>
        <v>10.5</v>
      </c>
      <c r="K275" s="376"/>
      <c r="L275" s="505">
        <v>0.007</v>
      </c>
      <c r="M275" s="380">
        <f>+$H247</f>
        <v>1500</v>
      </c>
      <c r="N275" s="379">
        <f t="shared" si="47"/>
        <v>10.5</v>
      </c>
      <c r="O275" s="376"/>
      <c r="P275" s="381">
        <f t="shared" si="42"/>
        <v>0</v>
      </c>
      <c r="Q275" s="382">
        <f t="shared" si="43"/>
        <v>0</v>
      </c>
    </row>
    <row r="276" spans="4:17" ht="12.75">
      <c r="D276" s="376" t="s">
        <v>359</v>
      </c>
      <c r="E276" s="376"/>
      <c r="F276" s="514"/>
      <c r="G276" s="377"/>
      <c r="H276" s="505"/>
      <c r="I276" s="378"/>
      <c r="J276" s="379">
        <f t="shared" si="46"/>
        <v>0</v>
      </c>
      <c r="K276" s="376"/>
      <c r="L276" s="505"/>
      <c r="M276" s="380"/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 t="s">
        <v>366</v>
      </c>
      <c r="E277" s="376"/>
      <c r="F277" s="514" t="s">
        <v>53</v>
      </c>
      <c r="G277" s="377"/>
      <c r="H277" s="505">
        <f>+'Other Electriciy Rates'!$J$10</f>
        <v>0.065</v>
      </c>
      <c r="I277" s="509">
        <f>IF($H247*(1+$H283)&gt;600,600,($H247*(1+$H283)))</f>
        <v>600</v>
      </c>
      <c r="J277" s="379">
        <f t="shared" si="46"/>
        <v>39</v>
      </c>
      <c r="K277" s="376"/>
      <c r="L277" s="505">
        <f>+'Other Electriciy Rates'!$J$25</f>
        <v>0.065</v>
      </c>
      <c r="M277" s="509">
        <f>IF($H247*(1+$L283)&gt;600,600,($H247*(1+$L283)))</f>
        <v>600</v>
      </c>
      <c r="N277" s="379">
        <f t="shared" si="47"/>
        <v>39</v>
      </c>
      <c r="O277" s="376"/>
      <c r="P277" s="381">
        <f t="shared" si="42"/>
        <v>0</v>
      </c>
      <c r="Q277" s="382">
        <f t="shared" si="43"/>
        <v>0</v>
      </c>
    </row>
    <row r="278" spans="4:17" ht="13.5" thickBot="1">
      <c r="D278" s="501" t="s">
        <v>365</v>
      </c>
      <c r="E278" s="376"/>
      <c r="F278" s="514"/>
      <c r="G278" s="377"/>
      <c r="H278" s="505">
        <f>+'Other Electriciy Rates'!$K$10</f>
        <v>0.075</v>
      </c>
      <c r="I278" s="509">
        <f>IF($H247*(1+$H283)&gt;600,$H247*(1+$H283)-$I277,0)</f>
        <v>952.6499999999999</v>
      </c>
      <c r="J278" s="379">
        <f t="shared" si="46"/>
        <v>71.44874999999999</v>
      </c>
      <c r="K278" s="376"/>
      <c r="L278" s="505">
        <f>+'Other Electriciy Rates'!$K$25</f>
        <v>0.075</v>
      </c>
      <c r="M278" s="509">
        <f>IF($H247*(1+$L283)&gt;600,$H247*(1+$L283)-$I277,0)</f>
        <v>954.2868718900922</v>
      </c>
      <c r="N278" s="379">
        <f t="shared" si="47"/>
        <v>71.57151539175692</v>
      </c>
      <c r="O278" s="376"/>
      <c r="P278" s="381">
        <f t="shared" si="42"/>
        <v>0.12276539175692847</v>
      </c>
      <c r="Q278" s="382">
        <f t="shared" si="43"/>
        <v>0.0017182300845980999</v>
      </c>
    </row>
    <row r="279" spans="4:17" ht="13.5" thickBot="1">
      <c r="D279" s="503" t="s">
        <v>360</v>
      </c>
      <c r="E279" s="376"/>
      <c r="F279" s="376"/>
      <c r="G279" s="376"/>
      <c r="H279" s="409"/>
      <c r="I279" s="410"/>
      <c r="J279" s="402">
        <f>SUM(J270:J278)</f>
        <v>177.99820345</v>
      </c>
      <c r="K279" s="403"/>
      <c r="L279" s="411"/>
      <c r="M279" s="412"/>
      <c r="N279" s="402">
        <f>SUM(N270:N278)</f>
        <v>183.41822545327463</v>
      </c>
      <c r="O279" s="403"/>
      <c r="P279" s="406">
        <f>N279-J279</f>
        <v>5.4200220032746245</v>
      </c>
      <c r="Q279" s="407">
        <f>IF((J279)=0,"",(P279/J279))</f>
        <v>0.0304498691459946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23.1397664485</v>
      </c>
      <c r="K280" s="376"/>
      <c r="L280" s="511">
        <v>0.13</v>
      </c>
      <c r="M280" s="415"/>
      <c r="N280" s="414">
        <f>N279*L280</f>
        <v>23.844369308925703</v>
      </c>
      <c r="O280" s="376"/>
      <c r="P280" s="381">
        <f>N280-J280</f>
        <v>0.7046028604257017</v>
      </c>
      <c r="Q280" s="382">
        <f>IF((J280)=0,"",(P280/J280))</f>
        <v>0.030449869145994624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201.14</v>
      </c>
      <c r="K281" s="403"/>
      <c r="L281" s="404"/>
      <c r="M281" s="405"/>
      <c r="N281" s="402">
        <f>ROUND(SUM(N279:N280),2)</f>
        <v>207.26</v>
      </c>
      <c r="O281" s="403"/>
      <c r="P281" s="406">
        <f>N281-J281</f>
        <v>6.1200000000000045</v>
      </c>
      <c r="Q281" s="407">
        <f>IF((J281)=0,"",(P281/J281))</f>
        <v>0.030426568559212514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">
        <v>200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9" ht="12.75">
      <c r="B294" s="363" t="s">
        <v>53</v>
      </c>
      <c r="F294" s="367" t="s">
        <v>66</v>
      </c>
      <c r="G294" s="367"/>
      <c r="H294" s="504">
        <v>2000</v>
      </c>
      <c r="I294" s="367" t="s">
        <v>332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83">
        <f>+'2010 Existing Rates'!$C$8</f>
        <v>13.71</v>
      </c>
      <c r="I299" s="378">
        <v>1</v>
      </c>
      <c r="J299" s="379">
        <f aca="true" t="shared" si="48" ref="J299:J313">I299*H299</f>
        <v>13.71</v>
      </c>
      <c r="K299" s="376"/>
      <c r="L299" s="583">
        <f>+'Rate Schedule (Part 1)'!$E$12</f>
        <v>15.36</v>
      </c>
      <c r="M299" s="380">
        <v>1</v>
      </c>
      <c r="N299" s="379">
        <f aca="true" t="shared" si="49" ref="N299:N313">M299*L299</f>
        <v>15.36</v>
      </c>
      <c r="O299" s="376"/>
      <c r="P299" s="381">
        <f aca="true" t="shared" si="50" ref="P299:P325">N299-J299</f>
        <v>1.6499999999999986</v>
      </c>
      <c r="Q299" s="382">
        <f aca="true" t="shared" si="51" ref="Q299:Q325">IF((J299)=0,"",(P299/J299))</f>
        <v>0.12035010940919026</v>
      </c>
    </row>
    <row r="300" spans="4:17" ht="12.75">
      <c r="D300" s="376" t="s">
        <v>226</v>
      </c>
      <c r="E300" s="376"/>
      <c r="F300" s="514" t="s">
        <v>330</v>
      </c>
      <c r="G300" s="377"/>
      <c r="H300" s="583">
        <f>+'2010 Existing Rates'!$B$45</f>
        <v>2.16</v>
      </c>
      <c r="I300" s="378">
        <v>1</v>
      </c>
      <c r="J300" s="379">
        <f t="shared" si="48"/>
        <v>2.16</v>
      </c>
      <c r="K300" s="376"/>
      <c r="L300" s="583">
        <f>+'Rate Schedule (Part 1)'!$E$16</f>
        <v>-0.43193202035146244</v>
      </c>
      <c r="M300" s="380">
        <v>1</v>
      </c>
      <c r="N300" s="379">
        <f t="shared" si="49"/>
        <v>-0.43193202035146244</v>
      </c>
      <c r="O300" s="376"/>
      <c r="P300" s="381">
        <f t="shared" si="50"/>
        <v>-2.5919320203514626</v>
      </c>
      <c r="Q300" s="382">
        <f t="shared" si="51"/>
        <v>-1.199968527940492</v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53</v>
      </c>
      <c r="G303" s="377"/>
      <c r="H303" s="505">
        <f>+'2010 Existing Rates'!$B$58</f>
        <v>0.0128</v>
      </c>
      <c r="I303" s="378">
        <f>H294</f>
        <v>2000</v>
      </c>
      <c r="J303" s="379">
        <f t="shared" si="48"/>
        <v>25.6</v>
      </c>
      <c r="K303" s="376"/>
      <c r="L303" s="505">
        <f>+'Rate Schedule (Part 1)'!$E$13</f>
        <v>0.0143</v>
      </c>
      <c r="M303" s="380">
        <f>H294</f>
        <v>2000</v>
      </c>
      <c r="N303" s="379">
        <f t="shared" si="49"/>
        <v>28.6</v>
      </c>
      <c r="O303" s="376"/>
      <c r="P303" s="381">
        <f t="shared" si="50"/>
        <v>3</v>
      </c>
      <c r="Q303" s="382">
        <f t="shared" si="51"/>
        <v>0.1171875</v>
      </c>
    </row>
    <row r="304" spans="4:17" ht="12.75">
      <c r="D304" s="376" t="s">
        <v>344</v>
      </c>
      <c r="E304" s="376"/>
      <c r="F304" s="514" t="s">
        <v>53</v>
      </c>
      <c r="G304" s="377"/>
      <c r="H304" s="505">
        <f>+'2010 Existing Rates'!$B$33</f>
        <v>0.0003</v>
      </c>
      <c r="I304" s="378">
        <f aca="true" t="shared" si="52" ref="I304:I309">I303</f>
        <v>2000</v>
      </c>
      <c r="J304" s="379">
        <f t="shared" si="48"/>
        <v>0.6</v>
      </c>
      <c r="K304" s="376"/>
      <c r="L304" s="505">
        <f>+'Rate Schedule (Part 1)'!$E$14</f>
        <v>0.0002</v>
      </c>
      <c r="M304" s="380">
        <f aca="true" t="shared" si="53" ref="M304:M309">M303</f>
        <v>2000</v>
      </c>
      <c r="N304" s="379">
        <f t="shared" si="49"/>
        <v>0.4</v>
      </c>
      <c r="O304" s="376"/>
      <c r="P304" s="381">
        <f t="shared" si="50"/>
        <v>-0.19999999999999996</v>
      </c>
      <c r="Q304" s="382">
        <f t="shared" si="51"/>
        <v>-0.33333333333333326</v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2000</v>
      </c>
      <c r="J305" s="379">
        <f t="shared" si="48"/>
        <v>0</v>
      </c>
      <c r="K305" s="376"/>
      <c r="L305" s="505"/>
      <c r="M305" s="380">
        <f t="shared" si="53"/>
        <v>2000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2000</v>
      </c>
      <c r="J306" s="379">
        <f t="shared" si="48"/>
        <v>0</v>
      </c>
      <c r="K306" s="376"/>
      <c r="L306" s="505"/>
      <c r="M306" s="380">
        <f t="shared" si="53"/>
        <v>2000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2000</v>
      </c>
      <c r="J307" s="379">
        <f t="shared" si="48"/>
        <v>0</v>
      </c>
      <c r="K307" s="376"/>
      <c r="L307" s="505"/>
      <c r="M307" s="380">
        <f t="shared" si="53"/>
        <v>2000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2000</v>
      </c>
      <c r="J308" s="379">
        <f t="shared" si="48"/>
        <v>0</v>
      </c>
      <c r="K308" s="376"/>
      <c r="L308" s="505"/>
      <c r="M308" s="380">
        <f t="shared" si="53"/>
        <v>2000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53</v>
      </c>
      <c r="G309" s="377"/>
      <c r="H309" s="505">
        <f>+'2010 Existing Rates'!$B$21</f>
        <v>-0.0039</v>
      </c>
      <c r="I309" s="378">
        <f t="shared" si="52"/>
        <v>2000</v>
      </c>
      <c r="J309" s="379">
        <f t="shared" si="48"/>
        <v>-7.8</v>
      </c>
      <c r="K309" s="376"/>
      <c r="L309" s="505">
        <f>+'Rate Schedule (Part 1)'!$E$17</f>
        <v>-0.0006676344696067126</v>
      </c>
      <c r="M309" s="380">
        <f t="shared" si="53"/>
        <v>2000</v>
      </c>
      <c r="N309" s="379">
        <f t="shared" si="49"/>
        <v>-1.3352689392134252</v>
      </c>
      <c r="O309" s="376"/>
      <c r="P309" s="381">
        <f t="shared" si="50"/>
        <v>6.4647310607865744</v>
      </c>
      <c r="Q309" s="382">
        <f t="shared" si="51"/>
        <v>-0.8288116744598173</v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34.27</v>
      </c>
      <c r="L314" s="385"/>
      <c r="M314" s="388"/>
      <c r="N314" s="387">
        <f>SUM(N299:N313)</f>
        <v>42.59279904043511</v>
      </c>
      <c r="P314" s="389">
        <f t="shared" si="50"/>
        <v>8.322799040435108</v>
      </c>
      <c r="Q314" s="390">
        <f t="shared" si="51"/>
        <v>0.2428596160033588</v>
      </c>
    </row>
    <row r="315" spans="4:17" ht="12.75">
      <c r="D315" s="391" t="s">
        <v>351</v>
      </c>
      <c r="E315" s="391"/>
      <c r="F315" s="515" t="s">
        <v>53</v>
      </c>
      <c r="G315" s="392"/>
      <c r="H315" s="506">
        <v>0.0059</v>
      </c>
      <c r="I315" s="393">
        <f>H294*(1+H330)</f>
        <v>2070.2</v>
      </c>
      <c r="J315" s="394">
        <f>I315*H315</f>
        <v>12.214179999999999</v>
      </c>
      <c r="K315" s="391"/>
      <c r="L315" s="506">
        <f>+'[7]E1.1 Adj Network to Fcst Whsl'!$S$22</f>
        <v>0.005484115818898886</v>
      </c>
      <c r="M315" s="395">
        <f>H294*(1+L330)</f>
        <v>2072.382495853456</v>
      </c>
      <c r="N315" s="394">
        <f>M315*L315</f>
        <v>11.365185628319093</v>
      </c>
      <c r="O315" s="391"/>
      <c r="P315" s="396">
        <f t="shared" si="50"/>
        <v>-0.8489943716809059</v>
      </c>
      <c r="Q315" s="397">
        <f t="shared" si="51"/>
        <v>-0.06950891272937733</v>
      </c>
    </row>
    <row r="316" spans="4:17" ht="26.25" thickBot="1">
      <c r="D316" s="398" t="s">
        <v>352</v>
      </c>
      <c r="E316" s="391"/>
      <c r="F316" s="515" t="s">
        <v>53</v>
      </c>
      <c r="G316" s="392"/>
      <c r="H316" s="506">
        <v>0.0047</v>
      </c>
      <c r="I316" s="393">
        <f>I315</f>
        <v>2070.2</v>
      </c>
      <c r="J316" s="394">
        <f>I316*H316</f>
        <v>9.72994</v>
      </c>
      <c r="K316" s="391"/>
      <c r="L316" s="506">
        <f>+'[7]E1.2 Adj Conn to Fcst Whsl'!$S$22</f>
        <v>0.004641093626279696</v>
      </c>
      <c r="M316" s="395">
        <f>M315</f>
        <v>2072.382495853456</v>
      </c>
      <c r="N316" s="394">
        <f>M316*L316</f>
        <v>9.618121192719084</v>
      </c>
      <c r="O316" s="391"/>
      <c r="P316" s="396">
        <f t="shared" si="50"/>
        <v>-0.11181880728091542</v>
      </c>
      <c r="Q316" s="397">
        <f t="shared" si="51"/>
        <v>-0.011492240166014942</v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56.21412</v>
      </c>
      <c r="K317" s="403"/>
      <c r="L317" s="404"/>
      <c r="M317" s="405"/>
      <c r="N317" s="402">
        <f>SUM(N314:N316)</f>
        <v>63.576105861473295</v>
      </c>
      <c r="O317" s="403"/>
      <c r="P317" s="406">
        <f t="shared" si="50"/>
        <v>7.361985861473293</v>
      </c>
      <c r="Q317" s="407">
        <f t="shared" si="51"/>
        <v>0.13096328576295943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I316</f>
        <v>2070.2</v>
      </c>
      <c r="J318" s="379">
        <f aca="true" t="shared" si="54" ref="J318:J325">I318*H318</f>
        <v>10.765039999999999</v>
      </c>
      <c r="K318" s="376"/>
      <c r="L318" s="505">
        <v>0.0052</v>
      </c>
      <c r="M318" s="380">
        <f>M316</f>
        <v>2072.382495853456</v>
      </c>
      <c r="N318" s="379">
        <f aca="true" t="shared" si="55" ref="N318:N325">M318*L318</f>
        <v>10.776388978437971</v>
      </c>
      <c r="O318" s="376"/>
      <c r="P318" s="381">
        <f t="shared" si="50"/>
        <v>0.011348978437972335</v>
      </c>
      <c r="Q318" s="382">
        <f t="shared" si="51"/>
        <v>0.0010542439636055541</v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I316</f>
        <v>2070.2</v>
      </c>
      <c r="J319" s="379">
        <f t="shared" si="54"/>
        <v>2.6912599999999998</v>
      </c>
      <c r="K319" s="376"/>
      <c r="L319" s="505">
        <v>0.0013</v>
      </c>
      <c r="M319" s="380">
        <f>M316</f>
        <v>2072.382495853456</v>
      </c>
      <c r="N319" s="379">
        <f t="shared" si="55"/>
        <v>2.694097244609493</v>
      </c>
      <c r="O319" s="376"/>
      <c r="P319" s="381">
        <f t="shared" si="50"/>
        <v>0.0028372446094930837</v>
      </c>
      <c r="Q319" s="382">
        <f t="shared" si="51"/>
        <v>0.0010542439636055541</v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I316</f>
        <v>2070.2</v>
      </c>
      <c r="J320" s="379">
        <f t="shared" si="54"/>
        <v>0.7721846</v>
      </c>
      <c r="K320" s="376"/>
      <c r="L320" s="508">
        <v>0.000373</v>
      </c>
      <c r="M320" s="380">
        <f>M316</f>
        <v>2072.382495853456</v>
      </c>
      <c r="N320" s="379">
        <f t="shared" si="55"/>
        <v>0.7729986709533391</v>
      </c>
      <c r="O320" s="376"/>
      <c r="P320" s="381">
        <f t="shared" si="50"/>
        <v>0.0008140709533390744</v>
      </c>
      <c r="Q320" s="382">
        <f t="shared" si="51"/>
        <v>0.0010542439636054312</v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2000</v>
      </c>
      <c r="J322" s="379">
        <f t="shared" si="54"/>
        <v>14</v>
      </c>
      <c r="K322" s="376"/>
      <c r="L322" s="505">
        <v>0.007</v>
      </c>
      <c r="M322" s="380">
        <f>+$H294</f>
        <v>2000</v>
      </c>
      <c r="N322" s="379">
        <f t="shared" si="55"/>
        <v>14</v>
      </c>
      <c r="O322" s="376"/>
      <c r="P322" s="381">
        <f t="shared" si="50"/>
        <v>0</v>
      </c>
      <c r="Q322" s="382">
        <f t="shared" si="51"/>
        <v>0</v>
      </c>
    </row>
    <row r="323" spans="4:17" ht="12.75">
      <c r="D323" s="376" t="s">
        <v>359</v>
      </c>
      <c r="E323" s="376"/>
      <c r="F323" s="514"/>
      <c r="G323" s="377"/>
      <c r="H323" s="505"/>
      <c r="I323" s="378"/>
      <c r="J323" s="379">
        <f t="shared" si="54"/>
        <v>0</v>
      </c>
      <c r="K323" s="376"/>
      <c r="L323" s="505"/>
      <c r="M323" s="380"/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 t="s">
        <v>366</v>
      </c>
      <c r="E324" s="376"/>
      <c r="F324" s="514" t="s">
        <v>53</v>
      </c>
      <c r="G324" s="377"/>
      <c r="H324" s="505">
        <f>+'Other Electriciy Rates'!$J$10</f>
        <v>0.065</v>
      </c>
      <c r="I324" s="509">
        <f>IF($H294*(1+$H330)&gt;600,600,($H294*(1+$H330)))</f>
        <v>600</v>
      </c>
      <c r="J324" s="379">
        <f t="shared" si="54"/>
        <v>39</v>
      </c>
      <c r="K324" s="376"/>
      <c r="L324" s="505">
        <f>+'Other Electriciy Rates'!$J$25</f>
        <v>0.065</v>
      </c>
      <c r="M324" s="509">
        <f>IF($H294*(1+$L330)&gt;600,600,($H294*(1+$L330)))</f>
        <v>600</v>
      </c>
      <c r="N324" s="379">
        <f t="shared" si="55"/>
        <v>39</v>
      </c>
      <c r="O324" s="376"/>
      <c r="P324" s="381">
        <f t="shared" si="50"/>
        <v>0</v>
      </c>
      <c r="Q324" s="382">
        <f t="shared" si="51"/>
        <v>0</v>
      </c>
    </row>
    <row r="325" spans="4:17" ht="13.5" thickBot="1">
      <c r="D325" s="501" t="s">
        <v>365</v>
      </c>
      <c r="E325" s="376"/>
      <c r="F325" s="514"/>
      <c r="G325" s="377"/>
      <c r="H325" s="505">
        <f>+'Other Electriciy Rates'!$K$10</f>
        <v>0.075</v>
      </c>
      <c r="I325" s="509">
        <f>IF($H294*(1+$H330)&gt;600,$H294*(1+$H330)-$I324,0)</f>
        <v>1470.1999999999998</v>
      </c>
      <c r="J325" s="379">
        <f t="shared" si="54"/>
        <v>110.26499999999999</v>
      </c>
      <c r="K325" s="376"/>
      <c r="L325" s="505">
        <f>+'Other Electriciy Rates'!$K$25</f>
        <v>0.075</v>
      </c>
      <c r="M325" s="509">
        <f>IF($H294*(1+$L330)&gt;600,$H294*(1+$L330)-$I324,0)</f>
        <v>1472.382495853456</v>
      </c>
      <c r="N325" s="379">
        <f t="shared" si="55"/>
        <v>110.4286871890092</v>
      </c>
      <c r="O325" s="376"/>
      <c r="P325" s="381">
        <f t="shared" si="50"/>
        <v>0.16368718900920953</v>
      </c>
      <c r="Q325" s="382">
        <f t="shared" si="51"/>
        <v>0.0014844890854687303</v>
      </c>
    </row>
    <row r="326" spans="4:17" ht="13.5" thickBot="1">
      <c r="D326" s="503" t="s">
        <v>360</v>
      </c>
      <c r="E326" s="376"/>
      <c r="F326" s="376"/>
      <c r="G326" s="376"/>
      <c r="H326" s="409"/>
      <c r="I326" s="410"/>
      <c r="J326" s="402">
        <f>SUM(J317:J325)</f>
        <v>233.9576046</v>
      </c>
      <c r="K326" s="403"/>
      <c r="L326" s="411"/>
      <c r="M326" s="412"/>
      <c r="N326" s="402">
        <f>SUM(N317:N325)</f>
        <v>241.4982779444833</v>
      </c>
      <c r="O326" s="403"/>
      <c r="P326" s="406">
        <f>N326-J326</f>
        <v>7.540673344483309</v>
      </c>
      <c r="Q326" s="407">
        <f>IF((J326)=0,"",(P326/J326))</f>
        <v>0.03223093926515313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30.414488598000002</v>
      </c>
      <c r="K327" s="376"/>
      <c r="L327" s="511">
        <v>0.13</v>
      </c>
      <c r="M327" s="415"/>
      <c r="N327" s="414">
        <f>N326*L327</f>
        <v>31.39477613278283</v>
      </c>
      <c r="O327" s="376"/>
      <c r="P327" s="381">
        <f>N327-J327</f>
        <v>0.9802875347828284</v>
      </c>
      <c r="Q327" s="382">
        <f>IF((J327)=0,"",(P327/J327))</f>
        <v>0.03223093926515306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264.37</v>
      </c>
      <c r="K328" s="403"/>
      <c r="L328" s="404"/>
      <c r="M328" s="405"/>
      <c r="N328" s="402">
        <f>ROUND(SUM(N326:N327),2)</f>
        <v>272.89</v>
      </c>
      <c r="O328" s="403"/>
      <c r="P328" s="406">
        <f>N328-J328</f>
        <v>8.519999999999982</v>
      </c>
      <c r="Q328" s="407">
        <f>IF((J328)=0,"",(P328/J328))</f>
        <v>0.032227559859288046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F10:Q10"/>
    <mergeCell ref="H14:J14"/>
    <mergeCell ref="L14:N14"/>
    <mergeCell ref="P14:Q14"/>
    <mergeCell ref="F15:F16"/>
    <mergeCell ref="P15:P16"/>
    <mergeCell ref="Q15:Q16"/>
    <mergeCell ref="B51:Q55"/>
    <mergeCell ref="F57:Q57"/>
    <mergeCell ref="H61:J61"/>
    <mergeCell ref="L61:N61"/>
    <mergeCell ref="P61:Q61"/>
    <mergeCell ref="F62:F63"/>
    <mergeCell ref="P62:P63"/>
    <mergeCell ref="Q62:Q63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</mergeCells>
  <dataValidations count="2">
    <dataValidation type="list" allowBlank="1" showInputMessage="1" showErrorMessage="1" sqref="F17:F31 F252:F266 F33:F34 F205:F219 F36:F43 F64:F78 F80:F81 F268:F269 F83:F90 F111:F125 F127:F128 F130:F137 F158:F172 F271:F278 F174:F175 F221:F222 F177:F184 F224:F231 F299:F313 F315:F316 F318:F325">
      <formula1>$B$10:$B$13</formula1>
    </dataValidation>
    <dataValidation type="list" allowBlank="1" showInputMessage="1" showErrorMessage="1" sqref="G17:G31 G252:G266 G33:G34 G205:G219 G36:G43 G64:G78 G80:G81 G268:G269 G83:G90 G111:G125 G127:G128 G130:G137 G158:G172 G271:G278 G174:G175 G221:G222 G177:G184 G224:G231 G299:G313 G315:G316 G318:G325">
      <formula1>$B$10:$B$15</formula1>
    </dataValidation>
  </dataValidations>
  <printOptions/>
  <pageMargins left="0.7" right="0.7" top="0.75" bottom="0.75" header="0.3" footer="0.3"/>
  <pageSetup fitToHeight="4" horizontalDpi="600" verticalDpi="600" orientation="portrait" scale="58" r:id="rId1"/>
  <rowBreaks count="6" manualBreakCount="6">
    <brk id="55" max="16" man="1"/>
    <brk id="102" max="16" man="1"/>
    <brk id="149" max="16" man="1"/>
    <brk id="196" max="16" man="1"/>
    <brk id="243" max="16" man="1"/>
    <brk id="290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3.7109375" style="362" bestFit="1" customWidth="1"/>
    <col min="9" max="9" width="8.57421875" style="362" customWidth="1"/>
    <col min="10" max="10" width="14.14062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5.140625" style="362" bestFit="1" customWidth="1"/>
    <col min="15" max="15" width="2.8515625" style="362" customWidth="1"/>
    <col min="16" max="16" width="11.8515625" style="362" bestFit="1" customWidth="1"/>
    <col min="17" max="17" width="10.140625" style="362" bestFit="1" customWidth="1"/>
    <col min="18" max="18" width="3.8515625" style="362" customWidth="1"/>
    <col min="19" max="16384" width="9.140625" style="362" customWidth="1"/>
  </cols>
  <sheetData>
    <row r="1" spans="1:18" s="355" customFormat="1" ht="15" customHeight="1">
      <c r="A1" s="583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32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368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369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9" ht="12.75">
      <c r="B12" s="363" t="s">
        <v>53</v>
      </c>
      <c r="F12" s="367" t="s">
        <v>66</v>
      </c>
      <c r="G12" s="367"/>
      <c r="H12" s="504">
        <v>1000</v>
      </c>
      <c r="I12" s="367" t="s">
        <v>332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83">
        <f>+'2010 Existing Rates'!$C$9</f>
        <v>14.7</v>
      </c>
      <c r="I17" s="378">
        <v>1</v>
      </c>
      <c r="J17" s="379">
        <f aca="true" t="shared" si="0" ref="J17:J31">I17*H17</f>
        <v>14.7</v>
      </c>
      <c r="K17" s="376"/>
      <c r="L17" s="583">
        <f>+'Rate Schedule (Part 1)'!$E$20</f>
        <v>16.78</v>
      </c>
      <c r="M17" s="380">
        <v>1</v>
      </c>
      <c r="N17" s="379">
        <f aca="true" t="shared" si="1" ref="N17:N31">M17*L17</f>
        <v>16.78</v>
      </c>
      <c r="O17" s="376"/>
      <c r="P17" s="381">
        <f aca="true" t="shared" si="2" ref="P17:P46">N17-J17</f>
        <v>2.080000000000002</v>
      </c>
      <c r="Q17" s="382">
        <f aca="true" t="shared" si="3" ref="Q17:Q46">IF((J17)=0,"",(P17/J17))</f>
        <v>0.1414965986394559</v>
      </c>
    </row>
    <row r="18" spans="4:17" ht="12.75">
      <c r="D18" s="376" t="s">
        <v>226</v>
      </c>
      <c r="E18" s="376"/>
      <c r="F18" s="514" t="s">
        <v>330</v>
      </c>
      <c r="G18" s="377"/>
      <c r="H18" s="583">
        <f>+'2010 Existing Rates'!$B$46</f>
        <v>2.16</v>
      </c>
      <c r="I18" s="378">
        <v>1</v>
      </c>
      <c r="J18" s="379">
        <f t="shared" si="0"/>
        <v>2.16</v>
      </c>
      <c r="K18" s="376"/>
      <c r="L18" s="583">
        <f>+'Rate Schedule (Part 1)'!$E$24</f>
        <v>-0.43193202035146244</v>
      </c>
      <c r="M18" s="380">
        <v>1</v>
      </c>
      <c r="N18" s="379">
        <f t="shared" si="1"/>
        <v>-0.43193202035146244</v>
      </c>
      <c r="O18" s="376"/>
      <c r="P18" s="381">
        <f t="shared" si="2"/>
        <v>-2.5919320203514626</v>
      </c>
      <c r="Q18" s="382">
        <f t="shared" si="3"/>
        <v>-1.199968527940492</v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53</v>
      </c>
      <c r="G21" s="377"/>
      <c r="H21" s="505">
        <f>+'2010 Existing Rates'!$B$59</f>
        <v>0.0156</v>
      </c>
      <c r="I21" s="378">
        <f>H12</f>
        <v>1000</v>
      </c>
      <c r="J21" s="379">
        <f t="shared" si="0"/>
        <v>15.6</v>
      </c>
      <c r="K21" s="376"/>
      <c r="L21" s="505">
        <f>+'Rate Schedule (Part 1)'!$E$21</f>
        <v>0.0178</v>
      </c>
      <c r="M21" s="380">
        <f>H12</f>
        <v>1000</v>
      </c>
      <c r="N21" s="379">
        <f t="shared" si="1"/>
        <v>17.8</v>
      </c>
      <c r="O21" s="376"/>
      <c r="P21" s="381">
        <f t="shared" si="2"/>
        <v>2.200000000000001</v>
      </c>
      <c r="Q21" s="382">
        <f t="shared" si="3"/>
        <v>0.1410256410256411</v>
      </c>
    </row>
    <row r="22" spans="4:17" ht="12.75">
      <c r="D22" s="376" t="s">
        <v>344</v>
      </c>
      <c r="E22" s="376"/>
      <c r="F22" s="514" t="s">
        <v>53</v>
      </c>
      <c r="G22" s="377"/>
      <c r="H22" s="505">
        <f>+'2010 Existing Rates'!$B$34</f>
        <v>0.0002</v>
      </c>
      <c r="I22" s="378">
        <f aca="true" t="shared" si="4" ref="I22:I27">I21</f>
        <v>1000</v>
      </c>
      <c r="J22" s="379">
        <f t="shared" si="0"/>
        <v>0.2</v>
      </c>
      <c r="K22" s="376"/>
      <c r="L22" s="505">
        <f>+'Rate Schedule (Part 1)'!$E$22</f>
        <v>0.0002</v>
      </c>
      <c r="M22" s="380">
        <f aca="true" t="shared" si="5" ref="M22:M27">M21</f>
        <v>1000</v>
      </c>
      <c r="N22" s="379">
        <f t="shared" si="1"/>
        <v>0.2</v>
      </c>
      <c r="O22" s="376"/>
      <c r="P22" s="381">
        <f t="shared" si="2"/>
        <v>0</v>
      </c>
      <c r="Q22" s="382">
        <f t="shared" si="3"/>
        <v>0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1000</v>
      </c>
      <c r="J23" s="379">
        <f t="shared" si="0"/>
        <v>0</v>
      </c>
      <c r="K23" s="376"/>
      <c r="L23" s="505"/>
      <c r="M23" s="380">
        <f t="shared" si="5"/>
        <v>1000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1000</v>
      </c>
      <c r="J24" s="379">
        <f t="shared" si="0"/>
        <v>0</v>
      </c>
      <c r="K24" s="376"/>
      <c r="L24" s="505"/>
      <c r="M24" s="380">
        <f t="shared" si="5"/>
        <v>1000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1000</v>
      </c>
      <c r="J25" s="379">
        <f t="shared" si="0"/>
        <v>0</v>
      </c>
      <c r="K25" s="376"/>
      <c r="L25" s="505"/>
      <c r="M25" s="380">
        <f t="shared" si="5"/>
        <v>1000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1000</v>
      </c>
      <c r="J26" s="379">
        <f t="shared" si="0"/>
        <v>0</v>
      </c>
      <c r="K26" s="376"/>
      <c r="L26" s="505"/>
      <c r="M26" s="380">
        <f t="shared" si="5"/>
        <v>1000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53</v>
      </c>
      <c r="G27" s="377"/>
      <c r="H27" s="505">
        <f>+'2010 Existing Rates'!$B$22</f>
        <v>-0.0037</v>
      </c>
      <c r="I27" s="378">
        <f t="shared" si="4"/>
        <v>1000</v>
      </c>
      <c r="J27" s="379">
        <f t="shared" si="0"/>
        <v>-3.7</v>
      </c>
      <c r="K27" s="376"/>
      <c r="L27" s="505">
        <f>+'Rate Schedule (Part 1)'!$E$25</f>
        <v>-0.0007654152677371481</v>
      </c>
      <c r="M27" s="380">
        <f t="shared" si="5"/>
        <v>1000</v>
      </c>
      <c r="N27" s="379">
        <f t="shared" si="1"/>
        <v>-0.7654152677371481</v>
      </c>
      <c r="O27" s="376"/>
      <c r="P27" s="381">
        <f t="shared" si="2"/>
        <v>2.934584732262852</v>
      </c>
      <c r="Q27" s="382">
        <f t="shared" si="3"/>
        <v>-0.7931310087196898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28.960000000000004</v>
      </c>
      <c r="L32" s="385"/>
      <c r="M32" s="388"/>
      <c r="N32" s="387">
        <f>SUM(N17:N31)</f>
        <v>33.5826527119114</v>
      </c>
      <c r="P32" s="389">
        <f t="shared" si="2"/>
        <v>4.622652711911396</v>
      </c>
      <c r="Q32" s="390">
        <f t="shared" si="3"/>
        <v>0.15962198590854265</v>
      </c>
    </row>
    <row r="33" spans="4:17" ht="12.75">
      <c r="D33" s="391" t="s">
        <v>351</v>
      </c>
      <c r="E33" s="391"/>
      <c r="F33" s="515" t="s">
        <v>53</v>
      </c>
      <c r="G33" s="392"/>
      <c r="H33" s="506">
        <v>0.0054</v>
      </c>
      <c r="I33" s="393">
        <f>H12*(1+H48)</f>
        <v>1035.1</v>
      </c>
      <c r="J33" s="394">
        <f>I33*H33</f>
        <v>5.5895399999999995</v>
      </c>
      <c r="K33" s="391"/>
      <c r="L33" s="506">
        <f>+'[7]E1.1 Adj Network to Fcst Whsl'!$S$23</f>
        <v>0.005019360241026099</v>
      </c>
      <c r="M33" s="395">
        <f>H12*(1+L48)</f>
        <v>1036.191247926728</v>
      </c>
      <c r="N33" s="394">
        <f>M33*L33</f>
        <v>5.201017151942636</v>
      </c>
      <c r="O33" s="391"/>
      <c r="P33" s="396">
        <f t="shared" si="2"/>
        <v>-0.3885228480573639</v>
      </c>
      <c r="Q33" s="397">
        <f t="shared" si="3"/>
        <v>-0.06950891272937737</v>
      </c>
    </row>
    <row r="34" spans="4:17" ht="26.25" thickBot="1">
      <c r="D34" s="398" t="s">
        <v>352</v>
      </c>
      <c r="E34" s="391"/>
      <c r="F34" s="515" t="s">
        <v>53</v>
      </c>
      <c r="G34" s="392"/>
      <c r="H34" s="506">
        <v>0.0042</v>
      </c>
      <c r="I34" s="393">
        <f>I33</f>
        <v>1035.1</v>
      </c>
      <c r="J34" s="394">
        <f>I34*H34</f>
        <v>4.34742</v>
      </c>
      <c r="K34" s="391"/>
      <c r="L34" s="506">
        <f>+'[7]E1.2 Adj Conn to Fcst Whsl'!$S$23</f>
        <v>0.004147360261781856</v>
      </c>
      <c r="M34" s="395">
        <f>M33</f>
        <v>1036.191247926728</v>
      </c>
      <c r="N34" s="394">
        <f>M34*L34</f>
        <v>4.297458405257463</v>
      </c>
      <c r="O34" s="391"/>
      <c r="P34" s="396">
        <f t="shared" si="2"/>
        <v>-0.0499615947425367</v>
      </c>
      <c r="Q34" s="397">
        <f t="shared" si="3"/>
        <v>-0.011492240166014947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38.89696000000001</v>
      </c>
      <c r="K35" s="403"/>
      <c r="L35" s="404"/>
      <c r="M35" s="405"/>
      <c r="N35" s="402">
        <f>SUM(N32:N34)</f>
        <v>43.0811282691115</v>
      </c>
      <c r="O35" s="403"/>
      <c r="P35" s="406">
        <f t="shared" si="2"/>
        <v>4.184168269111495</v>
      </c>
      <c r="Q35" s="407">
        <f t="shared" si="3"/>
        <v>0.10757057284454864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I34</f>
        <v>1035.1</v>
      </c>
      <c r="J36" s="379">
        <f aca="true" t="shared" si="6" ref="J36:J43">I36*H36</f>
        <v>5.3825199999999995</v>
      </c>
      <c r="K36" s="376"/>
      <c r="L36" s="505">
        <v>0.0052</v>
      </c>
      <c r="M36" s="380">
        <f>M34</f>
        <v>1036.191247926728</v>
      </c>
      <c r="N36" s="379">
        <f aca="true" t="shared" si="7" ref="N36:N43">M36*L36</f>
        <v>5.388194489218986</v>
      </c>
      <c r="O36" s="376"/>
      <c r="P36" s="381">
        <f t="shared" si="2"/>
        <v>0.005674489218986167</v>
      </c>
      <c r="Q36" s="382">
        <f t="shared" si="3"/>
        <v>0.0010542439636055541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I34</f>
        <v>1035.1</v>
      </c>
      <c r="J37" s="379">
        <f t="shared" si="6"/>
        <v>1.3456299999999999</v>
      </c>
      <c r="K37" s="376"/>
      <c r="L37" s="505">
        <v>0.0013</v>
      </c>
      <c r="M37" s="380">
        <f>M34</f>
        <v>1036.191247926728</v>
      </c>
      <c r="N37" s="379">
        <f t="shared" si="7"/>
        <v>1.3470486223047464</v>
      </c>
      <c r="O37" s="376"/>
      <c r="P37" s="381">
        <f t="shared" si="2"/>
        <v>0.0014186223047465418</v>
      </c>
      <c r="Q37" s="382">
        <f t="shared" si="3"/>
        <v>0.0010542439636055541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I34</f>
        <v>1035.1</v>
      </c>
      <c r="J38" s="379">
        <f t="shared" si="6"/>
        <v>0.3860923</v>
      </c>
      <c r="K38" s="376"/>
      <c r="L38" s="508">
        <v>0.000373</v>
      </c>
      <c r="M38" s="380">
        <f>M34</f>
        <v>1036.191247926728</v>
      </c>
      <c r="N38" s="379">
        <f t="shared" si="7"/>
        <v>0.38649933547666954</v>
      </c>
      <c r="O38" s="376"/>
      <c r="P38" s="381">
        <f t="shared" si="2"/>
        <v>0.0004070354766695372</v>
      </c>
      <c r="Q38" s="382">
        <f t="shared" si="3"/>
        <v>0.0010542439636054312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1000</v>
      </c>
      <c r="J40" s="379">
        <f t="shared" si="6"/>
        <v>7</v>
      </c>
      <c r="K40" s="376"/>
      <c r="L40" s="505">
        <v>0.007</v>
      </c>
      <c r="M40" s="380">
        <f>+$H12</f>
        <v>1000</v>
      </c>
      <c r="N40" s="379">
        <f t="shared" si="7"/>
        <v>7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/>
      <c r="G41" s="377"/>
      <c r="H41" s="505"/>
      <c r="I41" s="378"/>
      <c r="J41" s="379">
        <f t="shared" si="6"/>
        <v>0</v>
      </c>
      <c r="K41" s="376"/>
      <c r="L41" s="505"/>
      <c r="M41" s="380"/>
      <c r="N41" s="379">
        <f t="shared" si="7"/>
        <v>0</v>
      </c>
      <c r="O41" s="376"/>
      <c r="P41" s="381">
        <f t="shared" si="2"/>
        <v>0</v>
      </c>
      <c r="Q41" s="382">
        <f t="shared" si="3"/>
      </c>
    </row>
    <row r="42" spans="4:17" ht="12.75">
      <c r="D42" s="502" t="s">
        <v>366</v>
      </c>
      <c r="E42" s="376"/>
      <c r="F42" s="514" t="s">
        <v>53</v>
      </c>
      <c r="G42" s="377"/>
      <c r="H42" s="505">
        <f>+'Other Electriciy Rates'!$J$11</f>
        <v>0.065</v>
      </c>
      <c r="I42" s="509">
        <f>IF($H12*(1+$H48)&gt;600,600,($H12*(1+$H48)))</f>
        <v>600</v>
      </c>
      <c r="J42" s="379">
        <f t="shared" si="6"/>
        <v>39</v>
      </c>
      <c r="K42" s="376"/>
      <c r="L42" s="505">
        <f>+'Other Electriciy Rates'!$J$26</f>
        <v>0.065</v>
      </c>
      <c r="M42" s="509">
        <f>IF($H12*(1+$L48)&gt;600,600,($H12*(1+$L48)))</f>
        <v>600</v>
      </c>
      <c r="N42" s="379">
        <f t="shared" si="7"/>
        <v>39</v>
      </c>
      <c r="O42" s="376"/>
      <c r="P42" s="381">
        <f t="shared" si="2"/>
        <v>0</v>
      </c>
      <c r="Q42" s="382">
        <f t="shared" si="3"/>
        <v>0</v>
      </c>
    </row>
    <row r="43" spans="4:17" ht="13.5" thickBot="1">
      <c r="D43" s="501" t="s">
        <v>365</v>
      </c>
      <c r="E43" s="376"/>
      <c r="F43" s="514"/>
      <c r="G43" s="377"/>
      <c r="H43" s="505">
        <f>+'Other Electriciy Rates'!$K$11</f>
        <v>0.075</v>
      </c>
      <c r="I43" s="509">
        <f>IF($H12*(1+$H48)&gt;600,$H12*(1+$H48)-$I42,0)</f>
        <v>435.0999999999999</v>
      </c>
      <c r="J43" s="379">
        <f t="shared" si="6"/>
        <v>32.63249999999999</v>
      </c>
      <c r="K43" s="376"/>
      <c r="L43" s="505">
        <f>+'Other Electriciy Rates'!$K$26</f>
        <v>0.075</v>
      </c>
      <c r="M43" s="509">
        <f>IF($H12*(1+$L48)&gt;600,$H12*(1+$L48)-$I42,0)</f>
        <v>436.191247926728</v>
      </c>
      <c r="N43" s="379">
        <f t="shared" si="7"/>
        <v>32.7143435945046</v>
      </c>
      <c r="O43" s="376"/>
      <c r="P43" s="381">
        <f t="shared" si="2"/>
        <v>0.08184359450460477</v>
      </c>
      <c r="Q43" s="382">
        <f t="shared" si="3"/>
        <v>0.0025080393627397468</v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124.8937023</v>
      </c>
      <c r="K44" s="403"/>
      <c r="L44" s="411"/>
      <c r="M44" s="412"/>
      <c r="N44" s="402">
        <f>SUM(N35:N43)</f>
        <v>129.1672143106165</v>
      </c>
      <c r="O44" s="403"/>
      <c r="P44" s="406">
        <f t="shared" si="2"/>
        <v>4.273512010616486</v>
      </c>
      <c r="Q44" s="407">
        <f t="shared" si="3"/>
        <v>0.03421719375690639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16.236181299000002</v>
      </c>
      <c r="K45" s="376"/>
      <c r="L45" s="511">
        <v>0.13</v>
      </c>
      <c r="M45" s="415"/>
      <c r="N45" s="414">
        <f>N44*L45</f>
        <v>16.791737860380145</v>
      </c>
      <c r="O45" s="376"/>
      <c r="P45" s="381">
        <f t="shared" si="2"/>
        <v>0.5555565613801434</v>
      </c>
      <c r="Q45" s="382">
        <f t="shared" si="3"/>
        <v>0.034217193756906406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141.13</v>
      </c>
      <c r="K46" s="403"/>
      <c r="L46" s="404"/>
      <c r="M46" s="405"/>
      <c r="N46" s="402">
        <f>ROUND(SUM(N44:N45),2)</f>
        <v>145.96</v>
      </c>
      <c r="O46" s="403"/>
      <c r="P46" s="406">
        <f t="shared" si="2"/>
        <v>4.8300000000000125</v>
      </c>
      <c r="Q46" s="407">
        <f t="shared" si="3"/>
        <v>0.03422376532275216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General Service &lt; 50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9" ht="12.75">
      <c r="B59" s="363" t="s">
        <v>53</v>
      </c>
      <c r="F59" s="367" t="s">
        <v>66</v>
      </c>
      <c r="G59" s="367"/>
      <c r="H59" s="504">
        <v>2000</v>
      </c>
      <c r="I59" s="367" t="s">
        <v>332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83">
        <f>+'2010 Existing Rates'!$C$9</f>
        <v>14.7</v>
      </c>
      <c r="I64" s="378">
        <v>1</v>
      </c>
      <c r="J64" s="379">
        <f aca="true" t="shared" si="8" ref="J64:J78">I64*H64</f>
        <v>14.7</v>
      </c>
      <c r="K64" s="376"/>
      <c r="L64" s="583">
        <f>+'Rate Schedule (Part 1)'!$E$20</f>
        <v>16.78</v>
      </c>
      <c r="M64" s="380">
        <v>1</v>
      </c>
      <c r="N64" s="379">
        <f aca="true" t="shared" si="9" ref="N64:N78">M64*L64</f>
        <v>16.78</v>
      </c>
      <c r="O64" s="376"/>
      <c r="P64" s="381">
        <f aca="true" t="shared" si="10" ref="P64:P90">N64-J64</f>
        <v>2.080000000000002</v>
      </c>
      <c r="Q64" s="382">
        <f aca="true" t="shared" si="11" ref="Q64:Q90">IF((J64)=0,"",(P64/J64))</f>
        <v>0.1414965986394559</v>
      </c>
    </row>
    <row r="65" spans="4:17" ht="12.75">
      <c r="D65" s="376" t="s">
        <v>226</v>
      </c>
      <c r="E65" s="376"/>
      <c r="F65" s="514" t="s">
        <v>330</v>
      </c>
      <c r="G65" s="377"/>
      <c r="H65" s="583">
        <f>+'2010 Existing Rates'!$B$46</f>
        <v>2.16</v>
      </c>
      <c r="I65" s="378">
        <v>1</v>
      </c>
      <c r="J65" s="379">
        <f t="shared" si="8"/>
        <v>2.16</v>
      </c>
      <c r="K65" s="376"/>
      <c r="L65" s="583">
        <f>+'Rate Schedule (Part 1)'!$E$24</f>
        <v>-0.43193202035146244</v>
      </c>
      <c r="M65" s="380">
        <v>1</v>
      </c>
      <c r="N65" s="379">
        <f t="shared" si="9"/>
        <v>-0.43193202035146244</v>
      </c>
      <c r="O65" s="376"/>
      <c r="P65" s="381">
        <f t="shared" si="10"/>
        <v>-2.5919320203514626</v>
      </c>
      <c r="Q65" s="382">
        <f t="shared" si="11"/>
        <v>-1.199968527940492</v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53</v>
      </c>
      <c r="G68" s="377"/>
      <c r="H68" s="505">
        <f>+'2010 Existing Rates'!$B$59</f>
        <v>0.0156</v>
      </c>
      <c r="I68" s="378">
        <f>H59</f>
        <v>2000</v>
      </c>
      <c r="J68" s="379">
        <f t="shared" si="8"/>
        <v>31.2</v>
      </c>
      <c r="K68" s="376"/>
      <c r="L68" s="505">
        <f>+'Rate Schedule (Part 1)'!$E$21</f>
        <v>0.0178</v>
      </c>
      <c r="M68" s="380">
        <f>H59</f>
        <v>2000</v>
      </c>
      <c r="N68" s="379">
        <f t="shared" si="9"/>
        <v>35.6</v>
      </c>
      <c r="O68" s="376"/>
      <c r="P68" s="381">
        <f t="shared" si="10"/>
        <v>4.400000000000002</v>
      </c>
      <c r="Q68" s="382">
        <f t="shared" si="11"/>
        <v>0.1410256410256411</v>
      </c>
    </row>
    <row r="69" spans="4:17" ht="12.75">
      <c r="D69" s="376" t="s">
        <v>344</v>
      </c>
      <c r="E69" s="376"/>
      <c r="F69" s="514" t="s">
        <v>53</v>
      </c>
      <c r="G69" s="377"/>
      <c r="H69" s="505">
        <f>+'2010 Existing Rates'!$B$34</f>
        <v>0.0002</v>
      </c>
      <c r="I69" s="378">
        <f aca="true" t="shared" si="12" ref="I69:I74">I68</f>
        <v>2000</v>
      </c>
      <c r="J69" s="379">
        <f t="shared" si="8"/>
        <v>0.4</v>
      </c>
      <c r="K69" s="376"/>
      <c r="L69" s="505">
        <f>+'Rate Schedule (Part 1)'!$E$22</f>
        <v>0.0002</v>
      </c>
      <c r="M69" s="380">
        <f aca="true" t="shared" si="13" ref="M69:M74">M68</f>
        <v>2000</v>
      </c>
      <c r="N69" s="379">
        <f t="shared" si="9"/>
        <v>0.4</v>
      </c>
      <c r="O69" s="376"/>
      <c r="P69" s="381">
        <f t="shared" si="10"/>
        <v>0</v>
      </c>
      <c r="Q69" s="382">
        <f t="shared" si="11"/>
        <v>0</v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2000</v>
      </c>
      <c r="J70" s="379">
        <f t="shared" si="8"/>
        <v>0</v>
      </c>
      <c r="K70" s="376"/>
      <c r="L70" s="505"/>
      <c r="M70" s="380">
        <f t="shared" si="13"/>
        <v>2000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2000</v>
      </c>
      <c r="J71" s="379">
        <f t="shared" si="8"/>
        <v>0</v>
      </c>
      <c r="K71" s="376"/>
      <c r="L71" s="505"/>
      <c r="M71" s="380">
        <f t="shared" si="13"/>
        <v>2000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2000</v>
      </c>
      <c r="J72" s="379">
        <f t="shared" si="8"/>
        <v>0</v>
      </c>
      <c r="K72" s="376"/>
      <c r="L72" s="505"/>
      <c r="M72" s="380">
        <f t="shared" si="13"/>
        <v>2000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2000</v>
      </c>
      <c r="J73" s="379">
        <f t="shared" si="8"/>
        <v>0</v>
      </c>
      <c r="K73" s="376"/>
      <c r="L73" s="505"/>
      <c r="M73" s="380">
        <f t="shared" si="13"/>
        <v>2000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53</v>
      </c>
      <c r="G74" s="377"/>
      <c r="H74" s="505">
        <f>+'2010 Existing Rates'!$B$22</f>
        <v>-0.0037</v>
      </c>
      <c r="I74" s="378">
        <f t="shared" si="12"/>
        <v>2000</v>
      </c>
      <c r="J74" s="379">
        <f t="shared" si="8"/>
        <v>-7.4</v>
      </c>
      <c r="K74" s="376"/>
      <c r="L74" s="505">
        <f>+'Rate Schedule (Part 1)'!$E$25</f>
        <v>-0.0007654152677371481</v>
      </c>
      <c r="M74" s="380">
        <f t="shared" si="13"/>
        <v>2000</v>
      </c>
      <c r="N74" s="379">
        <f t="shared" si="9"/>
        <v>-1.5308305354742962</v>
      </c>
      <c r="O74" s="376"/>
      <c r="P74" s="381">
        <f t="shared" si="10"/>
        <v>5.869169464525704</v>
      </c>
      <c r="Q74" s="382">
        <f t="shared" si="11"/>
        <v>-0.7931310087196898</v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41.06</v>
      </c>
      <c r="L79" s="385"/>
      <c r="M79" s="388"/>
      <c r="N79" s="387">
        <f>SUM(N64:N78)</f>
        <v>50.817237444174246</v>
      </c>
      <c r="P79" s="389">
        <f t="shared" si="10"/>
        <v>9.757237444174244</v>
      </c>
      <c r="Q79" s="390">
        <f t="shared" si="11"/>
        <v>0.23763364452445795</v>
      </c>
    </row>
    <row r="80" spans="4:17" ht="12.75">
      <c r="D80" s="391" t="s">
        <v>351</v>
      </c>
      <c r="E80" s="391"/>
      <c r="F80" s="515" t="s">
        <v>53</v>
      </c>
      <c r="G80" s="392"/>
      <c r="H80" s="506">
        <v>0.0054</v>
      </c>
      <c r="I80" s="393">
        <f>H59*(1+H95)</f>
        <v>2070.2</v>
      </c>
      <c r="J80" s="394">
        <f>I80*H80</f>
        <v>11.179079999999999</v>
      </c>
      <c r="K80" s="391"/>
      <c r="L80" s="506">
        <f>+'[7]E1.1 Adj Network to Fcst Whsl'!$S$23</f>
        <v>0.005019360241026099</v>
      </c>
      <c r="M80" s="395">
        <f>H59*(1+L95)</f>
        <v>2072.382495853456</v>
      </c>
      <c r="N80" s="394">
        <f>M80*L80</f>
        <v>10.402034303885271</v>
      </c>
      <c r="O80" s="391"/>
      <c r="P80" s="396">
        <f t="shared" si="10"/>
        <v>-0.7770456961147278</v>
      </c>
      <c r="Q80" s="397">
        <f t="shared" si="11"/>
        <v>-0.06950891272937737</v>
      </c>
    </row>
    <row r="81" spans="4:17" ht="26.25" thickBot="1">
      <c r="D81" s="398" t="s">
        <v>352</v>
      </c>
      <c r="E81" s="391"/>
      <c r="F81" s="515" t="s">
        <v>53</v>
      </c>
      <c r="G81" s="392"/>
      <c r="H81" s="506">
        <v>0.0042</v>
      </c>
      <c r="I81" s="393">
        <f>I80</f>
        <v>2070.2</v>
      </c>
      <c r="J81" s="394">
        <f>I81*H81</f>
        <v>8.69484</v>
      </c>
      <c r="K81" s="391"/>
      <c r="L81" s="506">
        <f>+'[7]E1.2 Adj Conn to Fcst Whsl'!$S$23</f>
        <v>0.004147360261781856</v>
      </c>
      <c r="M81" s="395">
        <f>M80</f>
        <v>2072.382495853456</v>
      </c>
      <c r="N81" s="394">
        <f>M81*L81</f>
        <v>8.594916810514926</v>
      </c>
      <c r="O81" s="391"/>
      <c r="P81" s="396">
        <f t="shared" si="10"/>
        <v>-0.0999231894850734</v>
      </c>
      <c r="Q81" s="397">
        <f t="shared" si="11"/>
        <v>-0.011492240166014947</v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60.93392</v>
      </c>
      <c r="K82" s="403"/>
      <c r="L82" s="404"/>
      <c r="M82" s="405"/>
      <c r="N82" s="402">
        <f>SUM(N79:N81)</f>
        <v>69.81418855857444</v>
      </c>
      <c r="O82" s="403"/>
      <c r="P82" s="406">
        <f t="shared" si="10"/>
        <v>8.880268558574443</v>
      </c>
      <c r="Q82" s="407">
        <f t="shared" si="11"/>
        <v>0.14573604584399696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I81</f>
        <v>2070.2</v>
      </c>
      <c r="J83" s="379">
        <f aca="true" t="shared" si="14" ref="J83:J90">I83*H83</f>
        <v>10.765039999999999</v>
      </c>
      <c r="K83" s="376"/>
      <c r="L83" s="505">
        <v>0.0052</v>
      </c>
      <c r="M83" s="380">
        <f>M81</f>
        <v>2072.382495853456</v>
      </c>
      <c r="N83" s="379">
        <f aca="true" t="shared" si="15" ref="N83:N90">M83*L83</f>
        <v>10.776388978437971</v>
      </c>
      <c r="O83" s="376"/>
      <c r="P83" s="381">
        <f t="shared" si="10"/>
        <v>0.011348978437972335</v>
      </c>
      <c r="Q83" s="382">
        <f t="shared" si="11"/>
        <v>0.0010542439636055541</v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I81</f>
        <v>2070.2</v>
      </c>
      <c r="J84" s="379">
        <f t="shared" si="14"/>
        <v>2.6912599999999998</v>
      </c>
      <c r="K84" s="376"/>
      <c r="L84" s="505">
        <v>0.0013</v>
      </c>
      <c r="M84" s="380">
        <f>M81</f>
        <v>2072.382495853456</v>
      </c>
      <c r="N84" s="379">
        <f t="shared" si="15"/>
        <v>2.694097244609493</v>
      </c>
      <c r="O84" s="376"/>
      <c r="P84" s="381">
        <f t="shared" si="10"/>
        <v>0.0028372446094930837</v>
      </c>
      <c r="Q84" s="382">
        <f t="shared" si="11"/>
        <v>0.0010542439636055541</v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I81</f>
        <v>2070.2</v>
      </c>
      <c r="J85" s="379">
        <f t="shared" si="14"/>
        <v>0.7721846</v>
      </c>
      <c r="K85" s="376"/>
      <c r="L85" s="508">
        <v>0.000373</v>
      </c>
      <c r="M85" s="380">
        <f>M81</f>
        <v>2072.382495853456</v>
      </c>
      <c r="N85" s="379">
        <f t="shared" si="15"/>
        <v>0.7729986709533391</v>
      </c>
      <c r="O85" s="376"/>
      <c r="P85" s="381">
        <f t="shared" si="10"/>
        <v>0.0008140709533390744</v>
      </c>
      <c r="Q85" s="382">
        <f t="shared" si="11"/>
        <v>0.0010542439636054312</v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2000</v>
      </c>
      <c r="J87" s="379">
        <f t="shared" si="14"/>
        <v>14</v>
      </c>
      <c r="K87" s="376"/>
      <c r="L87" s="505">
        <v>0.007</v>
      </c>
      <c r="M87" s="380">
        <f>+$H59</f>
        <v>2000</v>
      </c>
      <c r="N87" s="379">
        <f t="shared" si="15"/>
        <v>14</v>
      </c>
      <c r="O87" s="376"/>
      <c r="P87" s="381">
        <f t="shared" si="10"/>
        <v>0</v>
      </c>
      <c r="Q87" s="382">
        <f t="shared" si="11"/>
        <v>0</v>
      </c>
    </row>
    <row r="88" spans="4:17" ht="12.75">
      <c r="D88" s="376" t="s">
        <v>359</v>
      </c>
      <c r="E88" s="376"/>
      <c r="F88" s="514"/>
      <c r="G88" s="377"/>
      <c r="H88" s="505"/>
      <c r="I88" s="378"/>
      <c r="J88" s="379">
        <f t="shared" si="14"/>
        <v>0</v>
      </c>
      <c r="K88" s="376"/>
      <c r="L88" s="505"/>
      <c r="M88" s="380"/>
      <c r="N88" s="379">
        <f t="shared" si="15"/>
        <v>0</v>
      </c>
      <c r="O88" s="376"/>
      <c r="P88" s="381">
        <f t="shared" si="10"/>
        <v>0</v>
      </c>
      <c r="Q88" s="382">
        <f t="shared" si="11"/>
      </c>
    </row>
    <row r="89" spans="4:17" ht="12.75">
      <c r="D89" s="502" t="s">
        <v>366</v>
      </c>
      <c r="E89" s="376"/>
      <c r="F89" s="514" t="s">
        <v>53</v>
      </c>
      <c r="G89" s="377"/>
      <c r="H89" s="505">
        <f>+'Other Electriciy Rates'!$J$11</f>
        <v>0.065</v>
      </c>
      <c r="I89" s="509">
        <f>IF($H59*(1+$H95)&gt;600,600,($H59*(1+$H95)))</f>
        <v>600</v>
      </c>
      <c r="J89" s="379">
        <f t="shared" si="14"/>
        <v>39</v>
      </c>
      <c r="K89" s="376"/>
      <c r="L89" s="505">
        <f>+'Other Electriciy Rates'!$J$26</f>
        <v>0.065</v>
      </c>
      <c r="M89" s="509">
        <f>IF($H59*(1+$L95)&gt;600,600,($H59*(1+$L95)))</f>
        <v>600</v>
      </c>
      <c r="N89" s="379">
        <f t="shared" si="15"/>
        <v>39</v>
      </c>
      <c r="O89" s="376"/>
      <c r="P89" s="381">
        <f t="shared" si="10"/>
        <v>0</v>
      </c>
      <c r="Q89" s="382">
        <f t="shared" si="11"/>
        <v>0</v>
      </c>
    </row>
    <row r="90" spans="4:17" ht="13.5" thickBot="1">
      <c r="D90" s="501" t="s">
        <v>365</v>
      </c>
      <c r="E90" s="376"/>
      <c r="F90" s="514"/>
      <c r="G90" s="377"/>
      <c r="H90" s="505">
        <f>+'Other Electriciy Rates'!$K$11</f>
        <v>0.075</v>
      </c>
      <c r="I90" s="509">
        <f>IF($H59*(1+$H95)&gt;600,$H59*(1+$H95)-$I89,0)</f>
        <v>1470.1999999999998</v>
      </c>
      <c r="J90" s="379">
        <f t="shared" si="14"/>
        <v>110.26499999999999</v>
      </c>
      <c r="K90" s="376"/>
      <c r="L90" s="505">
        <f>+'Other Electriciy Rates'!$K$26</f>
        <v>0.075</v>
      </c>
      <c r="M90" s="509">
        <f>IF($H59*(1+$L95)&gt;600,$H59*(1+$L95)-$I89,0)</f>
        <v>1472.382495853456</v>
      </c>
      <c r="N90" s="379">
        <f t="shared" si="15"/>
        <v>110.4286871890092</v>
      </c>
      <c r="O90" s="376"/>
      <c r="P90" s="381">
        <f t="shared" si="10"/>
        <v>0.16368718900920953</v>
      </c>
      <c r="Q90" s="382">
        <f t="shared" si="11"/>
        <v>0.0014844890854687303</v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238.6774046</v>
      </c>
      <c r="K91" s="403"/>
      <c r="L91" s="411"/>
      <c r="M91" s="412"/>
      <c r="N91" s="402">
        <f>SUM(N82:N90)</f>
        <v>247.73636064158447</v>
      </c>
      <c r="O91" s="403"/>
      <c r="P91" s="406">
        <f>N91-J91</f>
        <v>9.05895604158448</v>
      </c>
      <c r="Q91" s="407">
        <f>IF((J91)=0,"",(P91/J91))</f>
        <v>0.037954812089424236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31.028062597999998</v>
      </c>
      <c r="K92" s="376"/>
      <c r="L92" s="511">
        <v>0.13</v>
      </c>
      <c r="M92" s="415"/>
      <c r="N92" s="414">
        <f>N91*L92</f>
        <v>32.20572688340598</v>
      </c>
      <c r="O92" s="376"/>
      <c r="P92" s="381">
        <f>N92-J92</f>
        <v>1.1776642854059816</v>
      </c>
      <c r="Q92" s="382">
        <f>IF((J92)=0,"",(P92/J92))</f>
        <v>0.037954812089424216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269.71</v>
      </c>
      <c r="K93" s="403"/>
      <c r="L93" s="404"/>
      <c r="M93" s="405"/>
      <c r="N93" s="402">
        <f>ROUND(SUM(N91:N92),2)</f>
        <v>279.94</v>
      </c>
      <c r="O93" s="403"/>
      <c r="P93" s="406">
        <f>N93-J93</f>
        <v>10.230000000000018</v>
      </c>
      <c r="Q93" s="407">
        <f>IF((J93)=0,"",(P93/J93))</f>
        <v>0.037929628119090945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General Service &lt; 50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9" ht="12.75">
      <c r="B106" s="363" t="s">
        <v>53</v>
      </c>
      <c r="F106" s="367" t="s">
        <v>66</v>
      </c>
      <c r="G106" s="367"/>
      <c r="H106" s="504">
        <v>5000</v>
      </c>
      <c r="I106" s="367" t="s">
        <v>332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83">
        <f>+'2010 Existing Rates'!$C$9</f>
        <v>14.7</v>
      </c>
      <c r="I111" s="378">
        <v>1</v>
      </c>
      <c r="J111" s="379">
        <f aca="true" t="shared" si="16" ref="J111:J125">I111*H111</f>
        <v>14.7</v>
      </c>
      <c r="K111" s="376"/>
      <c r="L111" s="583">
        <f>+'Rate Schedule (Part 1)'!$E$20</f>
        <v>16.78</v>
      </c>
      <c r="M111" s="380">
        <v>1</v>
      </c>
      <c r="N111" s="379">
        <f aca="true" t="shared" si="17" ref="N111:N125">M111*L111</f>
        <v>16.78</v>
      </c>
      <c r="O111" s="376"/>
      <c r="P111" s="381">
        <f aca="true" t="shared" si="18" ref="P111:P137">N111-J111</f>
        <v>2.080000000000002</v>
      </c>
      <c r="Q111" s="382">
        <f aca="true" t="shared" si="19" ref="Q111:Q137">IF((J111)=0,"",(P111/J111))</f>
        <v>0.1414965986394559</v>
      </c>
    </row>
    <row r="112" spans="4:17" ht="12.75">
      <c r="D112" s="376" t="s">
        <v>226</v>
      </c>
      <c r="E112" s="376"/>
      <c r="F112" s="514" t="s">
        <v>330</v>
      </c>
      <c r="G112" s="377"/>
      <c r="H112" s="583">
        <f>+'2010 Existing Rates'!$B$46</f>
        <v>2.16</v>
      </c>
      <c r="I112" s="378">
        <v>1</v>
      </c>
      <c r="J112" s="379">
        <f t="shared" si="16"/>
        <v>2.16</v>
      </c>
      <c r="K112" s="376"/>
      <c r="L112" s="583">
        <f>+'Rate Schedule (Part 1)'!$E$24</f>
        <v>-0.43193202035146244</v>
      </c>
      <c r="M112" s="380">
        <v>1</v>
      </c>
      <c r="N112" s="379">
        <f t="shared" si="17"/>
        <v>-0.43193202035146244</v>
      </c>
      <c r="O112" s="376"/>
      <c r="P112" s="381">
        <f t="shared" si="18"/>
        <v>-2.5919320203514626</v>
      </c>
      <c r="Q112" s="382">
        <f t="shared" si="19"/>
        <v>-1.199968527940492</v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53</v>
      </c>
      <c r="G115" s="377"/>
      <c r="H115" s="505">
        <f>+'2010 Existing Rates'!$B$59</f>
        <v>0.0156</v>
      </c>
      <c r="I115" s="378">
        <f>H106</f>
        <v>5000</v>
      </c>
      <c r="J115" s="379">
        <f t="shared" si="16"/>
        <v>78</v>
      </c>
      <c r="K115" s="376"/>
      <c r="L115" s="505">
        <f>+'Rate Schedule (Part 1)'!$E$21</f>
        <v>0.0178</v>
      </c>
      <c r="M115" s="380">
        <f>H106</f>
        <v>5000</v>
      </c>
      <c r="N115" s="379">
        <f t="shared" si="17"/>
        <v>89</v>
      </c>
      <c r="O115" s="376"/>
      <c r="P115" s="381">
        <f t="shared" si="18"/>
        <v>11</v>
      </c>
      <c r="Q115" s="382">
        <f t="shared" si="19"/>
        <v>0.14102564102564102</v>
      </c>
    </row>
    <row r="116" spans="4:17" ht="12.75">
      <c r="D116" s="376" t="s">
        <v>344</v>
      </c>
      <c r="E116" s="376"/>
      <c r="F116" s="514" t="s">
        <v>53</v>
      </c>
      <c r="G116" s="377"/>
      <c r="H116" s="505">
        <f>+'2010 Existing Rates'!$B$34</f>
        <v>0.0002</v>
      </c>
      <c r="I116" s="378">
        <f aca="true" t="shared" si="20" ref="I116:I121">I115</f>
        <v>5000</v>
      </c>
      <c r="J116" s="379">
        <f t="shared" si="16"/>
        <v>1</v>
      </c>
      <c r="K116" s="376"/>
      <c r="L116" s="505">
        <f>+'Rate Schedule (Part 1)'!$E$22</f>
        <v>0.0002</v>
      </c>
      <c r="M116" s="380">
        <f aca="true" t="shared" si="21" ref="M116:M121">M115</f>
        <v>5000</v>
      </c>
      <c r="N116" s="379">
        <f t="shared" si="17"/>
        <v>1</v>
      </c>
      <c r="O116" s="376"/>
      <c r="P116" s="381">
        <f t="shared" si="18"/>
        <v>0</v>
      </c>
      <c r="Q116" s="382">
        <f t="shared" si="19"/>
        <v>0</v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5000</v>
      </c>
      <c r="J117" s="379">
        <f t="shared" si="16"/>
        <v>0</v>
      </c>
      <c r="K117" s="376"/>
      <c r="L117" s="505"/>
      <c r="M117" s="380">
        <f t="shared" si="21"/>
        <v>5000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5000</v>
      </c>
      <c r="J118" s="379">
        <f t="shared" si="16"/>
        <v>0</v>
      </c>
      <c r="K118" s="376"/>
      <c r="L118" s="505"/>
      <c r="M118" s="380">
        <f t="shared" si="21"/>
        <v>5000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5000</v>
      </c>
      <c r="J119" s="379">
        <f t="shared" si="16"/>
        <v>0</v>
      </c>
      <c r="K119" s="376"/>
      <c r="L119" s="505"/>
      <c r="M119" s="380">
        <f t="shared" si="21"/>
        <v>5000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5000</v>
      </c>
      <c r="J120" s="379">
        <f t="shared" si="16"/>
        <v>0</v>
      </c>
      <c r="K120" s="376"/>
      <c r="L120" s="505"/>
      <c r="M120" s="380">
        <f t="shared" si="21"/>
        <v>5000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53</v>
      </c>
      <c r="G121" s="377"/>
      <c r="H121" s="505">
        <f>+'2010 Existing Rates'!$B$22</f>
        <v>-0.0037</v>
      </c>
      <c r="I121" s="378">
        <f t="shared" si="20"/>
        <v>5000</v>
      </c>
      <c r="J121" s="379">
        <f t="shared" si="16"/>
        <v>-18.5</v>
      </c>
      <c r="K121" s="376"/>
      <c r="L121" s="505">
        <f>+'Rate Schedule (Part 1)'!$E$25</f>
        <v>-0.0007654152677371481</v>
      </c>
      <c r="M121" s="380">
        <f t="shared" si="21"/>
        <v>5000</v>
      </c>
      <c r="N121" s="379">
        <f t="shared" si="17"/>
        <v>-3.8270763386857403</v>
      </c>
      <c r="O121" s="376"/>
      <c r="P121" s="381">
        <f t="shared" si="18"/>
        <v>14.67292366131426</v>
      </c>
      <c r="Q121" s="382">
        <f t="shared" si="19"/>
        <v>-0.7931310087196897</v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77.36</v>
      </c>
      <c r="L126" s="385"/>
      <c r="M126" s="388"/>
      <c r="N126" s="387">
        <f>SUM(N111:N125)</f>
        <v>102.52099164096279</v>
      </c>
      <c r="P126" s="389">
        <f t="shared" si="18"/>
        <v>25.16099164096279</v>
      </c>
      <c r="Q126" s="390">
        <f t="shared" si="19"/>
        <v>0.3252454969100671</v>
      </c>
    </row>
    <row r="127" spans="4:17" ht="12.75">
      <c r="D127" s="391" t="s">
        <v>351</v>
      </c>
      <c r="E127" s="391"/>
      <c r="F127" s="515" t="s">
        <v>53</v>
      </c>
      <c r="G127" s="392"/>
      <c r="H127" s="506">
        <v>0.0054</v>
      </c>
      <c r="I127" s="393">
        <f>H106*(1+H142)</f>
        <v>5175.5</v>
      </c>
      <c r="J127" s="394">
        <f>I127*H127</f>
        <v>27.9477</v>
      </c>
      <c r="K127" s="391"/>
      <c r="L127" s="506">
        <f>+'[7]E1.1 Adj Network to Fcst Whsl'!$S$23</f>
        <v>0.005019360241026099</v>
      </c>
      <c r="M127" s="395">
        <f>H106*(1+L142)</f>
        <v>5180.9562396336405</v>
      </c>
      <c r="N127" s="394">
        <f>M127*L127</f>
        <v>26.005085759713182</v>
      </c>
      <c r="O127" s="391"/>
      <c r="P127" s="396">
        <f t="shared" si="18"/>
        <v>-1.9426142402868187</v>
      </c>
      <c r="Q127" s="397">
        <f t="shared" si="19"/>
        <v>-0.06950891272937733</v>
      </c>
    </row>
    <row r="128" spans="4:17" ht="26.25" thickBot="1">
      <c r="D128" s="398" t="s">
        <v>352</v>
      </c>
      <c r="E128" s="391"/>
      <c r="F128" s="515" t="s">
        <v>53</v>
      </c>
      <c r="G128" s="392"/>
      <c r="H128" s="506">
        <v>0.0042</v>
      </c>
      <c r="I128" s="393">
        <f>I127</f>
        <v>5175.5</v>
      </c>
      <c r="J128" s="394">
        <f>I128*H128</f>
        <v>21.737099999999998</v>
      </c>
      <c r="K128" s="391"/>
      <c r="L128" s="506">
        <f>+'[7]E1.2 Adj Conn to Fcst Whsl'!$S$23</f>
        <v>0.004147360261781856</v>
      </c>
      <c r="M128" s="395">
        <f>M127</f>
        <v>5180.9562396336405</v>
      </c>
      <c r="N128" s="394">
        <f>M128*L128</f>
        <v>21.487292026287314</v>
      </c>
      <c r="O128" s="391"/>
      <c r="P128" s="396">
        <f t="shared" si="18"/>
        <v>-0.24980797371268437</v>
      </c>
      <c r="Q128" s="397">
        <f t="shared" si="19"/>
        <v>-0.011492240166014987</v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127.0448</v>
      </c>
      <c r="K129" s="403"/>
      <c r="L129" s="404"/>
      <c r="M129" s="405"/>
      <c r="N129" s="402">
        <f>SUM(N126:N128)</f>
        <v>150.0133694269633</v>
      </c>
      <c r="O129" s="403"/>
      <c r="P129" s="406">
        <f t="shared" si="18"/>
        <v>22.9685694269633</v>
      </c>
      <c r="Q129" s="407">
        <f t="shared" si="19"/>
        <v>0.18079110224868156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I128</f>
        <v>5175.5</v>
      </c>
      <c r="J130" s="379">
        <f aca="true" t="shared" si="22" ref="J130:J137">I130*H130</f>
        <v>26.912599999999998</v>
      </c>
      <c r="K130" s="376"/>
      <c r="L130" s="505">
        <v>0.0052</v>
      </c>
      <c r="M130" s="380">
        <f>M128</f>
        <v>5180.9562396336405</v>
      </c>
      <c r="N130" s="379">
        <f aca="true" t="shared" si="23" ref="N130:N137">M130*L130</f>
        <v>26.94097244609493</v>
      </c>
      <c r="O130" s="376"/>
      <c r="P130" s="381">
        <f t="shared" si="18"/>
        <v>0.028372446094930837</v>
      </c>
      <c r="Q130" s="382">
        <f t="shared" si="19"/>
        <v>0.0010542439636055541</v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I128</f>
        <v>5175.5</v>
      </c>
      <c r="J131" s="379">
        <f t="shared" si="22"/>
        <v>6.728149999999999</v>
      </c>
      <c r="K131" s="376"/>
      <c r="L131" s="505">
        <v>0.0013</v>
      </c>
      <c r="M131" s="380">
        <f>M128</f>
        <v>5180.9562396336405</v>
      </c>
      <c r="N131" s="379">
        <f t="shared" si="23"/>
        <v>6.735243111523732</v>
      </c>
      <c r="O131" s="376"/>
      <c r="P131" s="381">
        <f t="shared" si="18"/>
        <v>0.007093111523732709</v>
      </c>
      <c r="Q131" s="382">
        <f t="shared" si="19"/>
        <v>0.0010542439636055541</v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I128</f>
        <v>5175.5</v>
      </c>
      <c r="J132" s="379">
        <f t="shared" si="22"/>
        <v>1.9304615</v>
      </c>
      <c r="K132" s="376"/>
      <c r="L132" s="508">
        <v>0.000373</v>
      </c>
      <c r="M132" s="380">
        <f>M128</f>
        <v>5180.9562396336405</v>
      </c>
      <c r="N132" s="379">
        <f t="shared" si="23"/>
        <v>1.932496677383348</v>
      </c>
      <c r="O132" s="376"/>
      <c r="P132" s="381">
        <f t="shared" si="18"/>
        <v>0.002035177383348019</v>
      </c>
      <c r="Q132" s="382">
        <f t="shared" si="19"/>
        <v>0.0010542439636056036</v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5000</v>
      </c>
      <c r="J134" s="379">
        <f t="shared" si="22"/>
        <v>35</v>
      </c>
      <c r="K134" s="376"/>
      <c r="L134" s="505">
        <v>0.007</v>
      </c>
      <c r="M134" s="380">
        <f>+$H106</f>
        <v>5000</v>
      </c>
      <c r="N134" s="379">
        <f t="shared" si="23"/>
        <v>35</v>
      </c>
      <c r="O134" s="376"/>
      <c r="P134" s="381">
        <f t="shared" si="18"/>
        <v>0</v>
      </c>
      <c r="Q134" s="382">
        <f t="shared" si="19"/>
        <v>0</v>
      </c>
    </row>
    <row r="135" spans="4:17" ht="12.75">
      <c r="D135" s="376" t="s">
        <v>359</v>
      </c>
      <c r="E135" s="376"/>
      <c r="F135" s="514"/>
      <c r="G135" s="377"/>
      <c r="H135" s="505"/>
      <c r="I135" s="378"/>
      <c r="J135" s="379">
        <f t="shared" si="22"/>
        <v>0</v>
      </c>
      <c r="K135" s="376"/>
      <c r="L135" s="505"/>
      <c r="M135" s="380"/>
      <c r="N135" s="379">
        <f t="shared" si="23"/>
        <v>0</v>
      </c>
      <c r="O135" s="376"/>
      <c r="P135" s="381">
        <f t="shared" si="18"/>
        <v>0</v>
      </c>
      <c r="Q135" s="382">
        <f t="shared" si="19"/>
      </c>
    </row>
    <row r="136" spans="4:17" ht="12.75">
      <c r="D136" s="502" t="s">
        <v>366</v>
      </c>
      <c r="E136" s="376"/>
      <c r="F136" s="514" t="s">
        <v>53</v>
      </c>
      <c r="G136" s="377"/>
      <c r="H136" s="505">
        <f>+'Other Electriciy Rates'!$J$11</f>
        <v>0.065</v>
      </c>
      <c r="I136" s="509">
        <f>IF($H106*(1+$H142)&gt;600,600,($H106*(1+$H142)))</f>
        <v>600</v>
      </c>
      <c r="J136" s="379">
        <f t="shared" si="22"/>
        <v>39</v>
      </c>
      <c r="K136" s="376"/>
      <c r="L136" s="505">
        <f>+'Other Electriciy Rates'!$J$26</f>
        <v>0.065</v>
      </c>
      <c r="M136" s="509">
        <f>IF($H106*(1+$L142)&gt;600,600,($H106*(1+$L142)))</f>
        <v>600</v>
      </c>
      <c r="N136" s="379">
        <f t="shared" si="23"/>
        <v>39</v>
      </c>
      <c r="O136" s="376"/>
      <c r="P136" s="381">
        <f t="shared" si="18"/>
        <v>0</v>
      </c>
      <c r="Q136" s="382">
        <f t="shared" si="19"/>
        <v>0</v>
      </c>
    </row>
    <row r="137" spans="4:17" ht="13.5" thickBot="1">
      <c r="D137" s="501" t="s">
        <v>365</v>
      </c>
      <c r="E137" s="376"/>
      <c r="F137" s="514"/>
      <c r="G137" s="377"/>
      <c r="H137" s="505">
        <f>+'Other Electriciy Rates'!$K$11</f>
        <v>0.075</v>
      </c>
      <c r="I137" s="509">
        <f>IF($H106*(1+$H142)&gt;600,$H106*(1+$H142)-$I136,0)</f>
        <v>4575.5</v>
      </c>
      <c r="J137" s="379">
        <f t="shared" si="22"/>
        <v>343.16249999999997</v>
      </c>
      <c r="K137" s="376"/>
      <c r="L137" s="505">
        <f>+'Other Electriciy Rates'!$K$26</f>
        <v>0.075</v>
      </c>
      <c r="M137" s="509">
        <f>IF($H106*(1+$L142)&gt;600,$H106*(1+$L142)-$I136,0)</f>
        <v>4580.9562396336405</v>
      </c>
      <c r="N137" s="379">
        <f t="shared" si="23"/>
        <v>343.571717972523</v>
      </c>
      <c r="O137" s="376"/>
      <c r="P137" s="381">
        <f t="shared" si="18"/>
        <v>0.40921797252303804</v>
      </c>
      <c r="Q137" s="382">
        <f t="shared" si="19"/>
        <v>0.0011924903581336482</v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580.0285114999999</v>
      </c>
      <c r="K138" s="403"/>
      <c r="L138" s="411"/>
      <c r="M138" s="412"/>
      <c r="N138" s="402">
        <f>SUM(N129:N137)</f>
        <v>603.4437996344883</v>
      </c>
      <c r="O138" s="403"/>
      <c r="P138" s="406">
        <f>N138-J138</f>
        <v>23.415288134488378</v>
      </c>
      <c r="Q138" s="407">
        <f>IF((J138)=0,"",(P138/J138))</f>
        <v>0.040369201979286465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75.403706495</v>
      </c>
      <c r="K139" s="376"/>
      <c r="L139" s="511">
        <v>0.13</v>
      </c>
      <c r="M139" s="415"/>
      <c r="N139" s="414">
        <f>N138*L139</f>
        <v>78.44769395248348</v>
      </c>
      <c r="O139" s="376"/>
      <c r="P139" s="381">
        <f>N139-J139</f>
        <v>3.0439874574834818</v>
      </c>
      <c r="Q139" s="382">
        <f>IF((J139)=0,"",(P139/J139))</f>
        <v>0.04036920197928636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655.43</v>
      </c>
      <c r="K140" s="403"/>
      <c r="L140" s="404"/>
      <c r="M140" s="405"/>
      <c r="N140" s="402">
        <f>ROUND(SUM(N138:N139),2)</f>
        <v>681.89</v>
      </c>
      <c r="O140" s="403"/>
      <c r="P140" s="406">
        <f>N140-J140</f>
        <v>26.460000000000036</v>
      </c>
      <c r="Q140" s="407">
        <f>IF((J140)=0,"",(P140/J140))</f>
        <v>0.04037044383076765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General Service &lt; 50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9" ht="12.75">
      <c r="B153" s="363" t="s">
        <v>53</v>
      </c>
      <c r="F153" s="367" t="s">
        <v>66</v>
      </c>
      <c r="G153" s="367"/>
      <c r="H153" s="504">
        <v>10000</v>
      </c>
      <c r="I153" s="367" t="s">
        <v>332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83">
        <f>+'2010 Existing Rates'!$C$9</f>
        <v>14.7</v>
      </c>
      <c r="I158" s="378">
        <v>1</v>
      </c>
      <c r="J158" s="379">
        <f aca="true" t="shared" si="24" ref="J158:J172">I158*H158</f>
        <v>14.7</v>
      </c>
      <c r="K158" s="376"/>
      <c r="L158" s="583">
        <f>+'Rate Schedule (Part 1)'!$E$20</f>
        <v>16.78</v>
      </c>
      <c r="M158" s="380">
        <v>1</v>
      </c>
      <c r="N158" s="379">
        <f aca="true" t="shared" si="25" ref="N158:N172">M158*L158</f>
        <v>16.78</v>
      </c>
      <c r="O158" s="376"/>
      <c r="P158" s="381">
        <f aca="true" t="shared" si="26" ref="P158:P184">N158-J158</f>
        <v>2.080000000000002</v>
      </c>
      <c r="Q158" s="382">
        <f aca="true" t="shared" si="27" ref="Q158:Q184">IF((J158)=0,"",(P158/J158))</f>
        <v>0.1414965986394559</v>
      </c>
    </row>
    <row r="159" spans="4:17" ht="12.75">
      <c r="D159" s="376" t="s">
        <v>226</v>
      </c>
      <c r="E159" s="376"/>
      <c r="F159" s="514" t="s">
        <v>330</v>
      </c>
      <c r="G159" s="377"/>
      <c r="H159" s="583">
        <f>+'2010 Existing Rates'!$B$46</f>
        <v>2.16</v>
      </c>
      <c r="I159" s="378">
        <v>1</v>
      </c>
      <c r="J159" s="379">
        <f t="shared" si="24"/>
        <v>2.16</v>
      </c>
      <c r="K159" s="376"/>
      <c r="L159" s="583">
        <f>+'Rate Schedule (Part 1)'!$E$24</f>
        <v>-0.43193202035146244</v>
      </c>
      <c r="M159" s="380">
        <v>1</v>
      </c>
      <c r="N159" s="379">
        <f t="shared" si="25"/>
        <v>-0.43193202035146244</v>
      </c>
      <c r="O159" s="376"/>
      <c r="P159" s="381">
        <f t="shared" si="26"/>
        <v>-2.5919320203514626</v>
      </c>
      <c r="Q159" s="382">
        <f t="shared" si="27"/>
        <v>-1.199968527940492</v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53</v>
      </c>
      <c r="G162" s="377"/>
      <c r="H162" s="505">
        <f>+'2010 Existing Rates'!$B$59</f>
        <v>0.0156</v>
      </c>
      <c r="I162" s="378">
        <f>H153</f>
        <v>10000</v>
      </c>
      <c r="J162" s="379">
        <f t="shared" si="24"/>
        <v>156</v>
      </c>
      <c r="K162" s="376"/>
      <c r="L162" s="505">
        <f>+'Rate Schedule (Part 1)'!$E$21</f>
        <v>0.0178</v>
      </c>
      <c r="M162" s="380">
        <f>H153</f>
        <v>10000</v>
      </c>
      <c r="N162" s="379">
        <f t="shared" si="25"/>
        <v>178</v>
      </c>
      <c r="O162" s="376"/>
      <c r="P162" s="381">
        <f t="shared" si="26"/>
        <v>22</v>
      </c>
      <c r="Q162" s="382">
        <f t="shared" si="27"/>
        <v>0.14102564102564102</v>
      </c>
    </row>
    <row r="163" spans="4:17" ht="12.75">
      <c r="D163" s="376" t="s">
        <v>344</v>
      </c>
      <c r="E163" s="376"/>
      <c r="F163" s="514" t="s">
        <v>53</v>
      </c>
      <c r="G163" s="377"/>
      <c r="H163" s="505">
        <f>+'2010 Existing Rates'!$B$34</f>
        <v>0.0002</v>
      </c>
      <c r="I163" s="378">
        <f aca="true" t="shared" si="28" ref="I163:I168">I162</f>
        <v>10000</v>
      </c>
      <c r="J163" s="379">
        <f t="shared" si="24"/>
        <v>2</v>
      </c>
      <c r="K163" s="376"/>
      <c r="L163" s="505">
        <f>+'Rate Schedule (Part 1)'!$E$22</f>
        <v>0.0002</v>
      </c>
      <c r="M163" s="380">
        <f aca="true" t="shared" si="29" ref="M163:M168">M162</f>
        <v>10000</v>
      </c>
      <c r="N163" s="379">
        <f t="shared" si="25"/>
        <v>2</v>
      </c>
      <c r="O163" s="376"/>
      <c r="P163" s="381">
        <f t="shared" si="26"/>
        <v>0</v>
      </c>
      <c r="Q163" s="382">
        <f t="shared" si="27"/>
        <v>0</v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10000</v>
      </c>
      <c r="J164" s="379">
        <f t="shared" si="24"/>
        <v>0</v>
      </c>
      <c r="K164" s="376"/>
      <c r="L164" s="505"/>
      <c r="M164" s="380">
        <f t="shared" si="29"/>
        <v>10000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10000</v>
      </c>
      <c r="J165" s="379">
        <f t="shared" si="24"/>
        <v>0</v>
      </c>
      <c r="K165" s="376"/>
      <c r="L165" s="505"/>
      <c r="M165" s="380">
        <f t="shared" si="29"/>
        <v>10000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10000</v>
      </c>
      <c r="J166" s="379">
        <f t="shared" si="24"/>
        <v>0</v>
      </c>
      <c r="K166" s="376"/>
      <c r="L166" s="505"/>
      <c r="M166" s="380">
        <f t="shared" si="29"/>
        <v>10000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10000</v>
      </c>
      <c r="J167" s="379">
        <f t="shared" si="24"/>
        <v>0</v>
      </c>
      <c r="K167" s="376"/>
      <c r="L167" s="505"/>
      <c r="M167" s="380">
        <f t="shared" si="29"/>
        <v>10000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53</v>
      </c>
      <c r="G168" s="377"/>
      <c r="H168" s="505">
        <f>+'2010 Existing Rates'!$B$22</f>
        <v>-0.0037</v>
      </c>
      <c r="I168" s="378">
        <f t="shared" si="28"/>
        <v>10000</v>
      </c>
      <c r="J168" s="379">
        <f t="shared" si="24"/>
        <v>-37</v>
      </c>
      <c r="K168" s="376"/>
      <c r="L168" s="505">
        <f>+'Rate Schedule (Part 1)'!$E$25</f>
        <v>-0.0007654152677371481</v>
      </c>
      <c r="M168" s="380">
        <f t="shared" si="29"/>
        <v>10000</v>
      </c>
      <c r="N168" s="379">
        <f t="shared" si="25"/>
        <v>-7.6541526773714805</v>
      </c>
      <c r="O168" s="376"/>
      <c r="P168" s="381">
        <f t="shared" si="26"/>
        <v>29.34584732262852</v>
      </c>
      <c r="Q168" s="382">
        <f t="shared" si="27"/>
        <v>-0.7931310087196897</v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137.86</v>
      </c>
      <c r="L173" s="385"/>
      <c r="M173" s="388"/>
      <c r="N173" s="387">
        <f>SUM(N158:N172)</f>
        <v>188.69391530227705</v>
      </c>
      <c r="P173" s="389">
        <f t="shared" si="26"/>
        <v>50.833915302277035</v>
      </c>
      <c r="Q173" s="390">
        <f t="shared" si="27"/>
        <v>0.3687357848707169</v>
      </c>
    </row>
    <row r="174" spans="4:17" ht="12.75">
      <c r="D174" s="391" t="s">
        <v>351</v>
      </c>
      <c r="E174" s="391"/>
      <c r="F174" s="515" t="s">
        <v>53</v>
      </c>
      <c r="G174" s="392"/>
      <c r="H174" s="506">
        <v>0.0054</v>
      </c>
      <c r="I174" s="393">
        <f>H153*(1+H189)</f>
        <v>10351</v>
      </c>
      <c r="J174" s="394">
        <f>I174*H174</f>
        <v>55.8954</v>
      </c>
      <c r="K174" s="391"/>
      <c r="L174" s="506">
        <f>+'[7]E1.1 Adj Network to Fcst Whsl'!$S$23</f>
        <v>0.005019360241026099</v>
      </c>
      <c r="M174" s="395">
        <f>H153*(1+L189)</f>
        <v>10361.912479267281</v>
      </c>
      <c r="N174" s="394">
        <f>M174*L174</f>
        <v>52.010171519426365</v>
      </c>
      <c r="O174" s="391"/>
      <c r="P174" s="396">
        <f t="shared" si="26"/>
        <v>-3.8852284805736375</v>
      </c>
      <c r="Q174" s="397">
        <f t="shared" si="27"/>
        <v>-0.06950891272937733</v>
      </c>
    </row>
    <row r="175" spans="4:17" ht="26.25" thickBot="1">
      <c r="D175" s="398" t="s">
        <v>352</v>
      </c>
      <c r="E175" s="391"/>
      <c r="F175" s="515" t="s">
        <v>53</v>
      </c>
      <c r="G175" s="392"/>
      <c r="H175" s="506">
        <v>0.0042</v>
      </c>
      <c r="I175" s="393">
        <f>I174</f>
        <v>10351</v>
      </c>
      <c r="J175" s="394">
        <f>I175*H175</f>
        <v>43.474199999999996</v>
      </c>
      <c r="K175" s="391"/>
      <c r="L175" s="506">
        <f>+'[7]E1.2 Adj Conn to Fcst Whsl'!$S$23</f>
        <v>0.004147360261781856</v>
      </c>
      <c r="M175" s="395">
        <f>M174</f>
        <v>10361.912479267281</v>
      </c>
      <c r="N175" s="394">
        <f>M175*L175</f>
        <v>42.97458405257463</v>
      </c>
      <c r="O175" s="391"/>
      <c r="P175" s="396">
        <f t="shared" si="26"/>
        <v>-0.49961594742536874</v>
      </c>
      <c r="Q175" s="397">
        <f t="shared" si="27"/>
        <v>-0.011492240166014987</v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237.2296</v>
      </c>
      <c r="K176" s="403"/>
      <c r="L176" s="404"/>
      <c r="M176" s="405"/>
      <c r="N176" s="402">
        <f>SUM(N173:N175)</f>
        <v>283.67867087427805</v>
      </c>
      <c r="O176" s="403"/>
      <c r="P176" s="406">
        <f t="shared" si="26"/>
        <v>46.44907087427805</v>
      </c>
      <c r="Q176" s="407">
        <f t="shared" si="27"/>
        <v>0.19579795638604142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I175</f>
        <v>10351</v>
      </c>
      <c r="J177" s="379">
        <f aca="true" t="shared" si="30" ref="J177:J184">I177*H177</f>
        <v>53.825199999999995</v>
      </c>
      <c r="K177" s="376"/>
      <c r="L177" s="505">
        <v>0.0052</v>
      </c>
      <c r="M177" s="380">
        <f>M175</f>
        <v>10361.912479267281</v>
      </c>
      <c r="N177" s="379">
        <f aca="true" t="shared" si="31" ref="N177:N184">M177*L177</f>
        <v>53.88194489218986</v>
      </c>
      <c r="O177" s="376"/>
      <c r="P177" s="381">
        <f t="shared" si="26"/>
        <v>0.05674489218986167</v>
      </c>
      <c r="Q177" s="382">
        <f t="shared" si="27"/>
        <v>0.0010542439636055541</v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I175</f>
        <v>10351</v>
      </c>
      <c r="J178" s="379">
        <f t="shared" si="30"/>
        <v>13.456299999999999</v>
      </c>
      <c r="K178" s="376"/>
      <c r="L178" s="505">
        <v>0.0013</v>
      </c>
      <c r="M178" s="380">
        <f>M175</f>
        <v>10361.912479267281</v>
      </c>
      <c r="N178" s="379">
        <f t="shared" si="31"/>
        <v>13.470486223047464</v>
      </c>
      <c r="O178" s="376"/>
      <c r="P178" s="381">
        <f t="shared" si="26"/>
        <v>0.014186223047465418</v>
      </c>
      <c r="Q178" s="382">
        <f t="shared" si="27"/>
        <v>0.0010542439636055541</v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I175</f>
        <v>10351</v>
      </c>
      <c r="J179" s="379">
        <f t="shared" si="30"/>
        <v>3.860923</v>
      </c>
      <c r="K179" s="376"/>
      <c r="L179" s="508">
        <v>0.000373</v>
      </c>
      <c r="M179" s="380">
        <f>M175</f>
        <v>10361.912479267281</v>
      </c>
      <c r="N179" s="379">
        <f t="shared" si="31"/>
        <v>3.864993354766696</v>
      </c>
      <c r="O179" s="376"/>
      <c r="P179" s="381">
        <f t="shared" si="26"/>
        <v>0.004070354766696038</v>
      </c>
      <c r="Q179" s="382">
        <f t="shared" si="27"/>
        <v>0.0010542439636056036</v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10000</v>
      </c>
      <c r="J181" s="379">
        <f t="shared" si="30"/>
        <v>70</v>
      </c>
      <c r="K181" s="376"/>
      <c r="L181" s="505">
        <v>0.007</v>
      </c>
      <c r="M181" s="380">
        <f>+$H153</f>
        <v>10000</v>
      </c>
      <c r="N181" s="379">
        <f t="shared" si="31"/>
        <v>70</v>
      </c>
      <c r="O181" s="376"/>
      <c r="P181" s="381">
        <f t="shared" si="26"/>
        <v>0</v>
      </c>
      <c r="Q181" s="382">
        <f t="shared" si="27"/>
        <v>0</v>
      </c>
    </row>
    <row r="182" spans="4:17" ht="12.75">
      <c r="D182" s="376" t="s">
        <v>359</v>
      </c>
      <c r="E182" s="376"/>
      <c r="F182" s="514"/>
      <c r="G182" s="377"/>
      <c r="H182" s="505"/>
      <c r="I182" s="378"/>
      <c r="J182" s="379">
        <f t="shared" si="30"/>
        <v>0</v>
      </c>
      <c r="K182" s="376"/>
      <c r="L182" s="505"/>
      <c r="M182" s="380"/>
      <c r="N182" s="379">
        <f t="shared" si="31"/>
        <v>0</v>
      </c>
      <c r="O182" s="376"/>
      <c r="P182" s="381">
        <f t="shared" si="26"/>
        <v>0</v>
      </c>
      <c r="Q182" s="382">
        <f t="shared" si="27"/>
      </c>
    </row>
    <row r="183" spans="4:17" ht="12.75">
      <c r="D183" s="502" t="s">
        <v>366</v>
      </c>
      <c r="E183" s="376"/>
      <c r="F183" s="514" t="s">
        <v>53</v>
      </c>
      <c r="G183" s="377"/>
      <c r="H183" s="505">
        <f>+'Other Electriciy Rates'!$J$11</f>
        <v>0.065</v>
      </c>
      <c r="I183" s="509">
        <f>IF($H153*(1+$H189)&gt;600,600,($H153*(1+$H189)))</f>
        <v>600</v>
      </c>
      <c r="J183" s="379">
        <f t="shared" si="30"/>
        <v>39</v>
      </c>
      <c r="K183" s="376"/>
      <c r="L183" s="505">
        <f>+'Other Electriciy Rates'!$J$26</f>
        <v>0.065</v>
      </c>
      <c r="M183" s="509">
        <f>IF($H153*(1+$L189)&gt;600,600,($H153*(1+$L189)))</f>
        <v>600</v>
      </c>
      <c r="N183" s="379">
        <f t="shared" si="31"/>
        <v>39</v>
      </c>
      <c r="O183" s="376"/>
      <c r="P183" s="381">
        <f t="shared" si="26"/>
        <v>0</v>
      </c>
      <c r="Q183" s="382">
        <f t="shared" si="27"/>
        <v>0</v>
      </c>
    </row>
    <row r="184" spans="4:17" ht="13.5" thickBot="1">
      <c r="D184" s="501" t="s">
        <v>365</v>
      </c>
      <c r="E184" s="376"/>
      <c r="F184" s="514"/>
      <c r="G184" s="377"/>
      <c r="H184" s="505">
        <f>+'Other Electriciy Rates'!$K$11</f>
        <v>0.075</v>
      </c>
      <c r="I184" s="509">
        <f>IF($H153*(1+$H189)&gt;600,$H153*(1+$H189)-$I183,0)</f>
        <v>9751</v>
      </c>
      <c r="J184" s="379">
        <f t="shared" si="30"/>
        <v>731.3249999999999</v>
      </c>
      <c r="K184" s="376"/>
      <c r="L184" s="505">
        <f>+'Other Electriciy Rates'!$K$26</f>
        <v>0.075</v>
      </c>
      <c r="M184" s="509">
        <f>IF($H153*(1+$L189)&gt;600,$H153*(1+$L189)-$I183,0)</f>
        <v>9761.912479267281</v>
      </c>
      <c r="N184" s="379">
        <f t="shared" si="31"/>
        <v>732.143435945046</v>
      </c>
      <c r="O184" s="376"/>
      <c r="P184" s="381">
        <f t="shared" si="26"/>
        <v>0.8184359450460761</v>
      </c>
      <c r="Q184" s="382">
        <f t="shared" si="27"/>
        <v>0.0011191138618891411</v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1148.947023</v>
      </c>
      <c r="K185" s="403"/>
      <c r="L185" s="411"/>
      <c r="M185" s="412"/>
      <c r="N185" s="402">
        <f>SUM(N176:N184)</f>
        <v>1196.2895312893281</v>
      </c>
      <c r="O185" s="403"/>
      <c r="P185" s="406">
        <f>N185-J185</f>
        <v>47.34250828932818</v>
      </c>
      <c r="Q185" s="407">
        <f>IF((J185)=0,"",(P185/J185))</f>
        <v>0.04120512725270204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149.36311299</v>
      </c>
      <c r="K186" s="376"/>
      <c r="L186" s="511">
        <v>0.13</v>
      </c>
      <c r="M186" s="415"/>
      <c r="N186" s="414">
        <f>N185*L186</f>
        <v>155.51763906761266</v>
      </c>
      <c r="O186" s="376"/>
      <c r="P186" s="381">
        <f>N186-J186</f>
        <v>6.1545260776126725</v>
      </c>
      <c r="Q186" s="382">
        <f>IF((J186)=0,"",(P186/J186))</f>
        <v>0.0412051272527021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1298.31</v>
      </c>
      <c r="K187" s="403"/>
      <c r="L187" s="404"/>
      <c r="M187" s="405"/>
      <c r="N187" s="402">
        <f>ROUND(SUM(N185:N186),2)</f>
        <v>1351.81</v>
      </c>
      <c r="O187" s="403"/>
      <c r="P187" s="406">
        <f>N187-J187</f>
        <v>53.5</v>
      </c>
      <c r="Q187" s="407">
        <f>IF((J187)=0,"",(P187/J187))</f>
        <v>0.041207415794378845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General Service &lt; 50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9" ht="12.75">
      <c r="B200" s="363" t="s">
        <v>53</v>
      </c>
      <c r="F200" s="367" t="s">
        <v>66</v>
      </c>
      <c r="G200" s="367"/>
      <c r="H200" s="504">
        <v>15000</v>
      </c>
      <c r="I200" s="367" t="s">
        <v>332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83">
        <f>+'2010 Existing Rates'!$C$9</f>
        <v>14.7</v>
      </c>
      <c r="I205" s="378">
        <v>1</v>
      </c>
      <c r="J205" s="379">
        <f aca="true" t="shared" si="32" ref="J205:J219">I205*H205</f>
        <v>14.7</v>
      </c>
      <c r="K205" s="376"/>
      <c r="L205" s="583">
        <f>+'Rate Schedule (Part 1)'!$E$20</f>
        <v>16.78</v>
      </c>
      <c r="M205" s="380">
        <v>1</v>
      </c>
      <c r="N205" s="379">
        <f aca="true" t="shared" si="33" ref="N205:N219">M205*L205</f>
        <v>16.78</v>
      </c>
      <c r="O205" s="376"/>
      <c r="P205" s="381">
        <f aca="true" t="shared" si="34" ref="P205:P231">N205-J205</f>
        <v>2.080000000000002</v>
      </c>
      <c r="Q205" s="382">
        <f aca="true" t="shared" si="35" ref="Q205:Q231">IF((J205)=0,"",(P205/J205))</f>
        <v>0.1414965986394559</v>
      </c>
    </row>
    <row r="206" spans="4:17" ht="12.75">
      <c r="D206" s="376" t="s">
        <v>226</v>
      </c>
      <c r="E206" s="376"/>
      <c r="F206" s="514" t="s">
        <v>330</v>
      </c>
      <c r="G206" s="377"/>
      <c r="H206" s="583">
        <f>+'2010 Existing Rates'!$B$46</f>
        <v>2.16</v>
      </c>
      <c r="I206" s="378">
        <v>1</v>
      </c>
      <c r="J206" s="379">
        <f t="shared" si="32"/>
        <v>2.16</v>
      </c>
      <c r="K206" s="376"/>
      <c r="L206" s="583">
        <f>+'Rate Schedule (Part 1)'!$E$24</f>
        <v>-0.43193202035146244</v>
      </c>
      <c r="M206" s="380">
        <v>1</v>
      </c>
      <c r="N206" s="379">
        <f t="shared" si="33"/>
        <v>-0.43193202035146244</v>
      </c>
      <c r="O206" s="376"/>
      <c r="P206" s="381">
        <f t="shared" si="34"/>
        <v>-2.5919320203514626</v>
      </c>
      <c r="Q206" s="382">
        <f t="shared" si="35"/>
        <v>-1.199968527940492</v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05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53</v>
      </c>
      <c r="G209" s="377"/>
      <c r="H209" s="505">
        <f>+'2010 Existing Rates'!$B$59</f>
        <v>0.0156</v>
      </c>
      <c r="I209" s="378">
        <f>H200</f>
        <v>15000</v>
      </c>
      <c r="J209" s="379">
        <f t="shared" si="32"/>
        <v>234</v>
      </c>
      <c r="K209" s="376"/>
      <c r="L209" s="505">
        <f>+'Rate Schedule (Part 1)'!$E$21</f>
        <v>0.0178</v>
      </c>
      <c r="M209" s="380">
        <f>H200</f>
        <v>15000</v>
      </c>
      <c r="N209" s="379">
        <f t="shared" si="33"/>
        <v>267</v>
      </c>
      <c r="O209" s="376"/>
      <c r="P209" s="381">
        <f t="shared" si="34"/>
        <v>33</v>
      </c>
      <c r="Q209" s="382">
        <f t="shared" si="35"/>
        <v>0.14102564102564102</v>
      </c>
    </row>
    <row r="210" spans="4:17" ht="12.75">
      <c r="D210" s="376" t="s">
        <v>344</v>
      </c>
      <c r="E210" s="376"/>
      <c r="F210" s="514" t="s">
        <v>53</v>
      </c>
      <c r="G210" s="377"/>
      <c r="H210" s="505">
        <f>+'2010 Existing Rates'!$B$34</f>
        <v>0.0002</v>
      </c>
      <c r="I210" s="378">
        <f aca="true" t="shared" si="36" ref="I210:I215">I209</f>
        <v>15000</v>
      </c>
      <c r="J210" s="379">
        <f t="shared" si="32"/>
        <v>3</v>
      </c>
      <c r="K210" s="376"/>
      <c r="L210" s="505">
        <f>+'Rate Schedule (Part 1)'!$E$22</f>
        <v>0.0002</v>
      </c>
      <c r="M210" s="380">
        <f aca="true" t="shared" si="37" ref="M210:M215">M209</f>
        <v>15000</v>
      </c>
      <c r="N210" s="379">
        <f t="shared" si="33"/>
        <v>3</v>
      </c>
      <c r="O210" s="376"/>
      <c r="P210" s="381">
        <f t="shared" si="34"/>
        <v>0</v>
      </c>
      <c r="Q210" s="382">
        <f t="shared" si="35"/>
        <v>0</v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15000</v>
      </c>
      <c r="J211" s="379">
        <f t="shared" si="32"/>
        <v>0</v>
      </c>
      <c r="K211" s="376"/>
      <c r="L211" s="505"/>
      <c r="M211" s="380">
        <f t="shared" si="37"/>
        <v>15000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15000</v>
      </c>
      <c r="J212" s="379">
        <f t="shared" si="32"/>
        <v>0</v>
      </c>
      <c r="K212" s="376"/>
      <c r="L212" s="505"/>
      <c r="M212" s="380">
        <f t="shared" si="37"/>
        <v>15000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15000</v>
      </c>
      <c r="J213" s="379">
        <f t="shared" si="32"/>
        <v>0</v>
      </c>
      <c r="K213" s="376"/>
      <c r="L213" s="505"/>
      <c r="M213" s="380">
        <f t="shared" si="37"/>
        <v>15000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15000</v>
      </c>
      <c r="J214" s="379">
        <f t="shared" si="32"/>
        <v>0</v>
      </c>
      <c r="K214" s="376"/>
      <c r="L214" s="505"/>
      <c r="M214" s="380">
        <f t="shared" si="37"/>
        <v>15000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53</v>
      </c>
      <c r="G215" s="377"/>
      <c r="H215" s="505">
        <f>+'2010 Existing Rates'!$B$22</f>
        <v>-0.0037</v>
      </c>
      <c r="I215" s="378">
        <f t="shared" si="36"/>
        <v>15000</v>
      </c>
      <c r="J215" s="379">
        <f t="shared" si="32"/>
        <v>-55.5</v>
      </c>
      <c r="K215" s="376"/>
      <c r="L215" s="505">
        <f>+'Rate Schedule (Part 1)'!$E$25</f>
        <v>-0.0007654152677371481</v>
      </c>
      <c r="M215" s="380">
        <f t="shared" si="37"/>
        <v>15000</v>
      </c>
      <c r="N215" s="379">
        <f t="shared" si="33"/>
        <v>-11.48122901605722</v>
      </c>
      <c r="O215" s="376"/>
      <c r="P215" s="381">
        <f t="shared" si="34"/>
        <v>44.01877098394278</v>
      </c>
      <c r="Q215" s="382">
        <f t="shared" si="35"/>
        <v>-0.7931310087196898</v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198.36</v>
      </c>
      <c r="L220" s="385"/>
      <c r="M220" s="388"/>
      <c r="N220" s="387">
        <f>SUM(N205:N219)</f>
        <v>274.8668389635913</v>
      </c>
      <c r="P220" s="389">
        <f t="shared" si="34"/>
        <v>76.50683896359129</v>
      </c>
      <c r="Q220" s="390">
        <f t="shared" si="35"/>
        <v>0.3856969094756568</v>
      </c>
    </row>
    <row r="221" spans="4:17" ht="12.75">
      <c r="D221" s="391" t="s">
        <v>351</v>
      </c>
      <c r="E221" s="391"/>
      <c r="F221" s="515" t="s">
        <v>53</v>
      </c>
      <c r="G221" s="392"/>
      <c r="H221" s="506">
        <v>0.0054</v>
      </c>
      <c r="I221" s="393">
        <f>H200*(1+H236)</f>
        <v>15526.499999999998</v>
      </c>
      <c r="J221" s="394">
        <f>I221*H221</f>
        <v>83.84309999999999</v>
      </c>
      <c r="K221" s="391"/>
      <c r="L221" s="506">
        <f>+'[7]E1.1 Adj Network to Fcst Whsl'!$S$23</f>
        <v>0.005019360241026099</v>
      </c>
      <c r="M221" s="395">
        <f>H200*(1+L236)</f>
        <v>15542.868718900922</v>
      </c>
      <c r="N221" s="394">
        <f>M221*L221</f>
        <v>78.01525727913955</v>
      </c>
      <c r="O221" s="391"/>
      <c r="P221" s="396">
        <f t="shared" si="34"/>
        <v>-5.8278427208604455</v>
      </c>
      <c r="Q221" s="397">
        <f t="shared" si="35"/>
        <v>-0.0695089127293772</v>
      </c>
    </row>
    <row r="222" spans="4:17" ht="26.25" thickBot="1">
      <c r="D222" s="398" t="s">
        <v>352</v>
      </c>
      <c r="E222" s="391"/>
      <c r="F222" s="515" t="s">
        <v>53</v>
      </c>
      <c r="G222" s="392"/>
      <c r="H222" s="506">
        <v>0.0042</v>
      </c>
      <c r="I222" s="393">
        <f>I221</f>
        <v>15526.499999999998</v>
      </c>
      <c r="J222" s="394">
        <f>I222*H222</f>
        <v>65.2113</v>
      </c>
      <c r="K222" s="391"/>
      <c r="L222" s="506">
        <f>+'[7]E1.2 Adj Conn to Fcst Whsl'!$S$23</f>
        <v>0.004147360261781856</v>
      </c>
      <c r="M222" s="395">
        <f>M221</f>
        <v>15542.868718900922</v>
      </c>
      <c r="N222" s="394">
        <f>M222*L222</f>
        <v>64.46187607886195</v>
      </c>
      <c r="O222" s="391"/>
      <c r="P222" s="396">
        <f t="shared" si="34"/>
        <v>-0.749423921138046</v>
      </c>
      <c r="Q222" s="397">
        <f t="shared" si="35"/>
        <v>-0.01149224016601488</v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347.4144</v>
      </c>
      <c r="K223" s="403"/>
      <c r="L223" s="404"/>
      <c r="M223" s="405"/>
      <c r="N223" s="402">
        <f>SUM(N220:N222)</f>
        <v>417.34397232159284</v>
      </c>
      <c r="O223" s="403"/>
      <c r="P223" s="406">
        <f t="shared" si="34"/>
        <v>69.92957232159284</v>
      </c>
      <c r="Q223" s="407">
        <f t="shared" si="35"/>
        <v>0.20128576225278183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I222</f>
        <v>15526.499999999998</v>
      </c>
      <c r="J224" s="379">
        <f aca="true" t="shared" si="38" ref="J224:J231">I224*H224</f>
        <v>80.7378</v>
      </c>
      <c r="K224" s="376"/>
      <c r="L224" s="505">
        <v>0.0052</v>
      </c>
      <c r="M224" s="380">
        <f>M222</f>
        <v>15542.868718900922</v>
      </c>
      <c r="N224" s="379">
        <f aca="true" t="shared" si="39" ref="N224:N231">M224*L224</f>
        <v>80.82291733828478</v>
      </c>
      <c r="O224" s="376"/>
      <c r="P224" s="381">
        <f t="shared" si="34"/>
        <v>0.08511733828478896</v>
      </c>
      <c r="Q224" s="382">
        <f t="shared" si="35"/>
        <v>0.0010542439636055103</v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I222</f>
        <v>15526.499999999998</v>
      </c>
      <c r="J225" s="379">
        <f t="shared" si="38"/>
        <v>20.18445</v>
      </c>
      <c r="K225" s="376"/>
      <c r="L225" s="505">
        <v>0.0013</v>
      </c>
      <c r="M225" s="380">
        <f>M222</f>
        <v>15542.868718900922</v>
      </c>
      <c r="N225" s="379">
        <f t="shared" si="39"/>
        <v>20.205729334571195</v>
      </c>
      <c r="O225" s="376"/>
      <c r="P225" s="381">
        <f t="shared" si="34"/>
        <v>0.02127933457119724</v>
      </c>
      <c r="Q225" s="382">
        <f t="shared" si="35"/>
        <v>0.0010542439636055103</v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I222</f>
        <v>15526.499999999998</v>
      </c>
      <c r="J226" s="379">
        <f t="shared" si="38"/>
        <v>5.7913844999999995</v>
      </c>
      <c r="K226" s="376"/>
      <c r="L226" s="508">
        <v>0.000373</v>
      </c>
      <c r="M226" s="380">
        <f>M222</f>
        <v>15542.868718900922</v>
      </c>
      <c r="N226" s="379">
        <f t="shared" si="39"/>
        <v>5.797490032150044</v>
      </c>
      <c r="O226" s="376"/>
      <c r="P226" s="381">
        <f t="shared" si="34"/>
        <v>0.0061055321500447235</v>
      </c>
      <c r="Q226" s="382">
        <f t="shared" si="35"/>
        <v>0.0010542439636057187</v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15000</v>
      </c>
      <c r="J228" s="379">
        <f t="shared" si="38"/>
        <v>105</v>
      </c>
      <c r="K228" s="376"/>
      <c r="L228" s="505">
        <v>0.007</v>
      </c>
      <c r="M228" s="380">
        <f>+$H200</f>
        <v>15000</v>
      </c>
      <c r="N228" s="379">
        <f t="shared" si="39"/>
        <v>105</v>
      </c>
      <c r="O228" s="376"/>
      <c r="P228" s="381">
        <f t="shared" si="34"/>
        <v>0</v>
      </c>
      <c r="Q228" s="382">
        <f t="shared" si="35"/>
        <v>0</v>
      </c>
    </row>
    <row r="229" spans="4:17" ht="12.75">
      <c r="D229" s="376" t="s">
        <v>359</v>
      </c>
      <c r="E229" s="376"/>
      <c r="F229" s="514"/>
      <c r="G229" s="377"/>
      <c r="H229" s="505"/>
      <c r="I229" s="378"/>
      <c r="J229" s="379">
        <f t="shared" si="38"/>
        <v>0</v>
      </c>
      <c r="K229" s="376"/>
      <c r="L229" s="505"/>
      <c r="M229" s="380"/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 t="s">
        <v>366</v>
      </c>
      <c r="E230" s="376"/>
      <c r="F230" s="514" t="s">
        <v>53</v>
      </c>
      <c r="G230" s="377"/>
      <c r="H230" s="505">
        <f>+'Other Electriciy Rates'!$J$11</f>
        <v>0.065</v>
      </c>
      <c r="I230" s="509">
        <f>IF($H200*(1+$H236)&gt;600,600,($H200*(1+$H236)))</f>
        <v>600</v>
      </c>
      <c r="J230" s="379">
        <f t="shared" si="38"/>
        <v>39</v>
      </c>
      <c r="K230" s="376"/>
      <c r="L230" s="505">
        <f>+'Other Electriciy Rates'!$J$26</f>
        <v>0.065</v>
      </c>
      <c r="M230" s="509">
        <f>IF($H200*(1+$L236)&gt;600,600,($H200*(1+$L236)))</f>
        <v>600</v>
      </c>
      <c r="N230" s="379">
        <f t="shared" si="39"/>
        <v>39</v>
      </c>
      <c r="O230" s="376"/>
      <c r="P230" s="381">
        <f t="shared" si="34"/>
        <v>0</v>
      </c>
      <c r="Q230" s="382">
        <f t="shared" si="35"/>
        <v>0</v>
      </c>
    </row>
    <row r="231" spans="4:17" ht="13.5" thickBot="1">
      <c r="D231" s="501" t="s">
        <v>365</v>
      </c>
      <c r="E231" s="376"/>
      <c r="F231" s="514"/>
      <c r="G231" s="377"/>
      <c r="H231" s="505">
        <f>+'Other Electriciy Rates'!$K$11</f>
        <v>0.075</v>
      </c>
      <c r="I231" s="509">
        <f>IF($H200*(1+$H236)&gt;600,$H200*(1+$H236)-$I230,0)</f>
        <v>14926.499999999998</v>
      </c>
      <c r="J231" s="379">
        <f t="shared" si="38"/>
        <v>1119.4874999999997</v>
      </c>
      <c r="K231" s="376"/>
      <c r="L231" s="505">
        <f>+'Other Electriciy Rates'!$K$26</f>
        <v>0.075</v>
      </c>
      <c r="M231" s="509">
        <f>IF($H200*(1+$L236)&gt;600,$H200*(1+$L236)-$I230,0)</f>
        <v>14942.868718900922</v>
      </c>
      <c r="N231" s="379">
        <f t="shared" si="39"/>
        <v>1120.715153917569</v>
      </c>
      <c r="O231" s="376"/>
      <c r="P231" s="381">
        <f t="shared" si="34"/>
        <v>1.2276539175693415</v>
      </c>
      <c r="Q231" s="382">
        <f t="shared" si="35"/>
        <v>0.001096621371448401</v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1717.8655344999997</v>
      </c>
      <c r="K232" s="403"/>
      <c r="L232" s="411"/>
      <c r="M232" s="412"/>
      <c r="N232" s="402">
        <f>SUM(N223:N231)</f>
        <v>1789.1352629441678</v>
      </c>
      <c r="O232" s="403"/>
      <c r="P232" s="406">
        <f>N232-J232</f>
        <v>71.2697284441681</v>
      </c>
      <c r="Q232" s="407">
        <f>IF((J232)=0,"",(P232/J232))</f>
        <v>0.04148737314583344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223.322519485</v>
      </c>
      <c r="K233" s="376"/>
      <c r="L233" s="511">
        <v>0.13</v>
      </c>
      <c r="M233" s="415"/>
      <c r="N233" s="414">
        <f>N232*L233</f>
        <v>232.58758418274184</v>
      </c>
      <c r="O233" s="376"/>
      <c r="P233" s="381">
        <f>N233-J233</f>
        <v>9.265064697741849</v>
      </c>
      <c r="Q233" s="382">
        <f>IF((J233)=0,"",(P233/J233))</f>
        <v>0.041487373145833416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1941.19</v>
      </c>
      <c r="K234" s="403"/>
      <c r="L234" s="404"/>
      <c r="M234" s="405"/>
      <c r="N234" s="402">
        <f>ROUND(SUM(N232:N233),2)</f>
        <v>2021.72</v>
      </c>
      <c r="O234" s="403"/>
      <c r="P234" s="406">
        <f>N234-J234</f>
        <v>80.52999999999997</v>
      </c>
      <c r="Q234" s="407">
        <f>IF((J234)=0,"",(P234/J234))</f>
        <v>0.041484862378231895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General Service &lt; 50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9" ht="12.75">
      <c r="B247" s="363" t="s">
        <v>53</v>
      </c>
      <c r="F247" s="367" t="s">
        <v>66</v>
      </c>
      <c r="G247" s="367"/>
      <c r="H247" s="504"/>
      <c r="I247" s="367" t="s">
        <v>332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83">
        <f>+'2010 Existing Rates'!$C$9</f>
        <v>14.7</v>
      </c>
      <c r="I252" s="378">
        <v>1</v>
      </c>
      <c r="J252" s="379">
        <f aca="true" t="shared" si="40" ref="J252:J266">I252*H252</f>
        <v>14.7</v>
      </c>
      <c r="K252" s="376"/>
      <c r="L252" s="583">
        <f>+'Rate Schedule (Part 1)'!$E$20</f>
        <v>16.78</v>
      </c>
      <c r="M252" s="380">
        <v>1</v>
      </c>
      <c r="N252" s="379">
        <f aca="true" t="shared" si="41" ref="N252:N266">M252*L252</f>
        <v>16.78</v>
      </c>
      <c r="O252" s="376"/>
      <c r="P252" s="381">
        <f aca="true" t="shared" si="42" ref="P252:P278">N252-J252</f>
        <v>2.080000000000002</v>
      </c>
      <c r="Q252" s="382">
        <f aca="true" t="shared" si="43" ref="Q252:Q278">IF((J252)=0,"",(P252/J252))</f>
        <v>0.1414965986394559</v>
      </c>
    </row>
    <row r="253" spans="4:17" ht="12.75">
      <c r="D253" s="376" t="s">
        <v>226</v>
      </c>
      <c r="E253" s="376"/>
      <c r="F253" s="514" t="s">
        <v>330</v>
      </c>
      <c r="G253" s="377"/>
      <c r="H253" s="583">
        <f>+'2010 Existing Rates'!$B$46</f>
        <v>2.16</v>
      </c>
      <c r="I253" s="378">
        <v>1</v>
      </c>
      <c r="J253" s="379">
        <f t="shared" si="40"/>
        <v>2.16</v>
      </c>
      <c r="K253" s="376"/>
      <c r="L253" s="583">
        <f>+'Rate Schedule (Part 1)'!$E$24</f>
        <v>-0.43193202035146244</v>
      </c>
      <c r="M253" s="380">
        <v>1</v>
      </c>
      <c r="N253" s="379">
        <f t="shared" si="41"/>
        <v>-0.43193202035146244</v>
      </c>
      <c r="O253" s="376"/>
      <c r="P253" s="381">
        <f t="shared" si="42"/>
        <v>-2.5919320203514626</v>
      </c>
      <c r="Q253" s="382">
        <f t="shared" si="43"/>
        <v>-1.199968527940492</v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53</v>
      </c>
      <c r="G256" s="377"/>
      <c r="H256" s="505">
        <f>+'2010 Existing Rates'!$B$59</f>
        <v>0.0156</v>
      </c>
      <c r="I256" s="378">
        <f>H247</f>
        <v>0</v>
      </c>
      <c r="J256" s="379">
        <f t="shared" si="40"/>
        <v>0</v>
      </c>
      <c r="K256" s="376"/>
      <c r="L256" s="505">
        <f>+'Rate Schedule (Part 1)'!$E$21</f>
        <v>0.0178</v>
      </c>
      <c r="M256" s="380">
        <f>H247</f>
        <v>0</v>
      </c>
      <c r="N256" s="379">
        <f t="shared" si="41"/>
        <v>0</v>
      </c>
      <c r="O256" s="376"/>
      <c r="P256" s="381">
        <f t="shared" si="42"/>
        <v>0</v>
      </c>
      <c r="Q256" s="382">
        <f t="shared" si="43"/>
      </c>
    </row>
    <row r="257" spans="4:17" ht="12.75">
      <c r="D257" s="376" t="s">
        <v>344</v>
      </c>
      <c r="E257" s="376"/>
      <c r="F257" s="514" t="s">
        <v>53</v>
      </c>
      <c r="G257" s="377"/>
      <c r="H257" s="505">
        <f>+'2010 Existing Rates'!$B$34</f>
        <v>0.0002</v>
      </c>
      <c r="I257" s="378">
        <f aca="true" t="shared" si="44" ref="I257:I262">I256</f>
        <v>0</v>
      </c>
      <c r="J257" s="379">
        <f t="shared" si="40"/>
        <v>0</v>
      </c>
      <c r="K257" s="376"/>
      <c r="L257" s="505">
        <f>+'Rate Schedule (Part 1)'!$E$22</f>
        <v>0.0002</v>
      </c>
      <c r="M257" s="380">
        <f aca="true" t="shared" si="45" ref="M257:M262">M256</f>
        <v>0</v>
      </c>
      <c r="N257" s="379">
        <f t="shared" si="41"/>
        <v>0</v>
      </c>
      <c r="O257" s="376"/>
      <c r="P257" s="381">
        <f t="shared" si="42"/>
        <v>0</v>
      </c>
      <c r="Q257" s="382">
        <f t="shared" si="43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0</v>
      </c>
      <c r="J258" s="379">
        <f t="shared" si="40"/>
        <v>0</v>
      </c>
      <c r="K258" s="376"/>
      <c r="L258" s="505"/>
      <c r="M258" s="380">
        <f t="shared" si="45"/>
        <v>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0</v>
      </c>
      <c r="J259" s="379">
        <f t="shared" si="40"/>
        <v>0</v>
      </c>
      <c r="K259" s="376"/>
      <c r="L259" s="505"/>
      <c r="M259" s="380">
        <f t="shared" si="45"/>
        <v>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0</v>
      </c>
      <c r="J260" s="379">
        <f t="shared" si="40"/>
        <v>0</v>
      </c>
      <c r="K260" s="376"/>
      <c r="L260" s="505"/>
      <c r="M260" s="380">
        <f t="shared" si="45"/>
        <v>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0</v>
      </c>
      <c r="J261" s="379">
        <f t="shared" si="40"/>
        <v>0</v>
      </c>
      <c r="K261" s="376"/>
      <c r="L261" s="505"/>
      <c r="M261" s="380">
        <f t="shared" si="45"/>
        <v>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53</v>
      </c>
      <c r="G262" s="377"/>
      <c r="H262" s="505">
        <f>+'2010 Existing Rates'!$B$22</f>
        <v>-0.0037</v>
      </c>
      <c r="I262" s="378">
        <f t="shared" si="44"/>
        <v>0</v>
      </c>
      <c r="J262" s="379">
        <f t="shared" si="40"/>
        <v>0</v>
      </c>
      <c r="K262" s="376"/>
      <c r="L262" s="505">
        <f>+'Rate Schedule (Part 1)'!$E$25</f>
        <v>-0.0007654152677371481</v>
      </c>
      <c r="M262" s="380">
        <f t="shared" si="45"/>
        <v>0</v>
      </c>
      <c r="N262" s="379">
        <f t="shared" si="41"/>
        <v>0</v>
      </c>
      <c r="O262" s="376"/>
      <c r="P262" s="381">
        <f t="shared" si="42"/>
        <v>0</v>
      </c>
      <c r="Q262" s="382">
        <f t="shared" si="43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16.86</v>
      </c>
      <c r="L267" s="385"/>
      <c r="M267" s="388"/>
      <c r="N267" s="387">
        <f>SUM(N252:N266)</f>
        <v>16.34806797964854</v>
      </c>
      <c r="P267" s="389">
        <f t="shared" si="42"/>
        <v>-0.511932020351459</v>
      </c>
      <c r="Q267" s="390">
        <f t="shared" si="43"/>
        <v>-0.03036370227470101</v>
      </c>
    </row>
    <row r="268" spans="4:17" ht="12.75">
      <c r="D268" s="391" t="s">
        <v>351</v>
      </c>
      <c r="E268" s="391"/>
      <c r="F268" s="515" t="s">
        <v>53</v>
      </c>
      <c r="G268" s="392"/>
      <c r="H268" s="506">
        <v>0.0054</v>
      </c>
      <c r="I268" s="393">
        <f>H247*(1+H283)</f>
        <v>0</v>
      </c>
      <c r="J268" s="394">
        <f>I268*H268</f>
        <v>0</v>
      </c>
      <c r="K268" s="391"/>
      <c r="L268" s="506">
        <f>+'[7]E1.1 Adj Network to Fcst Whsl'!$S$23</f>
        <v>0.005019360241026099</v>
      </c>
      <c r="M268" s="395">
        <f>H247*(1+L283)</f>
        <v>0</v>
      </c>
      <c r="N268" s="394">
        <f>M268*L268</f>
        <v>0</v>
      </c>
      <c r="O268" s="391"/>
      <c r="P268" s="396">
        <f t="shared" si="42"/>
        <v>0</v>
      </c>
      <c r="Q268" s="397">
        <f t="shared" si="43"/>
      </c>
    </row>
    <row r="269" spans="4:17" ht="26.25" thickBot="1">
      <c r="D269" s="398" t="s">
        <v>352</v>
      </c>
      <c r="E269" s="391"/>
      <c r="F269" s="515" t="s">
        <v>53</v>
      </c>
      <c r="G269" s="392"/>
      <c r="H269" s="506">
        <v>0.0042</v>
      </c>
      <c r="I269" s="393">
        <f>I268</f>
        <v>0</v>
      </c>
      <c r="J269" s="394">
        <f>I269*H269</f>
        <v>0</v>
      </c>
      <c r="K269" s="391"/>
      <c r="L269" s="506">
        <f>+'[7]E1.2 Adj Conn to Fcst Whsl'!$S$23</f>
        <v>0.004147360261781856</v>
      </c>
      <c r="M269" s="395">
        <f>M268</f>
        <v>0</v>
      </c>
      <c r="N269" s="394">
        <f>M269*L269</f>
        <v>0</v>
      </c>
      <c r="O269" s="391"/>
      <c r="P269" s="396">
        <f t="shared" si="42"/>
        <v>0</v>
      </c>
      <c r="Q269" s="397">
        <f t="shared" si="43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16.86</v>
      </c>
      <c r="K270" s="403"/>
      <c r="L270" s="404"/>
      <c r="M270" s="405"/>
      <c r="N270" s="402">
        <f>SUM(N267:N269)</f>
        <v>16.34806797964854</v>
      </c>
      <c r="O270" s="403"/>
      <c r="P270" s="406">
        <f t="shared" si="42"/>
        <v>-0.511932020351459</v>
      </c>
      <c r="Q270" s="407">
        <f t="shared" si="43"/>
        <v>-0.03036370227470101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I269</f>
        <v>0</v>
      </c>
      <c r="J271" s="379">
        <f aca="true" t="shared" si="46" ref="J271:J278">I271*H271</f>
        <v>0</v>
      </c>
      <c r="K271" s="376"/>
      <c r="L271" s="505">
        <v>0.0052</v>
      </c>
      <c r="M271" s="380">
        <f>M269</f>
        <v>0</v>
      </c>
      <c r="N271" s="379">
        <f aca="true" t="shared" si="47" ref="N271:N278">M271*L271</f>
        <v>0</v>
      </c>
      <c r="O271" s="376"/>
      <c r="P271" s="381">
        <f t="shared" si="42"/>
        <v>0</v>
      </c>
      <c r="Q271" s="382">
        <f t="shared" si="43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I269</f>
        <v>0</v>
      </c>
      <c r="J272" s="379">
        <f t="shared" si="46"/>
        <v>0</v>
      </c>
      <c r="K272" s="376"/>
      <c r="L272" s="505">
        <v>0.0013</v>
      </c>
      <c r="M272" s="380">
        <f>M269</f>
        <v>0</v>
      </c>
      <c r="N272" s="379">
        <f t="shared" si="47"/>
        <v>0</v>
      </c>
      <c r="O272" s="376"/>
      <c r="P272" s="381">
        <f t="shared" si="42"/>
        <v>0</v>
      </c>
      <c r="Q272" s="382">
        <f t="shared" si="43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I269</f>
        <v>0</v>
      </c>
      <c r="J273" s="379">
        <f t="shared" si="46"/>
        <v>0</v>
      </c>
      <c r="K273" s="376"/>
      <c r="L273" s="508">
        <v>0.000373</v>
      </c>
      <c r="M273" s="380">
        <f>M269</f>
        <v>0</v>
      </c>
      <c r="N273" s="379">
        <f t="shared" si="47"/>
        <v>0</v>
      </c>
      <c r="O273" s="376"/>
      <c r="P273" s="381">
        <f t="shared" si="42"/>
        <v>0</v>
      </c>
      <c r="Q273" s="382">
        <f t="shared" si="43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46"/>
        <v>0</v>
      </c>
      <c r="K275" s="376"/>
      <c r="L275" s="505">
        <v>0.007</v>
      </c>
      <c r="M275" s="380">
        <f>+$H247</f>
        <v>0</v>
      </c>
      <c r="N275" s="379">
        <f t="shared" si="47"/>
        <v>0</v>
      </c>
      <c r="O275" s="376"/>
      <c r="P275" s="381">
        <f t="shared" si="42"/>
        <v>0</v>
      </c>
      <c r="Q275" s="382">
        <f t="shared" si="43"/>
      </c>
    </row>
    <row r="276" spans="4:17" ht="12.75">
      <c r="D276" s="376" t="s">
        <v>359</v>
      </c>
      <c r="E276" s="376"/>
      <c r="F276" s="514"/>
      <c r="G276" s="377"/>
      <c r="H276" s="505"/>
      <c r="I276" s="378"/>
      <c r="J276" s="379">
        <f t="shared" si="46"/>
        <v>0</v>
      </c>
      <c r="K276" s="376"/>
      <c r="L276" s="505"/>
      <c r="M276" s="380"/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 t="s">
        <v>366</v>
      </c>
      <c r="E277" s="376"/>
      <c r="F277" s="514" t="s">
        <v>53</v>
      </c>
      <c r="G277" s="377"/>
      <c r="H277" s="505">
        <f>+'Other Electriciy Rates'!$J$11</f>
        <v>0.065</v>
      </c>
      <c r="I277" s="509">
        <f>IF($H247*(1+$H283)&gt;600,600,($H247*(1+$H283)))</f>
        <v>0</v>
      </c>
      <c r="J277" s="379">
        <f t="shared" si="46"/>
        <v>0</v>
      </c>
      <c r="K277" s="376"/>
      <c r="L277" s="505">
        <f>+'Other Electriciy Rates'!$J$26</f>
        <v>0.065</v>
      </c>
      <c r="M277" s="509">
        <f>IF($H247*(1+$L283)&gt;600,600,($H247*(1+$L283)))</f>
        <v>0</v>
      </c>
      <c r="N277" s="379">
        <f t="shared" si="47"/>
        <v>0</v>
      </c>
      <c r="O277" s="376"/>
      <c r="P277" s="381">
        <f t="shared" si="42"/>
        <v>0</v>
      </c>
      <c r="Q277" s="382">
        <f t="shared" si="43"/>
      </c>
    </row>
    <row r="278" spans="4:17" ht="13.5" thickBot="1">
      <c r="D278" s="501" t="s">
        <v>365</v>
      </c>
      <c r="E278" s="376"/>
      <c r="F278" s="514"/>
      <c r="G278" s="377"/>
      <c r="H278" s="505">
        <f>+'Other Electriciy Rates'!$K$11</f>
        <v>0.075</v>
      </c>
      <c r="I278" s="509">
        <f>IF($H247*(1+$H283)&gt;600,$H247*(1+$H283)-$I277,0)</f>
        <v>0</v>
      </c>
      <c r="J278" s="379">
        <f t="shared" si="46"/>
        <v>0</v>
      </c>
      <c r="K278" s="376"/>
      <c r="L278" s="505">
        <f>+'Other Electriciy Rates'!$K$26</f>
        <v>0.075</v>
      </c>
      <c r="M278" s="509">
        <f>IF($H247*(1+$L283)&gt;600,$H247*(1+$L283)-$I277,0)</f>
        <v>0</v>
      </c>
      <c r="N278" s="379">
        <f t="shared" si="47"/>
        <v>0</v>
      </c>
      <c r="O278" s="376"/>
      <c r="P278" s="381">
        <f t="shared" si="42"/>
        <v>0</v>
      </c>
      <c r="Q278" s="382">
        <f t="shared" si="43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17.11</v>
      </c>
      <c r="K279" s="403"/>
      <c r="L279" s="411"/>
      <c r="M279" s="412"/>
      <c r="N279" s="402">
        <f>SUM(N270:N278)</f>
        <v>16.59806797964854</v>
      </c>
      <c r="O279" s="403"/>
      <c r="P279" s="406">
        <f>N279-J279</f>
        <v>-0.511932020351459</v>
      </c>
      <c r="Q279" s="407">
        <f>IF((J279)=0,"",(P279/J279))</f>
        <v>-0.029920047945731096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2.2243</v>
      </c>
      <c r="K280" s="376"/>
      <c r="L280" s="511">
        <v>0.13</v>
      </c>
      <c r="M280" s="415"/>
      <c r="N280" s="414">
        <f>N279*L280</f>
        <v>2.15774883735431</v>
      </c>
      <c r="O280" s="376"/>
      <c r="P280" s="381">
        <f>N280-J280</f>
        <v>-0.06655116264568983</v>
      </c>
      <c r="Q280" s="382">
        <f>IF((J280)=0,"",(P280/J280))</f>
        <v>-0.029920047945731165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19.33</v>
      </c>
      <c r="K281" s="403"/>
      <c r="L281" s="404"/>
      <c r="M281" s="405"/>
      <c r="N281" s="402">
        <f>ROUND(SUM(N279:N280),2)</f>
        <v>18.76</v>
      </c>
      <c r="O281" s="403"/>
      <c r="P281" s="406">
        <f>N281-J281</f>
        <v>-0.5699999999999967</v>
      </c>
      <c r="Q281" s="407">
        <f>IF((J281)=0,"",(P281/J281))</f>
        <v>-0.029487842731505266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General Service &lt; 50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9" ht="12.75">
      <c r="B294" s="363" t="s">
        <v>53</v>
      </c>
      <c r="F294" s="367" t="s">
        <v>66</v>
      </c>
      <c r="G294" s="367"/>
      <c r="H294" s="504"/>
      <c r="I294" s="367" t="s">
        <v>332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83">
        <f>+'2010 Existing Rates'!$C$9</f>
        <v>14.7</v>
      </c>
      <c r="I299" s="378">
        <v>1</v>
      </c>
      <c r="J299" s="379">
        <f aca="true" t="shared" si="48" ref="J299:J313">I299*H299</f>
        <v>14.7</v>
      </c>
      <c r="K299" s="376"/>
      <c r="L299" s="583">
        <f>+'Rate Schedule (Part 1)'!$E$20</f>
        <v>16.78</v>
      </c>
      <c r="M299" s="380">
        <v>1</v>
      </c>
      <c r="N299" s="379">
        <f aca="true" t="shared" si="49" ref="N299:N313">M299*L299</f>
        <v>16.78</v>
      </c>
      <c r="O299" s="376"/>
      <c r="P299" s="381">
        <f aca="true" t="shared" si="50" ref="P299:P325">N299-J299</f>
        <v>2.080000000000002</v>
      </c>
      <c r="Q299" s="382">
        <f aca="true" t="shared" si="51" ref="Q299:Q325">IF((J299)=0,"",(P299/J299))</f>
        <v>0.1414965986394559</v>
      </c>
    </row>
    <row r="300" spans="4:17" ht="12.75">
      <c r="D300" s="376" t="s">
        <v>226</v>
      </c>
      <c r="E300" s="376"/>
      <c r="F300" s="514" t="s">
        <v>330</v>
      </c>
      <c r="G300" s="377"/>
      <c r="H300" s="583">
        <f>+'2010 Existing Rates'!$B$46</f>
        <v>2.16</v>
      </c>
      <c r="I300" s="378">
        <v>1</v>
      </c>
      <c r="J300" s="379">
        <f t="shared" si="48"/>
        <v>2.16</v>
      </c>
      <c r="K300" s="376"/>
      <c r="L300" s="583">
        <f>+'Rate Schedule (Part 1)'!$E$24</f>
        <v>-0.43193202035146244</v>
      </c>
      <c r="M300" s="380">
        <v>1</v>
      </c>
      <c r="N300" s="379">
        <f t="shared" si="49"/>
        <v>-0.43193202035146244</v>
      </c>
      <c r="O300" s="376"/>
      <c r="P300" s="381">
        <f t="shared" si="50"/>
        <v>-2.5919320203514626</v>
      </c>
      <c r="Q300" s="382">
        <f t="shared" si="51"/>
        <v>-1.199968527940492</v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53</v>
      </c>
      <c r="G303" s="377"/>
      <c r="H303" s="505">
        <f>+'2010 Existing Rates'!$B$59</f>
        <v>0.0156</v>
      </c>
      <c r="I303" s="378">
        <f>H294</f>
        <v>0</v>
      </c>
      <c r="J303" s="379">
        <f t="shared" si="48"/>
        <v>0</v>
      </c>
      <c r="K303" s="376"/>
      <c r="L303" s="505">
        <f>+'Rate Schedule (Part 1)'!$E$21</f>
        <v>0.0178</v>
      </c>
      <c r="M303" s="380">
        <f>H294</f>
        <v>0</v>
      </c>
      <c r="N303" s="379">
        <f t="shared" si="49"/>
        <v>0</v>
      </c>
      <c r="O303" s="376"/>
      <c r="P303" s="381">
        <f t="shared" si="50"/>
        <v>0</v>
      </c>
      <c r="Q303" s="382">
        <f t="shared" si="51"/>
      </c>
    </row>
    <row r="304" spans="4:17" ht="12.75">
      <c r="D304" s="376" t="s">
        <v>344</v>
      </c>
      <c r="E304" s="376"/>
      <c r="F304" s="514" t="s">
        <v>53</v>
      </c>
      <c r="G304" s="377"/>
      <c r="H304" s="505">
        <f>+'2010 Existing Rates'!$B$34</f>
        <v>0.0002</v>
      </c>
      <c r="I304" s="378">
        <f aca="true" t="shared" si="52" ref="I304:I309">I303</f>
        <v>0</v>
      </c>
      <c r="J304" s="379">
        <f t="shared" si="48"/>
        <v>0</v>
      </c>
      <c r="K304" s="376"/>
      <c r="L304" s="505">
        <f>+'Rate Schedule (Part 1)'!$E$22</f>
        <v>0.0002</v>
      </c>
      <c r="M304" s="380">
        <f aca="true" t="shared" si="53" ref="M304:M309">M303</f>
        <v>0</v>
      </c>
      <c r="N304" s="379">
        <f t="shared" si="49"/>
        <v>0</v>
      </c>
      <c r="O304" s="376"/>
      <c r="P304" s="381">
        <f t="shared" si="50"/>
        <v>0</v>
      </c>
      <c r="Q304" s="382">
        <f t="shared" si="51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0</v>
      </c>
      <c r="J305" s="379">
        <f t="shared" si="48"/>
        <v>0</v>
      </c>
      <c r="K305" s="376"/>
      <c r="L305" s="505"/>
      <c r="M305" s="380">
        <f t="shared" si="53"/>
        <v>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0</v>
      </c>
      <c r="J306" s="379">
        <f t="shared" si="48"/>
        <v>0</v>
      </c>
      <c r="K306" s="376"/>
      <c r="L306" s="505"/>
      <c r="M306" s="380">
        <f t="shared" si="53"/>
        <v>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0</v>
      </c>
      <c r="J307" s="379">
        <f t="shared" si="48"/>
        <v>0</v>
      </c>
      <c r="K307" s="376"/>
      <c r="L307" s="505"/>
      <c r="M307" s="380">
        <f t="shared" si="53"/>
        <v>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0</v>
      </c>
      <c r="J308" s="379">
        <f t="shared" si="48"/>
        <v>0</v>
      </c>
      <c r="K308" s="376"/>
      <c r="L308" s="505"/>
      <c r="M308" s="380">
        <f t="shared" si="53"/>
        <v>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53</v>
      </c>
      <c r="G309" s="377"/>
      <c r="H309" s="505">
        <f>+'2010 Existing Rates'!$B$22</f>
        <v>-0.0037</v>
      </c>
      <c r="I309" s="378">
        <f t="shared" si="52"/>
        <v>0</v>
      </c>
      <c r="J309" s="379">
        <f t="shared" si="48"/>
        <v>0</v>
      </c>
      <c r="K309" s="376"/>
      <c r="L309" s="505">
        <f>+'Rate Schedule (Part 1)'!$E$25</f>
        <v>-0.0007654152677371481</v>
      </c>
      <c r="M309" s="380">
        <f t="shared" si="53"/>
        <v>0</v>
      </c>
      <c r="N309" s="379">
        <f t="shared" si="49"/>
        <v>0</v>
      </c>
      <c r="O309" s="376"/>
      <c r="P309" s="381">
        <f t="shared" si="50"/>
        <v>0</v>
      </c>
      <c r="Q309" s="382">
        <f t="shared" si="51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16.86</v>
      </c>
      <c r="L314" s="385"/>
      <c r="M314" s="388"/>
      <c r="N314" s="387">
        <f>SUM(N299:N313)</f>
        <v>16.34806797964854</v>
      </c>
      <c r="P314" s="389">
        <f t="shared" si="50"/>
        <v>-0.511932020351459</v>
      </c>
      <c r="Q314" s="390">
        <f t="shared" si="51"/>
        <v>-0.03036370227470101</v>
      </c>
    </row>
    <row r="315" spans="4:17" ht="12.75">
      <c r="D315" s="391" t="s">
        <v>351</v>
      </c>
      <c r="E315" s="391"/>
      <c r="F315" s="515" t="s">
        <v>53</v>
      </c>
      <c r="G315" s="392"/>
      <c r="H315" s="506">
        <v>0.0054</v>
      </c>
      <c r="I315" s="393">
        <f>H294*(1+H330)</f>
        <v>0</v>
      </c>
      <c r="J315" s="394">
        <f>I315*H315</f>
        <v>0</v>
      </c>
      <c r="K315" s="391"/>
      <c r="L315" s="506">
        <f>+'[7]E1.1 Adj Network to Fcst Whsl'!$S$23</f>
        <v>0.005019360241026099</v>
      </c>
      <c r="M315" s="395">
        <f>H294*(1+L330)</f>
        <v>0</v>
      </c>
      <c r="N315" s="394">
        <f>M315*L315</f>
        <v>0</v>
      </c>
      <c r="O315" s="391"/>
      <c r="P315" s="396">
        <f t="shared" si="50"/>
        <v>0</v>
      </c>
      <c r="Q315" s="397">
        <f t="shared" si="51"/>
      </c>
    </row>
    <row r="316" spans="4:17" ht="26.25" thickBot="1">
      <c r="D316" s="398" t="s">
        <v>352</v>
      </c>
      <c r="E316" s="391"/>
      <c r="F316" s="515" t="s">
        <v>53</v>
      </c>
      <c r="G316" s="392"/>
      <c r="H316" s="506">
        <v>0.0042</v>
      </c>
      <c r="I316" s="393">
        <f>I315</f>
        <v>0</v>
      </c>
      <c r="J316" s="394">
        <f>I316*H316</f>
        <v>0</v>
      </c>
      <c r="K316" s="391"/>
      <c r="L316" s="506">
        <f>+'[7]E1.2 Adj Conn to Fcst Whsl'!$S$23</f>
        <v>0.004147360261781856</v>
      </c>
      <c r="M316" s="395">
        <f>M315</f>
        <v>0</v>
      </c>
      <c r="N316" s="394">
        <f>M316*L316</f>
        <v>0</v>
      </c>
      <c r="O316" s="391"/>
      <c r="P316" s="396">
        <f t="shared" si="50"/>
        <v>0</v>
      </c>
      <c r="Q316" s="397">
        <f t="shared" si="51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16.86</v>
      </c>
      <c r="K317" s="403"/>
      <c r="L317" s="404"/>
      <c r="M317" s="405"/>
      <c r="N317" s="402">
        <f>SUM(N314:N316)</f>
        <v>16.34806797964854</v>
      </c>
      <c r="O317" s="403"/>
      <c r="P317" s="406">
        <f t="shared" si="50"/>
        <v>-0.511932020351459</v>
      </c>
      <c r="Q317" s="407">
        <f t="shared" si="51"/>
        <v>-0.03036370227470101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I316</f>
        <v>0</v>
      </c>
      <c r="J318" s="379">
        <f aca="true" t="shared" si="54" ref="J318:J325">I318*H318</f>
        <v>0</v>
      </c>
      <c r="K318" s="376"/>
      <c r="L318" s="505">
        <v>0.0052</v>
      </c>
      <c r="M318" s="380">
        <f>M316</f>
        <v>0</v>
      </c>
      <c r="N318" s="379">
        <f aca="true" t="shared" si="55" ref="N318:N325">M318*L318</f>
        <v>0</v>
      </c>
      <c r="O318" s="376"/>
      <c r="P318" s="381">
        <f t="shared" si="50"/>
        <v>0</v>
      </c>
      <c r="Q318" s="382">
        <f t="shared" si="51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I316</f>
        <v>0</v>
      </c>
      <c r="J319" s="379">
        <f t="shared" si="54"/>
        <v>0</v>
      </c>
      <c r="K319" s="376"/>
      <c r="L319" s="505">
        <v>0.0013</v>
      </c>
      <c r="M319" s="380">
        <f>M316</f>
        <v>0</v>
      </c>
      <c r="N319" s="379">
        <f t="shared" si="55"/>
        <v>0</v>
      </c>
      <c r="O319" s="376"/>
      <c r="P319" s="381">
        <f t="shared" si="50"/>
        <v>0</v>
      </c>
      <c r="Q319" s="382">
        <f t="shared" si="51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I316</f>
        <v>0</v>
      </c>
      <c r="J320" s="379">
        <f t="shared" si="54"/>
        <v>0</v>
      </c>
      <c r="K320" s="376"/>
      <c r="L320" s="508">
        <v>0.000373</v>
      </c>
      <c r="M320" s="380">
        <f>M316</f>
        <v>0</v>
      </c>
      <c r="N320" s="379">
        <f t="shared" si="55"/>
        <v>0</v>
      </c>
      <c r="O320" s="376"/>
      <c r="P320" s="381">
        <f t="shared" si="50"/>
        <v>0</v>
      </c>
      <c r="Q320" s="382">
        <f t="shared" si="51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54"/>
        <v>0</v>
      </c>
      <c r="K322" s="376"/>
      <c r="L322" s="505">
        <v>0.007</v>
      </c>
      <c r="M322" s="380">
        <f>+$H294</f>
        <v>0</v>
      </c>
      <c r="N322" s="379">
        <f t="shared" si="55"/>
        <v>0</v>
      </c>
      <c r="O322" s="376"/>
      <c r="P322" s="381">
        <f t="shared" si="50"/>
        <v>0</v>
      </c>
      <c r="Q322" s="382">
        <f t="shared" si="51"/>
      </c>
    </row>
    <row r="323" spans="4:17" ht="12.75">
      <c r="D323" s="376" t="s">
        <v>359</v>
      </c>
      <c r="E323" s="376"/>
      <c r="F323" s="514"/>
      <c r="G323" s="377"/>
      <c r="H323" s="505"/>
      <c r="I323" s="378"/>
      <c r="J323" s="379">
        <f t="shared" si="54"/>
        <v>0</v>
      </c>
      <c r="K323" s="376"/>
      <c r="L323" s="505"/>
      <c r="M323" s="380"/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 t="s">
        <v>366</v>
      </c>
      <c r="E324" s="376"/>
      <c r="F324" s="514" t="s">
        <v>53</v>
      </c>
      <c r="G324" s="377"/>
      <c r="H324" s="505">
        <f>+'Other Electriciy Rates'!$J$11</f>
        <v>0.065</v>
      </c>
      <c r="I324" s="509">
        <f>IF($H294*(1+$H330)&gt;600,600,($H294*(1+$H330)))</f>
        <v>0</v>
      </c>
      <c r="J324" s="379">
        <f t="shared" si="54"/>
        <v>0</v>
      </c>
      <c r="K324" s="376"/>
      <c r="L324" s="505">
        <f>+'Other Electriciy Rates'!$J$26</f>
        <v>0.065</v>
      </c>
      <c r="M324" s="509">
        <f>IF($H294*(1+$L330)&gt;600,600,($H294*(1+$L330)))</f>
        <v>0</v>
      </c>
      <c r="N324" s="379">
        <f t="shared" si="55"/>
        <v>0</v>
      </c>
      <c r="O324" s="376"/>
      <c r="P324" s="381">
        <f t="shared" si="50"/>
        <v>0</v>
      </c>
      <c r="Q324" s="382">
        <f t="shared" si="51"/>
      </c>
    </row>
    <row r="325" spans="4:17" ht="13.5" thickBot="1">
      <c r="D325" s="501" t="s">
        <v>365</v>
      </c>
      <c r="E325" s="376"/>
      <c r="F325" s="514"/>
      <c r="G325" s="377"/>
      <c r="H325" s="505">
        <f>+'Other Electriciy Rates'!$K$11</f>
        <v>0.075</v>
      </c>
      <c r="I325" s="509">
        <f>IF($H294*(1+$H330)&gt;600,$H294*(1+$H330)-$I324,0)</f>
        <v>0</v>
      </c>
      <c r="J325" s="379">
        <f t="shared" si="54"/>
        <v>0</v>
      </c>
      <c r="K325" s="376"/>
      <c r="L325" s="505">
        <f>+'Other Electriciy Rates'!$K$26</f>
        <v>0.075</v>
      </c>
      <c r="M325" s="509">
        <f>IF($H294*(1+$L330)&gt;600,$H294*(1+$L330)-$I324,0)</f>
        <v>0</v>
      </c>
      <c r="N325" s="379">
        <f t="shared" si="55"/>
        <v>0</v>
      </c>
      <c r="O325" s="376"/>
      <c r="P325" s="381">
        <f t="shared" si="50"/>
        <v>0</v>
      </c>
      <c r="Q325" s="382">
        <f t="shared" si="51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17.11</v>
      </c>
      <c r="K326" s="403"/>
      <c r="L326" s="411"/>
      <c r="M326" s="412"/>
      <c r="N326" s="402">
        <f>SUM(N317:N325)</f>
        <v>16.59806797964854</v>
      </c>
      <c r="O326" s="403"/>
      <c r="P326" s="406">
        <f>N326-J326</f>
        <v>-0.511932020351459</v>
      </c>
      <c r="Q326" s="407">
        <f>IF((J326)=0,"",(P326/J326))</f>
        <v>-0.029920047945731096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2.2243</v>
      </c>
      <c r="K327" s="376"/>
      <c r="L327" s="511">
        <v>0.13</v>
      </c>
      <c r="M327" s="415"/>
      <c r="N327" s="414">
        <f>N326*L327</f>
        <v>2.15774883735431</v>
      </c>
      <c r="O327" s="376"/>
      <c r="P327" s="381">
        <f>N327-J327</f>
        <v>-0.06655116264568983</v>
      </c>
      <c r="Q327" s="382">
        <f>IF((J327)=0,"",(P327/J327))</f>
        <v>-0.029920047945731165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19.33</v>
      </c>
      <c r="K328" s="403"/>
      <c r="L328" s="404"/>
      <c r="M328" s="405"/>
      <c r="N328" s="402">
        <f>ROUND(SUM(N326:N327),2)</f>
        <v>18.76</v>
      </c>
      <c r="O328" s="403"/>
      <c r="P328" s="406">
        <f>N328-J328</f>
        <v>-0.5699999999999967</v>
      </c>
      <c r="Q328" s="407">
        <f>IF((J328)=0,"",(P328/J328))</f>
        <v>-0.029487842731505266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G17:G31 G205:G219 G33:G34 G158:G172 G36:G43 G252:G266 G268:G269 G221:G222 G271:G278 G64:G78 G80:G81 G83:G90 G111:G125 G224:G231 G127:G128 G174:G175 G130:G137 G177:G184 G299:G313 G315:G316 G318:G325">
      <formula1>$B$10:$B$15</formula1>
    </dataValidation>
    <dataValidation type="list" allowBlank="1" showInputMessage="1" showErrorMessage="1" sqref="F17:F31 F205:F219 F33:F34 F158:F172 F36:F43 F252:F266 F268:F269 F221:F222 F271:F278 F64:F78 F80:F81 F83:F90 F111:F125 F224:F231 F127:F128 F174:F175 F130:F137 F177:F184 F299:F313 F315:F316 F318:F325">
      <formula1>$B$10:$B$13</formula1>
    </dataValidation>
  </dataValidations>
  <printOptions/>
  <pageMargins left="0.7" right="0.7" top="0.75" bottom="0.75" header="0.3" footer="0.3"/>
  <pageSetup fitToHeight="5" horizontalDpi="600" verticalDpi="600" orientation="portrait" scale="63" r:id="rId1"/>
  <rowBreaks count="4" manualBreakCount="4">
    <brk id="55" max="16" man="1"/>
    <brk id="102" max="16" man="1"/>
    <brk id="149" max="16" man="1"/>
    <brk id="196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2.28125" style="362" customWidth="1"/>
    <col min="9" max="9" width="8.57421875" style="362" customWidth="1"/>
    <col min="10" max="10" width="15.851562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6.57421875" style="362" bestFit="1" customWidth="1"/>
    <col min="15" max="15" width="2.8515625" style="362" customWidth="1"/>
    <col min="16" max="16" width="14.7109375" style="362" bestFit="1" customWidth="1"/>
    <col min="17" max="17" width="10.140625" style="362" bestFit="1" customWidth="1"/>
    <col min="18" max="18" width="3.8515625" style="362" customWidth="1"/>
    <col min="19" max="16384" width="9.140625" style="362" customWidth="1"/>
  </cols>
  <sheetData>
    <row r="1" spans="1:18" s="355" customFormat="1" ht="15" customHeight="1">
      <c r="A1" s="583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441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370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371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2" ht="12.75">
      <c r="B12" s="363" t="s">
        <v>53</v>
      </c>
      <c r="F12" s="367" t="s">
        <v>66</v>
      </c>
      <c r="G12" s="367"/>
      <c r="H12" s="504">
        <v>30000</v>
      </c>
      <c r="I12" s="367" t="s">
        <v>332</v>
      </c>
      <c r="J12" s="504">
        <v>60</v>
      </c>
      <c r="L12" s="367" t="s">
        <v>16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 customHeight="1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6" t="s">
        <v>339</v>
      </c>
      <c r="Q15" s="736" t="s">
        <v>340</v>
      </c>
    </row>
    <row r="16" spans="2:17" ht="12.75">
      <c r="B16" s="368"/>
      <c r="F16" s="730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7"/>
      <c r="Q16" s="737"/>
    </row>
    <row r="17" spans="4:17" ht="12.75">
      <c r="D17" s="376" t="s">
        <v>67</v>
      </c>
      <c r="E17" s="376"/>
      <c r="F17" s="514" t="s">
        <v>330</v>
      </c>
      <c r="G17" s="377"/>
      <c r="H17" s="583">
        <f>+'2010 Existing Rates'!$C$10</f>
        <v>70.9</v>
      </c>
      <c r="I17" s="378">
        <v>1</v>
      </c>
      <c r="J17" s="379">
        <f aca="true" t="shared" si="0" ref="J17:J31">I17*H17</f>
        <v>70.9</v>
      </c>
      <c r="K17" s="376"/>
      <c r="L17" s="583">
        <f>+'Rate Schedule (Part 1)'!$E$28</f>
        <v>88.37</v>
      </c>
      <c r="M17" s="380">
        <v>1</v>
      </c>
      <c r="N17" s="379">
        <f aca="true" t="shared" si="1" ref="N17:N31">M17*L17</f>
        <v>88.37</v>
      </c>
      <c r="O17" s="376"/>
      <c r="P17" s="381">
        <f aca="true" t="shared" si="2" ref="P17:P46">N17-J17</f>
        <v>17.47</v>
      </c>
      <c r="Q17" s="382">
        <f aca="true" t="shared" si="3" ref="Q17:Q46">IF((J17)=0,"",(P17/J17))</f>
        <v>0.24640338504936526</v>
      </c>
    </row>
    <row r="18" spans="4:17" ht="12.75">
      <c r="D18" s="376" t="s">
        <v>226</v>
      </c>
      <c r="E18" s="376"/>
      <c r="F18" s="514" t="s">
        <v>330</v>
      </c>
      <c r="G18" s="377"/>
      <c r="H18" s="583">
        <f>+'2010 Existing Rates'!$B$47</f>
        <v>2.16</v>
      </c>
      <c r="I18" s="378">
        <v>1</v>
      </c>
      <c r="J18" s="379">
        <f t="shared" si="0"/>
        <v>2.16</v>
      </c>
      <c r="K18" s="376"/>
      <c r="L18" s="583">
        <f>+'Rate Schedule (Part 1)'!$E$32</f>
        <v>-0.43193202035146244</v>
      </c>
      <c r="M18" s="380">
        <v>1</v>
      </c>
      <c r="N18" s="379">
        <f t="shared" si="1"/>
        <v>-0.43193202035146244</v>
      </c>
      <c r="O18" s="376"/>
      <c r="P18" s="381">
        <f t="shared" si="2"/>
        <v>-2.5919320203514626</v>
      </c>
      <c r="Q18" s="382">
        <f t="shared" si="3"/>
        <v>-1.199968527940492</v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22</v>
      </c>
      <c r="G21" s="377"/>
      <c r="H21" s="505">
        <f>+'2010 Existing Rates'!$D$60</f>
        <v>2.3658</v>
      </c>
      <c r="I21" s="378">
        <f>+J12</f>
        <v>60</v>
      </c>
      <c r="J21" s="379">
        <f t="shared" si="0"/>
        <v>141.948</v>
      </c>
      <c r="K21" s="376"/>
      <c r="L21" s="505">
        <f>+'Rate Schedule (Part 1)'!$E$29</f>
        <v>2.9288</v>
      </c>
      <c r="M21" s="380">
        <f>+J12</f>
        <v>60</v>
      </c>
      <c r="N21" s="379">
        <f t="shared" si="1"/>
        <v>175.72799999999998</v>
      </c>
      <c r="O21" s="376"/>
      <c r="P21" s="381">
        <f t="shared" si="2"/>
        <v>33.77999999999997</v>
      </c>
      <c r="Q21" s="382">
        <f t="shared" si="3"/>
        <v>0.23797446952405085</v>
      </c>
    </row>
    <row r="22" spans="4:17" ht="12.75">
      <c r="D22" s="376" t="s">
        <v>344</v>
      </c>
      <c r="E22" s="376"/>
      <c r="F22" s="514" t="s">
        <v>22</v>
      </c>
      <c r="G22" s="377"/>
      <c r="H22" s="505">
        <f>+'2010 Existing Rates'!$D$35</f>
        <v>0.1135</v>
      </c>
      <c r="I22" s="378">
        <f aca="true" t="shared" si="4" ref="I22:I27">I21</f>
        <v>60</v>
      </c>
      <c r="J22" s="379">
        <f t="shared" si="0"/>
        <v>6.8100000000000005</v>
      </c>
      <c r="K22" s="376"/>
      <c r="L22" s="505">
        <f>+'Rate Schedule (Part 1)'!$E$30</f>
        <v>0.0821</v>
      </c>
      <c r="M22" s="380">
        <f aca="true" t="shared" si="5" ref="M22:M27">M21</f>
        <v>60</v>
      </c>
      <c r="N22" s="379">
        <f t="shared" si="1"/>
        <v>4.926</v>
      </c>
      <c r="O22" s="376"/>
      <c r="P22" s="381">
        <f t="shared" si="2"/>
        <v>-1.8840000000000003</v>
      </c>
      <c r="Q22" s="382">
        <f t="shared" si="3"/>
        <v>-0.27665198237885463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60</v>
      </c>
      <c r="J23" s="379">
        <f t="shared" si="0"/>
        <v>0</v>
      </c>
      <c r="K23" s="376"/>
      <c r="L23" s="505"/>
      <c r="M23" s="380">
        <f t="shared" si="5"/>
        <v>60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60</v>
      </c>
      <c r="J24" s="379">
        <f t="shared" si="0"/>
        <v>0</v>
      </c>
      <c r="K24" s="376"/>
      <c r="L24" s="505"/>
      <c r="M24" s="380">
        <f t="shared" si="5"/>
        <v>60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60</v>
      </c>
      <c r="J25" s="379">
        <f t="shared" si="0"/>
        <v>0</v>
      </c>
      <c r="K25" s="376"/>
      <c r="L25" s="505"/>
      <c r="M25" s="380">
        <f t="shared" si="5"/>
        <v>60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60</v>
      </c>
      <c r="J26" s="379">
        <f t="shared" si="0"/>
        <v>0</v>
      </c>
      <c r="K26" s="376"/>
      <c r="L26" s="505"/>
      <c r="M26" s="380">
        <f t="shared" si="5"/>
        <v>60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22</v>
      </c>
      <c r="G27" s="377"/>
      <c r="H27" s="505">
        <f>+'2010 Existing Rates'!$D$23</f>
        <v>-1.1644</v>
      </c>
      <c r="I27" s="378">
        <f t="shared" si="4"/>
        <v>60</v>
      </c>
      <c r="J27" s="379">
        <f t="shared" si="0"/>
        <v>-69.864</v>
      </c>
      <c r="K27" s="376"/>
      <c r="L27" s="505">
        <f>+'Rate Schedule (Part 1)'!$E$33</f>
        <v>-0.34053261641201166</v>
      </c>
      <c r="M27" s="380">
        <f t="shared" si="5"/>
        <v>60</v>
      </c>
      <c r="N27" s="379">
        <f t="shared" si="1"/>
        <v>-20.4319569847207</v>
      </c>
      <c r="O27" s="376"/>
      <c r="P27" s="381">
        <f t="shared" si="2"/>
        <v>49.432043015279305</v>
      </c>
      <c r="Q27" s="382">
        <f t="shared" si="3"/>
        <v>-0.70754670524561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151.954</v>
      </c>
      <c r="L32" s="385"/>
      <c r="M32" s="388"/>
      <c r="N32" s="387">
        <f>SUM(N17:N31)</f>
        <v>248.1601109949278</v>
      </c>
      <c r="P32" s="389">
        <f t="shared" si="2"/>
        <v>96.2061109949278</v>
      </c>
      <c r="Q32" s="390">
        <f t="shared" si="3"/>
        <v>0.6331265448420429</v>
      </c>
    </row>
    <row r="33" spans="4:17" ht="12.75">
      <c r="D33" s="391" t="s">
        <v>351</v>
      </c>
      <c r="E33" s="391"/>
      <c r="F33" s="515" t="s">
        <v>22</v>
      </c>
      <c r="G33" s="392"/>
      <c r="H33" s="506">
        <v>2.4305</v>
      </c>
      <c r="I33" s="393">
        <f>+J12</f>
        <v>60</v>
      </c>
      <c r="J33" s="394">
        <f>I33*H33</f>
        <v>145.82999999999998</v>
      </c>
      <c r="K33" s="391"/>
      <c r="L33" s="506">
        <f>+'[7]E1.1 Adj Network to Fcst Whsl'!$S$24</f>
        <v>2.259176864039617</v>
      </c>
      <c r="M33" s="395">
        <f>+J12</f>
        <v>60</v>
      </c>
      <c r="N33" s="394">
        <f>M33*L33</f>
        <v>135.550611842377</v>
      </c>
      <c r="O33" s="391"/>
      <c r="P33" s="396">
        <f t="shared" si="2"/>
        <v>-10.279388157622975</v>
      </c>
      <c r="Q33" s="397">
        <f t="shared" si="3"/>
        <v>-0.07048884425442623</v>
      </c>
    </row>
    <row r="34" spans="4:17" ht="26.25" thickBot="1">
      <c r="D34" s="398" t="s">
        <v>352</v>
      </c>
      <c r="E34" s="391"/>
      <c r="F34" s="515" t="s">
        <v>22</v>
      </c>
      <c r="G34" s="392"/>
      <c r="H34" s="506">
        <v>1.9383</v>
      </c>
      <c r="I34" s="393">
        <f>I33</f>
        <v>60</v>
      </c>
      <c r="J34" s="394">
        <f>I34*H34</f>
        <v>116.298</v>
      </c>
      <c r="K34" s="391"/>
      <c r="L34" s="506">
        <f>+'[7]E1.2 Adj Conn to Fcst Whsl'!$S$24</f>
        <v>1.9140067608123263</v>
      </c>
      <c r="M34" s="395">
        <f>M33</f>
        <v>60</v>
      </c>
      <c r="N34" s="394">
        <f>M34*L34</f>
        <v>114.84040564873958</v>
      </c>
      <c r="O34" s="391"/>
      <c r="P34" s="396">
        <f t="shared" si="2"/>
        <v>-1.4575943512604255</v>
      </c>
      <c r="Q34" s="397">
        <f t="shared" si="3"/>
        <v>-0.012533271004320156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414.082</v>
      </c>
      <c r="K35" s="403"/>
      <c r="L35" s="404"/>
      <c r="M35" s="405"/>
      <c r="N35" s="402">
        <f>SUM(N32:N34)</f>
        <v>498.55112848604443</v>
      </c>
      <c r="O35" s="403"/>
      <c r="P35" s="406">
        <f t="shared" si="2"/>
        <v>84.46912848604444</v>
      </c>
      <c r="Q35" s="407">
        <f t="shared" si="3"/>
        <v>0.20399130724360015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+I42+I43</f>
        <v>31052.999999999996</v>
      </c>
      <c r="J36" s="379">
        <f aca="true" t="shared" si="6" ref="J36:J43">I36*H36</f>
        <v>161.4756</v>
      </c>
      <c r="K36" s="376"/>
      <c r="L36" s="505">
        <v>0.0052</v>
      </c>
      <c r="M36" s="380">
        <f>+M42+M43</f>
        <v>31085.737437801843</v>
      </c>
      <c r="N36" s="379">
        <f aca="true" t="shared" si="7" ref="N36:N43">M36*L36</f>
        <v>161.64583467656956</v>
      </c>
      <c r="O36" s="376"/>
      <c r="P36" s="381">
        <f t="shared" si="2"/>
        <v>0.17023467656957791</v>
      </c>
      <c r="Q36" s="382">
        <f t="shared" si="3"/>
        <v>0.0010542439636055103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+I36</f>
        <v>31052.999999999996</v>
      </c>
      <c r="J37" s="379">
        <f t="shared" si="6"/>
        <v>40.3689</v>
      </c>
      <c r="K37" s="376"/>
      <c r="L37" s="505">
        <v>0.0013</v>
      </c>
      <c r="M37" s="380">
        <f>+M36</f>
        <v>31085.737437801843</v>
      </c>
      <c r="N37" s="379">
        <f t="shared" si="7"/>
        <v>40.41145866914239</v>
      </c>
      <c r="O37" s="376"/>
      <c r="P37" s="381">
        <f t="shared" si="2"/>
        <v>0.04255866914239448</v>
      </c>
      <c r="Q37" s="382">
        <f t="shared" si="3"/>
        <v>0.0010542439636055103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+I36</f>
        <v>31052.999999999996</v>
      </c>
      <c r="J38" s="379">
        <f t="shared" si="6"/>
        <v>11.582768999999999</v>
      </c>
      <c r="K38" s="376"/>
      <c r="L38" s="508">
        <v>0.000373</v>
      </c>
      <c r="M38" s="380">
        <f>+M36</f>
        <v>31085.737437801843</v>
      </c>
      <c r="N38" s="379">
        <f t="shared" si="7"/>
        <v>11.594980064300088</v>
      </c>
      <c r="O38" s="376"/>
      <c r="P38" s="381">
        <f t="shared" si="2"/>
        <v>0.012211064300089447</v>
      </c>
      <c r="Q38" s="382">
        <f t="shared" si="3"/>
        <v>0.0010542439636057187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30000</v>
      </c>
      <c r="J40" s="379">
        <f t="shared" si="6"/>
        <v>210</v>
      </c>
      <c r="K40" s="376"/>
      <c r="L40" s="505">
        <v>0.007</v>
      </c>
      <c r="M40" s="380">
        <f>+$H12</f>
        <v>30000</v>
      </c>
      <c r="N40" s="379">
        <f t="shared" si="7"/>
        <v>210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/>
      <c r="G41" s="377"/>
      <c r="H41" s="505"/>
      <c r="I41" s="378"/>
      <c r="J41" s="379">
        <f t="shared" si="6"/>
        <v>0</v>
      </c>
      <c r="K41" s="376"/>
      <c r="L41" s="505"/>
      <c r="M41" s="380"/>
      <c r="N41" s="379">
        <f t="shared" si="7"/>
        <v>0</v>
      </c>
      <c r="O41" s="376"/>
      <c r="P41" s="381">
        <f t="shared" si="2"/>
        <v>0</v>
      </c>
      <c r="Q41" s="382">
        <f t="shared" si="3"/>
      </c>
    </row>
    <row r="42" spans="4:17" ht="12.75">
      <c r="D42" s="502" t="s">
        <v>366</v>
      </c>
      <c r="E42" s="376"/>
      <c r="F42" s="514" t="s">
        <v>53</v>
      </c>
      <c r="G42" s="377"/>
      <c r="H42" s="505">
        <f>+'Other Electriciy Rates'!$J$12</f>
        <v>0.065</v>
      </c>
      <c r="I42" s="509">
        <f>IF($H12*(1+$H48)&gt;600,600,($H12*(1+$H48)))</f>
        <v>600</v>
      </c>
      <c r="J42" s="379">
        <f t="shared" si="6"/>
        <v>39</v>
      </c>
      <c r="K42" s="376"/>
      <c r="L42" s="505">
        <f>+'Other Electriciy Rates'!$J$27</f>
        <v>0.065</v>
      </c>
      <c r="M42" s="509">
        <f>IF($H12*(1+$L48)&gt;600,600,($H12*(1+$L48)))</f>
        <v>600</v>
      </c>
      <c r="N42" s="379">
        <f t="shared" si="7"/>
        <v>39</v>
      </c>
      <c r="O42" s="376"/>
      <c r="P42" s="381">
        <f t="shared" si="2"/>
        <v>0</v>
      </c>
      <c r="Q42" s="382">
        <f t="shared" si="3"/>
        <v>0</v>
      </c>
    </row>
    <row r="43" spans="4:17" ht="13.5" thickBot="1">
      <c r="D43" s="501" t="s">
        <v>365</v>
      </c>
      <c r="E43" s="376"/>
      <c r="F43" s="514" t="s">
        <v>53</v>
      </c>
      <c r="G43" s="377"/>
      <c r="H43" s="505">
        <f>+'Other Electriciy Rates'!$K$12</f>
        <v>0.075</v>
      </c>
      <c r="I43" s="509">
        <f>IF($H12*(1+$H48)&gt;600,$H12*(1+$H48)-$I42,0)</f>
        <v>30452.999999999996</v>
      </c>
      <c r="J43" s="379">
        <f t="shared" si="6"/>
        <v>2283.9749999999995</v>
      </c>
      <c r="K43" s="376"/>
      <c r="L43" s="505">
        <f>+'Other Electriciy Rates'!$K$27</f>
        <v>0.075</v>
      </c>
      <c r="M43" s="509">
        <f>IF($H12*(1+$L48)&gt;600,$H12*(1+$L48)-$I42,0)</f>
        <v>30485.737437801843</v>
      </c>
      <c r="N43" s="379">
        <f t="shared" si="7"/>
        <v>2286.430307835138</v>
      </c>
      <c r="O43" s="376"/>
      <c r="P43" s="381">
        <f t="shared" si="2"/>
        <v>2.455307835138683</v>
      </c>
      <c r="Q43" s="382">
        <f t="shared" si="3"/>
        <v>0.0010750151972498314</v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3160.7342689999996</v>
      </c>
      <c r="K44" s="403"/>
      <c r="L44" s="411"/>
      <c r="M44" s="412"/>
      <c r="N44" s="402">
        <f>SUM(N35:N43)</f>
        <v>3247.8837097311944</v>
      </c>
      <c r="O44" s="403"/>
      <c r="P44" s="406">
        <f t="shared" si="2"/>
        <v>87.14944073119477</v>
      </c>
      <c r="Q44" s="407">
        <f t="shared" si="3"/>
        <v>0.02757253008768982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410.89545496999995</v>
      </c>
      <c r="K45" s="376"/>
      <c r="L45" s="511">
        <v>0.13</v>
      </c>
      <c r="M45" s="415"/>
      <c r="N45" s="414">
        <f>N44*L45</f>
        <v>422.22488226505527</v>
      </c>
      <c r="O45" s="376"/>
      <c r="P45" s="381">
        <f t="shared" si="2"/>
        <v>11.329427295055325</v>
      </c>
      <c r="Q45" s="382">
        <f t="shared" si="3"/>
        <v>0.02757253008768983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3571.63</v>
      </c>
      <c r="K46" s="403"/>
      <c r="L46" s="404"/>
      <c r="M46" s="405"/>
      <c r="N46" s="402">
        <f>ROUND(SUM(N44:N45),2)</f>
        <v>3670.11</v>
      </c>
      <c r="O46" s="403"/>
      <c r="P46" s="406">
        <f t="shared" si="2"/>
        <v>98.48000000000002</v>
      </c>
      <c r="Q46" s="407">
        <f t="shared" si="3"/>
        <v>0.027572844891548123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General Service &gt; 50 to 999kW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12" ht="12.75">
      <c r="B59" s="363" t="s">
        <v>53</v>
      </c>
      <c r="F59" s="367" t="s">
        <v>66</v>
      </c>
      <c r="G59" s="367"/>
      <c r="H59" s="504">
        <v>75000</v>
      </c>
      <c r="I59" s="367" t="s">
        <v>332</v>
      </c>
      <c r="J59" s="504">
        <v>100</v>
      </c>
      <c r="L59" s="367" t="s">
        <v>16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83">
        <f>+'2010 Existing Rates'!$C$10</f>
        <v>70.9</v>
      </c>
      <c r="I64" s="378">
        <v>1</v>
      </c>
      <c r="J64" s="379">
        <f aca="true" t="shared" si="8" ref="J64:J78">I64*H64</f>
        <v>70.9</v>
      </c>
      <c r="K64" s="376"/>
      <c r="L64" s="583">
        <f>+'Rate Schedule (Part 1)'!$E$28</f>
        <v>88.37</v>
      </c>
      <c r="M64" s="380">
        <v>1</v>
      </c>
      <c r="N64" s="379">
        <f aca="true" t="shared" si="9" ref="N64:N78">M64*L64</f>
        <v>88.37</v>
      </c>
      <c r="O64" s="376"/>
      <c r="P64" s="381">
        <f aca="true" t="shared" si="10" ref="P64:P90">N64-J64</f>
        <v>17.47</v>
      </c>
      <c r="Q64" s="382">
        <f aca="true" t="shared" si="11" ref="Q64:Q90">IF((J64)=0,"",(P64/J64))</f>
        <v>0.24640338504936526</v>
      </c>
    </row>
    <row r="65" spans="4:17" ht="12.75">
      <c r="D65" s="376" t="s">
        <v>226</v>
      </c>
      <c r="E65" s="376"/>
      <c r="F65" s="514" t="s">
        <v>330</v>
      </c>
      <c r="G65" s="377"/>
      <c r="H65" s="583">
        <f>+'2010 Existing Rates'!$B$47</f>
        <v>2.16</v>
      </c>
      <c r="I65" s="378">
        <v>1</v>
      </c>
      <c r="J65" s="379">
        <f t="shared" si="8"/>
        <v>2.16</v>
      </c>
      <c r="K65" s="376"/>
      <c r="L65" s="583">
        <f>+'Rate Schedule (Part 1)'!$E$32</f>
        <v>-0.43193202035146244</v>
      </c>
      <c r="M65" s="380">
        <v>1</v>
      </c>
      <c r="N65" s="379">
        <f t="shared" si="9"/>
        <v>-0.43193202035146244</v>
      </c>
      <c r="O65" s="376"/>
      <c r="P65" s="381">
        <f t="shared" si="10"/>
        <v>-2.5919320203514626</v>
      </c>
      <c r="Q65" s="382">
        <f t="shared" si="11"/>
        <v>-1.199968527940492</v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22</v>
      </c>
      <c r="G68" s="377"/>
      <c r="H68" s="505">
        <f>+'2010 Existing Rates'!$D$60</f>
        <v>2.3658</v>
      </c>
      <c r="I68" s="378">
        <f>+J59</f>
        <v>100</v>
      </c>
      <c r="J68" s="379">
        <f t="shared" si="8"/>
        <v>236.58</v>
      </c>
      <c r="K68" s="376"/>
      <c r="L68" s="505">
        <f>+'Rate Schedule (Part 1)'!$E$29</f>
        <v>2.9288</v>
      </c>
      <c r="M68" s="380">
        <f>+J59</f>
        <v>100</v>
      </c>
      <c r="N68" s="379">
        <f t="shared" si="9"/>
        <v>292.88</v>
      </c>
      <c r="O68" s="376"/>
      <c r="P68" s="381">
        <f t="shared" si="10"/>
        <v>56.29999999999998</v>
      </c>
      <c r="Q68" s="382">
        <f t="shared" si="11"/>
        <v>0.23797446952405096</v>
      </c>
    </row>
    <row r="69" spans="4:17" ht="12.75">
      <c r="D69" s="376" t="s">
        <v>344</v>
      </c>
      <c r="E69" s="376"/>
      <c r="F69" s="514" t="s">
        <v>22</v>
      </c>
      <c r="G69" s="377"/>
      <c r="H69" s="505">
        <f>+'2010 Existing Rates'!$D$35</f>
        <v>0.1135</v>
      </c>
      <c r="I69" s="378">
        <f aca="true" t="shared" si="12" ref="I69:I74">I68</f>
        <v>100</v>
      </c>
      <c r="J69" s="379">
        <f t="shared" si="8"/>
        <v>11.35</v>
      </c>
      <c r="K69" s="376"/>
      <c r="L69" s="505">
        <f>+'Rate Schedule (Part 1)'!$E$30</f>
        <v>0.0821</v>
      </c>
      <c r="M69" s="380">
        <f aca="true" t="shared" si="13" ref="M69:M74">M68</f>
        <v>100</v>
      </c>
      <c r="N69" s="379">
        <f t="shared" si="9"/>
        <v>8.21</v>
      </c>
      <c r="O69" s="376"/>
      <c r="P69" s="381">
        <f t="shared" si="10"/>
        <v>-3.139999999999999</v>
      </c>
      <c r="Q69" s="382">
        <f t="shared" si="11"/>
        <v>-0.2766519823788545</v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100</v>
      </c>
      <c r="J70" s="379">
        <f t="shared" si="8"/>
        <v>0</v>
      </c>
      <c r="K70" s="376"/>
      <c r="L70" s="505"/>
      <c r="M70" s="380">
        <f t="shared" si="13"/>
        <v>100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100</v>
      </c>
      <c r="J71" s="379">
        <f t="shared" si="8"/>
        <v>0</v>
      </c>
      <c r="K71" s="376"/>
      <c r="L71" s="505"/>
      <c r="M71" s="380">
        <f t="shared" si="13"/>
        <v>100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100</v>
      </c>
      <c r="J72" s="379">
        <f t="shared" si="8"/>
        <v>0</v>
      </c>
      <c r="K72" s="376"/>
      <c r="L72" s="505"/>
      <c r="M72" s="380">
        <f t="shared" si="13"/>
        <v>100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100</v>
      </c>
      <c r="J73" s="379">
        <f t="shared" si="8"/>
        <v>0</v>
      </c>
      <c r="K73" s="376"/>
      <c r="L73" s="505"/>
      <c r="M73" s="380">
        <f t="shared" si="13"/>
        <v>100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22</v>
      </c>
      <c r="G74" s="377"/>
      <c r="H74" s="505">
        <f>+'2010 Existing Rates'!$D$23</f>
        <v>-1.1644</v>
      </c>
      <c r="I74" s="378">
        <f t="shared" si="12"/>
        <v>100</v>
      </c>
      <c r="J74" s="379">
        <f t="shared" si="8"/>
        <v>-116.44000000000001</v>
      </c>
      <c r="K74" s="376"/>
      <c r="L74" s="505">
        <f>+'Rate Schedule (Part 1)'!$E$33</f>
        <v>-0.34053261641201166</v>
      </c>
      <c r="M74" s="380">
        <f t="shared" si="13"/>
        <v>100</v>
      </c>
      <c r="N74" s="379">
        <f t="shared" si="9"/>
        <v>-34.05326164120117</v>
      </c>
      <c r="O74" s="376"/>
      <c r="P74" s="381">
        <f t="shared" si="10"/>
        <v>82.38673835879885</v>
      </c>
      <c r="Q74" s="382">
        <f t="shared" si="11"/>
        <v>-0.7075467052456101</v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204.55</v>
      </c>
      <c r="L79" s="385"/>
      <c r="M79" s="388"/>
      <c r="N79" s="387">
        <f>SUM(N64:N78)</f>
        <v>354.9748063384473</v>
      </c>
      <c r="P79" s="389">
        <f t="shared" si="10"/>
        <v>150.4248063384473</v>
      </c>
      <c r="Q79" s="390">
        <f t="shared" si="11"/>
        <v>0.7353938222363593</v>
      </c>
    </row>
    <row r="80" spans="4:17" ht="12.75">
      <c r="D80" s="391" t="s">
        <v>351</v>
      </c>
      <c r="E80" s="391"/>
      <c r="F80" s="515" t="s">
        <v>22</v>
      </c>
      <c r="G80" s="392"/>
      <c r="H80" s="506">
        <v>2.4305</v>
      </c>
      <c r="I80" s="393">
        <f>+J59</f>
        <v>100</v>
      </c>
      <c r="J80" s="394">
        <f>I80*H80</f>
        <v>243.04999999999998</v>
      </c>
      <c r="K80" s="391"/>
      <c r="L80" s="506">
        <f>+'[7]E1.1 Adj Network to Fcst Whsl'!$S$24</f>
        <v>2.259176864039617</v>
      </c>
      <c r="M80" s="395">
        <f>+J59</f>
        <v>100</v>
      </c>
      <c r="N80" s="394">
        <f>M80*L80</f>
        <v>225.91768640396168</v>
      </c>
      <c r="O80" s="391"/>
      <c r="P80" s="396">
        <f t="shared" si="10"/>
        <v>-17.1323135960383</v>
      </c>
      <c r="Q80" s="397">
        <f t="shared" si="11"/>
        <v>-0.07048884425442627</v>
      </c>
    </row>
    <row r="81" spans="4:17" ht="26.25" thickBot="1">
      <c r="D81" s="398" t="s">
        <v>352</v>
      </c>
      <c r="E81" s="391"/>
      <c r="F81" s="515" t="s">
        <v>22</v>
      </c>
      <c r="G81" s="392"/>
      <c r="H81" s="506">
        <v>1.9383</v>
      </c>
      <c r="I81" s="393">
        <f>I80</f>
        <v>100</v>
      </c>
      <c r="J81" s="394">
        <f>I81*H81</f>
        <v>193.82999999999998</v>
      </c>
      <c r="K81" s="391"/>
      <c r="L81" s="506">
        <f>+'[7]E1.2 Adj Conn to Fcst Whsl'!$S$24</f>
        <v>1.9140067608123263</v>
      </c>
      <c r="M81" s="395">
        <f>M80</f>
        <v>100</v>
      </c>
      <c r="N81" s="394">
        <f>M81*L81</f>
        <v>191.40067608123263</v>
      </c>
      <c r="O81" s="391"/>
      <c r="P81" s="396">
        <f t="shared" si="10"/>
        <v>-2.429323918767352</v>
      </c>
      <c r="Q81" s="397">
        <f t="shared" si="11"/>
        <v>-0.012533271004320034</v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641.4300000000001</v>
      </c>
      <c r="K82" s="403"/>
      <c r="L82" s="404"/>
      <c r="M82" s="405"/>
      <c r="N82" s="402">
        <f>SUM(N79:N81)</f>
        <v>772.2931688236416</v>
      </c>
      <c r="O82" s="403"/>
      <c r="P82" s="406">
        <f t="shared" si="10"/>
        <v>130.86316882364156</v>
      </c>
      <c r="Q82" s="407">
        <f t="shared" si="11"/>
        <v>0.20401784890579103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+I89+I90</f>
        <v>77632.5</v>
      </c>
      <c r="J83" s="379">
        <f aca="true" t="shared" si="14" ref="J83:J90">I83*H83</f>
        <v>403.68899999999996</v>
      </c>
      <c r="K83" s="376"/>
      <c r="L83" s="505">
        <v>0.0052</v>
      </c>
      <c r="M83" s="380">
        <f>+M89+M90</f>
        <v>77714.34359450461</v>
      </c>
      <c r="N83" s="379">
        <f aca="true" t="shared" si="15" ref="N83:N90">M83*L83</f>
        <v>404.11458669142394</v>
      </c>
      <c r="O83" s="376"/>
      <c r="P83" s="381">
        <f t="shared" si="10"/>
        <v>0.4255866914239732</v>
      </c>
      <c r="Q83" s="382">
        <f t="shared" si="11"/>
        <v>0.0010542439636055806</v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+I83</f>
        <v>77632.5</v>
      </c>
      <c r="J84" s="379">
        <f t="shared" si="14"/>
        <v>100.92224999999999</v>
      </c>
      <c r="K84" s="376"/>
      <c r="L84" s="505">
        <v>0.0013</v>
      </c>
      <c r="M84" s="380">
        <f>+M83</f>
        <v>77714.34359450461</v>
      </c>
      <c r="N84" s="379">
        <f t="shared" si="15"/>
        <v>101.02864667285598</v>
      </c>
      <c r="O84" s="376"/>
      <c r="P84" s="381">
        <f t="shared" si="10"/>
        <v>0.1063966728559933</v>
      </c>
      <c r="Q84" s="382">
        <f t="shared" si="11"/>
        <v>0.0010542439636055806</v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+I83</f>
        <v>77632.5</v>
      </c>
      <c r="J85" s="379">
        <f t="shared" si="14"/>
        <v>28.9569225</v>
      </c>
      <c r="K85" s="376"/>
      <c r="L85" s="508">
        <v>0.000373</v>
      </c>
      <c r="M85" s="380">
        <f>+M83</f>
        <v>77714.34359450461</v>
      </c>
      <c r="N85" s="379">
        <f t="shared" si="15"/>
        <v>28.98745016075022</v>
      </c>
      <c r="O85" s="376"/>
      <c r="P85" s="381">
        <f t="shared" si="10"/>
        <v>0.030527660750220065</v>
      </c>
      <c r="Q85" s="382">
        <f t="shared" si="11"/>
        <v>0.001054243963605596</v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75000</v>
      </c>
      <c r="J87" s="379">
        <f t="shared" si="14"/>
        <v>525</v>
      </c>
      <c r="K87" s="376"/>
      <c r="L87" s="505">
        <v>0.007</v>
      </c>
      <c r="M87" s="380">
        <f>+$H59</f>
        <v>75000</v>
      </c>
      <c r="N87" s="379">
        <f t="shared" si="15"/>
        <v>525</v>
      </c>
      <c r="O87" s="376"/>
      <c r="P87" s="381">
        <f t="shared" si="10"/>
        <v>0</v>
      </c>
      <c r="Q87" s="382">
        <f t="shared" si="11"/>
        <v>0</v>
      </c>
    </row>
    <row r="88" spans="4:17" ht="12.75">
      <c r="D88" s="376" t="s">
        <v>359</v>
      </c>
      <c r="E88" s="376"/>
      <c r="F88" s="514"/>
      <c r="G88" s="377"/>
      <c r="H88" s="505"/>
      <c r="I88" s="378"/>
      <c r="J88" s="379">
        <f t="shared" si="14"/>
        <v>0</v>
      </c>
      <c r="K88" s="376"/>
      <c r="L88" s="505"/>
      <c r="M88" s="380"/>
      <c r="N88" s="379">
        <f t="shared" si="15"/>
        <v>0</v>
      </c>
      <c r="O88" s="376"/>
      <c r="P88" s="381">
        <f t="shared" si="10"/>
        <v>0</v>
      </c>
      <c r="Q88" s="382">
        <f t="shared" si="11"/>
      </c>
    </row>
    <row r="89" spans="4:17" ht="12.75">
      <c r="D89" s="502" t="s">
        <v>366</v>
      </c>
      <c r="E89" s="376"/>
      <c r="F89" s="514" t="s">
        <v>53</v>
      </c>
      <c r="G89" s="377"/>
      <c r="H89" s="505">
        <f>+'Other Electriciy Rates'!$J$12</f>
        <v>0.065</v>
      </c>
      <c r="I89" s="509">
        <f>IF($H59*(1+$H95)&gt;600,600,($H59*(1+$H95)))</f>
        <v>600</v>
      </c>
      <c r="J89" s="379">
        <f t="shared" si="14"/>
        <v>39</v>
      </c>
      <c r="K89" s="376"/>
      <c r="L89" s="505">
        <f>+'Other Electriciy Rates'!$J$27</f>
        <v>0.065</v>
      </c>
      <c r="M89" s="509">
        <f>IF($H59*(1+$L95)&gt;600,600,($H59*(1+$L95)))</f>
        <v>600</v>
      </c>
      <c r="N89" s="379">
        <f t="shared" si="15"/>
        <v>39</v>
      </c>
      <c r="O89" s="376"/>
      <c r="P89" s="381">
        <f t="shared" si="10"/>
        <v>0</v>
      </c>
      <c r="Q89" s="382">
        <f t="shared" si="11"/>
        <v>0</v>
      </c>
    </row>
    <row r="90" spans="4:17" ht="13.5" thickBot="1">
      <c r="D90" s="501" t="s">
        <v>365</v>
      </c>
      <c r="E90" s="376"/>
      <c r="F90" s="514" t="s">
        <v>53</v>
      </c>
      <c r="G90" s="377"/>
      <c r="H90" s="505">
        <f>+'Other Electriciy Rates'!$K$12</f>
        <v>0.075</v>
      </c>
      <c r="I90" s="509">
        <f>IF($H59*(1+$H95)&gt;600,$H59*(1+$H95)-$I89,0)</f>
        <v>77032.5</v>
      </c>
      <c r="J90" s="379">
        <f t="shared" si="14"/>
        <v>5777.4375</v>
      </c>
      <c r="K90" s="376"/>
      <c r="L90" s="505">
        <f>+'Other Electriciy Rates'!$K$27</f>
        <v>0.075</v>
      </c>
      <c r="M90" s="509">
        <f>IF($H59*(1+$L95)&gt;600,$H59*(1+$L95)-$I89,0)</f>
        <v>77114.34359450461</v>
      </c>
      <c r="N90" s="379">
        <f t="shared" si="15"/>
        <v>5783.575769587846</v>
      </c>
      <c r="O90" s="376"/>
      <c r="P90" s="381">
        <f t="shared" si="10"/>
        <v>6.138269587845571</v>
      </c>
      <c r="Q90" s="382">
        <f t="shared" si="11"/>
        <v>0.0010624553857736358</v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7516.6856725</v>
      </c>
      <c r="K91" s="403"/>
      <c r="L91" s="411"/>
      <c r="M91" s="412"/>
      <c r="N91" s="402">
        <f>SUM(N82:N90)</f>
        <v>7654.2496219365175</v>
      </c>
      <c r="O91" s="403"/>
      <c r="P91" s="406">
        <f>N91-J91</f>
        <v>137.56394943651776</v>
      </c>
      <c r="Q91" s="407">
        <f>IF((J91)=0,"",(P91/J91))</f>
        <v>0.01830114433809561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977.169137425</v>
      </c>
      <c r="K92" s="376"/>
      <c r="L92" s="511">
        <v>0.13</v>
      </c>
      <c r="M92" s="415"/>
      <c r="N92" s="414">
        <f>N91*L92</f>
        <v>995.0524508517473</v>
      </c>
      <c r="O92" s="376"/>
      <c r="P92" s="381">
        <f>N92-J92</f>
        <v>17.883313426747236</v>
      </c>
      <c r="Q92" s="382">
        <f>IF((J92)=0,"",(P92/J92))</f>
        <v>0.018301144338095533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8493.85</v>
      </c>
      <c r="K93" s="403"/>
      <c r="L93" s="404"/>
      <c r="M93" s="405"/>
      <c r="N93" s="402">
        <f>ROUND(SUM(N91:N92),2)</f>
        <v>8649.3</v>
      </c>
      <c r="O93" s="403"/>
      <c r="P93" s="406">
        <f>N93-J93</f>
        <v>155.4499999999989</v>
      </c>
      <c r="Q93" s="407">
        <f>IF((J93)=0,"",(P93/J93))</f>
        <v>0.01830147695097028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General Service &gt; 50 to 999kW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12" ht="12.75">
      <c r="B106" s="363" t="s">
        <v>53</v>
      </c>
      <c r="F106" s="367" t="s">
        <v>66</v>
      </c>
      <c r="G106" s="367"/>
      <c r="H106" s="504">
        <v>200000</v>
      </c>
      <c r="I106" s="367" t="s">
        <v>332</v>
      </c>
      <c r="J106" s="504">
        <v>500</v>
      </c>
      <c r="L106" s="367" t="s">
        <v>16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83">
        <f>+'2010 Existing Rates'!$C$10</f>
        <v>70.9</v>
      </c>
      <c r="I111" s="378">
        <v>1</v>
      </c>
      <c r="J111" s="379">
        <f aca="true" t="shared" si="16" ref="J111:J125">I111*H111</f>
        <v>70.9</v>
      </c>
      <c r="K111" s="376"/>
      <c r="L111" s="583">
        <f>+'Rate Schedule (Part 1)'!$E$28</f>
        <v>88.37</v>
      </c>
      <c r="M111" s="380">
        <v>1</v>
      </c>
      <c r="N111" s="379">
        <f aca="true" t="shared" si="17" ref="N111:N125">M111*L111</f>
        <v>88.37</v>
      </c>
      <c r="O111" s="376"/>
      <c r="P111" s="381">
        <f aca="true" t="shared" si="18" ref="P111:P137">N111-J111</f>
        <v>17.47</v>
      </c>
      <c r="Q111" s="382">
        <f aca="true" t="shared" si="19" ref="Q111:Q137">IF((J111)=0,"",(P111/J111))</f>
        <v>0.24640338504936526</v>
      </c>
    </row>
    <row r="112" spans="4:17" ht="12.75">
      <c r="D112" s="376" t="s">
        <v>226</v>
      </c>
      <c r="E112" s="376"/>
      <c r="F112" s="514" t="s">
        <v>330</v>
      </c>
      <c r="G112" s="377"/>
      <c r="H112" s="583">
        <f>+'2010 Existing Rates'!$B$47</f>
        <v>2.16</v>
      </c>
      <c r="I112" s="378">
        <v>1</v>
      </c>
      <c r="J112" s="379">
        <f t="shared" si="16"/>
        <v>2.16</v>
      </c>
      <c r="K112" s="376"/>
      <c r="L112" s="583">
        <f>+'Rate Schedule (Part 1)'!$E$32</f>
        <v>-0.43193202035146244</v>
      </c>
      <c r="M112" s="380">
        <v>1</v>
      </c>
      <c r="N112" s="379">
        <f t="shared" si="17"/>
        <v>-0.43193202035146244</v>
      </c>
      <c r="O112" s="376"/>
      <c r="P112" s="381">
        <f t="shared" si="18"/>
        <v>-2.5919320203514626</v>
      </c>
      <c r="Q112" s="382">
        <f t="shared" si="19"/>
        <v>-1.199968527940492</v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22</v>
      </c>
      <c r="G115" s="377"/>
      <c r="H115" s="505">
        <f>+'2010 Existing Rates'!$D$60</f>
        <v>2.3658</v>
      </c>
      <c r="I115" s="378">
        <f>+J106</f>
        <v>500</v>
      </c>
      <c r="J115" s="379">
        <f t="shared" si="16"/>
        <v>1182.9</v>
      </c>
      <c r="K115" s="376"/>
      <c r="L115" s="505">
        <f>+'Rate Schedule (Part 1)'!$E$29</f>
        <v>2.9288</v>
      </c>
      <c r="M115" s="380">
        <f>+J106</f>
        <v>500</v>
      </c>
      <c r="N115" s="379">
        <f t="shared" si="17"/>
        <v>1464.3999999999999</v>
      </c>
      <c r="O115" s="376"/>
      <c r="P115" s="381">
        <f t="shared" si="18"/>
        <v>281.4999999999998</v>
      </c>
      <c r="Q115" s="382">
        <f t="shared" si="19"/>
        <v>0.23797446952405085</v>
      </c>
    </row>
    <row r="116" spans="4:17" ht="12.75">
      <c r="D116" s="376" t="s">
        <v>344</v>
      </c>
      <c r="E116" s="376"/>
      <c r="F116" s="514" t="s">
        <v>22</v>
      </c>
      <c r="G116" s="377"/>
      <c r="H116" s="505">
        <f>+'2010 Existing Rates'!$D$35</f>
        <v>0.1135</v>
      </c>
      <c r="I116" s="378">
        <f aca="true" t="shared" si="20" ref="I116:I121">I115</f>
        <v>500</v>
      </c>
      <c r="J116" s="379">
        <f t="shared" si="16"/>
        <v>56.75</v>
      </c>
      <c r="K116" s="376"/>
      <c r="L116" s="505">
        <f>+'Rate Schedule (Part 1)'!$E$30</f>
        <v>0.0821</v>
      </c>
      <c r="M116" s="380">
        <f aca="true" t="shared" si="21" ref="M116:M121">M115</f>
        <v>500</v>
      </c>
      <c r="N116" s="379">
        <f t="shared" si="17"/>
        <v>41.050000000000004</v>
      </c>
      <c r="O116" s="376"/>
      <c r="P116" s="381">
        <f t="shared" si="18"/>
        <v>-15.699999999999996</v>
      </c>
      <c r="Q116" s="382">
        <f t="shared" si="19"/>
        <v>-0.2766519823788546</v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500</v>
      </c>
      <c r="J117" s="379">
        <f t="shared" si="16"/>
        <v>0</v>
      </c>
      <c r="K117" s="376"/>
      <c r="L117" s="505"/>
      <c r="M117" s="380">
        <f t="shared" si="21"/>
        <v>500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500</v>
      </c>
      <c r="J118" s="379">
        <f t="shared" si="16"/>
        <v>0</v>
      </c>
      <c r="K118" s="376"/>
      <c r="L118" s="505"/>
      <c r="M118" s="380">
        <f t="shared" si="21"/>
        <v>500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500</v>
      </c>
      <c r="J119" s="379">
        <f t="shared" si="16"/>
        <v>0</v>
      </c>
      <c r="K119" s="376"/>
      <c r="L119" s="505"/>
      <c r="M119" s="380">
        <f t="shared" si="21"/>
        <v>500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500</v>
      </c>
      <c r="J120" s="379">
        <f t="shared" si="16"/>
        <v>0</v>
      </c>
      <c r="K120" s="376"/>
      <c r="L120" s="505"/>
      <c r="M120" s="380">
        <f t="shared" si="21"/>
        <v>500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22</v>
      </c>
      <c r="G121" s="377"/>
      <c r="H121" s="505">
        <f>+'2010 Existing Rates'!$D$23</f>
        <v>-1.1644</v>
      </c>
      <c r="I121" s="378">
        <f t="shared" si="20"/>
        <v>500</v>
      </c>
      <c r="J121" s="379">
        <f t="shared" si="16"/>
        <v>-582.2</v>
      </c>
      <c r="K121" s="376"/>
      <c r="L121" s="505">
        <f>+'Rate Schedule (Part 1)'!$E$33</f>
        <v>-0.34053261641201166</v>
      </c>
      <c r="M121" s="380">
        <f t="shared" si="21"/>
        <v>500</v>
      </c>
      <c r="N121" s="379">
        <f t="shared" si="17"/>
        <v>-170.26630820600582</v>
      </c>
      <c r="O121" s="376"/>
      <c r="P121" s="381">
        <f t="shared" si="18"/>
        <v>411.9336917939942</v>
      </c>
      <c r="Q121" s="382">
        <f t="shared" si="19"/>
        <v>-0.7075467052456101</v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730.51</v>
      </c>
      <c r="L126" s="385"/>
      <c r="M126" s="388"/>
      <c r="N126" s="387">
        <f>SUM(N111:N125)</f>
        <v>1423.1217597736427</v>
      </c>
      <c r="P126" s="389">
        <f t="shared" si="18"/>
        <v>692.6117597736427</v>
      </c>
      <c r="Q126" s="390">
        <f t="shared" si="19"/>
        <v>0.9481208467695756</v>
      </c>
    </row>
    <row r="127" spans="4:17" ht="12.75">
      <c r="D127" s="391" t="s">
        <v>351</v>
      </c>
      <c r="E127" s="391"/>
      <c r="F127" s="515" t="s">
        <v>22</v>
      </c>
      <c r="G127" s="392"/>
      <c r="H127" s="506">
        <v>2.4305</v>
      </c>
      <c r="I127" s="393">
        <f>+J106</f>
        <v>500</v>
      </c>
      <c r="J127" s="394">
        <f>I127*H127</f>
        <v>1215.25</v>
      </c>
      <c r="K127" s="391"/>
      <c r="L127" s="506">
        <f>+'[7]E1.1 Adj Network to Fcst Whsl'!$S$24</f>
        <v>2.259176864039617</v>
      </c>
      <c r="M127" s="395">
        <f>+J106</f>
        <v>500</v>
      </c>
      <c r="N127" s="394">
        <f>M127*L127</f>
        <v>1129.5884320198084</v>
      </c>
      <c r="O127" s="391"/>
      <c r="P127" s="396">
        <f t="shared" si="18"/>
        <v>-85.66156798019165</v>
      </c>
      <c r="Q127" s="397">
        <f t="shared" si="19"/>
        <v>-0.07048884425442638</v>
      </c>
    </row>
    <row r="128" spans="4:17" ht="26.25" thickBot="1">
      <c r="D128" s="398" t="s">
        <v>352</v>
      </c>
      <c r="E128" s="391"/>
      <c r="F128" s="515" t="s">
        <v>22</v>
      </c>
      <c r="G128" s="392"/>
      <c r="H128" s="506">
        <v>1.9383</v>
      </c>
      <c r="I128" s="393">
        <f>I127</f>
        <v>500</v>
      </c>
      <c r="J128" s="394">
        <f>I128*H128</f>
        <v>969.15</v>
      </c>
      <c r="K128" s="391"/>
      <c r="L128" s="506">
        <f>+'[7]E1.2 Adj Conn to Fcst Whsl'!$S$24</f>
        <v>1.9140067608123263</v>
      </c>
      <c r="M128" s="395">
        <f>M127</f>
        <v>500</v>
      </c>
      <c r="N128" s="394">
        <f>M128*L128</f>
        <v>957.0033804061632</v>
      </c>
      <c r="O128" s="391"/>
      <c r="P128" s="396">
        <f t="shared" si="18"/>
        <v>-12.146619593836817</v>
      </c>
      <c r="Q128" s="397">
        <f t="shared" si="19"/>
        <v>-0.012533271004320093</v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2914.91</v>
      </c>
      <c r="K129" s="403"/>
      <c r="L129" s="404"/>
      <c r="M129" s="405"/>
      <c r="N129" s="402">
        <f>SUM(N126:N128)</f>
        <v>3509.713572199614</v>
      </c>
      <c r="O129" s="403"/>
      <c r="P129" s="406">
        <f t="shared" si="18"/>
        <v>594.8035721996143</v>
      </c>
      <c r="Q129" s="407">
        <f t="shared" si="19"/>
        <v>0.20405555307011686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+I136+I137</f>
        <v>207019.99999999997</v>
      </c>
      <c r="J130" s="379">
        <f aca="true" t="shared" si="22" ref="J130:J137">I130*H130</f>
        <v>1076.504</v>
      </c>
      <c r="K130" s="376"/>
      <c r="L130" s="505">
        <v>0.0052</v>
      </c>
      <c r="M130" s="380">
        <f>+M136+M137</f>
        <v>207238.24958534562</v>
      </c>
      <c r="N130" s="379">
        <f aca="true" t="shared" si="23" ref="N130:N137">M130*L130</f>
        <v>1077.6388978437972</v>
      </c>
      <c r="O130" s="376"/>
      <c r="P130" s="381">
        <f t="shared" si="18"/>
        <v>1.1348978437972619</v>
      </c>
      <c r="Q130" s="382">
        <f t="shared" si="19"/>
        <v>0.0010542439636055806</v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+I130</f>
        <v>207019.99999999997</v>
      </c>
      <c r="J131" s="379">
        <f t="shared" si="22"/>
        <v>269.126</v>
      </c>
      <c r="K131" s="376"/>
      <c r="L131" s="505">
        <v>0.0013</v>
      </c>
      <c r="M131" s="380">
        <f>+M130</f>
        <v>207238.24958534562</v>
      </c>
      <c r="N131" s="379">
        <f t="shared" si="23"/>
        <v>269.4097244609493</v>
      </c>
      <c r="O131" s="376"/>
      <c r="P131" s="381">
        <f t="shared" si="18"/>
        <v>0.28372446094931547</v>
      </c>
      <c r="Q131" s="382">
        <f t="shared" si="19"/>
        <v>0.0010542439636055806</v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+I130</f>
        <v>207019.99999999997</v>
      </c>
      <c r="J132" s="379">
        <f t="shared" si="22"/>
        <v>77.21846</v>
      </c>
      <c r="K132" s="376"/>
      <c r="L132" s="508">
        <v>0.000373</v>
      </c>
      <c r="M132" s="380">
        <f>+M130</f>
        <v>207238.24958534562</v>
      </c>
      <c r="N132" s="379">
        <f t="shared" si="23"/>
        <v>77.29986709533392</v>
      </c>
      <c r="O132" s="376"/>
      <c r="P132" s="381">
        <f t="shared" si="18"/>
        <v>0.08140709533392965</v>
      </c>
      <c r="Q132" s="382">
        <f t="shared" si="19"/>
        <v>0.0010542439636057187</v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200000</v>
      </c>
      <c r="J134" s="379">
        <f t="shared" si="22"/>
        <v>1400</v>
      </c>
      <c r="K134" s="376"/>
      <c r="L134" s="505">
        <v>0.007</v>
      </c>
      <c r="M134" s="380">
        <f>+$H106</f>
        <v>200000</v>
      </c>
      <c r="N134" s="379">
        <f t="shared" si="23"/>
        <v>1400</v>
      </c>
      <c r="O134" s="376"/>
      <c r="P134" s="381">
        <f t="shared" si="18"/>
        <v>0</v>
      </c>
      <c r="Q134" s="382">
        <f t="shared" si="19"/>
        <v>0</v>
      </c>
    </row>
    <row r="135" spans="4:17" ht="12.75">
      <c r="D135" s="376" t="s">
        <v>359</v>
      </c>
      <c r="E135" s="376"/>
      <c r="F135" s="514"/>
      <c r="G135" s="377"/>
      <c r="H135" s="505"/>
      <c r="I135" s="378"/>
      <c r="J135" s="379">
        <f t="shared" si="22"/>
        <v>0</v>
      </c>
      <c r="K135" s="376"/>
      <c r="L135" s="505"/>
      <c r="M135" s="380"/>
      <c r="N135" s="379">
        <f t="shared" si="23"/>
        <v>0</v>
      </c>
      <c r="O135" s="376"/>
      <c r="P135" s="381">
        <f t="shared" si="18"/>
        <v>0</v>
      </c>
      <c r="Q135" s="382">
        <f t="shared" si="19"/>
      </c>
    </row>
    <row r="136" spans="4:17" ht="12.75">
      <c r="D136" s="502" t="s">
        <v>366</v>
      </c>
      <c r="E136" s="376"/>
      <c r="F136" s="514" t="s">
        <v>53</v>
      </c>
      <c r="G136" s="377"/>
      <c r="H136" s="505">
        <f>+'Other Electriciy Rates'!$J$12</f>
        <v>0.065</v>
      </c>
      <c r="I136" s="509">
        <f>IF($H106*(1+$H142)&gt;600,600,($H106*(1+$H142)))</f>
        <v>600</v>
      </c>
      <c r="J136" s="379">
        <f t="shared" si="22"/>
        <v>39</v>
      </c>
      <c r="K136" s="376"/>
      <c r="L136" s="505">
        <f>+'Other Electriciy Rates'!$J$27</f>
        <v>0.065</v>
      </c>
      <c r="M136" s="509">
        <f>IF($H106*(1+$L142)&gt;600,600,($H106*(1+$L142)))</f>
        <v>600</v>
      </c>
      <c r="N136" s="379">
        <f t="shared" si="23"/>
        <v>39</v>
      </c>
      <c r="O136" s="376"/>
      <c r="P136" s="381">
        <f t="shared" si="18"/>
        <v>0</v>
      </c>
      <c r="Q136" s="382">
        <f t="shared" si="19"/>
        <v>0</v>
      </c>
    </row>
    <row r="137" spans="4:17" ht="13.5" thickBot="1">
      <c r="D137" s="501" t="s">
        <v>365</v>
      </c>
      <c r="E137" s="376"/>
      <c r="F137" s="514" t="s">
        <v>53</v>
      </c>
      <c r="G137" s="377"/>
      <c r="H137" s="505">
        <f>+'Other Electriciy Rates'!$K$12</f>
        <v>0.075</v>
      </c>
      <c r="I137" s="509">
        <f>IF($H106*(1+$H142)&gt;600,$H106*(1+$H142)-$I136,0)</f>
        <v>206419.99999999997</v>
      </c>
      <c r="J137" s="379">
        <f t="shared" si="22"/>
        <v>15481.499999999996</v>
      </c>
      <c r="K137" s="376"/>
      <c r="L137" s="505">
        <f>+'Other Electriciy Rates'!$K$27</f>
        <v>0.075</v>
      </c>
      <c r="M137" s="509">
        <f>IF($H106*(1+$L142)&gt;600,$H106*(1+$L142)-$I136,0)</f>
        <v>206638.24958534562</v>
      </c>
      <c r="N137" s="379">
        <f t="shared" si="23"/>
        <v>15497.868718900922</v>
      </c>
      <c r="O137" s="376"/>
      <c r="P137" s="381">
        <f t="shared" si="18"/>
        <v>16.36871890092516</v>
      </c>
      <c r="Q137" s="382">
        <f t="shared" si="19"/>
        <v>0.001057308329356016</v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21258.508459999997</v>
      </c>
      <c r="K138" s="403"/>
      <c r="L138" s="411"/>
      <c r="M138" s="412"/>
      <c r="N138" s="402">
        <f>SUM(N129:N137)</f>
        <v>21871.180780500617</v>
      </c>
      <c r="O138" s="403"/>
      <c r="P138" s="406">
        <f>N138-J138</f>
        <v>612.6723205006201</v>
      </c>
      <c r="Q138" s="407">
        <f>IF((J138)=0,"",(P138/J138))</f>
        <v>0.028820099098364506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2763.6060998</v>
      </c>
      <c r="K139" s="376"/>
      <c r="L139" s="511">
        <v>0.13</v>
      </c>
      <c r="M139" s="415"/>
      <c r="N139" s="414">
        <f>N138*L139</f>
        <v>2843.2535014650803</v>
      </c>
      <c r="O139" s="376"/>
      <c r="P139" s="381">
        <f>N139-J139</f>
        <v>79.64740166508045</v>
      </c>
      <c r="Q139" s="382">
        <f>IF((J139)=0,"",(P139/J139))</f>
        <v>0.028820099098364443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24022.11</v>
      </c>
      <c r="K140" s="403"/>
      <c r="L140" s="404"/>
      <c r="M140" s="405"/>
      <c r="N140" s="402">
        <f>ROUND(SUM(N138:N139),2)</f>
        <v>24714.43</v>
      </c>
      <c r="O140" s="403"/>
      <c r="P140" s="406">
        <f>N140-J140</f>
        <v>692.3199999999997</v>
      </c>
      <c r="Q140" s="407">
        <f>IF((J140)=0,"",(P140/J140))</f>
        <v>0.02882011613467758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General Service &gt; 50 to 999kW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12" ht="12.75">
      <c r="B153" s="363" t="s">
        <v>53</v>
      </c>
      <c r="F153" s="367" t="s">
        <v>66</v>
      </c>
      <c r="G153" s="367"/>
      <c r="H153" s="504">
        <v>800000</v>
      </c>
      <c r="I153" s="367" t="s">
        <v>332</v>
      </c>
      <c r="J153" s="504">
        <v>999</v>
      </c>
      <c r="L153" s="367" t="s">
        <v>16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83">
        <f>+'2010 Existing Rates'!$C$10</f>
        <v>70.9</v>
      </c>
      <c r="I158" s="378">
        <v>1</v>
      </c>
      <c r="J158" s="379">
        <f aca="true" t="shared" si="24" ref="J158:J172">I158*H158</f>
        <v>70.9</v>
      </c>
      <c r="K158" s="376"/>
      <c r="L158" s="583">
        <f>+'Rate Schedule (Part 1)'!$E$28</f>
        <v>88.37</v>
      </c>
      <c r="M158" s="380">
        <v>1</v>
      </c>
      <c r="N158" s="379">
        <f aca="true" t="shared" si="25" ref="N158:N172">M158*L158</f>
        <v>88.37</v>
      </c>
      <c r="O158" s="376"/>
      <c r="P158" s="381">
        <f aca="true" t="shared" si="26" ref="P158:P184">N158-J158</f>
        <v>17.47</v>
      </c>
      <c r="Q158" s="382">
        <f aca="true" t="shared" si="27" ref="Q158:Q184">IF((J158)=0,"",(P158/J158))</f>
        <v>0.24640338504936526</v>
      </c>
    </row>
    <row r="159" spans="4:17" ht="12.75">
      <c r="D159" s="376" t="s">
        <v>226</v>
      </c>
      <c r="E159" s="376"/>
      <c r="F159" s="514" t="s">
        <v>330</v>
      </c>
      <c r="G159" s="377"/>
      <c r="H159" s="583">
        <f>+'2010 Existing Rates'!$B$47</f>
        <v>2.16</v>
      </c>
      <c r="I159" s="378">
        <v>1</v>
      </c>
      <c r="J159" s="379">
        <f t="shared" si="24"/>
        <v>2.16</v>
      </c>
      <c r="K159" s="376"/>
      <c r="L159" s="583">
        <f>+'Rate Schedule (Part 1)'!$E$32</f>
        <v>-0.43193202035146244</v>
      </c>
      <c r="M159" s="380">
        <v>1</v>
      </c>
      <c r="N159" s="379">
        <f t="shared" si="25"/>
        <v>-0.43193202035146244</v>
      </c>
      <c r="O159" s="376"/>
      <c r="P159" s="381">
        <f t="shared" si="26"/>
        <v>-2.5919320203514626</v>
      </c>
      <c r="Q159" s="382">
        <f t="shared" si="27"/>
        <v>-1.199968527940492</v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22</v>
      </c>
      <c r="G162" s="377"/>
      <c r="H162" s="505">
        <f>+'2010 Existing Rates'!$D$60</f>
        <v>2.3658</v>
      </c>
      <c r="I162" s="378">
        <f>+J153</f>
        <v>999</v>
      </c>
      <c r="J162" s="379">
        <f t="shared" si="24"/>
        <v>2363.4342</v>
      </c>
      <c r="K162" s="376"/>
      <c r="L162" s="505">
        <f>+'Rate Schedule (Part 1)'!$E$29</f>
        <v>2.9288</v>
      </c>
      <c r="M162" s="380">
        <f>+J153</f>
        <v>999</v>
      </c>
      <c r="N162" s="379">
        <f t="shared" si="25"/>
        <v>2925.8712</v>
      </c>
      <c r="O162" s="376"/>
      <c r="P162" s="381">
        <f t="shared" si="26"/>
        <v>562.4369999999999</v>
      </c>
      <c r="Q162" s="382">
        <f t="shared" si="27"/>
        <v>0.237974469524051</v>
      </c>
    </row>
    <row r="163" spans="4:17" ht="12.75">
      <c r="D163" s="376" t="s">
        <v>344</v>
      </c>
      <c r="E163" s="376"/>
      <c r="F163" s="514" t="s">
        <v>22</v>
      </c>
      <c r="G163" s="377"/>
      <c r="H163" s="505">
        <f>+'2010 Existing Rates'!$D$35</f>
        <v>0.1135</v>
      </c>
      <c r="I163" s="378">
        <f aca="true" t="shared" si="28" ref="I163:I168">I162</f>
        <v>999</v>
      </c>
      <c r="J163" s="379">
        <f t="shared" si="24"/>
        <v>113.3865</v>
      </c>
      <c r="K163" s="376"/>
      <c r="L163" s="505">
        <f>+'Rate Schedule (Part 1)'!$E$30</f>
        <v>0.0821</v>
      </c>
      <c r="M163" s="380">
        <f aca="true" t="shared" si="29" ref="M163:M168">M162</f>
        <v>999</v>
      </c>
      <c r="N163" s="379">
        <f t="shared" si="25"/>
        <v>82.01790000000001</v>
      </c>
      <c r="O163" s="376"/>
      <c r="P163" s="381">
        <f t="shared" si="26"/>
        <v>-31.368599999999986</v>
      </c>
      <c r="Q163" s="382">
        <f t="shared" si="27"/>
        <v>-0.2766519823788545</v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999</v>
      </c>
      <c r="J164" s="379">
        <f t="shared" si="24"/>
        <v>0</v>
      </c>
      <c r="K164" s="376"/>
      <c r="L164" s="505"/>
      <c r="M164" s="380">
        <f t="shared" si="29"/>
        <v>999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999</v>
      </c>
      <c r="J165" s="379">
        <f t="shared" si="24"/>
        <v>0</v>
      </c>
      <c r="K165" s="376"/>
      <c r="L165" s="505"/>
      <c r="M165" s="380">
        <f t="shared" si="29"/>
        <v>999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999</v>
      </c>
      <c r="J166" s="379">
        <f t="shared" si="24"/>
        <v>0</v>
      </c>
      <c r="K166" s="376"/>
      <c r="L166" s="505"/>
      <c r="M166" s="380">
        <f t="shared" si="29"/>
        <v>999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999</v>
      </c>
      <c r="J167" s="379">
        <f t="shared" si="24"/>
        <v>0</v>
      </c>
      <c r="K167" s="376"/>
      <c r="L167" s="505"/>
      <c r="M167" s="380">
        <f t="shared" si="29"/>
        <v>999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22</v>
      </c>
      <c r="G168" s="377"/>
      <c r="H168" s="505">
        <f>+'2010 Existing Rates'!$D$23</f>
        <v>-1.1644</v>
      </c>
      <c r="I168" s="378">
        <f t="shared" si="28"/>
        <v>999</v>
      </c>
      <c r="J168" s="379">
        <f t="shared" si="24"/>
        <v>-1163.2356000000002</v>
      </c>
      <c r="K168" s="376"/>
      <c r="L168" s="505">
        <f>+'Rate Schedule (Part 1)'!$E$33</f>
        <v>-0.34053261641201166</v>
      </c>
      <c r="M168" s="380">
        <f t="shared" si="29"/>
        <v>999</v>
      </c>
      <c r="N168" s="379">
        <f t="shared" si="25"/>
        <v>-340.1920837955997</v>
      </c>
      <c r="O168" s="376"/>
      <c r="P168" s="381">
        <f t="shared" si="26"/>
        <v>823.0435162044005</v>
      </c>
      <c r="Q168" s="382">
        <f t="shared" si="27"/>
        <v>-0.70754670524561</v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1386.6451</v>
      </c>
      <c r="L173" s="385"/>
      <c r="M173" s="388"/>
      <c r="N173" s="387">
        <f>SUM(N158:N172)</f>
        <v>2755.635084184049</v>
      </c>
      <c r="P173" s="389">
        <f t="shared" si="26"/>
        <v>1368.989984184049</v>
      </c>
      <c r="Q173" s="390">
        <f t="shared" si="27"/>
        <v>0.9872677473017782</v>
      </c>
    </row>
    <row r="174" spans="4:17" ht="12.75">
      <c r="D174" s="391" t="s">
        <v>351</v>
      </c>
      <c r="E174" s="391"/>
      <c r="F174" s="515" t="s">
        <v>22</v>
      </c>
      <c r="G174" s="392"/>
      <c r="H174" s="506">
        <v>2.4305</v>
      </c>
      <c r="I174" s="393">
        <f>+J153</f>
        <v>999</v>
      </c>
      <c r="J174" s="394">
        <f>I174*H174</f>
        <v>2428.0695</v>
      </c>
      <c r="K174" s="391"/>
      <c r="L174" s="506">
        <f>+'[7]E1.1 Adj Network to Fcst Whsl'!$S$24</f>
        <v>2.259176864039617</v>
      </c>
      <c r="M174" s="395">
        <f>+J153</f>
        <v>999</v>
      </c>
      <c r="N174" s="394">
        <f>M174*L174</f>
        <v>2256.917687175577</v>
      </c>
      <c r="O174" s="391"/>
      <c r="P174" s="396">
        <f t="shared" si="26"/>
        <v>-171.1518128244229</v>
      </c>
      <c r="Q174" s="397">
        <f t="shared" si="27"/>
        <v>-0.07048884425442636</v>
      </c>
    </row>
    <row r="175" spans="4:17" ht="26.25" thickBot="1">
      <c r="D175" s="398" t="s">
        <v>352</v>
      </c>
      <c r="E175" s="391"/>
      <c r="F175" s="515" t="s">
        <v>22</v>
      </c>
      <c r="G175" s="392"/>
      <c r="H175" s="506">
        <v>1.9383</v>
      </c>
      <c r="I175" s="393">
        <f>I174</f>
        <v>999</v>
      </c>
      <c r="J175" s="394">
        <f>I175*H175</f>
        <v>1936.3617</v>
      </c>
      <c r="K175" s="391"/>
      <c r="L175" s="506">
        <f>+'[7]E1.2 Adj Conn to Fcst Whsl'!$S$24</f>
        <v>1.9140067608123263</v>
      </c>
      <c r="M175" s="395">
        <f>M174</f>
        <v>999</v>
      </c>
      <c r="N175" s="394">
        <f>M175*L175</f>
        <v>1912.092754051514</v>
      </c>
      <c r="O175" s="391"/>
      <c r="P175" s="396">
        <f t="shared" si="26"/>
        <v>-24.268945948485907</v>
      </c>
      <c r="Q175" s="397">
        <f t="shared" si="27"/>
        <v>-0.012533271004320065</v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5751.076300000001</v>
      </c>
      <c r="K176" s="403"/>
      <c r="L176" s="404"/>
      <c r="M176" s="405"/>
      <c r="N176" s="402">
        <f>SUM(N173:N175)</f>
        <v>6924.64552541114</v>
      </c>
      <c r="O176" s="403"/>
      <c r="P176" s="406">
        <f t="shared" si="26"/>
        <v>1173.569225411139</v>
      </c>
      <c r="Q176" s="407">
        <f t="shared" si="27"/>
        <v>0.20406079909096997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+I182</f>
        <v>828079.9999999999</v>
      </c>
      <c r="J177" s="379">
        <f aca="true" t="shared" si="30" ref="J177:J184">I177*H177</f>
        <v>4306.016</v>
      </c>
      <c r="K177" s="376"/>
      <c r="L177" s="505">
        <v>0.0052</v>
      </c>
      <c r="M177" s="380">
        <f>+M182</f>
        <v>828952.9983413825</v>
      </c>
      <c r="N177" s="379">
        <f aca="true" t="shared" si="31" ref="N177:N184">M177*L177</f>
        <v>4310.555591375189</v>
      </c>
      <c r="O177" s="376"/>
      <c r="P177" s="381">
        <f t="shared" si="26"/>
        <v>4.5395913751890475</v>
      </c>
      <c r="Q177" s="382">
        <f t="shared" si="27"/>
        <v>0.0010542439636055806</v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+I177</f>
        <v>828079.9999999999</v>
      </c>
      <c r="J178" s="379">
        <f t="shared" si="30"/>
        <v>1076.504</v>
      </c>
      <c r="K178" s="376"/>
      <c r="L178" s="505">
        <v>0.0013</v>
      </c>
      <c r="M178" s="380">
        <f>+M177</f>
        <v>828952.9983413825</v>
      </c>
      <c r="N178" s="379">
        <f t="shared" si="31"/>
        <v>1077.6388978437972</v>
      </c>
      <c r="O178" s="376"/>
      <c r="P178" s="381">
        <f t="shared" si="26"/>
        <v>1.1348978437972619</v>
      </c>
      <c r="Q178" s="382">
        <f t="shared" si="27"/>
        <v>0.0010542439636055806</v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+I177</f>
        <v>828079.9999999999</v>
      </c>
      <c r="J179" s="379">
        <f t="shared" si="30"/>
        <v>308.87384</v>
      </c>
      <c r="K179" s="376"/>
      <c r="L179" s="508">
        <v>0.000373</v>
      </c>
      <c r="M179" s="380">
        <f>+M177</f>
        <v>828952.9983413825</v>
      </c>
      <c r="N179" s="379">
        <f t="shared" si="31"/>
        <v>309.1994683813357</v>
      </c>
      <c r="O179" s="376"/>
      <c r="P179" s="381">
        <f t="shared" si="26"/>
        <v>0.3256283813357186</v>
      </c>
      <c r="Q179" s="382">
        <f t="shared" si="27"/>
        <v>0.0010542439636057187</v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800000</v>
      </c>
      <c r="J181" s="379">
        <f t="shared" si="30"/>
        <v>5600</v>
      </c>
      <c r="K181" s="376"/>
      <c r="L181" s="505">
        <v>0.007</v>
      </c>
      <c r="M181" s="380">
        <f>+$H153</f>
        <v>800000</v>
      </c>
      <c r="N181" s="379">
        <f t="shared" si="31"/>
        <v>5600</v>
      </c>
      <c r="O181" s="376"/>
      <c r="P181" s="381">
        <f t="shared" si="26"/>
        <v>0</v>
      </c>
      <c r="Q181" s="382">
        <f t="shared" si="27"/>
        <v>0</v>
      </c>
    </row>
    <row r="182" spans="4:17" ht="12.75">
      <c r="D182" s="376" t="s">
        <v>359</v>
      </c>
      <c r="E182" s="376"/>
      <c r="F182" s="514" t="s">
        <v>53</v>
      </c>
      <c r="G182" s="377"/>
      <c r="H182" s="505">
        <f>+'Other Electriciy Rates'!$J$12</f>
        <v>0.065</v>
      </c>
      <c r="I182" s="378">
        <f>+$H153*(1+$H189)</f>
        <v>828079.9999999999</v>
      </c>
      <c r="J182" s="379">
        <f t="shared" si="30"/>
        <v>53825.2</v>
      </c>
      <c r="K182" s="376"/>
      <c r="L182" s="505">
        <f>+'Other Electriciy Rates'!$J$27</f>
        <v>0.065</v>
      </c>
      <c r="M182" s="380">
        <f>+$H153*(1+$L189)</f>
        <v>828952.9983413825</v>
      </c>
      <c r="N182" s="379">
        <f t="shared" si="31"/>
        <v>53881.944892189866</v>
      </c>
      <c r="O182" s="376"/>
      <c r="P182" s="381">
        <f t="shared" si="26"/>
        <v>56.74489218986855</v>
      </c>
      <c r="Q182" s="382">
        <f t="shared" si="27"/>
        <v>0.001054243963605682</v>
      </c>
    </row>
    <row r="183" spans="4:17" ht="12.75">
      <c r="D183" s="502"/>
      <c r="E183" s="376"/>
      <c r="F183" s="514"/>
      <c r="G183" s="377"/>
      <c r="H183" s="505"/>
      <c r="I183" s="509"/>
      <c r="J183" s="379">
        <f t="shared" si="30"/>
        <v>0</v>
      </c>
      <c r="K183" s="376"/>
      <c r="L183" s="505"/>
      <c r="M183" s="509"/>
      <c r="N183" s="379">
        <f t="shared" si="31"/>
        <v>0</v>
      </c>
      <c r="O183" s="376"/>
      <c r="P183" s="381">
        <f t="shared" si="26"/>
        <v>0</v>
      </c>
      <c r="Q183" s="382">
        <f t="shared" si="27"/>
      </c>
    </row>
    <row r="184" spans="4:17" ht="13.5" thickBot="1">
      <c r="D184" s="501"/>
      <c r="E184" s="376"/>
      <c r="F184" s="514"/>
      <c r="G184" s="377"/>
      <c r="H184" s="505"/>
      <c r="I184" s="509"/>
      <c r="J184" s="379">
        <f t="shared" si="30"/>
        <v>0</v>
      </c>
      <c r="K184" s="376"/>
      <c r="L184" s="505"/>
      <c r="M184" s="509"/>
      <c r="N184" s="379">
        <f t="shared" si="31"/>
        <v>0</v>
      </c>
      <c r="O184" s="376"/>
      <c r="P184" s="381">
        <f t="shared" si="26"/>
        <v>0</v>
      </c>
      <c r="Q184" s="382">
        <f t="shared" si="27"/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70867.92014</v>
      </c>
      <c r="K185" s="403"/>
      <c r="L185" s="411"/>
      <c r="M185" s="412"/>
      <c r="N185" s="402">
        <f>SUM(N176:N184)</f>
        <v>72104.23437520133</v>
      </c>
      <c r="O185" s="403"/>
      <c r="P185" s="406">
        <f>N185-J185</f>
        <v>1236.3142352013238</v>
      </c>
      <c r="Q185" s="407">
        <f>IF((J185)=0,"",(P185/J185))</f>
        <v>0.01744532974523561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9212.829618200001</v>
      </c>
      <c r="K186" s="376"/>
      <c r="L186" s="511">
        <v>0.13</v>
      </c>
      <c r="M186" s="415"/>
      <c r="N186" s="414">
        <f>N185*L186</f>
        <v>9373.550468776173</v>
      </c>
      <c r="O186" s="376"/>
      <c r="P186" s="381">
        <f>N186-J186</f>
        <v>160.72085057617187</v>
      </c>
      <c r="Q186" s="382">
        <f>IF((J186)=0,"",(P186/J186))</f>
        <v>0.017445329745235584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80080.75</v>
      </c>
      <c r="K187" s="403"/>
      <c r="L187" s="404"/>
      <c r="M187" s="405"/>
      <c r="N187" s="402">
        <f>ROUND(SUM(N185:N186),2)</f>
        <v>81477.78</v>
      </c>
      <c r="O187" s="403"/>
      <c r="P187" s="406">
        <f>N187-J187</f>
        <v>1397.0299999999988</v>
      </c>
      <c r="Q187" s="407">
        <f>IF((J187)=0,"",(P187/J187))</f>
        <v>0.01744526618444506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General Service &gt; 50 to 999kW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12" ht="12.75">
      <c r="B200" s="363" t="s">
        <v>53</v>
      </c>
      <c r="F200" s="367" t="s">
        <v>66</v>
      </c>
      <c r="G200" s="367"/>
      <c r="H200" s="504"/>
      <c r="I200" s="367" t="s">
        <v>332</v>
      </c>
      <c r="J200" s="504"/>
      <c r="L200" s="367" t="s">
        <v>16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83">
        <f>+'2010 Existing Rates'!$C$10</f>
        <v>70.9</v>
      </c>
      <c r="I205" s="378">
        <v>1</v>
      </c>
      <c r="J205" s="379">
        <f aca="true" t="shared" si="32" ref="J205:J219">I205*H205</f>
        <v>70.9</v>
      </c>
      <c r="K205" s="376"/>
      <c r="L205" s="583">
        <f>+'Rate Schedule (Part 1)'!$E$28</f>
        <v>88.37</v>
      </c>
      <c r="M205" s="380">
        <v>1</v>
      </c>
      <c r="N205" s="379">
        <f aca="true" t="shared" si="33" ref="N205:N219">M205*L205</f>
        <v>88.37</v>
      </c>
      <c r="O205" s="376"/>
      <c r="P205" s="381">
        <f aca="true" t="shared" si="34" ref="P205:P231">N205-J205</f>
        <v>17.47</v>
      </c>
      <c r="Q205" s="382">
        <f aca="true" t="shared" si="35" ref="Q205:Q231">IF((J205)=0,"",(P205/J205))</f>
        <v>0.24640338504936526</v>
      </c>
    </row>
    <row r="206" spans="4:17" ht="12.75">
      <c r="D206" s="376" t="s">
        <v>226</v>
      </c>
      <c r="E206" s="376"/>
      <c r="F206" s="514" t="s">
        <v>330</v>
      </c>
      <c r="G206" s="377"/>
      <c r="H206" s="583">
        <f>+'2010 Existing Rates'!$B$47</f>
        <v>2.16</v>
      </c>
      <c r="I206" s="378">
        <v>1</v>
      </c>
      <c r="J206" s="379">
        <f t="shared" si="32"/>
        <v>2.16</v>
      </c>
      <c r="K206" s="376"/>
      <c r="L206" s="583">
        <f>+'Rate Schedule (Part 1)'!$E$32</f>
        <v>-0.43193202035146244</v>
      </c>
      <c r="M206" s="380">
        <v>1</v>
      </c>
      <c r="N206" s="379">
        <f t="shared" si="33"/>
        <v>-0.43193202035146244</v>
      </c>
      <c r="O206" s="376"/>
      <c r="P206" s="381">
        <f t="shared" si="34"/>
        <v>-2.5919320203514626</v>
      </c>
      <c r="Q206" s="382">
        <f t="shared" si="35"/>
        <v>-1.199968527940492</v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05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22</v>
      </c>
      <c r="G209" s="377"/>
      <c r="H209" s="505">
        <f>+'2010 Existing Rates'!$D$60</f>
        <v>2.3658</v>
      </c>
      <c r="I209" s="378">
        <f>+J200</f>
        <v>0</v>
      </c>
      <c r="J209" s="379">
        <f t="shared" si="32"/>
        <v>0</v>
      </c>
      <c r="K209" s="376"/>
      <c r="L209" s="505">
        <f>+'Rate Schedule (Part 1)'!$E$29</f>
        <v>2.9288</v>
      </c>
      <c r="M209" s="380">
        <f>+J200</f>
        <v>0</v>
      </c>
      <c r="N209" s="379">
        <f t="shared" si="33"/>
        <v>0</v>
      </c>
      <c r="O209" s="376"/>
      <c r="P209" s="381">
        <f t="shared" si="34"/>
        <v>0</v>
      </c>
      <c r="Q209" s="382">
        <f t="shared" si="35"/>
      </c>
    </row>
    <row r="210" spans="4:17" ht="12.75">
      <c r="D210" s="376" t="s">
        <v>344</v>
      </c>
      <c r="E210" s="376"/>
      <c r="F210" s="514" t="s">
        <v>22</v>
      </c>
      <c r="G210" s="377"/>
      <c r="H210" s="505">
        <f>+'2010 Existing Rates'!$D$35</f>
        <v>0.1135</v>
      </c>
      <c r="I210" s="378">
        <f aca="true" t="shared" si="36" ref="I210:I215">I209</f>
        <v>0</v>
      </c>
      <c r="J210" s="379">
        <f t="shared" si="32"/>
        <v>0</v>
      </c>
      <c r="K210" s="376"/>
      <c r="L210" s="505">
        <f>+'Rate Schedule (Part 1)'!$E$30</f>
        <v>0.0821</v>
      </c>
      <c r="M210" s="380">
        <f aca="true" t="shared" si="37" ref="M210:M215">M209</f>
        <v>0</v>
      </c>
      <c r="N210" s="379">
        <f t="shared" si="33"/>
        <v>0</v>
      </c>
      <c r="O210" s="376"/>
      <c r="P210" s="381">
        <f t="shared" si="34"/>
        <v>0</v>
      </c>
      <c r="Q210" s="382">
        <f t="shared" si="35"/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0</v>
      </c>
      <c r="J211" s="379">
        <f t="shared" si="32"/>
        <v>0</v>
      </c>
      <c r="K211" s="376"/>
      <c r="L211" s="505"/>
      <c r="M211" s="380">
        <f t="shared" si="37"/>
        <v>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0</v>
      </c>
      <c r="J212" s="379">
        <f t="shared" si="32"/>
        <v>0</v>
      </c>
      <c r="K212" s="376"/>
      <c r="L212" s="505"/>
      <c r="M212" s="380">
        <f t="shared" si="37"/>
        <v>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0</v>
      </c>
      <c r="J213" s="379">
        <f t="shared" si="32"/>
        <v>0</v>
      </c>
      <c r="K213" s="376"/>
      <c r="L213" s="505"/>
      <c r="M213" s="380">
        <f t="shared" si="37"/>
        <v>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0</v>
      </c>
      <c r="J214" s="379">
        <f t="shared" si="32"/>
        <v>0</v>
      </c>
      <c r="K214" s="376"/>
      <c r="L214" s="505"/>
      <c r="M214" s="380">
        <f t="shared" si="37"/>
        <v>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22</v>
      </c>
      <c r="G215" s="377"/>
      <c r="H215" s="505">
        <f>+'2010 Existing Rates'!$D$23</f>
        <v>-1.1644</v>
      </c>
      <c r="I215" s="378">
        <f t="shared" si="36"/>
        <v>0</v>
      </c>
      <c r="J215" s="379">
        <f t="shared" si="32"/>
        <v>0</v>
      </c>
      <c r="K215" s="376"/>
      <c r="L215" s="505">
        <f>+'Rate Schedule (Part 1)'!$E$33</f>
        <v>-0.34053261641201166</v>
      </c>
      <c r="M215" s="380">
        <f t="shared" si="37"/>
        <v>0</v>
      </c>
      <c r="N215" s="379">
        <f t="shared" si="33"/>
        <v>0</v>
      </c>
      <c r="O215" s="376"/>
      <c r="P215" s="381">
        <f t="shared" si="34"/>
        <v>0</v>
      </c>
      <c r="Q215" s="382">
        <f t="shared" si="35"/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73.06</v>
      </c>
      <c r="L220" s="385"/>
      <c r="M220" s="388"/>
      <c r="N220" s="387">
        <f>SUM(N205:N219)</f>
        <v>87.93806797964854</v>
      </c>
      <c r="P220" s="389">
        <f t="shared" si="34"/>
        <v>14.878067979648534</v>
      </c>
      <c r="Q220" s="390">
        <f t="shared" si="35"/>
        <v>0.20364177360592026</v>
      </c>
    </row>
    <row r="221" spans="4:17" ht="12.75">
      <c r="D221" s="391" t="s">
        <v>351</v>
      </c>
      <c r="E221" s="391"/>
      <c r="F221" s="515" t="s">
        <v>22</v>
      </c>
      <c r="G221" s="392"/>
      <c r="H221" s="506">
        <v>2.4305</v>
      </c>
      <c r="I221" s="393">
        <f>+J200</f>
        <v>0</v>
      </c>
      <c r="J221" s="394">
        <f>I221*H221</f>
        <v>0</v>
      </c>
      <c r="K221" s="391"/>
      <c r="L221" s="506">
        <f>+'[7]E1.1 Adj Network to Fcst Whsl'!$S$24</f>
        <v>2.259176864039617</v>
      </c>
      <c r="M221" s="395">
        <f>+J200</f>
        <v>0</v>
      </c>
      <c r="N221" s="394">
        <f>M221*L221</f>
        <v>0</v>
      </c>
      <c r="O221" s="391"/>
      <c r="P221" s="396">
        <f t="shared" si="34"/>
        <v>0</v>
      </c>
      <c r="Q221" s="397">
        <f t="shared" si="35"/>
      </c>
    </row>
    <row r="222" spans="4:17" ht="26.25" thickBot="1">
      <c r="D222" s="398" t="s">
        <v>352</v>
      </c>
      <c r="E222" s="391"/>
      <c r="F222" s="515" t="s">
        <v>22</v>
      </c>
      <c r="G222" s="392"/>
      <c r="H222" s="506">
        <v>1.9383</v>
      </c>
      <c r="I222" s="393">
        <f>I221</f>
        <v>0</v>
      </c>
      <c r="J222" s="394">
        <f>I222*H222</f>
        <v>0</v>
      </c>
      <c r="K222" s="391"/>
      <c r="L222" s="506">
        <f>+'[7]E1.2 Adj Conn to Fcst Whsl'!$S$24</f>
        <v>1.9140067608123263</v>
      </c>
      <c r="M222" s="395">
        <f>M221</f>
        <v>0</v>
      </c>
      <c r="N222" s="394">
        <f>M222*L222</f>
        <v>0</v>
      </c>
      <c r="O222" s="391"/>
      <c r="P222" s="396">
        <f t="shared" si="34"/>
        <v>0</v>
      </c>
      <c r="Q222" s="397">
        <f t="shared" si="35"/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73.06</v>
      </c>
      <c r="K223" s="403"/>
      <c r="L223" s="404"/>
      <c r="M223" s="405"/>
      <c r="N223" s="402">
        <f>SUM(N220:N222)</f>
        <v>87.93806797964854</v>
      </c>
      <c r="O223" s="403"/>
      <c r="P223" s="406">
        <f t="shared" si="34"/>
        <v>14.878067979648534</v>
      </c>
      <c r="Q223" s="407">
        <f t="shared" si="35"/>
        <v>0.20364177360592026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+I229</f>
        <v>0</v>
      </c>
      <c r="J224" s="379">
        <f aca="true" t="shared" si="38" ref="J224:J231">I224*H224</f>
        <v>0</v>
      </c>
      <c r="K224" s="376"/>
      <c r="L224" s="505">
        <v>0.0052</v>
      </c>
      <c r="M224" s="380">
        <f>+M229</f>
        <v>0</v>
      </c>
      <c r="N224" s="379">
        <f aca="true" t="shared" si="39" ref="N224:N231">M224*L224</f>
        <v>0</v>
      </c>
      <c r="O224" s="376"/>
      <c r="P224" s="381">
        <f t="shared" si="34"/>
        <v>0</v>
      </c>
      <c r="Q224" s="382">
        <f t="shared" si="35"/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+I224</f>
        <v>0</v>
      </c>
      <c r="J225" s="379">
        <f t="shared" si="38"/>
        <v>0</v>
      </c>
      <c r="K225" s="376"/>
      <c r="L225" s="505">
        <v>0.0013</v>
      </c>
      <c r="M225" s="380">
        <f>+M224</f>
        <v>0</v>
      </c>
      <c r="N225" s="379">
        <f t="shared" si="39"/>
        <v>0</v>
      </c>
      <c r="O225" s="376"/>
      <c r="P225" s="381">
        <f t="shared" si="34"/>
        <v>0</v>
      </c>
      <c r="Q225" s="382">
        <f t="shared" si="35"/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+I224</f>
        <v>0</v>
      </c>
      <c r="J226" s="379">
        <f t="shared" si="38"/>
        <v>0</v>
      </c>
      <c r="K226" s="376"/>
      <c r="L226" s="508">
        <v>0.000373</v>
      </c>
      <c r="M226" s="380">
        <f>+M224</f>
        <v>0</v>
      </c>
      <c r="N226" s="379">
        <f t="shared" si="39"/>
        <v>0</v>
      </c>
      <c r="O226" s="376"/>
      <c r="P226" s="381">
        <f t="shared" si="34"/>
        <v>0</v>
      </c>
      <c r="Q226" s="382">
        <f t="shared" si="35"/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0</v>
      </c>
      <c r="J228" s="379">
        <f t="shared" si="38"/>
        <v>0</v>
      </c>
      <c r="K228" s="376"/>
      <c r="L228" s="505">
        <v>0.007</v>
      </c>
      <c r="M228" s="380">
        <f>+$H200</f>
        <v>0</v>
      </c>
      <c r="N228" s="379">
        <f t="shared" si="39"/>
        <v>0</v>
      </c>
      <c r="O228" s="376"/>
      <c r="P228" s="381">
        <f t="shared" si="34"/>
        <v>0</v>
      </c>
      <c r="Q228" s="382">
        <f t="shared" si="35"/>
      </c>
    </row>
    <row r="229" spans="4:17" ht="12.75">
      <c r="D229" s="376" t="s">
        <v>359</v>
      </c>
      <c r="E229" s="376"/>
      <c r="F229" s="514" t="s">
        <v>53</v>
      </c>
      <c r="G229" s="377"/>
      <c r="H229" s="505">
        <f>+'Other Electriciy Rates'!$J$12</f>
        <v>0.065</v>
      </c>
      <c r="I229" s="378">
        <f>+$H200*(1+$H236)</f>
        <v>0</v>
      </c>
      <c r="J229" s="379">
        <f t="shared" si="38"/>
        <v>0</v>
      </c>
      <c r="K229" s="376"/>
      <c r="L229" s="505">
        <f>+'Other Electriciy Rates'!$J$27</f>
        <v>0.065</v>
      </c>
      <c r="M229" s="380">
        <f>+$H200*(1+$L236)</f>
        <v>0</v>
      </c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/>
      <c r="E230" s="376"/>
      <c r="F230" s="514"/>
      <c r="G230" s="377"/>
      <c r="H230" s="505"/>
      <c r="I230" s="509"/>
      <c r="J230" s="379">
        <f t="shared" si="38"/>
        <v>0</v>
      </c>
      <c r="K230" s="376"/>
      <c r="L230" s="505"/>
      <c r="M230" s="509"/>
      <c r="N230" s="379">
        <f t="shared" si="39"/>
        <v>0</v>
      </c>
      <c r="O230" s="376"/>
      <c r="P230" s="381">
        <f t="shared" si="34"/>
        <v>0</v>
      </c>
      <c r="Q230" s="382">
        <f t="shared" si="35"/>
      </c>
    </row>
    <row r="231" spans="4:17" ht="13.5" thickBot="1">
      <c r="D231" s="501"/>
      <c r="E231" s="376"/>
      <c r="F231" s="514"/>
      <c r="G231" s="377"/>
      <c r="H231" s="505"/>
      <c r="I231" s="509"/>
      <c r="J231" s="379">
        <f t="shared" si="38"/>
        <v>0</v>
      </c>
      <c r="K231" s="376"/>
      <c r="L231" s="505"/>
      <c r="M231" s="509"/>
      <c r="N231" s="379">
        <f t="shared" si="39"/>
        <v>0</v>
      </c>
      <c r="O231" s="376"/>
      <c r="P231" s="381">
        <f t="shared" si="34"/>
        <v>0</v>
      </c>
      <c r="Q231" s="382">
        <f t="shared" si="35"/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73.31</v>
      </c>
      <c r="K232" s="403"/>
      <c r="L232" s="411"/>
      <c r="M232" s="412"/>
      <c r="N232" s="402">
        <f>SUM(N223:N231)</f>
        <v>88.18806797964854</v>
      </c>
      <c r="O232" s="403"/>
      <c r="P232" s="406">
        <f>N232-J232</f>
        <v>14.878067979648534</v>
      </c>
      <c r="Q232" s="407">
        <f>IF((J232)=0,"",(P232/J232))</f>
        <v>0.20294731932408314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9.5303</v>
      </c>
      <c r="K233" s="376"/>
      <c r="L233" s="511">
        <v>0.13</v>
      </c>
      <c r="M233" s="415"/>
      <c r="N233" s="414">
        <f>N232*L233</f>
        <v>11.46444883735431</v>
      </c>
      <c r="O233" s="376"/>
      <c r="P233" s="381">
        <f>N233-J233</f>
        <v>1.934148837354309</v>
      </c>
      <c r="Q233" s="382">
        <f>IF((J233)=0,"",(P233/J233))</f>
        <v>0.20294731932408308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82.84</v>
      </c>
      <c r="K234" s="403"/>
      <c r="L234" s="404"/>
      <c r="M234" s="405"/>
      <c r="N234" s="402">
        <f>ROUND(SUM(N232:N233),2)</f>
        <v>99.65</v>
      </c>
      <c r="O234" s="403"/>
      <c r="P234" s="406">
        <f>N234-J234</f>
        <v>16.810000000000002</v>
      </c>
      <c r="Q234" s="407">
        <f>IF((J234)=0,"",(P234/J234))</f>
        <v>0.2029212940608402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General Service &gt; 50 to 999kW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12" ht="12.75">
      <c r="B247" s="363" t="s">
        <v>53</v>
      </c>
      <c r="F247" s="367" t="s">
        <v>66</v>
      </c>
      <c r="G247" s="367"/>
      <c r="H247" s="504"/>
      <c r="I247" s="367" t="s">
        <v>332</v>
      </c>
      <c r="J247" s="504"/>
      <c r="L247" s="367" t="s">
        <v>16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83">
        <f>+'2010 Existing Rates'!$C$10</f>
        <v>70.9</v>
      </c>
      <c r="I252" s="378">
        <v>1</v>
      </c>
      <c r="J252" s="379">
        <f aca="true" t="shared" si="40" ref="J252:J266">I252*H252</f>
        <v>70.9</v>
      </c>
      <c r="K252" s="376"/>
      <c r="L252" s="583">
        <f>+'Rate Schedule (Part 1)'!$E$28</f>
        <v>88.37</v>
      </c>
      <c r="M252" s="380">
        <v>1</v>
      </c>
      <c r="N252" s="379">
        <f aca="true" t="shared" si="41" ref="N252:N266">M252*L252</f>
        <v>88.37</v>
      </c>
      <c r="O252" s="376"/>
      <c r="P252" s="381">
        <f aca="true" t="shared" si="42" ref="P252:P278">N252-J252</f>
        <v>17.47</v>
      </c>
      <c r="Q252" s="382">
        <f aca="true" t="shared" si="43" ref="Q252:Q278">IF((J252)=0,"",(P252/J252))</f>
        <v>0.24640338504936526</v>
      </c>
    </row>
    <row r="253" spans="4:17" ht="12.75">
      <c r="D253" s="376" t="s">
        <v>226</v>
      </c>
      <c r="E253" s="376"/>
      <c r="F253" s="514" t="s">
        <v>330</v>
      </c>
      <c r="G253" s="377"/>
      <c r="H253" s="583">
        <f>+'2010 Existing Rates'!$B$47</f>
        <v>2.16</v>
      </c>
      <c r="I253" s="378">
        <v>1</v>
      </c>
      <c r="J253" s="379">
        <f t="shared" si="40"/>
        <v>2.16</v>
      </c>
      <c r="K253" s="376"/>
      <c r="L253" s="583">
        <f>+'Rate Schedule (Part 1)'!$E$32</f>
        <v>-0.43193202035146244</v>
      </c>
      <c r="M253" s="380">
        <v>1</v>
      </c>
      <c r="N253" s="379">
        <f t="shared" si="41"/>
        <v>-0.43193202035146244</v>
      </c>
      <c r="O253" s="376"/>
      <c r="P253" s="381">
        <f t="shared" si="42"/>
        <v>-2.5919320203514626</v>
      </c>
      <c r="Q253" s="382">
        <f t="shared" si="43"/>
        <v>-1.199968527940492</v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22</v>
      </c>
      <c r="G256" s="377"/>
      <c r="H256" s="505">
        <f>+'2010 Existing Rates'!$D$60</f>
        <v>2.3658</v>
      </c>
      <c r="I256" s="378">
        <f>+J247</f>
        <v>0</v>
      </c>
      <c r="J256" s="379">
        <f t="shared" si="40"/>
        <v>0</v>
      </c>
      <c r="K256" s="376"/>
      <c r="L256" s="505">
        <f>+'Rate Schedule (Part 1)'!$E$29</f>
        <v>2.9288</v>
      </c>
      <c r="M256" s="380">
        <f>+J247</f>
        <v>0</v>
      </c>
      <c r="N256" s="379">
        <f t="shared" si="41"/>
        <v>0</v>
      </c>
      <c r="O256" s="376"/>
      <c r="P256" s="381">
        <f t="shared" si="42"/>
        <v>0</v>
      </c>
      <c r="Q256" s="382">
        <f t="shared" si="43"/>
      </c>
    </row>
    <row r="257" spans="4:17" ht="12.75">
      <c r="D257" s="376" t="s">
        <v>344</v>
      </c>
      <c r="E257" s="376"/>
      <c r="F257" s="514" t="s">
        <v>22</v>
      </c>
      <c r="G257" s="377"/>
      <c r="H257" s="505">
        <f>+'2010 Existing Rates'!$D$35</f>
        <v>0.1135</v>
      </c>
      <c r="I257" s="378">
        <f aca="true" t="shared" si="44" ref="I257:I262">I256</f>
        <v>0</v>
      </c>
      <c r="J257" s="379">
        <f t="shared" si="40"/>
        <v>0</v>
      </c>
      <c r="K257" s="376"/>
      <c r="L257" s="505">
        <f>+'Rate Schedule (Part 1)'!$E$30</f>
        <v>0.0821</v>
      </c>
      <c r="M257" s="380">
        <f aca="true" t="shared" si="45" ref="M257:M262">M256</f>
        <v>0</v>
      </c>
      <c r="N257" s="379">
        <f t="shared" si="41"/>
        <v>0</v>
      </c>
      <c r="O257" s="376"/>
      <c r="P257" s="381">
        <f t="shared" si="42"/>
        <v>0</v>
      </c>
      <c r="Q257" s="382">
        <f t="shared" si="43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0</v>
      </c>
      <c r="J258" s="379">
        <f t="shared" si="40"/>
        <v>0</v>
      </c>
      <c r="K258" s="376"/>
      <c r="L258" s="505"/>
      <c r="M258" s="380">
        <f t="shared" si="45"/>
        <v>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0</v>
      </c>
      <c r="J259" s="379">
        <f t="shared" si="40"/>
        <v>0</v>
      </c>
      <c r="K259" s="376"/>
      <c r="L259" s="505"/>
      <c r="M259" s="380">
        <f t="shared" si="45"/>
        <v>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0</v>
      </c>
      <c r="J260" s="379">
        <f t="shared" si="40"/>
        <v>0</v>
      </c>
      <c r="K260" s="376"/>
      <c r="L260" s="505"/>
      <c r="M260" s="380">
        <f t="shared" si="45"/>
        <v>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0</v>
      </c>
      <c r="J261" s="379">
        <f t="shared" si="40"/>
        <v>0</v>
      </c>
      <c r="K261" s="376"/>
      <c r="L261" s="505"/>
      <c r="M261" s="380">
        <f t="shared" si="45"/>
        <v>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22</v>
      </c>
      <c r="G262" s="377"/>
      <c r="H262" s="505">
        <f>+'2010 Existing Rates'!$D$23</f>
        <v>-1.1644</v>
      </c>
      <c r="I262" s="378">
        <f t="shared" si="44"/>
        <v>0</v>
      </c>
      <c r="J262" s="379">
        <f t="shared" si="40"/>
        <v>0</v>
      </c>
      <c r="K262" s="376"/>
      <c r="L262" s="505">
        <f>+'Rate Schedule (Part 1)'!$E$33</f>
        <v>-0.34053261641201166</v>
      </c>
      <c r="M262" s="380">
        <f t="shared" si="45"/>
        <v>0</v>
      </c>
      <c r="N262" s="379">
        <f t="shared" si="41"/>
        <v>0</v>
      </c>
      <c r="O262" s="376"/>
      <c r="P262" s="381">
        <f t="shared" si="42"/>
        <v>0</v>
      </c>
      <c r="Q262" s="382">
        <f t="shared" si="43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73.06</v>
      </c>
      <c r="L267" s="385"/>
      <c r="M267" s="388"/>
      <c r="N267" s="387">
        <f>SUM(N252:N266)</f>
        <v>87.93806797964854</v>
      </c>
      <c r="P267" s="389">
        <f t="shared" si="42"/>
        <v>14.878067979648534</v>
      </c>
      <c r="Q267" s="390">
        <f t="shared" si="43"/>
        <v>0.20364177360592026</v>
      </c>
    </row>
    <row r="268" spans="4:17" ht="12.75">
      <c r="D268" s="391" t="s">
        <v>351</v>
      </c>
      <c r="E268" s="391"/>
      <c r="F268" s="515" t="s">
        <v>22</v>
      </c>
      <c r="G268" s="392"/>
      <c r="H268" s="506">
        <v>2.4305</v>
      </c>
      <c r="I268" s="393">
        <f>+J247</f>
        <v>0</v>
      </c>
      <c r="J268" s="394">
        <f>I268*H268</f>
        <v>0</v>
      </c>
      <c r="K268" s="391"/>
      <c r="L268" s="506">
        <f>+'[7]E1.1 Adj Network to Fcst Whsl'!$S$24</f>
        <v>2.259176864039617</v>
      </c>
      <c r="M268" s="395">
        <f>+J247</f>
        <v>0</v>
      </c>
      <c r="N268" s="394">
        <f>M268*L268</f>
        <v>0</v>
      </c>
      <c r="O268" s="391"/>
      <c r="P268" s="396">
        <f t="shared" si="42"/>
        <v>0</v>
      </c>
      <c r="Q268" s="397">
        <f t="shared" si="43"/>
      </c>
    </row>
    <row r="269" spans="4:17" ht="26.25" thickBot="1">
      <c r="D269" s="398" t="s">
        <v>352</v>
      </c>
      <c r="E269" s="391"/>
      <c r="F269" s="515" t="s">
        <v>22</v>
      </c>
      <c r="G269" s="392"/>
      <c r="H269" s="506">
        <v>1.9383</v>
      </c>
      <c r="I269" s="393">
        <f>I268</f>
        <v>0</v>
      </c>
      <c r="J269" s="394">
        <f>I269*H269</f>
        <v>0</v>
      </c>
      <c r="K269" s="391"/>
      <c r="L269" s="506">
        <f>+'[7]E1.2 Adj Conn to Fcst Whsl'!$S$24</f>
        <v>1.9140067608123263</v>
      </c>
      <c r="M269" s="395">
        <f>M268</f>
        <v>0</v>
      </c>
      <c r="N269" s="394">
        <f>M269*L269</f>
        <v>0</v>
      </c>
      <c r="O269" s="391"/>
      <c r="P269" s="396">
        <f t="shared" si="42"/>
        <v>0</v>
      </c>
      <c r="Q269" s="397">
        <f t="shared" si="43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73.06</v>
      </c>
      <c r="K270" s="403"/>
      <c r="L270" s="404"/>
      <c r="M270" s="405"/>
      <c r="N270" s="402">
        <f>SUM(N267:N269)</f>
        <v>87.93806797964854</v>
      </c>
      <c r="O270" s="403"/>
      <c r="P270" s="406">
        <f t="shared" si="42"/>
        <v>14.878067979648534</v>
      </c>
      <c r="Q270" s="407">
        <f t="shared" si="43"/>
        <v>0.20364177360592026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+I277+I278</f>
        <v>0</v>
      </c>
      <c r="J271" s="379">
        <f aca="true" t="shared" si="46" ref="J271:J278">I271*H271</f>
        <v>0</v>
      </c>
      <c r="K271" s="376"/>
      <c r="L271" s="505">
        <v>0.0052</v>
      </c>
      <c r="M271" s="380">
        <f>+M277+M278</f>
        <v>0</v>
      </c>
      <c r="N271" s="379">
        <f aca="true" t="shared" si="47" ref="N271:N278">M271*L271</f>
        <v>0</v>
      </c>
      <c r="O271" s="376"/>
      <c r="P271" s="381">
        <f t="shared" si="42"/>
        <v>0</v>
      </c>
      <c r="Q271" s="382">
        <f t="shared" si="43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+I271</f>
        <v>0</v>
      </c>
      <c r="J272" s="379">
        <f t="shared" si="46"/>
        <v>0</v>
      </c>
      <c r="K272" s="376"/>
      <c r="L272" s="505">
        <v>0.0013</v>
      </c>
      <c r="M272" s="380">
        <f>+M271</f>
        <v>0</v>
      </c>
      <c r="N272" s="379">
        <f t="shared" si="47"/>
        <v>0</v>
      </c>
      <c r="O272" s="376"/>
      <c r="P272" s="381">
        <f t="shared" si="42"/>
        <v>0</v>
      </c>
      <c r="Q272" s="382">
        <f t="shared" si="43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+I271</f>
        <v>0</v>
      </c>
      <c r="J273" s="379">
        <f t="shared" si="46"/>
        <v>0</v>
      </c>
      <c r="K273" s="376"/>
      <c r="L273" s="508">
        <v>0.000373</v>
      </c>
      <c r="M273" s="380">
        <f>+M271</f>
        <v>0</v>
      </c>
      <c r="N273" s="379">
        <f t="shared" si="47"/>
        <v>0</v>
      </c>
      <c r="O273" s="376"/>
      <c r="P273" s="381">
        <f t="shared" si="42"/>
        <v>0</v>
      </c>
      <c r="Q273" s="382">
        <f t="shared" si="43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46"/>
        <v>0</v>
      </c>
      <c r="K275" s="376"/>
      <c r="L275" s="505">
        <v>0.007</v>
      </c>
      <c r="M275" s="380">
        <f>+$H247</f>
        <v>0</v>
      </c>
      <c r="N275" s="379">
        <f t="shared" si="47"/>
        <v>0</v>
      </c>
      <c r="O275" s="376"/>
      <c r="P275" s="381">
        <f t="shared" si="42"/>
        <v>0</v>
      </c>
      <c r="Q275" s="382">
        <f t="shared" si="43"/>
      </c>
    </row>
    <row r="276" spans="4:17" ht="12.75">
      <c r="D276" s="376" t="s">
        <v>359</v>
      </c>
      <c r="E276" s="376"/>
      <c r="F276" s="514"/>
      <c r="G276" s="377"/>
      <c r="H276" s="505"/>
      <c r="I276" s="378"/>
      <c r="J276" s="379">
        <f t="shared" si="46"/>
        <v>0</v>
      </c>
      <c r="K276" s="376"/>
      <c r="L276" s="505"/>
      <c r="M276" s="380"/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 t="s">
        <v>366</v>
      </c>
      <c r="E277" s="376"/>
      <c r="F277" s="514" t="s">
        <v>53</v>
      </c>
      <c r="G277" s="377"/>
      <c r="H277" s="505">
        <f>+'Other Electriciy Rates'!$J$12</f>
        <v>0.065</v>
      </c>
      <c r="I277" s="509">
        <f>IF($H247*(1+$H283)&gt;600,600,($H247*(1+$H283)))</f>
        <v>0</v>
      </c>
      <c r="J277" s="379">
        <f t="shared" si="46"/>
        <v>0</v>
      </c>
      <c r="K277" s="376"/>
      <c r="L277" s="505">
        <f>+'Other Electriciy Rates'!$J$27</f>
        <v>0.065</v>
      </c>
      <c r="M277" s="509">
        <f>IF($H247*(1+$L283)&gt;600,600,($H247*(1+$L283)))</f>
        <v>0</v>
      </c>
      <c r="N277" s="379">
        <f t="shared" si="47"/>
        <v>0</v>
      </c>
      <c r="O277" s="376"/>
      <c r="P277" s="381">
        <f t="shared" si="42"/>
        <v>0</v>
      </c>
      <c r="Q277" s="382">
        <f t="shared" si="43"/>
      </c>
    </row>
    <row r="278" spans="4:17" ht="13.5" thickBot="1">
      <c r="D278" s="501" t="s">
        <v>365</v>
      </c>
      <c r="E278" s="376"/>
      <c r="F278" s="514" t="s">
        <v>53</v>
      </c>
      <c r="G278" s="377"/>
      <c r="H278" s="505">
        <f>+'Other Electriciy Rates'!$K$12</f>
        <v>0.075</v>
      </c>
      <c r="I278" s="509">
        <f>IF($H247*(1+$H283)&gt;600,$H247*(1+$H283)-$I277,0)</f>
        <v>0</v>
      </c>
      <c r="J278" s="379">
        <f t="shared" si="46"/>
        <v>0</v>
      </c>
      <c r="K278" s="376"/>
      <c r="L278" s="505">
        <f>+'Other Electriciy Rates'!$K$27</f>
        <v>0.075</v>
      </c>
      <c r="M278" s="509">
        <f>IF($H247*(1+$L283)&gt;600,$H247*(1+$L283)-$I277,0)</f>
        <v>0</v>
      </c>
      <c r="N278" s="379">
        <f t="shared" si="47"/>
        <v>0</v>
      </c>
      <c r="O278" s="376"/>
      <c r="P278" s="381">
        <f t="shared" si="42"/>
        <v>0</v>
      </c>
      <c r="Q278" s="382">
        <f t="shared" si="43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73.31</v>
      </c>
      <c r="K279" s="403"/>
      <c r="L279" s="411"/>
      <c r="M279" s="412"/>
      <c r="N279" s="402">
        <f>SUM(N270:N278)</f>
        <v>88.18806797964854</v>
      </c>
      <c r="O279" s="403"/>
      <c r="P279" s="406">
        <f>N279-J279</f>
        <v>14.878067979648534</v>
      </c>
      <c r="Q279" s="407">
        <f>IF((J279)=0,"",(P279/J279))</f>
        <v>0.20294731932408314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9.5303</v>
      </c>
      <c r="K280" s="376"/>
      <c r="L280" s="511">
        <v>0.13</v>
      </c>
      <c r="M280" s="415"/>
      <c r="N280" s="414">
        <f>N279*L280</f>
        <v>11.46444883735431</v>
      </c>
      <c r="O280" s="376"/>
      <c r="P280" s="381">
        <f>N280-J280</f>
        <v>1.934148837354309</v>
      </c>
      <c r="Q280" s="382">
        <f>IF((J280)=0,"",(P280/J280))</f>
        <v>0.20294731932408308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82.84</v>
      </c>
      <c r="K281" s="403"/>
      <c r="L281" s="404"/>
      <c r="M281" s="405"/>
      <c r="N281" s="402">
        <f>ROUND(SUM(N279:N280),2)</f>
        <v>99.65</v>
      </c>
      <c r="O281" s="403"/>
      <c r="P281" s="406">
        <f>N281-J281</f>
        <v>16.810000000000002</v>
      </c>
      <c r="Q281" s="407">
        <f>IF((J281)=0,"",(P281/J281))</f>
        <v>0.2029212940608402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General Service &gt; 50 to 999kW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12" ht="12.75">
      <c r="B294" s="363" t="s">
        <v>53</v>
      </c>
      <c r="F294" s="367" t="s">
        <v>66</v>
      </c>
      <c r="G294" s="367"/>
      <c r="H294" s="504"/>
      <c r="I294" s="367" t="s">
        <v>332</v>
      </c>
      <c r="J294" s="504"/>
      <c r="L294" s="367" t="s">
        <v>16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83">
        <f>+'2010 Existing Rates'!$C$10</f>
        <v>70.9</v>
      </c>
      <c r="I299" s="378">
        <v>1</v>
      </c>
      <c r="J299" s="379">
        <f aca="true" t="shared" si="48" ref="J299:J313">I299*H299</f>
        <v>70.9</v>
      </c>
      <c r="K299" s="376"/>
      <c r="L299" s="583">
        <f>+'Rate Schedule (Part 1)'!$E$28</f>
        <v>88.37</v>
      </c>
      <c r="M299" s="380">
        <v>1</v>
      </c>
      <c r="N299" s="379">
        <f aca="true" t="shared" si="49" ref="N299:N313">M299*L299</f>
        <v>88.37</v>
      </c>
      <c r="O299" s="376"/>
      <c r="P299" s="381">
        <f aca="true" t="shared" si="50" ref="P299:P325">N299-J299</f>
        <v>17.47</v>
      </c>
      <c r="Q299" s="382">
        <f aca="true" t="shared" si="51" ref="Q299:Q325">IF((J299)=0,"",(P299/J299))</f>
        <v>0.24640338504936526</v>
      </c>
    </row>
    <row r="300" spans="4:17" ht="12.75">
      <c r="D300" s="376" t="s">
        <v>226</v>
      </c>
      <c r="E300" s="376"/>
      <c r="F300" s="514" t="s">
        <v>330</v>
      </c>
      <c r="G300" s="377"/>
      <c r="H300" s="583">
        <f>+'2010 Existing Rates'!$B$47</f>
        <v>2.16</v>
      </c>
      <c r="I300" s="378">
        <v>1</v>
      </c>
      <c r="J300" s="379">
        <f t="shared" si="48"/>
        <v>2.16</v>
      </c>
      <c r="K300" s="376"/>
      <c r="L300" s="583">
        <f>+'Rate Schedule (Part 1)'!$E$32</f>
        <v>-0.43193202035146244</v>
      </c>
      <c r="M300" s="380">
        <v>1</v>
      </c>
      <c r="N300" s="379">
        <f t="shared" si="49"/>
        <v>-0.43193202035146244</v>
      </c>
      <c r="O300" s="376"/>
      <c r="P300" s="381">
        <f t="shared" si="50"/>
        <v>-2.5919320203514626</v>
      </c>
      <c r="Q300" s="382">
        <f t="shared" si="51"/>
        <v>-1.199968527940492</v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22</v>
      </c>
      <c r="G303" s="377"/>
      <c r="H303" s="505">
        <f>+'2010 Existing Rates'!$D$60</f>
        <v>2.3658</v>
      </c>
      <c r="I303" s="378">
        <f>+J294</f>
        <v>0</v>
      </c>
      <c r="J303" s="379">
        <f t="shared" si="48"/>
        <v>0</v>
      </c>
      <c r="K303" s="376"/>
      <c r="L303" s="505">
        <f>+'Rate Schedule (Part 1)'!$E$29</f>
        <v>2.9288</v>
      </c>
      <c r="M303" s="380">
        <f>+J294</f>
        <v>0</v>
      </c>
      <c r="N303" s="379">
        <f t="shared" si="49"/>
        <v>0</v>
      </c>
      <c r="O303" s="376"/>
      <c r="P303" s="381">
        <f t="shared" si="50"/>
        <v>0</v>
      </c>
      <c r="Q303" s="382">
        <f t="shared" si="51"/>
      </c>
    </row>
    <row r="304" spans="4:17" ht="12.75">
      <c r="D304" s="376" t="s">
        <v>344</v>
      </c>
      <c r="E304" s="376"/>
      <c r="F304" s="514" t="s">
        <v>22</v>
      </c>
      <c r="G304" s="377"/>
      <c r="H304" s="505">
        <f>+'2010 Existing Rates'!$D$35</f>
        <v>0.1135</v>
      </c>
      <c r="I304" s="378">
        <f aca="true" t="shared" si="52" ref="I304:I309">I303</f>
        <v>0</v>
      </c>
      <c r="J304" s="379">
        <f t="shared" si="48"/>
        <v>0</v>
      </c>
      <c r="K304" s="376"/>
      <c r="L304" s="505">
        <f>+'Rate Schedule (Part 1)'!$E$30</f>
        <v>0.0821</v>
      </c>
      <c r="M304" s="380">
        <f aca="true" t="shared" si="53" ref="M304:M309">M303</f>
        <v>0</v>
      </c>
      <c r="N304" s="379">
        <f t="shared" si="49"/>
        <v>0</v>
      </c>
      <c r="O304" s="376"/>
      <c r="P304" s="381">
        <f t="shared" si="50"/>
        <v>0</v>
      </c>
      <c r="Q304" s="382">
        <f t="shared" si="51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0</v>
      </c>
      <c r="J305" s="379">
        <f t="shared" si="48"/>
        <v>0</v>
      </c>
      <c r="K305" s="376"/>
      <c r="L305" s="505"/>
      <c r="M305" s="380">
        <f t="shared" si="53"/>
        <v>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0</v>
      </c>
      <c r="J306" s="379">
        <f t="shared" si="48"/>
        <v>0</v>
      </c>
      <c r="K306" s="376"/>
      <c r="L306" s="505"/>
      <c r="M306" s="380">
        <f t="shared" si="53"/>
        <v>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0</v>
      </c>
      <c r="J307" s="379">
        <f t="shared" si="48"/>
        <v>0</v>
      </c>
      <c r="K307" s="376"/>
      <c r="L307" s="505"/>
      <c r="M307" s="380">
        <f t="shared" si="53"/>
        <v>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0</v>
      </c>
      <c r="J308" s="379">
        <f t="shared" si="48"/>
        <v>0</v>
      </c>
      <c r="K308" s="376"/>
      <c r="L308" s="505"/>
      <c r="M308" s="380">
        <f t="shared" si="53"/>
        <v>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22</v>
      </c>
      <c r="G309" s="377"/>
      <c r="H309" s="505">
        <f>+'2010 Existing Rates'!$D$23</f>
        <v>-1.1644</v>
      </c>
      <c r="I309" s="378">
        <f t="shared" si="52"/>
        <v>0</v>
      </c>
      <c r="J309" s="379">
        <f t="shared" si="48"/>
        <v>0</v>
      </c>
      <c r="K309" s="376"/>
      <c r="L309" s="505">
        <f>+'Rate Schedule (Part 1)'!$E$33</f>
        <v>-0.34053261641201166</v>
      </c>
      <c r="M309" s="380">
        <f t="shared" si="53"/>
        <v>0</v>
      </c>
      <c r="N309" s="379">
        <f t="shared" si="49"/>
        <v>0</v>
      </c>
      <c r="O309" s="376"/>
      <c r="P309" s="381">
        <f t="shared" si="50"/>
        <v>0</v>
      </c>
      <c r="Q309" s="382">
        <f t="shared" si="51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73.06</v>
      </c>
      <c r="L314" s="385"/>
      <c r="M314" s="388"/>
      <c r="N314" s="387">
        <f>SUM(N299:N313)</f>
        <v>87.93806797964854</v>
      </c>
      <c r="P314" s="389">
        <f t="shared" si="50"/>
        <v>14.878067979648534</v>
      </c>
      <c r="Q314" s="390">
        <f t="shared" si="51"/>
        <v>0.20364177360592026</v>
      </c>
    </row>
    <row r="315" spans="4:17" ht="12.75">
      <c r="D315" s="391" t="s">
        <v>351</v>
      </c>
      <c r="E315" s="391"/>
      <c r="F315" s="515" t="s">
        <v>22</v>
      </c>
      <c r="G315" s="392"/>
      <c r="H315" s="506">
        <v>2.4305</v>
      </c>
      <c r="I315" s="393">
        <f>+J294</f>
        <v>0</v>
      </c>
      <c r="J315" s="394">
        <f>I315*H315</f>
        <v>0</v>
      </c>
      <c r="K315" s="391"/>
      <c r="L315" s="506">
        <f>+'[7]E1.1 Adj Network to Fcst Whsl'!$S$24</f>
        <v>2.259176864039617</v>
      </c>
      <c r="M315" s="395">
        <f>+J294</f>
        <v>0</v>
      </c>
      <c r="N315" s="394">
        <f>M315*L315</f>
        <v>0</v>
      </c>
      <c r="O315" s="391"/>
      <c r="P315" s="396">
        <f t="shared" si="50"/>
        <v>0</v>
      </c>
      <c r="Q315" s="397">
        <f t="shared" si="51"/>
      </c>
    </row>
    <row r="316" spans="4:17" ht="26.25" thickBot="1">
      <c r="D316" s="398" t="s">
        <v>352</v>
      </c>
      <c r="E316" s="391"/>
      <c r="F316" s="515" t="s">
        <v>22</v>
      </c>
      <c r="G316" s="392"/>
      <c r="H316" s="506">
        <v>1.9383</v>
      </c>
      <c r="I316" s="393">
        <f>I315</f>
        <v>0</v>
      </c>
      <c r="J316" s="394">
        <f>I316*H316</f>
        <v>0</v>
      </c>
      <c r="K316" s="391"/>
      <c r="L316" s="506">
        <f>+'[7]E1.2 Adj Conn to Fcst Whsl'!$S$24</f>
        <v>1.9140067608123263</v>
      </c>
      <c r="M316" s="395">
        <f>M315</f>
        <v>0</v>
      </c>
      <c r="N316" s="394">
        <f>M316*L316</f>
        <v>0</v>
      </c>
      <c r="O316" s="391"/>
      <c r="P316" s="396">
        <f t="shared" si="50"/>
        <v>0</v>
      </c>
      <c r="Q316" s="397">
        <f t="shared" si="51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73.06</v>
      </c>
      <c r="K317" s="403"/>
      <c r="L317" s="404"/>
      <c r="M317" s="405"/>
      <c r="N317" s="402">
        <f>SUM(N314:N316)</f>
        <v>87.93806797964854</v>
      </c>
      <c r="O317" s="403"/>
      <c r="P317" s="406">
        <f t="shared" si="50"/>
        <v>14.878067979648534</v>
      </c>
      <c r="Q317" s="407">
        <f t="shared" si="51"/>
        <v>0.20364177360592026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+I324+I325</f>
        <v>0</v>
      </c>
      <c r="J318" s="379">
        <f aca="true" t="shared" si="54" ref="J318:J325">I318*H318</f>
        <v>0</v>
      </c>
      <c r="K318" s="376"/>
      <c r="L318" s="505">
        <v>0.0052</v>
      </c>
      <c r="M318" s="380">
        <f>+M324+M325</f>
        <v>0</v>
      </c>
      <c r="N318" s="379">
        <f aca="true" t="shared" si="55" ref="N318:N325">M318*L318</f>
        <v>0</v>
      </c>
      <c r="O318" s="376"/>
      <c r="P318" s="381">
        <f t="shared" si="50"/>
        <v>0</v>
      </c>
      <c r="Q318" s="382">
        <f t="shared" si="51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+I318</f>
        <v>0</v>
      </c>
      <c r="J319" s="379">
        <f t="shared" si="54"/>
        <v>0</v>
      </c>
      <c r="K319" s="376"/>
      <c r="L319" s="505">
        <v>0.0013</v>
      </c>
      <c r="M319" s="380">
        <f>+M318</f>
        <v>0</v>
      </c>
      <c r="N319" s="379">
        <f t="shared" si="55"/>
        <v>0</v>
      </c>
      <c r="O319" s="376"/>
      <c r="P319" s="381">
        <f t="shared" si="50"/>
        <v>0</v>
      </c>
      <c r="Q319" s="382">
        <f t="shared" si="51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+I318</f>
        <v>0</v>
      </c>
      <c r="J320" s="379">
        <f t="shared" si="54"/>
        <v>0</v>
      </c>
      <c r="K320" s="376"/>
      <c r="L320" s="508">
        <v>0.000373</v>
      </c>
      <c r="M320" s="380">
        <f>+M318</f>
        <v>0</v>
      </c>
      <c r="N320" s="379">
        <f t="shared" si="55"/>
        <v>0</v>
      </c>
      <c r="O320" s="376"/>
      <c r="P320" s="381">
        <f t="shared" si="50"/>
        <v>0</v>
      </c>
      <c r="Q320" s="382">
        <f t="shared" si="51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54"/>
        <v>0</v>
      </c>
      <c r="K322" s="376"/>
      <c r="L322" s="505">
        <v>0.007</v>
      </c>
      <c r="M322" s="380">
        <f>+$H294</f>
        <v>0</v>
      </c>
      <c r="N322" s="379">
        <f t="shared" si="55"/>
        <v>0</v>
      </c>
      <c r="O322" s="376"/>
      <c r="P322" s="381">
        <f t="shared" si="50"/>
        <v>0</v>
      </c>
      <c r="Q322" s="382">
        <f t="shared" si="51"/>
      </c>
    </row>
    <row r="323" spans="4:17" ht="12.75">
      <c r="D323" s="376" t="s">
        <v>359</v>
      </c>
      <c r="E323" s="376"/>
      <c r="F323" s="514"/>
      <c r="G323" s="377"/>
      <c r="H323" s="505"/>
      <c r="I323" s="378"/>
      <c r="J323" s="379">
        <f t="shared" si="54"/>
        <v>0</v>
      </c>
      <c r="K323" s="376"/>
      <c r="L323" s="505"/>
      <c r="M323" s="380"/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 t="s">
        <v>366</v>
      </c>
      <c r="E324" s="376"/>
      <c r="F324" s="514" t="s">
        <v>53</v>
      </c>
      <c r="G324" s="377"/>
      <c r="H324" s="505">
        <f>+'Other Electriciy Rates'!$J$12</f>
        <v>0.065</v>
      </c>
      <c r="I324" s="509">
        <f>IF($H294*(1+$H330)&gt;600,600,($H294*(1+$H330)))</f>
        <v>0</v>
      </c>
      <c r="J324" s="379">
        <f t="shared" si="54"/>
        <v>0</v>
      </c>
      <c r="K324" s="376"/>
      <c r="L324" s="505">
        <f>+'Other Electriciy Rates'!$J$27</f>
        <v>0.065</v>
      </c>
      <c r="M324" s="509">
        <f>IF($H294*(1+$L330)&gt;600,600,($H294*(1+$L330)))</f>
        <v>0</v>
      </c>
      <c r="N324" s="379">
        <f t="shared" si="55"/>
        <v>0</v>
      </c>
      <c r="O324" s="376"/>
      <c r="P324" s="381">
        <f t="shared" si="50"/>
        <v>0</v>
      </c>
      <c r="Q324" s="382">
        <f t="shared" si="51"/>
      </c>
    </row>
    <row r="325" spans="4:17" ht="13.5" thickBot="1">
      <c r="D325" s="501" t="s">
        <v>365</v>
      </c>
      <c r="E325" s="376"/>
      <c r="F325" s="514" t="s">
        <v>53</v>
      </c>
      <c r="G325" s="377"/>
      <c r="H325" s="505">
        <f>+'Other Electriciy Rates'!$K$12</f>
        <v>0.075</v>
      </c>
      <c r="I325" s="509">
        <f>IF($H294*(1+$H330)&gt;600,$H294*(1+$H330)-$I324,0)</f>
        <v>0</v>
      </c>
      <c r="J325" s="379">
        <f t="shared" si="54"/>
        <v>0</v>
      </c>
      <c r="K325" s="376"/>
      <c r="L325" s="505">
        <f>+'Other Electriciy Rates'!$K$27</f>
        <v>0.075</v>
      </c>
      <c r="M325" s="509">
        <f>IF($H294*(1+$L330)&gt;600,$H294*(1+$L330)-$I324,0)</f>
        <v>0</v>
      </c>
      <c r="N325" s="379">
        <f t="shared" si="55"/>
        <v>0</v>
      </c>
      <c r="O325" s="376"/>
      <c r="P325" s="381">
        <f t="shared" si="50"/>
        <v>0</v>
      </c>
      <c r="Q325" s="382">
        <f t="shared" si="51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73.31</v>
      </c>
      <c r="K326" s="403"/>
      <c r="L326" s="411"/>
      <c r="M326" s="412"/>
      <c r="N326" s="402">
        <f>SUM(N317:N325)</f>
        <v>88.18806797964854</v>
      </c>
      <c r="O326" s="403"/>
      <c r="P326" s="406">
        <f>N326-J326</f>
        <v>14.878067979648534</v>
      </c>
      <c r="Q326" s="407">
        <f>IF((J326)=0,"",(P326/J326))</f>
        <v>0.20294731932408314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9.5303</v>
      </c>
      <c r="K327" s="376"/>
      <c r="L327" s="511">
        <v>0.13</v>
      </c>
      <c r="M327" s="415"/>
      <c r="N327" s="414">
        <f>N326*L327</f>
        <v>11.46444883735431</v>
      </c>
      <c r="O327" s="376"/>
      <c r="P327" s="381">
        <f>N327-J327</f>
        <v>1.934148837354309</v>
      </c>
      <c r="Q327" s="382">
        <f>IF((J327)=0,"",(P327/J327))</f>
        <v>0.20294731932408308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82.84</v>
      </c>
      <c r="K328" s="403"/>
      <c r="L328" s="404"/>
      <c r="M328" s="405"/>
      <c r="N328" s="402">
        <f>ROUND(SUM(N326:N327),2)</f>
        <v>99.65</v>
      </c>
      <c r="O328" s="403"/>
      <c r="P328" s="406">
        <f>N328-J328</f>
        <v>16.810000000000002</v>
      </c>
      <c r="Q328" s="407">
        <f>IF((J328)=0,"",(P328/J328))</f>
        <v>0.2029212940608402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F17:F31 F158:F172 F33:F34 F111:F125 F36:F43 F205:F219 F221:F222 F174:F175 F224:F231 F252:F266 F268:F269 F271:F278 F64:F78 F177:F184 F80:F81 F127:F128 F83:F90 F130:F137 F299:F313 F315:F316 F318:F325">
      <formula1>$B$10:$B$13</formula1>
    </dataValidation>
    <dataValidation type="list" allowBlank="1" showInputMessage="1" showErrorMessage="1" sqref="G17:G31 G158:G172 G33:G34 G111:G125 G36:G43 G205:G219 G221:G222 G174:G175 G224:G231 G252:G266 G268:G269 G271:G278 G64:G78 G177:G184 G80:G81 G127:G128 G83:G90 G130:G137 G299:G313 G315:G316 G318:G325">
      <formula1>$B$10:$B$15</formula1>
    </dataValidation>
  </dataValidations>
  <printOptions/>
  <pageMargins left="0.7" right="0.7" top="0.75" bottom="0.75" header="0.3" footer="0.3"/>
  <pageSetup fitToHeight="4" horizontalDpi="600" verticalDpi="600" orientation="portrait" scale="61" r:id="rId1"/>
  <rowBreaks count="3" manualBreakCount="3">
    <brk id="55" max="16" man="1"/>
    <brk id="102" max="16" man="1"/>
    <brk id="149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3.7109375" style="362" bestFit="1" customWidth="1"/>
    <col min="9" max="9" width="8.57421875" style="362" customWidth="1"/>
    <col min="10" max="10" width="18.28125" style="362" bestFit="1" customWidth="1"/>
    <col min="11" max="11" width="2.8515625" style="362" customWidth="1"/>
    <col min="12" max="12" width="15.57421875" style="362" bestFit="1" customWidth="1"/>
    <col min="13" max="13" width="8.57421875" style="362" customWidth="1"/>
    <col min="14" max="14" width="19.140625" style="362" customWidth="1"/>
    <col min="15" max="15" width="2.8515625" style="362" customWidth="1"/>
    <col min="16" max="16" width="14.7109375" style="362" bestFit="1" customWidth="1"/>
    <col min="17" max="17" width="10.140625" style="362" bestFit="1" customWidth="1"/>
    <col min="18" max="18" width="3.8515625" style="362" customWidth="1"/>
    <col min="19" max="16384" width="9.140625" style="362" customWidth="1"/>
  </cols>
  <sheetData>
    <row r="1" spans="1:18" s="355" customFormat="1" ht="15" customHeight="1">
      <c r="A1" s="583"/>
      <c r="C1" s="356"/>
      <c r="D1" s="356"/>
      <c r="E1" s="356"/>
      <c r="F1" s="356"/>
      <c r="G1" s="356"/>
      <c r="H1" s="356"/>
      <c r="I1" s="356"/>
      <c r="J1" s="356"/>
      <c r="K1" s="356"/>
      <c r="L1" s="332" t="s">
        <v>324</v>
      </c>
      <c r="M1" s="357"/>
      <c r="N1" s="357" t="s">
        <v>325</v>
      </c>
      <c r="O1" s="357"/>
      <c r="P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2" t="s">
        <v>326</v>
      </c>
      <c r="M2"/>
      <c r="N2" t="s">
        <v>373</v>
      </c>
      <c r="O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2"/>
      <c r="M3"/>
      <c r="N3"/>
      <c r="O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2"/>
      <c r="M4"/>
      <c r="N4"/>
      <c r="O4"/>
      <c r="R4"/>
    </row>
    <row r="5" spans="5:18" s="355" customFormat="1" ht="15" customHeight="1">
      <c r="E5" s="361"/>
      <c r="F5" s="361"/>
      <c r="G5" s="361"/>
      <c r="L5" s="2" t="s">
        <v>327</v>
      </c>
      <c r="M5"/>
      <c r="N5" t="s">
        <v>328</v>
      </c>
      <c r="O5"/>
      <c r="R5"/>
    </row>
    <row r="6" spans="12:18" s="355" customFormat="1" ht="9" customHeight="1">
      <c r="L6" s="2"/>
      <c r="N6"/>
      <c r="O6"/>
      <c r="P6"/>
      <c r="R6"/>
    </row>
    <row r="7" spans="12:18" s="355" customFormat="1" ht="9" customHeight="1">
      <c r="L7" s="2"/>
      <c r="N7"/>
      <c r="O7"/>
      <c r="P7"/>
      <c r="R7"/>
    </row>
    <row r="8" spans="12:18" s="355" customFormat="1" ht="15" customHeight="1">
      <c r="L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372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2" ht="12.75">
      <c r="B12" s="363" t="s">
        <v>53</v>
      </c>
      <c r="F12" s="367" t="s">
        <v>66</v>
      </c>
      <c r="G12" s="367"/>
      <c r="H12" s="504">
        <v>800000</v>
      </c>
      <c r="I12" s="367" t="s">
        <v>332</v>
      </c>
      <c r="J12" s="504">
        <v>1000</v>
      </c>
      <c r="L12" s="367" t="s">
        <v>16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83">
        <f>+'2010 Existing Rates'!$C$11</f>
        <v>926.33</v>
      </c>
      <c r="I17" s="378">
        <v>1</v>
      </c>
      <c r="J17" s="379">
        <f aca="true" t="shared" si="0" ref="J17:J31">I17*H17</f>
        <v>926.33</v>
      </c>
      <c r="K17" s="376"/>
      <c r="L17" s="583">
        <f>+'Rate Schedule (Part 1)'!$E$36</f>
        <v>1008.02</v>
      </c>
      <c r="M17" s="380">
        <v>1</v>
      </c>
      <c r="N17" s="379">
        <f aca="true" t="shared" si="1" ref="N17:N31">M17*L17</f>
        <v>1008.02</v>
      </c>
      <c r="O17" s="376"/>
      <c r="P17" s="381">
        <f aca="true" t="shared" si="2" ref="P17:P46">N17-J17</f>
        <v>81.68999999999994</v>
      </c>
      <c r="Q17" s="382">
        <f aca="true" t="shared" si="3" ref="Q17:Q46">IF((J17)=0,"",(P17/J17))</f>
        <v>0.08818671531743541</v>
      </c>
    </row>
    <row r="18" spans="4:17" ht="12.75">
      <c r="D18" s="376" t="s">
        <v>226</v>
      </c>
      <c r="E18" s="376"/>
      <c r="F18" s="514" t="s">
        <v>330</v>
      </c>
      <c r="G18" s="377"/>
      <c r="H18" s="583">
        <f>+'2010 Existing Rates'!$B$48</f>
        <v>2.16</v>
      </c>
      <c r="I18" s="378">
        <v>1</v>
      </c>
      <c r="J18" s="379">
        <f t="shared" si="0"/>
        <v>2.16</v>
      </c>
      <c r="K18" s="376"/>
      <c r="L18" s="583">
        <f>+'Rate Schedule (Part 1)'!$E$40</f>
        <v>-0.43193202035146244</v>
      </c>
      <c r="M18" s="380">
        <v>1</v>
      </c>
      <c r="N18" s="379">
        <f t="shared" si="1"/>
        <v>-0.43193202035146244</v>
      </c>
      <c r="O18" s="376"/>
      <c r="P18" s="381">
        <f t="shared" si="2"/>
        <v>-2.5919320203514626</v>
      </c>
      <c r="Q18" s="382">
        <f t="shared" si="3"/>
        <v>-1.199968527940492</v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22</v>
      </c>
      <c r="G21" s="377"/>
      <c r="H21" s="505">
        <f>+'2010 Existing Rates'!$D$61</f>
        <v>2.9296</v>
      </c>
      <c r="I21" s="378">
        <f>+J12</f>
        <v>1000</v>
      </c>
      <c r="J21" s="379">
        <f t="shared" si="0"/>
        <v>2929.6000000000004</v>
      </c>
      <c r="K21" s="376"/>
      <c r="L21" s="505">
        <f>+'Rate Schedule (Part 1)'!$E$37</f>
        <v>3.1373</v>
      </c>
      <c r="M21" s="380">
        <f>+J12</f>
        <v>1000</v>
      </c>
      <c r="N21" s="379">
        <f t="shared" si="1"/>
        <v>3137.3</v>
      </c>
      <c r="O21" s="376"/>
      <c r="P21" s="381">
        <f t="shared" si="2"/>
        <v>207.69999999999982</v>
      </c>
      <c r="Q21" s="382">
        <f t="shared" si="3"/>
        <v>0.07089705079191691</v>
      </c>
    </row>
    <row r="22" spans="4:17" ht="12.75">
      <c r="D22" s="376" t="s">
        <v>344</v>
      </c>
      <c r="E22" s="376"/>
      <c r="F22" s="514" t="s">
        <v>22</v>
      </c>
      <c r="G22" s="377"/>
      <c r="H22" s="505">
        <f>+'2010 Existing Rates'!$D$36</f>
        <v>0.1116</v>
      </c>
      <c r="I22" s="378">
        <f aca="true" t="shared" si="4" ref="I22:I27">I21</f>
        <v>1000</v>
      </c>
      <c r="J22" s="379">
        <f t="shared" si="0"/>
        <v>111.60000000000001</v>
      </c>
      <c r="K22" s="376"/>
      <c r="L22" s="505">
        <f>+'Rate Schedule (Part 1)'!$E$38</f>
        <v>0.0808</v>
      </c>
      <c r="M22" s="380">
        <f aca="true" t="shared" si="5" ref="M22:M27">M21</f>
        <v>1000</v>
      </c>
      <c r="N22" s="379">
        <f t="shared" si="1"/>
        <v>80.8</v>
      </c>
      <c r="O22" s="376"/>
      <c r="P22" s="381">
        <f t="shared" si="2"/>
        <v>-30.80000000000001</v>
      </c>
      <c r="Q22" s="382">
        <f t="shared" si="3"/>
        <v>-0.2759856630824374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1000</v>
      </c>
      <c r="J23" s="379">
        <f t="shared" si="0"/>
        <v>0</v>
      </c>
      <c r="K23" s="376"/>
      <c r="L23" s="505"/>
      <c r="M23" s="380">
        <f t="shared" si="5"/>
        <v>1000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1000</v>
      </c>
      <c r="J24" s="379">
        <f t="shared" si="0"/>
        <v>0</v>
      </c>
      <c r="K24" s="376"/>
      <c r="L24" s="505"/>
      <c r="M24" s="380">
        <f t="shared" si="5"/>
        <v>1000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1000</v>
      </c>
      <c r="J25" s="379">
        <f t="shared" si="0"/>
        <v>0</v>
      </c>
      <c r="K25" s="376"/>
      <c r="L25" s="505"/>
      <c r="M25" s="380">
        <f t="shared" si="5"/>
        <v>1000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1000</v>
      </c>
      <c r="J26" s="379">
        <f t="shared" si="0"/>
        <v>0</v>
      </c>
      <c r="K26" s="376"/>
      <c r="L26" s="505"/>
      <c r="M26" s="380">
        <f t="shared" si="5"/>
        <v>1000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22</v>
      </c>
      <c r="G27" s="377"/>
      <c r="H27" s="505">
        <f>+'2010 Existing Rates'!$D$24</f>
        <v>-1.4024</v>
      </c>
      <c r="I27" s="378">
        <f t="shared" si="4"/>
        <v>1000</v>
      </c>
      <c r="J27" s="379">
        <f t="shared" si="0"/>
        <v>-1402.4</v>
      </c>
      <c r="K27" s="376"/>
      <c r="L27" s="505">
        <f>+'Rate Schedule (Part 1)'!$E$41</f>
        <v>-0.41100197330267557</v>
      </c>
      <c r="M27" s="380">
        <f t="shared" si="5"/>
        <v>1000</v>
      </c>
      <c r="N27" s="379">
        <f t="shared" si="1"/>
        <v>-411.0019733026756</v>
      </c>
      <c r="O27" s="376"/>
      <c r="P27" s="381">
        <f t="shared" si="2"/>
        <v>991.3980266973244</v>
      </c>
      <c r="Q27" s="382">
        <f t="shared" si="3"/>
        <v>-0.7069295683808645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2567.29</v>
      </c>
      <c r="L32" s="385"/>
      <c r="M32" s="388"/>
      <c r="N32" s="387">
        <f>SUM(N17:N31)</f>
        <v>3814.686094676973</v>
      </c>
      <c r="P32" s="389">
        <f t="shared" si="2"/>
        <v>1247.396094676973</v>
      </c>
      <c r="Q32" s="390">
        <f t="shared" si="3"/>
        <v>0.485880478900698</v>
      </c>
    </row>
    <row r="33" spans="4:17" ht="12.75">
      <c r="D33" s="391" t="s">
        <v>351</v>
      </c>
      <c r="E33" s="391"/>
      <c r="F33" s="515" t="s">
        <v>22</v>
      </c>
      <c r="G33" s="392"/>
      <c r="H33" s="506">
        <v>2.3905</v>
      </c>
      <c r="I33" s="393">
        <f>+J12</f>
        <v>1000</v>
      </c>
      <c r="J33" s="394">
        <f>I33*H33</f>
        <v>2390.5</v>
      </c>
      <c r="K33" s="391"/>
      <c r="L33" s="506">
        <f>+'[7]E1.1 Adj Network to Fcst Whsl'!$S$25</f>
        <v>2.2219964178097937</v>
      </c>
      <c r="M33" s="395">
        <f>+J12</f>
        <v>1000</v>
      </c>
      <c r="N33" s="394">
        <f>M33*L33</f>
        <v>2221.996417809794</v>
      </c>
      <c r="O33" s="391"/>
      <c r="P33" s="396">
        <f t="shared" si="2"/>
        <v>-168.5035821902061</v>
      </c>
      <c r="Q33" s="397">
        <f t="shared" si="3"/>
        <v>-0.07048884425442631</v>
      </c>
    </row>
    <row r="34" spans="4:17" ht="26.25" thickBot="1">
      <c r="D34" s="398" t="s">
        <v>352</v>
      </c>
      <c r="E34" s="391"/>
      <c r="F34" s="515" t="s">
        <v>22</v>
      </c>
      <c r="G34" s="392"/>
      <c r="H34" s="506">
        <v>1.9066</v>
      </c>
      <c r="I34" s="393">
        <f>I33</f>
        <v>1000</v>
      </c>
      <c r="J34" s="394">
        <f>I34*H34</f>
        <v>1906.6000000000001</v>
      </c>
      <c r="K34" s="391"/>
      <c r="L34" s="506">
        <f>+'[7]E1.2 Adj Conn to Fcst Whsl'!$S$25</f>
        <v>1.8827040655031633</v>
      </c>
      <c r="M34" s="395">
        <f>M33</f>
        <v>1000</v>
      </c>
      <c r="N34" s="394">
        <f>M34*L34</f>
        <v>1882.7040655031633</v>
      </c>
      <c r="O34" s="391"/>
      <c r="P34" s="396">
        <f t="shared" si="2"/>
        <v>-23.895934496836844</v>
      </c>
      <c r="Q34" s="397">
        <f t="shared" si="3"/>
        <v>-0.012533271004320173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6864.39</v>
      </c>
      <c r="K35" s="403"/>
      <c r="L35" s="404"/>
      <c r="M35" s="405"/>
      <c r="N35" s="402">
        <f>SUM(N32:N34)</f>
        <v>7919.38657798993</v>
      </c>
      <c r="O35" s="403"/>
      <c r="P35" s="406">
        <f t="shared" si="2"/>
        <v>1054.9965779899294</v>
      </c>
      <c r="Q35" s="407">
        <f t="shared" si="3"/>
        <v>0.15369123519933006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+$H12*(1+$H48)</f>
        <v>828079.9999999999</v>
      </c>
      <c r="J36" s="379">
        <f aca="true" t="shared" si="6" ref="J36:J43">I36*H36</f>
        <v>4306.016</v>
      </c>
      <c r="K36" s="376"/>
      <c r="L36" s="505">
        <v>0.0052</v>
      </c>
      <c r="M36" s="380">
        <f>+M41</f>
        <v>828952.9983413825</v>
      </c>
      <c r="N36" s="379">
        <f aca="true" t="shared" si="7" ref="N36:N43">M36*L36</f>
        <v>4310.555591375189</v>
      </c>
      <c r="O36" s="376"/>
      <c r="P36" s="381">
        <f t="shared" si="2"/>
        <v>4.5395913751890475</v>
      </c>
      <c r="Q36" s="382">
        <f t="shared" si="3"/>
        <v>0.0010542439636055806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+I36</f>
        <v>828079.9999999999</v>
      </c>
      <c r="J37" s="379">
        <f t="shared" si="6"/>
        <v>1076.504</v>
      </c>
      <c r="K37" s="376"/>
      <c r="L37" s="505">
        <v>0.0013</v>
      </c>
      <c r="M37" s="380">
        <f>+M36</f>
        <v>828952.9983413825</v>
      </c>
      <c r="N37" s="379">
        <f t="shared" si="7"/>
        <v>1077.6388978437972</v>
      </c>
      <c r="O37" s="376"/>
      <c r="P37" s="381">
        <f t="shared" si="2"/>
        <v>1.1348978437972619</v>
      </c>
      <c r="Q37" s="382">
        <f t="shared" si="3"/>
        <v>0.0010542439636055806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+I36</f>
        <v>828079.9999999999</v>
      </c>
      <c r="J38" s="379">
        <f t="shared" si="6"/>
        <v>308.87384</v>
      </c>
      <c r="K38" s="376"/>
      <c r="L38" s="508">
        <v>0.000373</v>
      </c>
      <c r="M38" s="380">
        <f>+M36</f>
        <v>828952.9983413825</v>
      </c>
      <c r="N38" s="379">
        <f t="shared" si="7"/>
        <v>309.1994683813357</v>
      </c>
      <c r="O38" s="376"/>
      <c r="P38" s="381">
        <f t="shared" si="2"/>
        <v>0.3256283813357186</v>
      </c>
      <c r="Q38" s="382">
        <f t="shared" si="3"/>
        <v>0.0010542439636057187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800000</v>
      </c>
      <c r="J40" s="379">
        <f t="shared" si="6"/>
        <v>5600</v>
      </c>
      <c r="K40" s="376"/>
      <c r="L40" s="505">
        <v>0.007</v>
      </c>
      <c r="M40" s="380">
        <f>+$H12</f>
        <v>800000</v>
      </c>
      <c r="N40" s="379">
        <f t="shared" si="7"/>
        <v>5600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 t="s">
        <v>53</v>
      </c>
      <c r="G41" s="377"/>
      <c r="H41" s="505">
        <f>+'Other Electriciy Rates'!$J$13</f>
        <v>0.065</v>
      </c>
      <c r="I41" s="378">
        <f>+$H12*(1+$H48)</f>
        <v>828079.9999999999</v>
      </c>
      <c r="J41" s="379">
        <f t="shared" si="6"/>
        <v>53825.2</v>
      </c>
      <c r="K41" s="376"/>
      <c r="L41" s="505">
        <f>+'Other Electriciy Rates'!J$28</f>
        <v>0.065</v>
      </c>
      <c r="M41" s="378">
        <f>+$H12*(1+$L48)</f>
        <v>828952.9983413825</v>
      </c>
      <c r="N41" s="379">
        <f t="shared" si="7"/>
        <v>53881.944892189866</v>
      </c>
      <c r="O41" s="376"/>
      <c r="P41" s="381">
        <f t="shared" si="2"/>
        <v>56.74489218986855</v>
      </c>
      <c r="Q41" s="382">
        <f t="shared" si="3"/>
        <v>0.001054243963605682</v>
      </c>
    </row>
    <row r="42" spans="4:17" ht="12.75">
      <c r="D42" s="502"/>
      <c r="E42" s="376"/>
      <c r="F42" s="514"/>
      <c r="G42" s="377"/>
      <c r="H42" s="505"/>
      <c r="I42" s="509"/>
      <c r="J42" s="379">
        <f t="shared" si="6"/>
        <v>0</v>
      </c>
      <c r="K42" s="376"/>
      <c r="L42" s="505"/>
      <c r="M42" s="509"/>
      <c r="N42" s="379">
        <f t="shared" si="7"/>
        <v>0</v>
      </c>
      <c r="O42" s="376"/>
      <c r="P42" s="381">
        <f t="shared" si="2"/>
        <v>0</v>
      </c>
      <c r="Q42" s="382">
        <f t="shared" si="3"/>
      </c>
    </row>
    <row r="43" spans="4:17" ht="13.5" thickBot="1">
      <c r="D43" s="501"/>
      <c r="E43" s="376"/>
      <c r="F43" s="514"/>
      <c r="G43" s="377"/>
      <c r="H43" s="505"/>
      <c r="I43" s="509"/>
      <c r="J43" s="379">
        <f t="shared" si="6"/>
        <v>0</v>
      </c>
      <c r="K43" s="376"/>
      <c r="L43" s="505"/>
      <c r="M43" s="509"/>
      <c r="N43" s="379">
        <f t="shared" si="7"/>
        <v>0</v>
      </c>
      <c r="O43" s="376"/>
      <c r="P43" s="381">
        <f t="shared" si="2"/>
        <v>0</v>
      </c>
      <c r="Q43" s="382">
        <f t="shared" si="3"/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71981.23384</v>
      </c>
      <c r="K44" s="403"/>
      <c r="L44" s="411"/>
      <c r="M44" s="412"/>
      <c r="N44" s="402">
        <f>SUM(N35:N43)</f>
        <v>73098.97542778013</v>
      </c>
      <c r="O44" s="403"/>
      <c r="P44" s="406">
        <f t="shared" si="2"/>
        <v>1117.741587780125</v>
      </c>
      <c r="Q44" s="407">
        <f t="shared" si="3"/>
        <v>0.01552823601585717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9357.5603992</v>
      </c>
      <c r="K45" s="376"/>
      <c r="L45" s="511">
        <v>0.13</v>
      </c>
      <c r="M45" s="415"/>
      <c r="N45" s="414">
        <f>N44*L45</f>
        <v>9502.866805611417</v>
      </c>
      <c r="O45" s="376"/>
      <c r="P45" s="381">
        <f t="shared" si="2"/>
        <v>145.3064064114169</v>
      </c>
      <c r="Q45" s="382">
        <f t="shared" si="3"/>
        <v>0.015528236015857242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81338.79</v>
      </c>
      <c r="K46" s="403"/>
      <c r="L46" s="404"/>
      <c r="M46" s="405"/>
      <c r="N46" s="402">
        <f>ROUND(SUM(N44:N45),2)</f>
        <v>82601.84</v>
      </c>
      <c r="O46" s="403"/>
      <c r="P46" s="406">
        <f t="shared" si="2"/>
        <v>1263.050000000003</v>
      </c>
      <c r="Q46" s="407">
        <f t="shared" si="3"/>
        <v>0.015528261485079912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General Service &gt; 1000 to 4999kW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12" ht="12.75">
      <c r="B59" s="363" t="s">
        <v>53</v>
      </c>
      <c r="F59" s="367" t="s">
        <v>66</v>
      </c>
      <c r="G59" s="367"/>
      <c r="H59" s="504">
        <v>1600000</v>
      </c>
      <c r="I59" s="367" t="s">
        <v>332</v>
      </c>
      <c r="J59" s="504">
        <v>4000</v>
      </c>
      <c r="L59" s="367" t="s">
        <v>16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83">
        <f>+'2010 Existing Rates'!$C$11</f>
        <v>926.33</v>
      </c>
      <c r="I64" s="378">
        <v>1</v>
      </c>
      <c r="J64" s="379">
        <f aca="true" t="shared" si="8" ref="J64:J78">I64*H64</f>
        <v>926.33</v>
      </c>
      <c r="K64" s="376"/>
      <c r="L64" s="583">
        <f>+'Rate Schedule (Part 1)'!$E$36</f>
        <v>1008.02</v>
      </c>
      <c r="M64" s="380">
        <v>1</v>
      </c>
      <c r="N64" s="379">
        <f aca="true" t="shared" si="9" ref="N64:N78">M64*L64</f>
        <v>1008.02</v>
      </c>
      <c r="O64" s="376"/>
      <c r="P64" s="381">
        <f aca="true" t="shared" si="10" ref="P64:P90">N64-J64</f>
        <v>81.68999999999994</v>
      </c>
      <c r="Q64" s="382">
        <f aca="true" t="shared" si="11" ref="Q64:Q90">IF((J64)=0,"",(P64/J64))</f>
        <v>0.08818671531743541</v>
      </c>
    </row>
    <row r="65" spans="4:17" ht="12.75">
      <c r="D65" s="376" t="s">
        <v>226</v>
      </c>
      <c r="E65" s="376"/>
      <c r="F65" s="514" t="s">
        <v>330</v>
      </c>
      <c r="G65" s="377"/>
      <c r="H65" s="583">
        <f>+'2010 Existing Rates'!$B$48</f>
        <v>2.16</v>
      </c>
      <c r="I65" s="378">
        <v>1</v>
      </c>
      <c r="J65" s="379">
        <f t="shared" si="8"/>
        <v>2.16</v>
      </c>
      <c r="K65" s="376"/>
      <c r="L65" s="583">
        <f>+'Rate Schedule (Part 1)'!$E$40</f>
        <v>-0.43193202035146244</v>
      </c>
      <c r="M65" s="380">
        <v>1</v>
      </c>
      <c r="N65" s="379">
        <f t="shared" si="9"/>
        <v>-0.43193202035146244</v>
      </c>
      <c r="O65" s="376"/>
      <c r="P65" s="381">
        <f t="shared" si="10"/>
        <v>-2.5919320203514626</v>
      </c>
      <c r="Q65" s="382">
        <f t="shared" si="11"/>
        <v>-1.199968527940492</v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22</v>
      </c>
      <c r="G68" s="377"/>
      <c r="H68" s="505">
        <f>+'2010 Existing Rates'!$D$61</f>
        <v>2.9296</v>
      </c>
      <c r="I68" s="378">
        <f>+J59</f>
        <v>4000</v>
      </c>
      <c r="J68" s="379">
        <f t="shared" si="8"/>
        <v>11718.400000000001</v>
      </c>
      <c r="K68" s="376"/>
      <c r="L68" s="505">
        <f>+'Rate Schedule (Part 1)'!$E$37</f>
        <v>3.1373</v>
      </c>
      <c r="M68" s="380">
        <f>+J59</f>
        <v>4000</v>
      </c>
      <c r="N68" s="379">
        <f t="shared" si="9"/>
        <v>12549.2</v>
      </c>
      <c r="O68" s="376"/>
      <c r="P68" s="381">
        <f t="shared" si="10"/>
        <v>830.7999999999993</v>
      </c>
      <c r="Q68" s="382">
        <f t="shared" si="11"/>
        <v>0.07089705079191691</v>
      </c>
    </row>
    <row r="69" spans="4:17" ht="12.75">
      <c r="D69" s="376" t="s">
        <v>344</v>
      </c>
      <c r="E69" s="376"/>
      <c r="F69" s="514" t="s">
        <v>22</v>
      </c>
      <c r="G69" s="377"/>
      <c r="H69" s="505">
        <f>+'2010 Existing Rates'!$D$36</f>
        <v>0.1116</v>
      </c>
      <c r="I69" s="378">
        <f aca="true" t="shared" si="12" ref="I69:I74">I68</f>
        <v>4000</v>
      </c>
      <c r="J69" s="379">
        <f t="shared" si="8"/>
        <v>446.40000000000003</v>
      </c>
      <c r="K69" s="376"/>
      <c r="L69" s="505">
        <f>+'Rate Schedule (Part 1)'!$E$38</f>
        <v>0.0808</v>
      </c>
      <c r="M69" s="380">
        <f aca="true" t="shared" si="13" ref="M69:M74">M68</f>
        <v>4000</v>
      </c>
      <c r="N69" s="379">
        <f t="shared" si="9"/>
        <v>323.2</v>
      </c>
      <c r="O69" s="376"/>
      <c r="P69" s="381">
        <f t="shared" si="10"/>
        <v>-123.20000000000005</v>
      </c>
      <c r="Q69" s="382">
        <f t="shared" si="11"/>
        <v>-0.2759856630824374</v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4000</v>
      </c>
      <c r="J70" s="379">
        <f t="shared" si="8"/>
        <v>0</v>
      </c>
      <c r="K70" s="376"/>
      <c r="L70" s="505"/>
      <c r="M70" s="380">
        <f t="shared" si="13"/>
        <v>4000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4000</v>
      </c>
      <c r="J71" s="379">
        <f t="shared" si="8"/>
        <v>0</v>
      </c>
      <c r="K71" s="376"/>
      <c r="L71" s="505"/>
      <c r="M71" s="380">
        <f t="shared" si="13"/>
        <v>4000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4000</v>
      </c>
      <c r="J72" s="379">
        <f t="shared" si="8"/>
        <v>0</v>
      </c>
      <c r="K72" s="376"/>
      <c r="L72" s="505"/>
      <c r="M72" s="380">
        <f t="shared" si="13"/>
        <v>4000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4000</v>
      </c>
      <c r="J73" s="379">
        <f t="shared" si="8"/>
        <v>0</v>
      </c>
      <c r="K73" s="376"/>
      <c r="L73" s="505"/>
      <c r="M73" s="380">
        <f t="shared" si="13"/>
        <v>4000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22</v>
      </c>
      <c r="G74" s="377"/>
      <c r="H74" s="505">
        <f>+'2010 Existing Rates'!$D$24</f>
        <v>-1.4024</v>
      </c>
      <c r="I74" s="378">
        <f t="shared" si="12"/>
        <v>4000</v>
      </c>
      <c r="J74" s="379">
        <f t="shared" si="8"/>
        <v>-5609.6</v>
      </c>
      <c r="K74" s="376"/>
      <c r="L74" s="505">
        <f>+'Rate Schedule (Part 1)'!$E$41</f>
        <v>-0.41100197330267557</v>
      </c>
      <c r="M74" s="380">
        <f t="shared" si="13"/>
        <v>4000</v>
      </c>
      <c r="N74" s="379">
        <f t="shared" si="9"/>
        <v>-1644.0078932107024</v>
      </c>
      <c r="O74" s="376"/>
      <c r="P74" s="381">
        <f t="shared" si="10"/>
        <v>3965.5921067892978</v>
      </c>
      <c r="Q74" s="382">
        <f t="shared" si="11"/>
        <v>-0.7069295683808645</v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7483.6900000000005</v>
      </c>
      <c r="L79" s="385"/>
      <c r="M79" s="388"/>
      <c r="N79" s="387">
        <f>SUM(N64:N78)</f>
        <v>12235.980174768947</v>
      </c>
      <c r="P79" s="389">
        <f t="shared" si="10"/>
        <v>4752.290174768947</v>
      </c>
      <c r="Q79" s="390">
        <f t="shared" si="11"/>
        <v>0.6350196460260842</v>
      </c>
    </row>
    <row r="80" spans="4:17" ht="12.75">
      <c r="D80" s="391" t="s">
        <v>351</v>
      </c>
      <c r="E80" s="391"/>
      <c r="F80" s="515" t="s">
        <v>22</v>
      </c>
      <c r="G80" s="392"/>
      <c r="H80" s="506">
        <v>2.3905</v>
      </c>
      <c r="I80" s="393">
        <f>+J59</f>
        <v>4000</v>
      </c>
      <c r="J80" s="394">
        <f>I80*H80</f>
        <v>9562</v>
      </c>
      <c r="K80" s="391"/>
      <c r="L80" s="506">
        <f>+'[7]E1.1 Adj Network to Fcst Whsl'!$S$25</f>
        <v>2.2219964178097937</v>
      </c>
      <c r="M80" s="395">
        <f>+J59</f>
        <v>4000</v>
      </c>
      <c r="N80" s="394">
        <f>M80*L80</f>
        <v>8887.985671239176</v>
      </c>
      <c r="O80" s="391"/>
      <c r="P80" s="396">
        <f t="shared" si="10"/>
        <v>-674.0143287608244</v>
      </c>
      <c r="Q80" s="397">
        <f t="shared" si="11"/>
        <v>-0.07048884425442631</v>
      </c>
    </row>
    <row r="81" spans="4:17" ht="26.25" thickBot="1">
      <c r="D81" s="398" t="s">
        <v>352</v>
      </c>
      <c r="E81" s="391"/>
      <c r="F81" s="515" t="s">
        <v>22</v>
      </c>
      <c r="G81" s="392"/>
      <c r="H81" s="506">
        <v>1.9066</v>
      </c>
      <c r="I81" s="393">
        <f>I80</f>
        <v>4000</v>
      </c>
      <c r="J81" s="394">
        <f>I81*H81</f>
        <v>7626.400000000001</v>
      </c>
      <c r="K81" s="391"/>
      <c r="L81" s="506">
        <f>+'[7]E1.2 Adj Conn to Fcst Whsl'!$S$25</f>
        <v>1.8827040655031633</v>
      </c>
      <c r="M81" s="395">
        <f>M80</f>
        <v>4000</v>
      </c>
      <c r="N81" s="394">
        <f>M81*L81</f>
        <v>7530.816262012653</v>
      </c>
      <c r="O81" s="391"/>
      <c r="P81" s="396">
        <f t="shared" si="10"/>
        <v>-95.58373798734738</v>
      </c>
      <c r="Q81" s="397">
        <f t="shared" si="11"/>
        <v>-0.012533271004320173</v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24672.090000000004</v>
      </c>
      <c r="K82" s="403"/>
      <c r="L82" s="404"/>
      <c r="M82" s="405"/>
      <c r="N82" s="402">
        <f>SUM(N79:N81)</f>
        <v>28654.782108020776</v>
      </c>
      <c r="O82" s="403"/>
      <c r="P82" s="406">
        <f t="shared" si="10"/>
        <v>3982.692108020772</v>
      </c>
      <c r="Q82" s="407">
        <f t="shared" si="11"/>
        <v>0.1614249991800764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+$H59*(1+$H95)</f>
        <v>1656159.9999999998</v>
      </c>
      <c r="J83" s="379">
        <f aca="true" t="shared" si="14" ref="J83:J90">I83*H83</f>
        <v>8612.032</v>
      </c>
      <c r="K83" s="376"/>
      <c r="L83" s="505">
        <v>0.0052</v>
      </c>
      <c r="M83" s="380">
        <f>+M88</f>
        <v>1657905.996682765</v>
      </c>
      <c r="N83" s="379">
        <f aca="true" t="shared" si="15" ref="N83:N90">M83*L83</f>
        <v>8621.111182750377</v>
      </c>
      <c r="O83" s="376"/>
      <c r="P83" s="381">
        <f t="shared" si="10"/>
        <v>9.079182750378095</v>
      </c>
      <c r="Q83" s="382">
        <f t="shared" si="11"/>
        <v>0.0010542439636055806</v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+I83</f>
        <v>1656159.9999999998</v>
      </c>
      <c r="J84" s="379">
        <f t="shared" si="14"/>
        <v>2153.008</v>
      </c>
      <c r="K84" s="376"/>
      <c r="L84" s="505">
        <v>0.0013</v>
      </c>
      <c r="M84" s="380">
        <f>+M83</f>
        <v>1657905.996682765</v>
      </c>
      <c r="N84" s="379">
        <f t="shared" si="15"/>
        <v>2155.2777956875943</v>
      </c>
      <c r="O84" s="376"/>
      <c r="P84" s="381">
        <f t="shared" si="10"/>
        <v>2.2697956875945238</v>
      </c>
      <c r="Q84" s="382">
        <f t="shared" si="11"/>
        <v>0.0010542439636055806</v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+I83</f>
        <v>1656159.9999999998</v>
      </c>
      <c r="J85" s="379">
        <f t="shared" si="14"/>
        <v>617.74768</v>
      </c>
      <c r="K85" s="376"/>
      <c r="L85" s="508">
        <v>0.000373</v>
      </c>
      <c r="M85" s="380">
        <f>+M83</f>
        <v>1657905.996682765</v>
      </c>
      <c r="N85" s="379">
        <f t="shared" si="15"/>
        <v>618.3989367626714</v>
      </c>
      <c r="O85" s="376"/>
      <c r="P85" s="381">
        <f t="shared" si="10"/>
        <v>0.6512567626714372</v>
      </c>
      <c r="Q85" s="382">
        <f t="shared" si="11"/>
        <v>0.0010542439636057187</v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1600000</v>
      </c>
      <c r="J87" s="379">
        <f t="shared" si="14"/>
        <v>11200</v>
      </c>
      <c r="K87" s="376"/>
      <c r="L87" s="505">
        <v>0.007</v>
      </c>
      <c r="M87" s="380">
        <f>+$H59</f>
        <v>1600000</v>
      </c>
      <c r="N87" s="379">
        <f t="shared" si="15"/>
        <v>11200</v>
      </c>
      <c r="O87" s="376"/>
      <c r="P87" s="381">
        <f t="shared" si="10"/>
        <v>0</v>
      </c>
      <c r="Q87" s="382">
        <f t="shared" si="11"/>
        <v>0</v>
      </c>
    </row>
    <row r="88" spans="4:17" ht="12.75">
      <c r="D88" s="376" t="s">
        <v>359</v>
      </c>
      <c r="E88" s="376"/>
      <c r="F88" s="514" t="s">
        <v>53</v>
      </c>
      <c r="G88" s="377"/>
      <c r="H88" s="505">
        <f>+'Other Electriciy Rates'!$J$13</f>
        <v>0.065</v>
      </c>
      <c r="I88" s="378">
        <f>+$H59*(1+$H95)</f>
        <v>1656159.9999999998</v>
      </c>
      <c r="J88" s="379">
        <f t="shared" si="14"/>
        <v>107650.4</v>
      </c>
      <c r="K88" s="376"/>
      <c r="L88" s="505">
        <f>+'Other Electriciy Rates'!J$28</f>
        <v>0.065</v>
      </c>
      <c r="M88" s="378">
        <f>+$H59*(1+$L95)</f>
        <v>1657905.996682765</v>
      </c>
      <c r="N88" s="379">
        <f t="shared" si="15"/>
        <v>107763.88978437973</v>
      </c>
      <c r="O88" s="376"/>
      <c r="P88" s="381">
        <f t="shared" si="10"/>
        <v>113.4897843797371</v>
      </c>
      <c r="Q88" s="382">
        <f t="shared" si="11"/>
        <v>0.001054243963605682</v>
      </c>
    </row>
    <row r="89" spans="4:17" ht="12.75">
      <c r="D89" s="502"/>
      <c r="E89" s="376"/>
      <c r="F89" s="514"/>
      <c r="G89" s="377"/>
      <c r="H89" s="505"/>
      <c r="I89" s="509"/>
      <c r="J89" s="379">
        <f t="shared" si="14"/>
        <v>0</v>
      </c>
      <c r="K89" s="376"/>
      <c r="L89" s="505"/>
      <c r="M89" s="509"/>
      <c r="N89" s="379">
        <f t="shared" si="15"/>
        <v>0</v>
      </c>
      <c r="O89" s="376"/>
      <c r="P89" s="381">
        <f t="shared" si="10"/>
        <v>0</v>
      </c>
      <c r="Q89" s="382">
        <f t="shared" si="11"/>
      </c>
    </row>
    <row r="90" spans="4:17" ht="13.5" thickBot="1">
      <c r="D90" s="501"/>
      <c r="E90" s="376"/>
      <c r="F90" s="514"/>
      <c r="G90" s="377"/>
      <c r="H90" s="505"/>
      <c r="I90" s="509"/>
      <c r="J90" s="379">
        <f t="shared" si="14"/>
        <v>0</v>
      </c>
      <c r="K90" s="376"/>
      <c r="L90" s="505"/>
      <c r="M90" s="509"/>
      <c r="N90" s="379">
        <f t="shared" si="15"/>
        <v>0</v>
      </c>
      <c r="O90" s="376"/>
      <c r="P90" s="381">
        <f t="shared" si="10"/>
        <v>0</v>
      </c>
      <c r="Q90" s="382">
        <f t="shared" si="11"/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154905.52768</v>
      </c>
      <c r="K91" s="403"/>
      <c r="L91" s="411"/>
      <c r="M91" s="412"/>
      <c r="N91" s="402">
        <f>SUM(N82:N90)</f>
        <v>159013.70980760115</v>
      </c>
      <c r="O91" s="403"/>
      <c r="P91" s="406">
        <f>N91-J91</f>
        <v>4108.182127601147</v>
      </c>
      <c r="Q91" s="407">
        <f>IF((J91)=0,"",(P91/J91))</f>
        <v>0.02652056507684947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20137.7185984</v>
      </c>
      <c r="K92" s="376"/>
      <c r="L92" s="511">
        <v>0.13</v>
      </c>
      <c r="M92" s="415"/>
      <c r="N92" s="414">
        <f>N91*L92</f>
        <v>20671.78227498815</v>
      </c>
      <c r="O92" s="376"/>
      <c r="P92" s="381">
        <f>N92-J92</f>
        <v>534.06367658815</v>
      </c>
      <c r="Q92" s="382">
        <f>IF((J92)=0,"",(P92/J92))</f>
        <v>0.026520565076849516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175043.25</v>
      </c>
      <c r="K93" s="403"/>
      <c r="L93" s="404"/>
      <c r="M93" s="405"/>
      <c r="N93" s="402">
        <f>ROUND(SUM(N91:N92),2)</f>
        <v>179685.49</v>
      </c>
      <c r="O93" s="403"/>
      <c r="P93" s="406">
        <f>N93-J93</f>
        <v>4642.239999999991</v>
      </c>
      <c r="Q93" s="407">
        <f>IF((J93)=0,"",(P93/J93))</f>
        <v>0.02652053135439379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General Service &gt; 1000 to 4999kW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12" ht="12.75">
      <c r="B106" s="363" t="s">
        <v>53</v>
      </c>
      <c r="F106" s="367" t="s">
        <v>66</v>
      </c>
      <c r="G106" s="367"/>
      <c r="H106" s="504"/>
      <c r="I106" s="367" t="s">
        <v>332</v>
      </c>
      <c r="J106" s="504"/>
      <c r="L106" s="367" t="s">
        <v>16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83">
        <f>+'2010 Existing Rates'!$C$11</f>
        <v>926.33</v>
      </c>
      <c r="I111" s="378">
        <v>1</v>
      </c>
      <c r="J111" s="379">
        <f aca="true" t="shared" si="16" ref="J111:J125">I111*H111</f>
        <v>926.33</v>
      </c>
      <c r="K111" s="376"/>
      <c r="L111" s="583">
        <f>+'Rate Schedule (Part 1)'!$E$36</f>
        <v>1008.02</v>
      </c>
      <c r="M111" s="380">
        <v>1</v>
      </c>
      <c r="N111" s="379">
        <f aca="true" t="shared" si="17" ref="N111:N125">M111*L111</f>
        <v>1008.02</v>
      </c>
      <c r="O111" s="376"/>
      <c r="P111" s="381">
        <f aca="true" t="shared" si="18" ref="P111:P137">N111-J111</f>
        <v>81.68999999999994</v>
      </c>
      <c r="Q111" s="382">
        <f aca="true" t="shared" si="19" ref="Q111:Q137">IF((J111)=0,"",(P111/J111))</f>
        <v>0.08818671531743541</v>
      </c>
    </row>
    <row r="112" spans="4:17" ht="12.75">
      <c r="D112" s="376" t="s">
        <v>226</v>
      </c>
      <c r="E112" s="376"/>
      <c r="F112" s="514" t="s">
        <v>330</v>
      </c>
      <c r="G112" s="377"/>
      <c r="H112" s="583">
        <f>+'2010 Existing Rates'!$B$48</f>
        <v>2.16</v>
      </c>
      <c r="I112" s="378">
        <v>1</v>
      </c>
      <c r="J112" s="379">
        <f t="shared" si="16"/>
        <v>2.16</v>
      </c>
      <c r="K112" s="376"/>
      <c r="L112" s="583">
        <f>+'Rate Schedule (Part 1)'!$E$40</f>
        <v>-0.43193202035146244</v>
      </c>
      <c r="M112" s="380">
        <v>1</v>
      </c>
      <c r="N112" s="379">
        <f t="shared" si="17"/>
        <v>-0.43193202035146244</v>
      </c>
      <c r="O112" s="376"/>
      <c r="P112" s="381">
        <f t="shared" si="18"/>
        <v>-2.5919320203514626</v>
      </c>
      <c r="Q112" s="382">
        <f t="shared" si="19"/>
        <v>-1.199968527940492</v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22</v>
      </c>
      <c r="G115" s="377"/>
      <c r="H115" s="505">
        <f>+'2010 Existing Rates'!$D$61</f>
        <v>2.9296</v>
      </c>
      <c r="I115" s="378">
        <f>+J106</f>
        <v>0</v>
      </c>
      <c r="J115" s="379">
        <f t="shared" si="16"/>
        <v>0</v>
      </c>
      <c r="K115" s="376"/>
      <c r="L115" s="505">
        <f>+'Rate Schedule (Part 1)'!$E$37</f>
        <v>3.1373</v>
      </c>
      <c r="M115" s="380">
        <f>+J106</f>
        <v>0</v>
      </c>
      <c r="N115" s="379">
        <f t="shared" si="17"/>
        <v>0</v>
      </c>
      <c r="O115" s="376"/>
      <c r="P115" s="381">
        <f t="shared" si="18"/>
        <v>0</v>
      </c>
      <c r="Q115" s="382">
        <f t="shared" si="19"/>
      </c>
    </row>
    <row r="116" spans="4:17" ht="12.75">
      <c r="D116" s="376" t="s">
        <v>344</v>
      </c>
      <c r="E116" s="376"/>
      <c r="F116" s="514" t="s">
        <v>22</v>
      </c>
      <c r="G116" s="377"/>
      <c r="H116" s="505">
        <f>+'2010 Existing Rates'!$D$36</f>
        <v>0.1116</v>
      </c>
      <c r="I116" s="378">
        <f aca="true" t="shared" si="20" ref="I116:I121">I115</f>
        <v>0</v>
      </c>
      <c r="J116" s="379">
        <f t="shared" si="16"/>
        <v>0</v>
      </c>
      <c r="K116" s="376"/>
      <c r="L116" s="505">
        <f>+'Rate Schedule (Part 1)'!$E$38</f>
        <v>0.0808</v>
      </c>
      <c r="M116" s="380">
        <f aca="true" t="shared" si="21" ref="M116:M121">M115</f>
        <v>0</v>
      </c>
      <c r="N116" s="379">
        <f t="shared" si="17"/>
        <v>0</v>
      </c>
      <c r="O116" s="376"/>
      <c r="P116" s="381">
        <f t="shared" si="18"/>
        <v>0</v>
      </c>
      <c r="Q116" s="382">
        <f t="shared" si="19"/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0</v>
      </c>
      <c r="J117" s="379">
        <f t="shared" si="16"/>
        <v>0</v>
      </c>
      <c r="K117" s="376"/>
      <c r="L117" s="505"/>
      <c r="M117" s="380">
        <f t="shared" si="21"/>
        <v>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0</v>
      </c>
      <c r="J118" s="379">
        <f t="shared" si="16"/>
        <v>0</v>
      </c>
      <c r="K118" s="376"/>
      <c r="L118" s="505"/>
      <c r="M118" s="380">
        <f t="shared" si="21"/>
        <v>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0</v>
      </c>
      <c r="J119" s="379">
        <f t="shared" si="16"/>
        <v>0</v>
      </c>
      <c r="K119" s="376"/>
      <c r="L119" s="505"/>
      <c r="M119" s="380">
        <f t="shared" si="21"/>
        <v>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0</v>
      </c>
      <c r="J120" s="379">
        <f t="shared" si="16"/>
        <v>0</v>
      </c>
      <c r="K120" s="376"/>
      <c r="L120" s="505"/>
      <c r="M120" s="380">
        <f t="shared" si="21"/>
        <v>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22</v>
      </c>
      <c r="G121" s="377"/>
      <c r="H121" s="505">
        <f>+'2010 Existing Rates'!$D$24</f>
        <v>-1.4024</v>
      </c>
      <c r="I121" s="378">
        <f t="shared" si="20"/>
        <v>0</v>
      </c>
      <c r="J121" s="379">
        <f t="shared" si="16"/>
        <v>0</v>
      </c>
      <c r="K121" s="376"/>
      <c r="L121" s="505">
        <f>+'Rate Schedule (Part 1)'!$E$41</f>
        <v>-0.41100197330267557</v>
      </c>
      <c r="M121" s="380">
        <f t="shared" si="21"/>
        <v>0</v>
      </c>
      <c r="N121" s="379">
        <f t="shared" si="17"/>
        <v>0</v>
      </c>
      <c r="O121" s="376"/>
      <c r="P121" s="381">
        <f t="shared" si="18"/>
        <v>0</v>
      </c>
      <c r="Q121" s="382">
        <f t="shared" si="19"/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928.49</v>
      </c>
      <c r="L126" s="385"/>
      <c r="M126" s="388"/>
      <c r="N126" s="387">
        <f>SUM(N111:N125)</f>
        <v>1007.5880679796485</v>
      </c>
      <c r="P126" s="389">
        <f t="shared" si="18"/>
        <v>79.09806797964848</v>
      </c>
      <c r="Q126" s="390">
        <f t="shared" si="19"/>
        <v>0.08519000525546691</v>
      </c>
    </row>
    <row r="127" spans="4:17" ht="12.75">
      <c r="D127" s="391" t="s">
        <v>351</v>
      </c>
      <c r="E127" s="391"/>
      <c r="F127" s="515" t="s">
        <v>22</v>
      </c>
      <c r="G127" s="392"/>
      <c r="H127" s="506">
        <v>2.3905</v>
      </c>
      <c r="I127" s="393">
        <f>+J106</f>
        <v>0</v>
      </c>
      <c r="J127" s="394">
        <f>I127*H127</f>
        <v>0</v>
      </c>
      <c r="K127" s="391"/>
      <c r="L127" s="506">
        <f>+'[7]E1.1 Adj Network to Fcst Whsl'!$S$25</f>
        <v>2.2219964178097937</v>
      </c>
      <c r="M127" s="395">
        <f>+J106</f>
        <v>0</v>
      </c>
      <c r="N127" s="394">
        <f>M127*L127</f>
        <v>0</v>
      </c>
      <c r="O127" s="391"/>
      <c r="P127" s="396">
        <f t="shared" si="18"/>
        <v>0</v>
      </c>
      <c r="Q127" s="397">
        <f t="shared" si="19"/>
      </c>
    </row>
    <row r="128" spans="4:17" ht="26.25" thickBot="1">
      <c r="D128" s="398" t="s">
        <v>352</v>
      </c>
      <c r="E128" s="391"/>
      <c r="F128" s="515" t="s">
        <v>22</v>
      </c>
      <c r="G128" s="392"/>
      <c r="H128" s="506">
        <v>1.9066</v>
      </c>
      <c r="I128" s="393">
        <f>I127</f>
        <v>0</v>
      </c>
      <c r="J128" s="394">
        <f>I128*H128</f>
        <v>0</v>
      </c>
      <c r="K128" s="391"/>
      <c r="L128" s="506">
        <f>+'[7]E1.2 Adj Conn to Fcst Whsl'!$S$25</f>
        <v>1.8827040655031633</v>
      </c>
      <c r="M128" s="395">
        <f>M127</f>
        <v>0</v>
      </c>
      <c r="N128" s="394">
        <f>M128*L128</f>
        <v>0</v>
      </c>
      <c r="O128" s="391"/>
      <c r="P128" s="396">
        <f t="shared" si="18"/>
        <v>0</v>
      </c>
      <c r="Q128" s="397">
        <f t="shared" si="19"/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928.49</v>
      </c>
      <c r="K129" s="403"/>
      <c r="L129" s="404"/>
      <c r="M129" s="405"/>
      <c r="N129" s="402">
        <f>SUM(N126:N128)</f>
        <v>1007.5880679796485</v>
      </c>
      <c r="O129" s="403"/>
      <c r="P129" s="406">
        <f t="shared" si="18"/>
        <v>79.09806797964848</v>
      </c>
      <c r="Q129" s="407">
        <f t="shared" si="19"/>
        <v>0.08519000525546691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+$H106*(1+$H142)</f>
        <v>0</v>
      </c>
      <c r="J130" s="379">
        <f aca="true" t="shared" si="22" ref="J130:J137">I130*H130</f>
        <v>0</v>
      </c>
      <c r="K130" s="376"/>
      <c r="L130" s="505">
        <v>0.0052</v>
      </c>
      <c r="M130" s="380">
        <f>+M135</f>
        <v>0</v>
      </c>
      <c r="N130" s="379">
        <f aca="true" t="shared" si="23" ref="N130:N137">M130*L130</f>
        <v>0</v>
      </c>
      <c r="O130" s="376"/>
      <c r="P130" s="381">
        <f t="shared" si="18"/>
        <v>0</v>
      </c>
      <c r="Q130" s="382">
        <f t="shared" si="19"/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+I130</f>
        <v>0</v>
      </c>
      <c r="J131" s="379">
        <f t="shared" si="22"/>
        <v>0</v>
      </c>
      <c r="K131" s="376"/>
      <c r="L131" s="505">
        <v>0.0013</v>
      </c>
      <c r="M131" s="380">
        <f>+M130</f>
        <v>0</v>
      </c>
      <c r="N131" s="379">
        <f t="shared" si="23"/>
        <v>0</v>
      </c>
      <c r="O131" s="376"/>
      <c r="P131" s="381">
        <f t="shared" si="18"/>
        <v>0</v>
      </c>
      <c r="Q131" s="382">
        <f t="shared" si="19"/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+I130</f>
        <v>0</v>
      </c>
      <c r="J132" s="379">
        <f t="shared" si="22"/>
        <v>0</v>
      </c>
      <c r="K132" s="376"/>
      <c r="L132" s="508">
        <v>0.000373</v>
      </c>
      <c r="M132" s="380">
        <f>+M130</f>
        <v>0</v>
      </c>
      <c r="N132" s="379">
        <f t="shared" si="23"/>
        <v>0</v>
      </c>
      <c r="O132" s="376"/>
      <c r="P132" s="381">
        <f t="shared" si="18"/>
        <v>0</v>
      </c>
      <c r="Q132" s="382">
        <f t="shared" si="19"/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0</v>
      </c>
      <c r="J134" s="379">
        <f t="shared" si="22"/>
        <v>0</v>
      </c>
      <c r="K134" s="376"/>
      <c r="L134" s="505">
        <v>0.007</v>
      </c>
      <c r="M134" s="380">
        <f>+$H106</f>
        <v>0</v>
      </c>
      <c r="N134" s="379">
        <f t="shared" si="23"/>
        <v>0</v>
      </c>
      <c r="O134" s="376"/>
      <c r="P134" s="381">
        <f t="shared" si="18"/>
        <v>0</v>
      </c>
      <c r="Q134" s="382">
        <f t="shared" si="19"/>
      </c>
    </row>
    <row r="135" spans="4:17" ht="12.75">
      <c r="D135" s="376" t="s">
        <v>359</v>
      </c>
      <c r="E135" s="376"/>
      <c r="F135" s="514" t="s">
        <v>53</v>
      </c>
      <c r="G135" s="377"/>
      <c r="H135" s="505">
        <f>+'Other Electriciy Rates'!$J$13</f>
        <v>0.065</v>
      </c>
      <c r="I135" s="378">
        <f>+$H106*(1+$H142)</f>
        <v>0</v>
      </c>
      <c r="J135" s="379">
        <f t="shared" si="22"/>
        <v>0</v>
      </c>
      <c r="K135" s="376"/>
      <c r="L135" s="505">
        <f>+'Other Electriciy Rates'!J$28</f>
        <v>0.065</v>
      </c>
      <c r="M135" s="378">
        <f>+$H106*(1+$L142)</f>
        <v>0</v>
      </c>
      <c r="N135" s="379">
        <f t="shared" si="23"/>
        <v>0</v>
      </c>
      <c r="O135" s="376"/>
      <c r="P135" s="381">
        <f t="shared" si="18"/>
        <v>0</v>
      </c>
      <c r="Q135" s="382">
        <f t="shared" si="19"/>
      </c>
    </row>
    <row r="136" spans="4:17" ht="12.75">
      <c r="D136" s="502"/>
      <c r="E136" s="376"/>
      <c r="F136" s="514"/>
      <c r="G136" s="377"/>
      <c r="H136" s="505"/>
      <c r="I136" s="509"/>
      <c r="J136" s="379">
        <f t="shared" si="22"/>
        <v>0</v>
      </c>
      <c r="K136" s="376"/>
      <c r="L136" s="505"/>
      <c r="M136" s="509"/>
      <c r="N136" s="379">
        <f t="shared" si="23"/>
        <v>0</v>
      </c>
      <c r="O136" s="376"/>
      <c r="P136" s="381">
        <f t="shared" si="18"/>
        <v>0</v>
      </c>
      <c r="Q136" s="382">
        <f t="shared" si="19"/>
      </c>
    </row>
    <row r="137" spans="4:17" ht="13.5" thickBot="1">
      <c r="D137" s="501"/>
      <c r="E137" s="376"/>
      <c r="F137" s="514"/>
      <c r="G137" s="377"/>
      <c r="H137" s="505"/>
      <c r="I137" s="509"/>
      <c r="J137" s="379">
        <f t="shared" si="22"/>
        <v>0</v>
      </c>
      <c r="K137" s="376"/>
      <c r="L137" s="505"/>
      <c r="M137" s="509"/>
      <c r="N137" s="379">
        <f t="shared" si="23"/>
        <v>0</v>
      </c>
      <c r="O137" s="376"/>
      <c r="P137" s="381">
        <f t="shared" si="18"/>
        <v>0</v>
      </c>
      <c r="Q137" s="382">
        <f t="shared" si="19"/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928.74</v>
      </c>
      <c r="K138" s="403"/>
      <c r="L138" s="411"/>
      <c r="M138" s="412"/>
      <c r="N138" s="402">
        <f>SUM(N129:N137)</f>
        <v>1007.8380679796485</v>
      </c>
      <c r="O138" s="403"/>
      <c r="P138" s="406">
        <f>N138-J138</f>
        <v>79.09806797964848</v>
      </c>
      <c r="Q138" s="407">
        <f>IF((J138)=0,"",(P138/J138))</f>
        <v>0.08516707364778998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120.73620000000001</v>
      </c>
      <c r="K139" s="376"/>
      <c r="L139" s="511">
        <v>0.13</v>
      </c>
      <c r="M139" s="415"/>
      <c r="N139" s="414">
        <f>N138*L139</f>
        <v>131.01894883735432</v>
      </c>
      <c r="O139" s="376"/>
      <c r="P139" s="381">
        <f>N139-J139</f>
        <v>10.282748837354305</v>
      </c>
      <c r="Q139" s="382">
        <f>IF((J139)=0,"",(P139/J139))</f>
        <v>0.08516707364779001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1049.48</v>
      </c>
      <c r="K140" s="403"/>
      <c r="L140" s="404"/>
      <c r="M140" s="405"/>
      <c r="N140" s="402">
        <f>ROUND(SUM(N138:N139),2)</f>
        <v>1138.86</v>
      </c>
      <c r="O140" s="403"/>
      <c r="P140" s="406">
        <f>N140-J140</f>
        <v>89.37999999999988</v>
      </c>
      <c r="Q140" s="407">
        <f>IF((J140)=0,"",(P140/J140))</f>
        <v>0.08516598696497302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General Service &gt; 1000 to 4999kW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12" ht="12.75">
      <c r="B153" s="363" t="s">
        <v>53</v>
      </c>
      <c r="F153" s="367" t="s">
        <v>66</v>
      </c>
      <c r="G153" s="367"/>
      <c r="H153" s="504"/>
      <c r="I153" s="367" t="s">
        <v>332</v>
      </c>
      <c r="J153" s="504"/>
      <c r="L153" s="367" t="s">
        <v>16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83">
        <f>+'2010 Existing Rates'!$C$11</f>
        <v>926.33</v>
      </c>
      <c r="I158" s="378">
        <v>1</v>
      </c>
      <c r="J158" s="379">
        <f aca="true" t="shared" si="24" ref="J158:J172">I158*H158</f>
        <v>926.33</v>
      </c>
      <c r="K158" s="376"/>
      <c r="L158" s="583">
        <f>+'Rate Schedule (Part 1)'!$E$36</f>
        <v>1008.02</v>
      </c>
      <c r="M158" s="380">
        <v>1</v>
      </c>
      <c r="N158" s="379">
        <f aca="true" t="shared" si="25" ref="N158:N172">M158*L158</f>
        <v>1008.02</v>
      </c>
      <c r="O158" s="376"/>
      <c r="P158" s="381">
        <f aca="true" t="shared" si="26" ref="P158:P184">N158-J158</f>
        <v>81.68999999999994</v>
      </c>
      <c r="Q158" s="382">
        <f aca="true" t="shared" si="27" ref="Q158:Q184">IF((J158)=0,"",(P158/J158))</f>
        <v>0.08818671531743541</v>
      </c>
    </row>
    <row r="159" spans="4:17" ht="12.75">
      <c r="D159" s="376" t="s">
        <v>226</v>
      </c>
      <c r="E159" s="376"/>
      <c r="F159" s="514" t="s">
        <v>330</v>
      </c>
      <c r="G159" s="377"/>
      <c r="H159" s="583">
        <f>+'2010 Existing Rates'!$B$48</f>
        <v>2.16</v>
      </c>
      <c r="I159" s="378">
        <v>1</v>
      </c>
      <c r="J159" s="379">
        <f t="shared" si="24"/>
        <v>2.16</v>
      </c>
      <c r="K159" s="376"/>
      <c r="L159" s="583">
        <f>+'Rate Schedule (Part 1)'!$E$40</f>
        <v>-0.43193202035146244</v>
      </c>
      <c r="M159" s="380">
        <v>1</v>
      </c>
      <c r="N159" s="379">
        <f t="shared" si="25"/>
        <v>-0.43193202035146244</v>
      </c>
      <c r="O159" s="376"/>
      <c r="P159" s="381">
        <f t="shared" si="26"/>
        <v>-2.5919320203514626</v>
      </c>
      <c r="Q159" s="382">
        <f t="shared" si="27"/>
        <v>-1.199968527940492</v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22</v>
      </c>
      <c r="G162" s="377"/>
      <c r="H162" s="505">
        <f>+'2010 Existing Rates'!$D$61</f>
        <v>2.9296</v>
      </c>
      <c r="I162" s="378">
        <f>+J153</f>
        <v>0</v>
      </c>
      <c r="J162" s="379">
        <f t="shared" si="24"/>
        <v>0</v>
      </c>
      <c r="K162" s="376"/>
      <c r="L162" s="505">
        <f>+'Rate Schedule (Part 1)'!$E$37</f>
        <v>3.1373</v>
      </c>
      <c r="M162" s="380">
        <f>+J153</f>
        <v>0</v>
      </c>
      <c r="N162" s="379">
        <f t="shared" si="25"/>
        <v>0</v>
      </c>
      <c r="O162" s="376"/>
      <c r="P162" s="381">
        <f t="shared" si="26"/>
        <v>0</v>
      </c>
      <c r="Q162" s="382">
        <f t="shared" si="27"/>
      </c>
    </row>
    <row r="163" spans="4:17" ht="12.75">
      <c r="D163" s="376" t="s">
        <v>344</v>
      </c>
      <c r="E163" s="376"/>
      <c r="F163" s="514" t="s">
        <v>22</v>
      </c>
      <c r="G163" s="377"/>
      <c r="H163" s="505">
        <f>+'2010 Existing Rates'!$D$36</f>
        <v>0.1116</v>
      </c>
      <c r="I163" s="378">
        <f aca="true" t="shared" si="28" ref="I163:I168">I162</f>
        <v>0</v>
      </c>
      <c r="J163" s="379">
        <f t="shared" si="24"/>
        <v>0</v>
      </c>
      <c r="K163" s="376"/>
      <c r="L163" s="505">
        <f>+'Rate Schedule (Part 1)'!$E$38</f>
        <v>0.0808</v>
      </c>
      <c r="M163" s="380">
        <f aca="true" t="shared" si="29" ref="M163:M168">M162</f>
        <v>0</v>
      </c>
      <c r="N163" s="379">
        <f t="shared" si="25"/>
        <v>0</v>
      </c>
      <c r="O163" s="376"/>
      <c r="P163" s="381">
        <f t="shared" si="26"/>
        <v>0</v>
      </c>
      <c r="Q163" s="382">
        <f t="shared" si="27"/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0</v>
      </c>
      <c r="J164" s="379">
        <f t="shared" si="24"/>
        <v>0</v>
      </c>
      <c r="K164" s="376"/>
      <c r="L164" s="505"/>
      <c r="M164" s="380">
        <f t="shared" si="29"/>
        <v>0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0</v>
      </c>
      <c r="J165" s="379">
        <f t="shared" si="24"/>
        <v>0</v>
      </c>
      <c r="K165" s="376"/>
      <c r="L165" s="505"/>
      <c r="M165" s="380">
        <f t="shared" si="29"/>
        <v>0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0</v>
      </c>
      <c r="J166" s="379">
        <f t="shared" si="24"/>
        <v>0</v>
      </c>
      <c r="K166" s="376"/>
      <c r="L166" s="505"/>
      <c r="M166" s="380">
        <f t="shared" si="29"/>
        <v>0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0</v>
      </c>
      <c r="J167" s="379">
        <f t="shared" si="24"/>
        <v>0</v>
      </c>
      <c r="K167" s="376"/>
      <c r="L167" s="505"/>
      <c r="M167" s="380">
        <f t="shared" si="29"/>
        <v>0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22</v>
      </c>
      <c r="G168" s="377"/>
      <c r="H168" s="505">
        <f>+'2010 Existing Rates'!$D$24</f>
        <v>-1.4024</v>
      </c>
      <c r="I168" s="378">
        <f t="shared" si="28"/>
        <v>0</v>
      </c>
      <c r="J168" s="379">
        <f t="shared" si="24"/>
        <v>0</v>
      </c>
      <c r="K168" s="376"/>
      <c r="L168" s="505">
        <f>+'Rate Schedule (Part 1)'!$E$41</f>
        <v>-0.41100197330267557</v>
      </c>
      <c r="M168" s="380">
        <f t="shared" si="29"/>
        <v>0</v>
      </c>
      <c r="N168" s="379">
        <f t="shared" si="25"/>
        <v>0</v>
      </c>
      <c r="O168" s="376"/>
      <c r="P168" s="381">
        <f t="shared" si="26"/>
        <v>0</v>
      </c>
      <c r="Q168" s="382">
        <f t="shared" si="27"/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928.49</v>
      </c>
      <c r="L173" s="385"/>
      <c r="M173" s="388"/>
      <c r="N173" s="387">
        <f>SUM(N158:N172)</f>
        <v>1007.5880679796485</v>
      </c>
      <c r="P173" s="389">
        <f t="shared" si="26"/>
        <v>79.09806797964848</v>
      </c>
      <c r="Q173" s="390">
        <f t="shared" si="27"/>
        <v>0.08519000525546691</v>
      </c>
    </row>
    <row r="174" spans="4:17" ht="12.75">
      <c r="D174" s="391" t="s">
        <v>351</v>
      </c>
      <c r="E174" s="391"/>
      <c r="F174" s="515" t="s">
        <v>22</v>
      </c>
      <c r="G174" s="392"/>
      <c r="H174" s="506">
        <v>2.3905</v>
      </c>
      <c r="I174" s="393">
        <f>+J153</f>
        <v>0</v>
      </c>
      <c r="J174" s="394">
        <f>I174*H174</f>
        <v>0</v>
      </c>
      <c r="K174" s="391"/>
      <c r="L174" s="506">
        <f>+'[7]E1.1 Adj Network to Fcst Whsl'!$S$25</f>
        <v>2.2219964178097937</v>
      </c>
      <c r="M174" s="395">
        <f>+J153</f>
        <v>0</v>
      </c>
      <c r="N174" s="394">
        <f>M174*L174</f>
        <v>0</v>
      </c>
      <c r="O174" s="391"/>
      <c r="P174" s="396">
        <f t="shared" si="26"/>
        <v>0</v>
      </c>
      <c r="Q174" s="397">
        <f t="shared" si="27"/>
      </c>
    </row>
    <row r="175" spans="4:17" ht="26.25" thickBot="1">
      <c r="D175" s="398" t="s">
        <v>352</v>
      </c>
      <c r="E175" s="391"/>
      <c r="F175" s="515" t="s">
        <v>22</v>
      </c>
      <c r="G175" s="392"/>
      <c r="H175" s="506">
        <v>1.9066</v>
      </c>
      <c r="I175" s="393">
        <f>I174</f>
        <v>0</v>
      </c>
      <c r="J175" s="394">
        <f>I175*H175</f>
        <v>0</v>
      </c>
      <c r="K175" s="391"/>
      <c r="L175" s="506">
        <f>+'[7]E1.2 Adj Conn to Fcst Whsl'!$S$25</f>
        <v>1.8827040655031633</v>
      </c>
      <c r="M175" s="395">
        <f>M174</f>
        <v>0</v>
      </c>
      <c r="N175" s="394">
        <f>M175*L175</f>
        <v>0</v>
      </c>
      <c r="O175" s="391"/>
      <c r="P175" s="396">
        <f t="shared" si="26"/>
        <v>0</v>
      </c>
      <c r="Q175" s="397">
        <f t="shared" si="27"/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928.49</v>
      </c>
      <c r="K176" s="403"/>
      <c r="L176" s="404"/>
      <c r="M176" s="405"/>
      <c r="N176" s="402">
        <f>SUM(N173:N175)</f>
        <v>1007.5880679796485</v>
      </c>
      <c r="O176" s="403"/>
      <c r="P176" s="406">
        <f t="shared" si="26"/>
        <v>79.09806797964848</v>
      </c>
      <c r="Q176" s="407">
        <f t="shared" si="27"/>
        <v>0.08519000525546691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+$H153*(1+$H189)</f>
        <v>0</v>
      </c>
      <c r="J177" s="379">
        <f aca="true" t="shared" si="30" ref="J177:J184">I177*H177</f>
        <v>0</v>
      </c>
      <c r="K177" s="376"/>
      <c r="L177" s="505">
        <v>0.0052</v>
      </c>
      <c r="M177" s="380">
        <f>+M182</f>
        <v>0</v>
      </c>
      <c r="N177" s="379">
        <f aca="true" t="shared" si="31" ref="N177:N184">M177*L177</f>
        <v>0</v>
      </c>
      <c r="O177" s="376"/>
      <c r="P177" s="381">
        <f t="shared" si="26"/>
        <v>0</v>
      </c>
      <c r="Q177" s="382">
        <f t="shared" si="27"/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+I177</f>
        <v>0</v>
      </c>
      <c r="J178" s="379">
        <f t="shared" si="30"/>
        <v>0</v>
      </c>
      <c r="K178" s="376"/>
      <c r="L178" s="505">
        <v>0.0013</v>
      </c>
      <c r="M178" s="380">
        <f>+M177</f>
        <v>0</v>
      </c>
      <c r="N178" s="379">
        <f t="shared" si="31"/>
        <v>0</v>
      </c>
      <c r="O178" s="376"/>
      <c r="P178" s="381">
        <f t="shared" si="26"/>
        <v>0</v>
      </c>
      <c r="Q178" s="382">
        <f t="shared" si="27"/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+I177</f>
        <v>0</v>
      </c>
      <c r="J179" s="379">
        <f t="shared" si="30"/>
        <v>0</v>
      </c>
      <c r="K179" s="376"/>
      <c r="L179" s="508">
        <v>0.000373</v>
      </c>
      <c r="M179" s="380">
        <f>+M177</f>
        <v>0</v>
      </c>
      <c r="N179" s="379">
        <f t="shared" si="31"/>
        <v>0</v>
      </c>
      <c r="O179" s="376"/>
      <c r="P179" s="381">
        <f t="shared" si="26"/>
        <v>0</v>
      </c>
      <c r="Q179" s="382">
        <f t="shared" si="27"/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0</v>
      </c>
      <c r="J181" s="379">
        <f t="shared" si="30"/>
        <v>0</v>
      </c>
      <c r="K181" s="376"/>
      <c r="L181" s="505">
        <v>0.007</v>
      </c>
      <c r="M181" s="380">
        <f>+$H153</f>
        <v>0</v>
      </c>
      <c r="N181" s="379">
        <f t="shared" si="31"/>
        <v>0</v>
      </c>
      <c r="O181" s="376"/>
      <c r="P181" s="381">
        <f t="shared" si="26"/>
        <v>0</v>
      </c>
      <c r="Q181" s="382">
        <f t="shared" si="27"/>
      </c>
    </row>
    <row r="182" spans="4:17" ht="12.75">
      <c r="D182" s="376" t="s">
        <v>359</v>
      </c>
      <c r="E182" s="376"/>
      <c r="F182" s="514" t="s">
        <v>53</v>
      </c>
      <c r="G182" s="377"/>
      <c r="H182" s="505">
        <f>+'Other Electriciy Rates'!$J$13</f>
        <v>0.065</v>
      </c>
      <c r="I182" s="378">
        <f>+$H153*(1+$H189)</f>
        <v>0</v>
      </c>
      <c r="J182" s="379">
        <f t="shared" si="30"/>
        <v>0</v>
      </c>
      <c r="K182" s="376"/>
      <c r="L182" s="505">
        <f>+'Other Electriciy Rates'!J$28</f>
        <v>0.065</v>
      </c>
      <c r="M182" s="378">
        <f>+$H153*(1+$L189)</f>
        <v>0</v>
      </c>
      <c r="N182" s="379">
        <f t="shared" si="31"/>
        <v>0</v>
      </c>
      <c r="O182" s="376"/>
      <c r="P182" s="381">
        <f t="shared" si="26"/>
        <v>0</v>
      </c>
      <c r="Q182" s="382">
        <f t="shared" si="27"/>
      </c>
    </row>
    <row r="183" spans="4:17" ht="12.75">
      <c r="D183" s="502"/>
      <c r="E183" s="376"/>
      <c r="F183" s="514"/>
      <c r="G183" s="377"/>
      <c r="H183" s="505"/>
      <c r="I183" s="509"/>
      <c r="J183" s="379">
        <f t="shared" si="30"/>
        <v>0</v>
      </c>
      <c r="K183" s="376"/>
      <c r="L183" s="505"/>
      <c r="M183" s="509"/>
      <c r="N183" s="379">
        <f t="shared" si="31"/>
        <v>0</v>
      </c>
      <c r="O183" s="376"/>
      <c r="P183" s="381">
        <f t="shared" si="26"/>
        <v>0</v>
      </c>
      <c r="Q183" s="382">
        <f t="shared" si="27"/>
      </c>
    </row>
    <row r="184" spans="4:17" ht="13.5" thickBot="1">
      <c r="D184" s="501"/>
      <c r="E184" s="376"/>
      <c r="F184" s="514"/>
      <c r="G184" s="377"/>
      <c r="H184" s="505"/>
      <c r="I184" s="509"/>
      <c r="J184" s="379">
        <f t="shared" si="30"/>
        <v>0</v>
      </c>
      <c r="K184" s="376"/>
      <c r="L184" s="505"/>
      <c r="M184" s="509"/>
      <c r="N184" s="379">
        <f t="shared" si="31"/>
        <v>0</v>
      </c>
      <c r="O184" s="376"/>
      <c r="P184" s="381">
        <f t="shared" si="26"/>
        <v>0</v>
      </c>
      <c r="Q184" s="382">
        <f t="shared" si="27"/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928.74</v>
      </c>
      <c r="K185" s="403"/>
      <c r="L185" s="411"/>
      <c r="M185" s="412"/>
      <c r="N185" s="402">
        <f>SUM(N176:N184)</f>
        <v>1007.8380679796485</v>
      </c>
      <c r="O185" s="403"/>
      <c r="P185" s="406">
        <f>N185-J185</f>
        <v>79.09806797964848</v>
      </c>
      <c r="Q185" s="407">
        <f>IF((J185)=0,"",(P185/J185))</f>
        <v>0.08516707364778998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120.73620000000001</v>
      </c>
      <c r="K186" s="376"/>
      <c r="L186" s="511">
        <v>0.13</v>
      </c>
      <c r="M186" s="415"/>
      <c r="N186" s="414">
        <f>N185*L186</f>
        <v>131.01894883735432</v>
      </c>
      <c r="O186" s="376"/>
      <c r="P186" s="381">
        <f>N186-J186</f>
        <v>10.282748837354305</v>
      </c>
      <c r="Q186" s="382">
        <f>IF((J186)=0,"",(P186/J186))</f>
        <v>0.08516707364779001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1049.48</v>
      </c>
      <c r="K187" s="403"/>
      <c r="L187" s="404"/>
      <c r="M187" s="405"/>
      <c r="N187" s="402">
        <f>ROUND(SUM(N185:N186),2)</f>
        <v>1138.86</v>
      </c>
      <c r="O187" s="403"/>
      <c r="P187" s="406">
        <f>N187-J187</f>
        <v>89.37999999999988</v>
      </c>
      <c r="Q187" s="407">
        <f>IF((J187)=0,"",(P187/J187))</f>
        <v>0.08516598696497302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General Service &gt; 1000 to 4999kW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12" ht="12.75">
      <c r="B200" s="363" t="s">
        <v>53</v>
      </c>
      <c r="F200" s="367" t="s">
        <v>66</v>
      </c>
      <c r="G200" s="367"/>
      <c r="H200" s="504"/>
      <c r="I200" s="367" t="s">
        <v>332</v>
      </c>
      <c r="J200" s="504"/>
      <c r="L200" s="367" t="s">
        <v>16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83">
        <f>+'2010 Existing Rates'!$C$11</f>
        <v>926.33</v>
      </c>
      <c r="I205" s="378">
        <v>1</v>
      </c>
      <c r="J205" s="379">
        <f aca="true" t="shared" si="32" ref="J205:J219">I205*H205</f>
        <v>926.33</v>
      </c>
      <c r="K205" s="376"/>
      <c r="L205" s="583">
        <f>+'Rate Schedule (Part 1)'!$E$36</f>
        <v>1008.02</v>
      </c>
      <c r="M205" s="380">
        <v>1</v>
      </c>
      <c r="N205" s="379">
        <f aca="true" t="shared" si="33" ref="N205:N219">M205*L205</f>
        <v>1008.02</v>
      </c>
      <c r="O205" s="376"/>
      <c r="P205" s="381">
        <f aca="true" t="shared" si="34" ref="P205:P231">N205-J205</f>
        <v>81.68999999999994</v>
      </c>
      <c r="Q205" s="382">
        <f aca="true" t="shared" si="35" ref="Q205:Q231">IF((J205)=0,"",(P205/J205))</f>
        <v>0.08818671531743541</v>
      </c>
    </row>
    <row r="206" spans="4:17" ht="12.75">
      <c r="D206" s="376" t="s">
        <v>226</v>
      </c>
      <c r="E206" s="376"/>
      <c r="F206" s="514" t="s">
        <v>330</v>
      </c>
      <c r="G206" s="377"/>
      <c r="H206" s="583">
        <f>+'2010 Existing Rates'!$B$48</f>
        <v>2.16</v>
      </c>
      <c r="I206" s="378">
        <v>1</v>
      </c>
      <c r="J206" s="379">
        <f t="shared" si="32"/>
        <v>2.16</v>
      </c>
      <c r="K206" s="376"/>
      <c r="L206" s="583">
        <f>+'Rate Schedule (Part 1)'!$E$40</f>
        <v>-0.43193202035146244</v>
      </c>
      <c r="M206" s="380">
        <v>1</v>
      </c>
      <c r="N206" s="379">
        <f t="shared" si="33"/>
        <v>-0.43193202035146244</v>
      </c>
      <c r="O206" s="376"/>
      <c r="P206" s="381">
        <f t="shared" si="34"/>
        <v>-2.5919320203514626</v>
      </c>
      <c r="Q206" s="382">
        <f t="shared" si="35"/>
        <v>-1.199968527940492</v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83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22</v>
      </c>
      <c r="G209" s="377"/>
      <c r="H209" s="505">
        <f>+'2010 Existing Rates'!$D$61</f>
        <v>2.9296</v>
      </c>
      <c r="I209" s="378">
        <f>+J200</f>
        <v>0</v>
      </c>
      <c r="J209" s="379">
        <f t="shared" si="32"/>
        <v>0</v>
      </c>
      <c r="K209" s="376"/>
      <c r="L209" s="505">
        <f>+'Rate Schedule (Part 1)'!$E$37</f>
        <v>3.1373</v>
      </c>
      <c r="M209" s="380">
        <f>+J200</f>
        <v>0</v>
      </c>
      <c r="N209" s="379">
        <f t="shared" si="33"/>
        <v>0</v>
      </c>
      <c r="O209" s="376"/>
      <c r="P209" s="381">
        <f t="shared" si="34"/>
        <v>0</v>
      </c>
      <c r="Q209" s="382">
        <f t="shared" si="35"/>
      </c>
    </row>
    <row r="210" spans="4:17" ht="12.75">
      <c r="D210" s="376" t="s">
        <v>344</v>
      </c>
      <c r="E210" s="376"/>
      <c r="F210" s="514" t="s">
        <v>22</v>
      </c>
      <c r="G210" s="377"/>
      <c r="H210" s="505">
        <f>+'2010 Existing Rates'!$D$36</f>
        <v>0.1116</v>
      </c>
      <c r="I210" s="378">
        <f aca="true" t="shared" si="36" ref="I210:I215">I209</f>
        <v>0</v>
      </c>
      <c r="J210" s="379">
        <f t="shared" si="32"/>
        <v>0</v>
      </c>
      <c r="K210" s="376"/>
      <c r="L210" s="505">
        <f>+'Rate Schedule (Part 1)'!$E$38</f>
        <v>0.0808</v>
      </c>
      <c r="M210" s="380">
        <f aca="true" t="shared" si="37" ref="M210:M215">M209</f>
        <v>0</v>
      </c>
      <c r="N210" s="379">
        <f t="shared" si="33"/>
        <v>0</v>
      </c>
      <c r="O210" s="376"/>
      <c r="P210" s="381">
        <f t="shared" si="34"/>
        <v>0</v>
      </c>
      <c r="Q210" s="382">
        <f t="shared" si="35"/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0</v>
      </c>
      <c r="J211" s="379">
        <f t="shared" si="32"/>
        <v>0</v>
      </c>
      <c r="K211" s="376"/>
      <c r="L211" s="505"/>
      <c r="M211" s="380">
        <f t="shared" si="37"/>
        <v>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0</v>
      </c>
      <c r="J212" s="379">
        <f t="shared" si="32"/>
        <v>0</v>
      </c>
      <c r="K212" s="376"/>
      <c r="L212" s="505"/>
      <c r="M212" s="380">
        <f t="shared" si="37"/>
        <v>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0</v>
      </c>
      <c r="J213" s="379">
        <f t="shared" si="32"/>
        <v>0</v>
      </c>
      <c r="K213" s="376"/>
      <c r="L213" s="505"/>
      <c r="M213" s="380">
        <f t="shared" si="37"/>
        <v>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0</v>
      </c>
      <c r="J214" s="379">
        <f t="shared" si="32"/>
        <v>0</v>
      </c>
      <c r="K214" s="376"/>
      <c r="L214" s="505"/>
      <c r="M214" s="380">
        <f t="shared" si="37"/>
        <v>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22</v>
      </c>
      <c r="G215" s="377"/>
      <c r="H215" s="505">
        <f>+'2010 Existing Rates'!$D$24</f>
        <v>-1.4024</v>
      </c>
      <c r="I215" s="378">
        <f t="shared" si="36"/>
        <v>0</v>
      </c>
      <c r="J215" s="379">
        <f t="shared" si="32"/>
        <v>0</v>
      </c>
      <c r="K215" s="376"/>
      <c r="L215" s="505">
        <f>+'Rate Schedule (Part 1)'!$E$41</f>
        <v>-0.41100197330267557</v>
      </c>
      <c r="M215" s="380">
        <f t="shared" si="37"/>
        <v>0</v>
      </c>
      <c r="N215" s="379">
        <f t="shared" si="33"/>
        <v>0</v>
      </c>
      <c r="O215" s="376"/>
      <c r="P215" s="381">
        <f t="shared" si="34"/>
        <v>0</v>
      </c>
      <c r="Q215" s="382">
        <f t="shared" si="35"/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928.49</v>
      </c>
      <c r="L220" s="385"/>
      <c r="M220" s="388"/>
      <c r="N220" s="387">
        <f>SUM(N205:N219)</f>
        <v>1007.5880679796485</v>
      </c>
      <c r="P220" s="389">
        <f t="shared" si="34"/>
        <v>79.09806797964848</v>
      </c>
      <c r="Q220" s="390">
        <f t="shared" si="35"/>
        <v>0.08519000525546691</v>
      </c>
    </row>
    <row r="221" spans="4:17" ht="12.75">
      <c r="D221" s="391" t="s">
        <v>351</v>
      </c>
      <c r="E221" s="391"/>
      <c r="F221" s="515" t="s">
        <v>22</v>
      </c>
      <c r="G221" s="392"/>
      <c r="H221" s="506">
        <v>2.3905</v>
      </c>
      <c r="I221" s="393">
        <f>+J200</f>
        <v>0</v>
      </c>
      <c r="J221" s="394">
        <f>I221*H221</f>
        <v>0</v>
      </c>
      <c r="K221" s="391"/>
      <c r="L221" s="506">
        <f>+'[7]E1.1 Adj Network to Fcst Whsl'!$S$25</f>
        <v>2.2219964178097937</v>
      </c>
      <c r="M221" s="395">
        <f>+J200</f>
        <v>0</v>
      </c>
      <c r="N221" s="394">
        <f>M221*L221</f>
        <v>0</v>
      </c>
      <c r="O221" s="391"/>
      <c r="P221" s="396">
        <f t="shared" si="34"/>
        <v>0</v>
      </c>
      <c r="Q221" s="397">
        <f t="shared" si="35"/>
      </c>
    </row>
    <row r="222" spans="4:17" ht="26.25" thickBot="1">
      <c r="D222" s="398" t="s">
        <v>352</v>
      </c>
      <c r="E222" s="391"/>
      <c r="F222" s="515" t="s">
        <v>22</v>
      </c>
      <c r="G222" s="392"/>
      <c r="H222" s="506">
        <v>1.9066</v>
      </c>
      <c r="I222" s="393">
        <f>I221</f>
        <v>0</v>
      </c>
      <c r="J222" s="394">
        <f>I222*H222</f>
        <v>0</v>
      </c>
      <c r="K222" s="391"/>
      <c r="L222" s="506">
        <f>+'[7]E1.2 Adj Conn to Fcst Whsl'!$S$25</f>
        <v>1.8827040655031633</v>
      </c>
      <c r="M222" s="395">
        <f>M221</f>
        <v>0</v>
      </c>
      <c r="N222" s="394">
        <f>M222*L222</f>
        <v>0</v>
      </c>
      <c r="O222" s="391"/>
      <c r="P222" s="396">
        <f t="shared" si="34"/>
        <v>0</v>
      </c>
      <c r="Q222" s="397">
        <f t="shared" si="35"/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928.49</v>
      </c>
      <c r="K223" s="403"/>
      <c r="L223" s="404"/>
      <c r="M223" s="405"/>
      <c r="N223" s="402">
        <f>SUM(N220:N222)</f>
        <v>1007.5880679796485</v>
      </c>
      <c r="O223" s="403"/>
      <c r="P223" s="406">
        <f t="shared" si="34"/>
        <v>79.09806797964848</v>
      </c>
      <c r="Q223" s="407">
        <f t="shared" si="35"/>
        <v>0.08519000525546691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+$H200*(1+$H236)</f>
        <v>0</v>
      </c>
      <c r="J224" s="379">
        <f aca="true" t="shared" si="38" ref="J224:J231">I224*H224</f>
        <v>0</v>
      </c>
      <c r="K224" s="376"/>
      <c r="L224" s="505">
        <v>0.0052</v>
      </c>
      <c r="M224" s="380">
        <f>+M229</f>
        <v>0</v>
      </c>
      <c r="N224" s="379">
        <f aca="true" t="shared" si="39" ref="N224:N231">M224*L224</f>
        <v>0</v>
      </c>
      <c r="O224" s="376"/>
      <c r="P224" s="381">
        <f t="shared" si="34"/>
        <v>0</v>
      </c>
      <c r="Q224" s="382">
        <f t="shared" si="35"/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+I224</f>
        <v>0</v>
      </c>
      <c r="J225" s="379">
        <f t="shared" si="38"/>
        <v>0</v>
      </c>
      <c r="K225" s="376"/>
      <c r="L225" s="505">
        <v>0.0013</v>
      </c>
      <c r="M225" s="380">
        <f>+M224</f>
        <v>0</v>
      </c>
      <c r="N225" s="379">
        <f t="shared" si="39"/>
        <v>0</v>
      </c>
      <c r="O225" s="376"/>
      <c r="P225" s="381">
        <f t="shared" si="34"/>
        <v>0</v>
      </c>
      <c r="Q225" s="382">
        <f t="shared" si="35"/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+I224</f>
        <v>0</v>
      </c>
      <c r="J226" s="379">
        <f t="shared" si="38"/>
        <v>0</v>
      </c>
      <c r="K226" s="376"/>
      <c r="L226" s="508">
        <v>0.000373</v>
      </c>
      <c r="M226" s="380">
        <f>+M224</f>
        <v>0</v>
      </c>
      <c r="N226" s="379">
        <f t="shared" si="39"/>
        <v>0</v>
      </c>
      <c r="O226" s="376"/>
      <c r="P226" s="381">
        <f t="shared" si="34"/>
        <v>0</v>
      </c>
      <c r="Q226" s="382">
        <f t="shared" si="35"/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0</v>
      </c>
      <c r="J228" s="379">
        <f t="shared" si="38"/>
        <v>0</v>
      </c>
      <c r="K228" s="376"/>
      <c r="L228" s="505">
        <v>0.007</v>
      </c>
      <c r="M228" s="380">
        <f>+$H200</f>
        <v>0</v>
      </c>
      <c r="N228" s="379">
        <f t="shared" si="39"/>
        <v>0</v>
      </c>
      <c r="O228" s="376"/>
      <c r="P228" s="381">
        <f t="shared" si="34"/>
        <v>0</v>
      </c>
      <c r="Q228" s="382">
        <f t="shared" si="35"/>
      </c>
    </row>
    <row r="229" spans="4:17" ht="12.75">
      <c r="D229" s="376" t="s">
        <v>359</v>
      </c>
      <c r="E229" s="376"/>
      <c r="F229" s="514" t="s">
        <v>53</v>
      </c>
      <c r="G229" s="377"/>
      <c r="H229" s="505">
        <f>+'Other Electriciy Rates'!$J$13</f>
        <v>0.065</v>
      </c>
      <c r="I229" s="378">
        <f>+$H200*(1+$H236)</f>
        <v>0</v>
      </c>
      <c r="J229" s="379">
        <f t="shared" si="38"/>
        <v>0</v>
      </c>
      <c r="K229" s="376"/>
      <c r="L229" s="505">
        <f>+'Other Electriciy Rates'!J$28</f>
        <v>0.065</v>
      </c>
      <c r="M229" s="378">
        <f>+$H200*(1+$L236)</f>
        <v>0</v>
      </c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/>
      <c r="E230" s="376"/>
      <c r="F230" s="514"/>
      <c r="G230" s="377"/>
      <c r="H230" s="505"/>
      <c r="I230" s="509"/>
      <c r="J230" s="379">
        <f t="shared" si="38"/>
        <v>0</v>
      </c>
      <c r="K230" s="376"/>
      <c r="L230" s="505"/>
      <c r="M230" s="509"/>
      <c r="N230" s="379">
        <f t="shared" si="39"/>
        <v>0</v>
      </c>
      <c r="O230" s="376"/>
      <c r="P230" s="381">
        <f t="shared" si="34"/>
        <v>0</v>
      </c>
      <c r="Q230" s="382">
        <f t="shared" si="35"/>
      </c>
    </row>
    <row r="231" spans="4:17" ht="13.5" thickBot="1">
      <c r="D231" s="501"/>
      <c r="E231" s="376"/>
      <c r="F231" s="514"/>
      <c r="G231" s="377"/>
      <c r="H231" s="505"/>
      <c r="I231" s="509"/>
      <c r="J231" s="379">
        <f t="shared" si="38"/>
        <v>0</v>
      </c>
      <c r="K231" s="376"/>
      <c r="L231" s="505"/>
      <c r="M231" s="509"/>
      <c r="N231" s="379">
        <f t="shared" si="39"/>
        <v>0</v>
      </c>
      <c r="O231" s="376"/>
      <c r="P231" s="381">
        <f t="shared" si="34"/>
        <v>0</v>
      </c>
      <c r="Q231" s="382">
        <f t="shared" si="35"/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928.74</v>
      </c>
      <c r="K232" s="403"/>
      <c r="L232" s="411"/>
      <c r="M232" s="412"/>
      <c r="N232" s="402">
        <f>SUM(N223:N231)</f>
        <v>1007.8380679796485</v>
      </c>
      <c r="O232" s="403"/>
      <c r="P232" s="406">
        <f>N232-J232</f>
        <v>79.09806797964848</v>
      </c>
      <c r="Q232" s="407">
        <f>IF((J232)=0,"",(P232/J232))</f>
        <v>0.08516707364778998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120.73620000000001</v>
      </c>
      <c r="K233" s="376"/>
      <c r="L233" s="511">
        <v>0.13</v>
      </c>
      <c r="M233" s="415"/>
      <c r="N233" s="414">
        <f>N232*L233</f>
        <v>131.01894883735432</v>
      </c>
      <c r="O233" s="376"/>
      <c r="P233" s="381">
        <f>N233-J233</f>
        <v>10.282748837354305</v>
      </c>
      <c r="Q233" s="382">
        <f>IF((J233)=0,"",(P233/J233))</f>
        <v>0.08516707364779001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1049.48</v>
      </c>
      <c r="K234" s="403"/>
      <c r="L234" s="404"/>
      <c r="M234" s="405"/>
      <c r="N234" s="402">
        <f>ROUND(SUM(N232:N233),2)</f>
        <v>1138.86</v>
      </c>
      <c r="O234" s="403"/>
      <c r="P234" s="406">
        <f>N234-J234</f>
        <v>89.37999999999988</v>
      </c>
      <c r="Q234" s="407">
        <f>IF((J234)=0,"",(P234/J234))</f>
        <v>0.08516598696497302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General Service &gt; 1000 to 4999kW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12" ht="12.75">
      <c r="B247" s="363" t="s">
        <v>53</v>
      </c>
      <c r="F247" s="367" t="s">
        <v>66</v>
      </c>
      <c r="G247" s="367"/>
      <c r="H247" s="504"/>
      <c r="I247" s="367" t="s">
        <v>332</v>
      </c>
      <c r="J247" s="504"/>
      <c r="L247" s="367" t="s">
        <v>16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83">
        <f>+'2010 Existing Rates'!$C$11</f>
        <v>926.33</v>
      </c>
      <c r="I252" s="378">
        <v>1</v>
      </c>
      <c r="J252" s="379">
        <f aca="true" t="shared" si="40" ref="J252:J266">I252*H252</f>
        <v>926.33</v>
      </c>
      <c r="K252" s="376"/>
      <c r="L252" s="583">
        <f>+'Rate Schedule (Part 1)'!$E$36</f>
        <v>1008.02</v>
      </c>
      <c r="M252" s="380">
        <v>1</v>
      </c>
      <c r="N252" s="379">
        <f aca="true" t="shared" si="41" ref="N252:N266">M252*L252</f>
        <v>1008.02</v>
      </c>
      <c r="O252" s="376"/>
      <c r="P252" s="381">
        <f aca="true" t="shared" si="42" ref="P252:P278">N252-J252</f>
        <v>81.68999999999994</v>
      </c>
      <c r="Q252" s="382">
        <f aca="true" t="shared" si="43" ref="Q252:Q278">IF((J252)=0,"",(P252/J252))</f>
        <v>0.08818671531743541</v>
      </c>
    </row>
    <row r="253" spans="4:17" ht="12.75">
      <c r="D253" s="376" t="s">
        <v>226</v>
      </c>
      <c r="E253" s="376"/>
      <c r="F253" s="514" t="s">
        <v>330</v>
      </c>
      <c r="G253" s="377"/>
      <c r="H253" s="583">
        <f>+'2010 Existing Rates'!$B$48</f>
        <v>2.16</v>
      </c>
      <c r="I253" s="378">
        <v>1</v>
      </c>
      <c r="J253" s="379">
        <f t="shared" si="40"/>
        <v>2.16</v>
      </c>
      <c r="K253" s="376"/>
      <c r="L253" s="583">
        <f>+'Rate Schedule (Part 1)'!$E$40</f>
        <v>-0.43193202035146244</v>
      </c>
      <c r="M253" s="380">
        <v>1</v>
      </c>
      <c r="N253" s="379">
        <f t="shared" si="41"/>
        <v>-0.43193202035146244</v>
      </c>
      <c r="O253" s="376"/>
      <c r="P253" s="381">
        <f t="shared" si="42"/>
        <v>-2.5919320203514626</v>
      </c>
      <c r="Q253" s="382">
        <f t="shared" si="43"/>
        <v>-1.199968527940492</v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22</v>
      </c>
      <c r="G256" s="377"/>
      <c r="H256" s="505">
        <f>+'2010 Existing Rates'!$D$61</f>
        <v>2.9296</v>
      </c>
      <c r="I256" s="378">
        <f>+J247</f>
        <v>0</v>
      </c>
      <c r="J256" s="379">
        <f t="shared" si="40"/>
        <v>0</v>
      </c>
      <c r="K256" s="376"/>
      <c r="L256" s="505">
        <f>+'Rate Schedule (Part 1)'!$E$37</f>
        <v>3.1373</v>
      </c>
      <c r="M256" s="380">
        <f>+J247</f>
        <v>0</v>
      </c>
      <c r="N256" s="379">
        <f t="shared" si="41"/>
        <v>0</v>
      </c>
      <c r="O256" s="376"/>
      <c r="P256" s="381">
        <f t="shared" si="42"/>
        <v>0</v>
      </c>
      <c r="Q256" s="382">
        <f t="shared" si="43"/>
      </c>
    </row>
    <row r="257" spans="4:17" ht="12.75">
      <c r="D257" s="376" t="s">
        <v>344</v>
      </c>
      <c r="E257" s="376"/>
      <c r="F257" s="514" t="s">
        <v>22</v>
      </c>
      <c r="G257" s="377"/>
      <c r="H257" s="505">
        <f>+'2010 Existing Rates'!$D$36</f>
        <v>0.1116</v>
      </c>
      <c r="I257" s="378">
        <f aca="true" t="shared" si="44" ref="I257:I262">I256</f>
        <v>0</v>
      </c>
      <c r="J257" s="379">
        <f t="shared" si="40"/>
        <v>0</v>
      </c>
      <c r="K257" s="376"/>
      <c r="L257" s="505">
        <f>+'Rate Schedule (Part 1)'!$E$38</f>
        <v>0.0808</v>
      </c>
      <c r="M257" s="380">
        <f aca="true" t="shared" si="45" ref="M257:M262">M256</f>
        <v>0</v>
      </c>
      <c r="N257" s="379">
        <f t="shared" si="41"/>
        <v>0</v>
      </c>
      <c r="O257" s="376"/>
      <c r="P257" s="381">
        <f t="shared" si="42"/>
        <v>0</v>
      </c>
      <c r="Q257" s="382">
        <f t="shared" si="43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0</v>
      </c>
      <c r="J258" s="379">
        <f t="shared" si="40"/>
        <v>0</v>
      </c>
      <c r="K258" s="376"/>
      <c r="L258" s="505"/>
      <c r="M258" s="380">
        <f t="shared" si="45"/>
        <v>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0</v>
      </c>
      <c r="J259" s="379">
        <f t="shared" si="40"/>
        <v>0</v>
      </c>
      <c r="K259" s="376"/>
      <c r="L259" s="505"/>
      <c r="M259" s="380">
        <f t="shared" si="45"/>
        <v>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0</v>
      </c>
      <c r="J260" s="379">
        <f t="shared" si="40"/>
        <v>0</v>
      </c>
      <c r="K260" s="376"/>
      <c r="L260" s="505"/>
      <c r="M260" s="380">
        <f t="shared" si="45"/>
        <v>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0</v>
      </c>
      <c r="J261" s="379">
        <f t="shared" si="40"/>
        <v>0</v>
      </c>
      <c r="K261" s="376"/>
      <c r="L261" s="505"/>
      <c r="M261" s="380">
        <f t="shared" si="45"/>
        <v>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22</v>
      </c>
      <c r="G262" s="377"/>
      <c r="H262" s="505">
        <f>+'2010 Existing Rates'!$D$24</f>
        <v>-1.4024</v>
      </c>
      <c r="I262" s="378">
        <f t="shared" si="44"/>
        <v>0</v>
      </c>
      <c r="J262" s="379">
        <f t="shared" si="40"/>
        <v>0</v>
      </c>
      <c r="K262" s="376"/>
      <c r="L262" s="505">
        <f>+'Rate Schedule (Part 1)'!$E$41</f>
        <v>-0.41100197330267557</v>
      </c>
      <c r="M262" s="380">
        <f t="shared" si="45"/>
        <v>0</v>
      </c>
      <c r="N262" s="379">
        <f t="shared" si="41"/>
        <v>0</v>
      </c>
      <c r="O262" s="376"/>
      <c r="P262" s="381">
        <f t="shared" si="42"/>
        <v>0</v>
      </c>
      <c r="Q262" s="382">
        <f t="shared" si="43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928.49</v>
      </c>
      <c r="L267" s="385"/>
      <c r="M267" s="388"/>
      <c r="N267" s="387">
        <f>SUM(N252:N266)</f>
        <v>1007.5880679796485</v>
      </c>
      <c r="P267" s="389">
        <f t="shared" si="42"/>
        <v>79.09806797964848</v>
      </c>
      <c r="Q267" s="390">
        <f t="shared" si="43"/>
        <v>0.08519000525546691</v>
      </c>
    </row>
    <row r="268" spans="4:17" ht="12.75">
      <c r="D268" s="391" t="s">
        <v>351</v>
      </c>
      <c r="E268" s="391"/>
      <c r="F268" s="515" t="s">
        <v>22</v>
      </c>
      <c r="G268" s="392"/>
      <c r="H268" s="506">
        <v>2.3905</v>
      </c>
      <c r="I268" s="393">
        <f>+J247</f>
        <v>0</v>
      </c>
      <c r="J268" s="394">
        <f>I268*H268</f>
        <v>0</v>
      </c>
      <c r="K268" s="391"/>
      <c r="L268" s="506">
        <f>+'[7]E1.1 Adj Network to Fcst Whsl'!$S$25</f>
        <v>2.2219964178097937</v>
      </c>
      <c r="M268" s="395">
        <f>+J247</f>
        <v>0</v>
      </c>
      <c r="N268" s="394">
        <f>M268*L268</f>
        <v>0</v>
      </c>
      <c r="O268" s="391"/>
      <c r="P268" s="396">
        <f t="shared" si="42"/>
        <v>0</v>
      </c>
      <c r="Q268" s="397">
        <f t="shared" si="43"/>
      </c>
    </row>
    <row r="269" spans="4:17" ht="26.25" thickBot="1">
      <c r="D269" s="398" t="s">
        <v>352</v>
      </c>
      <c r="E269" s="391"/>
      <c r="F269" s="515" t="s">
        <v>22</v>
      </c>
      <c r="G269" s="392"/>
      <c r="H269" s="506">
        <v>1.9066</v>
      </c>
      <c r="I269" s="393">
        <f>I268</f>
        <v>0</v>
      </c>
      <c r="J269" s="394">
        <f>I269*H269</f>
        <v>0</v>
      </c>
      <c r="K269" s="391"/>
      <c r="L269" s="506">
        <f>+'[7]E1.2 Adj Conn to Fcst Whsl'!$S$25</f>
        <v>1.8827040655031633</v>
      </c>
      <c r="M269" s="395">
        <f>M268</f>
        <v>0</v>
      </c>
      <c r="N269" s="394">
        <f>M269*L269</f>
        <v>0</v>
      </c>
      <c r="O269" s="391"/>
      <c r="P269" s="396">
        <f t="shared" si="42"/>
        <v>0</v>
      </c>
      <c r="Q269" s="397">
        <f t="shared" si="43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928.49</v>
      </c>
      <c r="K270" s="403"/>
      <c r="L270" s="404"/>
      <c r="M270" s="405"/>
      <c r="N270" s="402">
        <f>SUM(N267:N269)</f>
        <v>1007.5880679796485</v>
      </c>
      <c r="O270" s="403"/>
      <c r="P270" s="406">
        <f t="shared" si="42"/>
        <v>79.09806797964848</v>
      </c>
      <c r="Q270" s="407">
        <f t="shared" si="43"/>
        <v>0.08519000525546691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+$H247*(1+$H283)</f>
        <v>0</v>
      </c>
      <c r="J271" s="379">
        <f aca="true" t="shared" si="46" ref="J271:J278">I271*H271</f>
        <v>0</v>
      </c>
      <c r="K271" s="376"/>
      <c r="L271" s="505">
        <v>0.0052</v>
      </c>
      <c r="M271" s="380">
        <f>+M276</f>
        <v>0</v>
      </c>
      <c r="N271" s="379">
        <f aca="true" t="shared" si="47" ref="N271:N278">M271*L271</f>
        <v>0</v>
      </c>
      <c r="O271" s="376"/>
      <c r="P271" s="381">
        <f t="shared" si="42"/>
        <v>0</v>
      </c>
      <c r="Q271" s="382">
        <f t="shared" si="43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+I271</f>
        <v>0</v>
      </c>
      <c r="J272" s="379">
        <f t="shared" si="46"/>
        <v>0</v>
      </c>
      <c r="K272" s="376"/>
      <c r="L272" s="505">
        <v>0.0013</v>
      </c>
      <c r="M272" s="380">
        <f>+M271</f>
        <v>0</v>
      </c>
      <c r="N272" s="379">
        <f t="shared" si="47"/>
        <v>0</v>
      </c>
      <c r="O272" s="376"/>
      <c r="P272" s="381">
        <f t="shared" si="42"/>
        <v>0</v>
      </c>
      <c r="Q272" s="382">
        <f t="shared" si="43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+I271</f>
        <v>0</v>
      </c>
      <c r="J273" s="379">
        <f t="shared" si="46"/>
        <v>0</v>
      </c>
      <c r="K273" s="376"/>
      <c r="L273" s="508">
        <v>0.000373</v>
      </c>
      <c r="M273" s="380">
        <f>+M271</f>
        <v>0</v>
      </c>
      <c r="N273" s="379">
        <f t="shared" si="47"/>
        <v>0</v>
      </c>
      <c r="O273" s="376"/>
      <c r="P273" s="381">
        <f t="shared" si="42"/>
        <v>0</v>
      </c>
      <c r="Q273" s="382">
        <f t="shared" si="43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46"/>
        <v>0</v>
      </c>
      <c r="K275" s="376"/>
      <c r="L275" s="505">
        <v>0.007</v>
      </c>
      <c r="M275" s="380">
        <f>+$H247</f>
        <v>0</v>
      </c>
      <c r="N275" s="379">
        <f t="shared" si="47"/>
        <v>0</v>
      </c>
      <c r="O275" s="376"/>
      <c r="P275" s="381">
        <f t="shared" si="42"/>
        <v>0</v>
      </c>
      <c r="Q275" s="382">
        <f t="shared" si="43"/>
      </c>
    </row>
    <row r="276" spans="4:17" ht="12.75">
      <c r="D276" s="376" t="s">
        <v>359</v>
      </c>
      <c r="E276" s="376"/>
      <c r="F276" s="514" t="s">
        <v>53</v>
      </c>
      <c r="G276" s="377"/>
      <c r="H276" s="505">
        <f>+'Other Electriciy Rates'!$J$13</f>
        <v>0.065</v>
      </c>
      <c r="I276" s="378">
        <f>+$H247*(1+$H283)</f>
        <v>0</v>
      </c>
      <c r="J276" s="379">
        <f t="shared" si="46"/>
        <v>0</v>
      </c>
      <c r="K276" s="376"/>
      <c r="L276" s="505">
        <f>+'Other Electriciy Rates'!J$28</f>
        <v>0.065</v>
      </c>
      <c r="M276" s="378">
        <f>+$H247*(1+$L283)</f>
        <v>0</v>
      </c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/>
      <c r="E277" s="376"/>
      <c r="F277" s="514"/>
      <c r="G277" s="377"/>
      <c r="H277" s="505"/>
      <c r="I277" s="509"/>
      <c r="J277" s="379">
        <f t="shared" si="46"/>
        <v>0</v>
      </c>
      <c r="K277" s="376"/>
      <c r="L277" s="505"/>
      <c r="M277" s="509"/>
      <c r="N277" s="379">
        <f t="shared" si="47"/>
        <v>0</v>
      </c>
      <c r="O277" s="376"/>
      <c r="P277" s="381">
        <f t="shared" si="42"/>
        <v>0</v>
      </c>
      <c r="Q277" s="382">
        <f t="shared" si="43"/>
      </c>
    </row>
    <row r="278" spans="4:17" ht="13.5" thickBot="1">
      <c r="D278" s="501"/>
      <c r="E278" s="376"/>
      <c r="F278" s="514"/>
      <c r="G278" s="377"/>
      <c r="H278" s="505"/>
      <c r="I278" s="509"/>
      <c r="J278" s="379">
        <f t="shared" si="46"/>
        <v>0</v>
      </c>
      <c r="K278" s="376"/>
      <c r="L278" s="505"/>
      <c r="M278" s="509"/>
      <c r="N278" s="379">
        <f t="shared" si="47"/>
        <v>0</v>
      </c>
      <c r="O278" s="376"/>
      <c r="P278" s="381">
        <f t="shared" si="42"/>
        <v>0</v>
      </c>
      <c r="Q278" s="382">
        <f t="shared" si="43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928.74</v>
      </c>
      <c r="K279" s="403"/>
      <c r="L279" s="411"/>
      <c r="M279" s="412"/>
      <c r="N279" s="402">
        <f>SUM(N270:N278)</f>
        <v>1007.8380679796485</v>
      </c>
      <c r="O279" s="403"/>
      <c r="P279" s="406">
        <f>N279-J279</f>
        <v>79.09806797964848</v>
      </c>
      <c r="Q279" s="407">
        <f>IF((J279)=0,"",(P279/J279))</f>
        <v>0.08516707364778998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120.73620000000001</v>
      </c>
      <c r="K280" s="376"/>
      <c r="L280" s="511">
        <v>0.13</v>
      </c>
      <c r="M280" s="415"/>
      <c r="N280" s="414">
        <f>N279*L280</f>
        <v>131.01894883735432</v>
      </c>
      <c r="O280" s="376"/>
      <c r="P280" s="381">
        <f>N280-J280</f>
        <v>10.282748837354305</v>
      </c>
      <c r="Q280" s="382">
        <f>IF((J280)=0,"",(P280/J280))</f>
        <v>0.08516707364779001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1049.48</v>
      </c>
      <c r="K281" s="403"/>
      <c r="L281" s="404"/>
      <c r="M281" s="405"/>
      <c r="N281" s="402">
        <f>ROUND(SUM(N279:N280),2)</f>
        <v>1138.86</v>
      </c>
      <c r="O281" s="403"/>
      <c r="P281" s="406">
        <f>N281-J281</f>
        <v>89.37999999999988</v>
      </c>
      <c r="Q281" s="407">
        <f>IF((J281)=0,"",(P281/J281))</f>
        <v>0.08516598696497302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General Service &gt; 1000 to 4999kW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12" ht="12.75">
      <c r="B294" s="363" t="s">
        <v>53</v>
      </c>
      <c r="F294" s="367" t="s">
        <v>66</v>
      </c>
      <c r="G294" s="367"/>
      <c r="H294" s="504"/>
      <c r="I294" s="367" t="s">
        <v>332</v>
      </c>
      <c r="J294" s="504"/>
      <c r="L294" s="367" t="s">
        <v>16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83">
        <f>+'2010 Existing Rates'!$C$11</f>
        <v>926.33</v>
      </c>
      <c r="I299" s="378">
        <v>1</v>
      </c>
      <c r="J299" s="379">
        <f aca="true" t="shared" si="48" ref="J299:J313">I299*H299</f>
        <v>926.33</v>
      </c>
      <c r="K299" s="376"/>
      <c r="L299" s="583">
        <f>+'Rate Schedule (Part 1)'!$E$36</f>
        <v>1008.02</v>
      </c>
      <c r="M299" s="380">
        <v>1</v>
      </c>
      <c r="N299" s="379">
        <f aca="true" t="shared" si="49" ref="N299:N313">M299*L299</f>
        <v>1008.02</v>
      </c>
      <c r="O299" s="376"/>
      <c r="P299" s="381">
        <f aca="true" t="shared" si="50" ref="P299:P325">N299-J299</f>
        <v>81.68999999999994</v>
      </c>
      <c r="Q299" s="382">
        <f aca="true" t="shared" si="51" ref="Q299:Q325">IF((J299)=0,"",(P299/J299))</f>
        <v>0.08818671531743541</v>
      </c>
    </row>
    <row r="300" spans="4:17" ht="12.75">
      <c r="D300" s="376" t="s">
        <v>226</v>
      </c>
      <c r="E300" s="376"/>
      <c r="F300" s="514" t="s">
        <v>330</v>
      </c>
      <c r="G300" s="377"/>
      <c r="H300" s="583">
        <f>+'2010 Existing Rates'!$B$48</f>
        <v>2.16</v>
      </c>
      <c r="I300" s="378">
        <v>1</v>
      </c>
      <c r="J300" s="379">
        <f t="shared" si="48"/>
        <v>2.16</v>
      </c>
      <c r="K300" s="376"/>
      <c r="L300" s="583">
        <f>+'Rate Schedule (Part 1)'!$E$40</f>
        <v>-0.43193202035146244</v>
      </c>
      <c r="M300" s="380">
        <v>1</v>
      </c>
      <c r="N300" s="379">
        <f t="shared" si="49"/>
        <v>-0.43193202035146244</v>
      </c>
      <c r="O300" s="376"/>
      <c r="P300" s="381">
        <f t="shared" si="50"/>
        <v>-2.5919320203514626</v>
      </c>
      <c r="Q300" s="382">
        <f t="shared" si="51"/>
        <v>-1.199968527940492</v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22</v>
      </c>
      <c r="G303" s="377"/>
      <c r="H303" s="505">
        <f>+'2010 Existing Rates'!$D$61</f>
        <v>2.9296</v>
      </c>
      <c r="I303" s="378">
        <f>+J294</f>
        <v>0</v>
      </c>
      <c r="J303" s="379">
        <f t="shared" si="48"/>
        <v>0</v>
      </c>
      <c r="K303" s="376"/>
      <c r="L303" s="505">
        <f>+'Rate Schedule (Part 1)'!$E$37</f>
        <v>3.1373</v>
      </c>
      <c r="M303" s="380">
        <f>+J294</f>
        <v>0</v>
      </c>
      <c r="N303" s="379">
        <f t="shared" si="49"/>
        <v>0</v>
      </c>
      <c r="O303" s="376"/>
      <c r="P303" s="381">
        <f t="shared" si="50"/>
        <v>0</v>
      </c>
      <c r="Q303" s="382">
        <f t="shared" si="51"/>
      </c>
    </row>
    <row r="304" spans="4:17" ht="12.75">
      <c r="D304" s="376" t="s">
        <v>344</v>
      </c>
      <c r="E304" s="376"/>
      <c r="F304" s="514" t="s">
        <v>22</v>
      </c>
      <c r="G304" s="377"/>
      <c r="H304" s="505">
        <f>+'2010 Existing Rates'!$D$36</f>
        <v>0.1116</v>
      </c>
      <c r="I304" s="378">
        <f aca="true" t="shared" si="52" ref="I304:I309">I303</f>
        <v>0</v>
      </c>
      <c r="J304" s="379">
        <f t="shared" si="48"/>
        <v>0</v>
      </c>
      <c r="K304" s="376"/>
      <c r="L304" s="505">
        <f>+'Rate Schedule (Part 1)'!$E$38</f>
        <v>0.0808</v>
      </c>
      <c r="M304" s="380">
        <f aca="true" t="shared" si="53" ref="M304:M309">M303</f>
        <v>0</v>
      </c>
      <c r="N304" s="379">
        <f t="shared" si="49"/>
        <v>0</v>
      </c>
      <c r="O304" s="376"/>
      <c r="P304" s="381">
        <f t="shared" si="50"/>
        <v>0</v>
      </c>
      <c r="Q304" s="382">
        <f t="shared" si="51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0</v>
      </c>
      <c r="J305" s="379">
        <f t="shared" si="48"/>
        <v>0</v>
      </c>
      <c r="K305" s="376"/>
      <c r="L305" s="505"/>
      <c r="M305" s="380">
        <f t="shared" si="53"/>
        <v>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0</v>
      </c>
      <c r="J306" s="379">
        <f t="shared" si="48"/>
        <v>0</v>
      </c>
      <c r="K306" s="376"/>
      <c r="L306" s="505"/>
      <c r="M306" s="380">
        <f t="shared" si="53"/>
        <v>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0</v>
      </c>
      <c r="J307" s="379">
        <f t="shared" si="48"/>
        <v>0</v>
      </c>
      <c r="K307" s="376"/>
      <c r="L307" s="505"/>
      <c r="M307" s="380">
        <f t="shared" si="53"/>
        <v>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0</v>
      </c>
      <c r="J308" s="379">
        <f t="shared" si="48"/>
        <v>0</v>
      </c>
      <c r="K308" s="376"/>
      <c r="L308" s="505"/>
      <c r="M308" s="380">
        <f t="shared" si="53"/>
        <v>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22</v>
      </c>
      <c r="G309" s="377"/>
      <c r="H309" s="505">
        <f>+'2010 Existing Rates'!$D$24</f>
        <v>-1.4024</v>
      </c>
      <c r="I309" s="378">
        <f t="shared" si="52"/>
        <v>0</v>
      </c>
      <c r="J309" s="379">
        <f t="shared" si="48"/>
        <v>0</v>
      </c>
      <c r="K309" s="376"/>
      <c r="L309" s="505">
        <f>+'Rate Schedule (Part 1)'!$E$41</f>
        <v>-0.41100197330267557</v>
      </c>
      <c r="M309" s="380">
        <f t="shared" si="53"/>
        <v>0</v>
      </c>
      <c r="N309" s="379">
        <f t="shared" si="49"/>
        <v>0</v>
      </c>
      <c r="O309" s="376"/>
      <c r="P309" s="381">
        <f t="shared" si="50"/>
        <v>0</v>
      </c>
      <c r="Q309" s="382">
        <f t="shared" si="51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928.49</v>
      </c>
      <c r="L314" s="385"/>
      <c r="M314" s="388"/>
      <c r="N314" s="387">
        <f>SUM(N299:N313)</f>
        <v>1007.5880679796485</v>
      </c>
      <c r="P314" s="389">
        <f t="shared" si="50"/>
        <v>79.09806797964848</v>
      </c>
      <c r="Q314" s="390">
        <f t="shared" si="51"/>
        <v>0.08519000525546691</v>
      </c>
    </row>
    <row r="315" spans="4:17" ht="12.75">
      <c r="D315" s="391" t="s">
        <v>351</v>
      </c>
      <c r="E315" s="391"/>
      <c r="F315" s="515" t="s">
        <v>22</v>
      </c>
      <c r="G315" s="392"/>
      <c r="H315" s="506">
        <v>2.3905</v>
      </c>
      <c r="I315" s="393">
        <f>+J294</f>
        <v>0</v>
      </c>
      <c r="J315" s="394">
        <f>I315*H315</f>
        <v>0</v>
      </c>
      <c r="K315" s="391"/>
      <c r="L315" s="506">
        <f>+'[7]E1.1 Adj Network to Fcst Whsl'!$S$25</f>
        <v>2.2219964178097937</v>
      </c>
      <c r="M315" s="395">
        <f>+J294</f>
        <v>0</v>
      </c>
      <c r="N315" s="394">
        <f>M315*L315</f>
        <v>0</v>
      </c>
      <c r="O315" s="391"/>
      <c r="P315" s="396">
        <f t="shared" si="50"/>
        <v>0</v>
      </c>
      <c r="Q315" s="397">
        <f t="shared" si="51"/>
      </c>
    </row>
    <row r="316" spans="4:17" ht="26.25" thickBot="1">
      <c r="D316" s="398" t="s">
        <v>352</v>
      </c>
      <c r="E316" s="391"/>
      <c r="F316" s="515" t="s">
        <v>22</v>
      </c>
      <c r="G316" s="392"/>
      <c r="H316" s="506">
        <v>1.9066</v>
      </c>
      <c r="I316" s="393">
        <f>I315</f>
        <v>0</v>
      </c>
      <c r="J316" s="394">
        <f>I316*H316</f>
        <v>0</v>
      </c>
      <c r="K316" s="391"/>
      <c r="L316" s="506">
        <f>+'[7]E1.2 Adj Conn to Fcst Whsl'!$S$25</f>
        <v>1.8827040655031633</v>
      </c>
      <c r="M316" s="395">
        <f>M315</f>
        <v>0</v>
      </c>
      <c r="N316" s="394">
        <f>M316*L316</f>
        <v>0</v>
      </c>
      <c r="O316" s="391"/>
      <c r="P316" s="396">
        <f t="shared" si="50"/>
        <v>0</v>
      </c>
      <c r="Q316" s="397">
        <f t="shared" si="51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928.49</v>
      </c>
      <c r="K317" s="403"/>
      <c r="L317" s="404"/>
      <c r="M317" s="405"/>
      <c r="N317" s="402">
        <f>SUM(N314:N316)</f>
        <v>1007.5880679796485</v>
      </c>
      <c r="O317" s="403"/>
      <c r="P317" s="406">
        <f t="shared" si="50"/>
        <v>79.09806797964848</v>
      </c>
      <c r="Q317" s="407">
        <f t="shared" si="51"/>
        <v>0.08519000525546691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+$H294*(1+$H330)</f>
        <v>0</v>
      </c>
      <c r="J318" s="379">
        <f aca="true" t="shared" si="54" ref="J318:J325">I318*H318</f>
        <v>0</v>
      </c>
      <c r="K318" s="376"/>
      <c r="L318" s="505">
        <v>0.0052</v>
      </c>
      <c r="M318" s="380">
        <f>+M323</f>
        <v>0</v>
      </c>
      <c r="N318" s="379">
        <f aca="true" t="shared" si="55" ref="N318:N325">M318*L318</f>
        <v>0</v>
      </c>
      <c r="O318" s="376"/>
      <c r="P318" s="381">
        <f t="shared" si="50"/>
        <v>0</v>
      </c>
      <c r="Q318" s="382">
        <f t="shared" si="51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+I318</f>
        <v>0</v>
      </c>
      <c r="J319" s="379">
        <f t="shared" si="54"/>
        <v>0</v>
      </c>
      <c r="K319" s="376"/>
      <c r="L319" s="505">
        <v>0.0013</v>
      </c>
      <c r="M319" s="380">
        <f>+M318</f>
        <v>0</v>
      </c>
      <c r="N319" s="379">
        <f t="shared" si="55"/>
        <v>0</v>
      </c>
      <c r="O319" s="376"/>
      <c r="P319" s="381">
        <f t="shared" si="50"/>
        <v>0</v>
      </c>
      <c r="Q319" s="382">
        <f t="shared" si="51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+I318</f>
        <v>0</v>
      </c>
      <c r="J320" s="379">
        <f t="shared" si="54"/>
        <v>0</v>
      </c>
      <c r="K320" s="376"/>
      <c r="L320" s="508">
        <v>0.000373</v>
      </c>
      <c r="M320" s="380">
        <f>+M318</f>
        <v>0</v>
      </c>
      <c r="N320" s="379">
        <f t="shared" si="55"/>
        <v>0</v>
      </c>
      <c r="O320" s="376"/>
      <c r="P320" s="381">
        <f t="shared" si="50"/>
        <v>0</v>
      </c>
      <c r="Q320" s="382">
        <f t="shared" si="51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54"/>
        <v>0</v>
      </c>
      <c r="K322" s="376"/>
      <c r="L322" s="505">
        <v>0.007</v>
      </c>
      <c r="M322" s="380">
        <f>+$H294</f>
        <v>0</v>
      </c>
      <c r="N322" s="379">
        <f t="shared" si="55"/>
        <v>0</v>
      </c>
      <c r="O322" s="376"/>
      <c r="P322" s="381">
        <f t="shared" si="50"/>
        <v>0</v>
      </c>
      <c r="Q322" s="382">
        <f t="shared" si="51"/>
      </c>
    </row>
    <row r="323" spans="4:17" ht="12.75">
      <c r="D323" s="376" t="s">
        <v>359</v>
      </c>
      <c r="E323" s="376"/>
      <c r="F323" s="514" t="s">
        <v>53</v>
      </c>
      <c r="G323" s="377"/>
      <c r="H323" s="505">
        <f>+'Other Electriciy Rates'!$J$13</f>
        <v>0.065</v>
      </c>
      <c r="I323" s="378">
        <f>+$H294*(1+$H330)</f>
        <v>0</v>
      </c>
      <c r="J323" s="379">
        <f t="shared" si="54"/>
        <v>0</v>
      </c>
      <c r="K323" s="376"/>
      <c r="L323" s="505">
        <f>+'Other Electriciy Rates'!J$28</f>
        <v>0.065</v>
      </c>
      <c r="M323" s="378">
        <f>+$H294*(1+$L330)</f>
        <v>0</v>
      </c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/>
      <c r="E324" s="376"/>
      <c r="F324" s="514"/>
      <c r="G324" s="377"/>
      <c r="H324" s="505"/>
      <c r="I324" s="509"/>
      <c r="J324" s="379">
        <f t="shared" si="54"/>
        <v>0</v>
      </c>
      <c r="K324" s="376"/>
      <c r="L324" s="505"/>
      <c r="M324" s="509"/>
      <c r="N324" s="379">
        <f t="shared" si="55"/>
        <v>0</v>
      </c>
      <c r="O324" s="376"/>
      <c r="P324" s="381">
        <f t="shared" si="50"/>
        <v>0</v>
      </c>
      <c r="Q324" s="382">
        <f t="shared" si="51"/>
      </c>
    </row>
    <row r="325" spans="4:17" ht="13.5" thickBot="1">
      <c r="D325" s="501"/>
      <c r="E325" s="376"/>
      <c r="F325" s="514"/>
      <c r="G325" s="377"/>
      <c r="H325" s="505"/>
      <c r="I325" s="509"/>
      <c r="J325" s="379">
        <f t="shared" si="54"/>
        <v>0</v>
      </c>
      <c r="K325" s="376"/>
      <c r="L325" s="505"/>
      <c r="M325" s="509"/>
      <c r="N325" s="379">
        <f t="shared" si="55"/>
        <v>0</v>
      </c>
      <c r="O325" s="376"/>
      <c r="P325" s="381">
        <f t="shared" si="50"/>
        <v>0</v>
      </c>
      <c r="Q325" s="382">
        <f t="shared" si="51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928.74</v>
      </c>
      <c r="K326" s="403"/>
      <c r="L326" s="411"/>
      <c r="M326" s="412"/>
      <c r="N326" s="402">
        <f>SUM(N317:N325)</f>
        <v>1007.8380679796485</v>
      </c>
      <c r="O326" s="403"/>
      <c r="P326" s="406">
        <f>N326-J326</f>
        <v>79.09806797964848</v>
      </c>
      <c r="Q326" s="407">
        <f>IF((J326)=0,"",(P326/J326))</f>
        <v>0.08516707364778998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120.73620000000001</v>
      </c>
      <c r="K327" s="376"/>
      <c r="L327" s="511">
        <v>0.13</v>
      </c>
      <c r="M327" s="415"/>
      <c r="N327" s="414">
        <f>N326*L327</f>
        <v>131.01894883735432</v>
      </c>
      <c r="O327" s="376"/>
      <c r="P327" s="381">
        <f>N327-J327</f>
        <v>10.282748837354305</v>
      </c>
      <c r="Q327" s="382">
        <f>IF((J327)=0,"",(P327/J327))</f>
        <v>0.08516707364779001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1049.48</v>
      </c>
      <c r="K328" s="403"/>
      <c r="L328" s="404"/>
      <c r="M328" s="405"/>
      <c r="N328" s="402">
        <f>ROUND(SUM(N326:N327),2)</f>
        <v>1138.86</v>
      </c>
      <c r="O328" s="403"/>
      <c r="P328" s="406">
        <f>N328-J328</f>
        <v>89.37999999999988</v>
      </c>
      <c r="Q328" s="407">
        <f>IF((J328)=0,"",(P328/J328))</f>
        <v>0.08516598696497302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G17:G31 G252:G266 G33:G34 G205:G219 G36:G43 G64:G78 G80:G81 G268:G269 G83:G90 G111:G125 G127:G128 G130:G137 G158:G172 G271:G278 G174:G175 G221:G222 G177:G184 G224:G231 G299:G313 G315:G316 G318:G325">
      <formula1>$B$10:$B$15</formula1>
    </dataValidation>
    <dataValidation type="list" allowBlank="1" showInputMessage="1" showErrorMessage="1" sqref="F17:F31 F252:F266 F33:F34 F205:F219 F36:F43 F64:F78 F80:F81 F268:F269 F83:F90 F111:F125 F127:F128 F130:F137 F158:F172 F271:F278 F174:F175 F221:F222 F177:F184 F224:F231 F299:F313 F315:F316 F318:F325">
      <formula1>$B$10:$B$13</formula1>
    </dataValidation>
  </dataValidations>
  <printOptions/>
  <pageMargins left="0.7" right="0.7" top="0.75" bottom="0.75" header="0.3" footer="0.3"/>
  <pageSetup fitToHeight="4" horizontalDpi="600" verticalDpi="600" orientation="portrait" scale="53" r:id="rId1"/>
  <rowBreaks count="2" manualBreakCount="2">
    <brk id="55" max="16" man="1"/>
    <brk id="102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3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2.28125" style="362" customWidth="1"/>
    <col min="9" max="9" width="8.57421875" style="362" customWidth="1"/>
    <col min="10" max="10" width="18.14062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8.28125" style="362" bestFit="1" customWidth="1"/>
    <col min="15" max="15" width="2.8515625" style="362" customWidth="1"/>
    <col min="16" max="16" width="16.28125" style="362" bestFit="1" customWidth="1"/>
    <col min="17" max="17" width="10.28125" style="362" bestFit="1" customWidth="1"/>
    <col min="18" max="18" width="3.8515625" style="362" customWidth="1"/>
    <col min="19" max="16384" width="9.140625" style="362" customWidth="1"/>
  </cols>
  <sheetData>
    <row r="1" spans="1:18" s="355" customFormat="1" ht="15" customHeight="1">
      <c r="A1" s="583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32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374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375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2" ht="12.75">
      <c r="B12" s="363" t="s">
        <v>53</v>
      </c>
      <c r="F12" s="367" t="s">
        <v>66</v>
      </c>
      <c r="G12" s="367"/>
      <c r="H12" s="504">
        <v>2400000</v>
      </c>
      <c r="I12" s="367" t="s">
        <v>332</v>
      </c>
      <c r="J12" s="504">
        <v>5400</v>
      </c>
      <c r="L12" s="367" t="s">
        <v>16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83">
        <f>+'2010 Existing Rates'!$C$12</f>
        <v>4126.26</v>
      </c>
      <c r="I17" s="378">
        <v>1</v>
      </c>
      <c r="J17" s="379">
        <f aca="true" t="shared" si="0" ref="J17:J31">I17*H17</f>
        <v>4126.26</v>
      </c>
      <c r="K17" s="376"/>
      <c r="L17" s="583">
        <f>+'Rate Schedule (Part 1)'!$E$43</f>
        <v>4219.51</v>
      </c>
      <c r="M17" s="380">
        <v>1</v>
      </c>
      <c r="N17" s="379">
        <f aca="true" t="shared" si="1" ref="N17:N31">M17*L17</f>
        <v>4219.51</v>
      </c>
      <c r="O17" s="376"/>
      <c r="P17" s="381">
        <f aca="true" t="shared" si="2" ref="P17:P46">N17-J17</f>
        <v>93.25</v>
      </c>
      <c r="Q17" s="382">
        <f aca="true" t="shared" si="3" ref="Q17:Q46">IF((J17)=0,"",(P17/J17))</f>
        <v>0.022599157590651096</v>
      </c>
    </row>
    <row r="18" spans="4:17" ht="12.75">
      <c r="D18" s="376" t="s">
        <v>226</v>
      </c>
      <c r="E18" s="376"/>
      <c r="F18" s="514" t="s">
        <v>330</v>
      </c>
      <c r="G18" s="377"/>
      <c r="H18" s="583">
        <f>+'2010 Existing Rates'!$B$49</f>
        <v>2.16</v>
      </c>
      <c r="I18" s="378">
        <v>1</v>
      </c>
      <c r="J18" s="379">
        <f t="shared" si="0"/>
        <v>2.16</v>
      </c>
      <c r="K18" s="376"/>
      <c r="L18" s="583">
        <f>+'Rate Schedule (Part 1)'!$E$47</f>
        <v>-0.43193202035146244</v>
      </c>
      <c r="M18" s="380">
        <v>1</v>
      </c>
      <c r="N18" s="379">
        <f t="shared" si="1"/>
        <v>-0.43193202035146244</v>
      </c>
      <c r="O18" s="376"/>
      <c r="P18" s="381">
        <f t="shared" si="2"/>
        <v>-2.5919320203514626</v>
      </c>
      <c r="Q18" s="382">
        <f t="shared" si="3"/>
        <v>-1.199968527940492</v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22</v>
      </c>
      <c r="G21" s="377"/>
      <c r="H21" s="505">
        <f>+'2010 Existing Rates'!$D$62</f>
        <v>2.4703</v>
      </c>
      <c r="I21" s="378">
        <f>+J12</f>
        <v>5400</v>
      </c>
      <c r="J21" s="379">
        <f t="shared" si="0"/>
        <v>13339.619999999999</v>
      </c>
      <c r="K21" s="376"/>
      <c r="L21" s="505">
        <f>+'Rate Schedule (Part 1)'!$E$44</f>
        <v>2.5261</v>
      </c>
      <c r="M21" s="380">
        <f>+J12</f>
        <v>5400</v>
      </c>
      <c r="N21" s="379">
        <f t="shared" si="1"/>
        <v>13640.94</v>
      </c>
      <c r="O21" s="376"/>
      <c r="P21" s="381">
        <f t="shared" si="2"/>
        <v>301.3200000000015</v>
      </c>
      <c r="Q21" s="382">
        <f t="shared" si="3"/>
        <v>0.02258834959316694</v>
      </c>
    </row>
    <row r="22" spans="4:17" ht="12.75">
      <c r="D22" s="376" t="s">
        <v>344</v>
      </c>
      <c r="E22" s="376"/>
      <c r="F22" s="514" t="s">
        <v>22</v>
      </c>
      <c r="G22" s="377"/>
      <c r="H22" s="505">
        <f>+'2010 Existing Rates'!$D$37</f>
        <v>0.1248</v>
      </c>
      <c r="I22" s="378">
        <f aca="true" t="shared" si="4" ref="I22:I27">I21</f>
        <v>5400</v>
      </c>
      <c r="J22" s="379">
        <f t="shared" si="0"/>
        <v>673.92</v>
      </c>
      <c r="K22" s="376"/>
      <c r="L22" s="505">
        <f>+'Rate Schedule (Part 1)'!$E$45</f>
        <v>0.0903</v>
      </c>
      <c r="M22" s="380">
        <f aca="true" t="shared" si="5" ref="M22:M27">M21</f>
        <v>5400</v>
      </c>
      <c r="N22" s="379">
        <f t="shared" si="1"/>
        <v>487.62</v>
      </c>
      <c r="O22" s="376"/>
      <c r="P22" s="381">
        <f t="shared" si="2"/>
        <v>-186.29999999999995</v>
      </c>
      <c r="Q22" s="382">
        <f t="shared" si="3"/>
        <v>-0.27644230769230765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5400</v>
      </c>
      <c r="J23" s="379">
        <f t="shared" si="0"/>
        <v>0</v>
      </c>
      <c r="K23" s="376"/>
      <c r="L23" s="505"/>
      <c r="M23" s="380">
        <f t="shared" si="5"/>
        <v>5400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5400</v>
      </c>
      <c r="J24" s="379">
        <f t="shared" si="0"/>
        <v>0</v>
      </c>
      <c r="K24" s="376"/>
      <c r="L24" s="505"/>
      <c r="M24" s="380">
        <f t="shared" si="5"/>
        <v>5400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5400</v>
      </c>
      <c r="J25" s="379">
        <f t="shared" si="0"/>
        <v>0</v>
      </c>
      <c r="K25" s="376"/>
      <c r="L25" s="505"/>
      <c r="M25" s="380">
        <f t="shared" si="5"/>
        <v>5400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5400</v>
      </c>
      <c r="J26" s="379">
        <f t="shared" si="0"/>
        <v>0</v>
      </c>
      <c r="K26" s="376"/>
      <c r="L26" s="505"/>
      <c r="M26" s="380">
        <f t="shared" si="5"/>
        <v>5400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22</v>
      </c>
      <c r="G27" s="377"/>
      <c r="H27" s="505">
        <f>+'2010 Existing Rates'!$D$25</f>
        <v>-1.2508</v>
      </c>
      <c r="I27" s="378">
        <f t="shared" si="4"/>
        <v>5400</v>
      </c>
      <c r="J27" s="379">
        <f t="shared" si="0"/>
        <v>-6754.32</v>
      </c>
      <c r="K27" s="376"/>
      <c r="L27" s="505">
        <f>+'Rate Schedule (Part 1)'!$E$48</f>
        <v>-0.3563803210846431</v>
      </c>
      <c r="M27" s="380">
        <f t="shared" si="5"/>
        <v>5400</v>
      </c>
      <c r="N27" s="379">
        <f t="shared" si="1"/>
        <v>-1924.4537338570728</v>
      </c>
      <c r="O27" s="376"/>
      <c r="P27" s="381">
        <f t="shared" si="2"/>
        <v>4829.866266142927</v>
      </c>
      <c r="Q27" s="382">
        <f t="shared" si="3"/>
        <v>-0.7150780931526678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11387.64</v>
      </c>
      <c r="L32" s="385"/>
      <c r="M32" s="388"/>
      <c r="N32" s="387">
        <f>SUM(N17:N31)</f>
        <v>16423.184334122576</v>
      </c>
      <c r="P32" s="389">
        <f t="shared" si="2"/>
        <v>5035.544334122576</v>
      </c>
      <c r="Q32" s="390">
        <f t="shared" si="3"/>
        <v>0.4421938464969543</v>
      </c>
    </row>
    <row r="33" spans="4:17" ht="12.75">
      <c r="D33" s="391" t="s">
        <v>351</v>
      </c>
      <c r="E33" s="391"/>
      <c r="F33" s="515" t="s">
        <v>22</v>
      </c>
      <c r="G33" s="392"/>
      <c r="H33" s="506">
        <v>2.5886</v>
      </c>
      <c r="I33" s="393">
        <f>+J12</f>
        <v>5400</v>
      </c>
      <c r="J33" s="394">
        <f>I33*H33</f>
        <v>13978.44</v>
      </c>
      <c r="K33" s="391"/>
      <c r="L33" s="506">
        <f>+'[7]E1.1 Adj Network to Fcst Whsl'!$S$26</f>
        <v>2.406132577762992</v>
      </c>
      <c r="M33" s="395">
        <f>+J12</f>
        <v>5400</v>
      </c>
      <c r="N33" s="394">
        <f>M33*L33</f>
        <v>12993.115919920157</v>
      </c>
      <c r="O33" s="391"/>
      <c r="P33" s="396">
        <f t="shared" si="2"/>
        <v>-985.324080079843</v>
      </c>
      <c r="Q33" s="397">
        <f t="shared" si="3"/>
        <v>-0.07048884425442632</v>
      </c>
    </row>
    <row r="34" spans="4:17" ht="26.25" thickBot="1">
      <c r="D34" s="398" t="s">
        <v>352</v>
      </c>
      <c r="E34" s="391"/>
      <c r="F34" s="515" t="s">
        <v>22</v>
      </c>
      <c r="G34" s="392"/>
      <c r="H34" s="506">
        <v>2.1323</v>
      </c>
      <c r="I34" s="393">
        <f>I33</f>
        <v>5400</v>
      </c>
      <c r="J34" s="394">
        <f>I34*H34</f>
        <v>11514.42</v>
      </c>
      <c r="K34" s="391"/>
      <c r="L34" s="506">
        <f>+'[7]E1.2 Adj Conn to Fcst Whsl'!$S$26</f>
        <v>2.1055753062374882</v>
      </c>
      <c r="M34" s="395">
        <f>M33</f>
        <v>5400</v>
      </c>
      <c r="N34" s="394">
        <f>M34*L34</f>
        <v>11370.106653682436</v>
      </c>
      <c r="O34" s="391"/>
      <c r="P34" s="396">
        <f t="shared" si="2"/>
        <v>-144.31334631756363</v>
      </c>
      <c r="Q34" s="397">
        <f t="shared" si="3"/>
        <v>-0.012533271004320116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36880.5</v>
      </c>
      <c r="K35" s="403"/>
      <c r="L35" s="404"/>
      <c r="M35" s="405"/>
      <c r="N35" s="402">
        <f>SUM(N32:N34)</f>
        <v>40786.40690772517</v>
      </c>
      <c r="O35" s="403"/>
      <c r="P35" s="406">
        <f t="shared" si="2"/>
        <v>3905.9069077251697</v>
      </c>
      <c r="Q35" s="407">
        <f t="shared" si="3"/>
        <v>0.10590710287889724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+$H12*(1+$H48)</f>
        <v>2434800</v>
      </c>
      <c r="J36" s="379">
        <f aca="true" t="shared" si="6" ref="J36:J43">I36*H36</f>
        <v>12660.96</v>
      </c>
      <c r="K36" s="376"/>
      <c r="L36" s="505">
        <v>0.0052</v>
      </c>
      <c r="M36" s="380">
        <f>+M41</f>
        <v>2411611.204638049</v>
      </c>
      <c r="N36" s="379">
        <f aca="true" t="shared" si="7" ref="N36:N43">M36*L36</f>
        <v>12540.378264117855</v>
      </c>
      <c r="O36" s="376"/>
      <c r="P36" s="381">
        <f t="shared" si="2"/>
        <v>-120.58173588214413</v>
      </c>
      <c r="Q36" s="382">
        <f t="shared" si="3"/>
        <v>-0.009523901495790535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+I36</f>
        <v>2434800</v>
      </c>
      <c r="J37" s="379">
        <f t="shared" si="6"/>
        <v>3165.24</v>
      </c>
      <c r="K37" s="376"/>
      <c r="L37" s="505">
        <v>0.0013</v>
      </c>
      <c r="M37" s="380">
        <f>+M36</f>
        <v>2411611.204638049</v>
      </c>
      <c r="N37" s="379">
        <f t="shared" si="7"/>
        <v>3135.0945660294637</v>
      </c>
      <c r="O37" s="376"/>
      <c r="P37" s="381">
        <f t="shared" si="2"/>
        <v>-30.145433970536033</v>
      </c>
      <c r="Q37" s="382">
        <f t="shared" si="3"/>
        <v>-0.009523901495790535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+I36</f>
        <v>2434800</v>
      </c>
      <c r="J38" s="379">
        <f t="shared" si="6"/>
        <v>908.1804000000001</v>
      </c>
      <c r="K38" s="376"/>
      <c r="L38" s="508">
        <v>0.000373</v>
      </c>
      <c r="M38" s="380">
        <f>+M36</f>
        <v>2411611.204638049</v>
      </c>
      <c r="N38" s="379">
        <f t="shared" si="7"/>
        <v>899.5309793299923</v>
      </c>
      <c r="O38" s="376"/>
      <c r="P38" s="381">
        <f t="shared" si="2"/>
        <v>-8.649420670007771</v>
      </c>
      <c r="Q38" s="382">
        <f t="shared" si="3"/>
        <v>-0.009523901495790672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2400000</v>
      </c>
      <c r="J40" s="379">
        <f t="shared" si="6"/>
        <v>16800</v>
      </c>
      <c r="K40" s="376"/>
      <c r="L40" s="505">
        <v>0.007</v>
      </c>
      <c r="M40" s="380">
        <f>+$H12</f>
        <v>2400000</v>
      </c>
      <c r="N40" s="379">
        <f t="shared" si="7"/>
        <v>16800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 t="s">
        <v>53</v>
      </c>
      <c r="G41" s="377"/>
      <c r="H41" s="505">
        <f>+'Other Electriciy Rates'!$J$14</f>
        <v>0.065</v>
      </c>
      <c r="I41" s="378">
        <f>+$H12*(1+$H48)</f>
        <v>2434800</v>
      </c>
      <c r="J41" s="379">
        <f t="shared" si="6"/>
        <v>158262</v>
      </c>
      <c r="K41" s="376"/>
      <c r="L41" s="505">
        <f>+'Other Electriciy Rates'!J$29</f>
        <v>0.065</v>
      </c>
      <c r="M41" s="378">
        <f>+$H12*(1+$L48)</f>
        <v>2411611.204638049</v>
      </c>
      <c r="N41" s="379">
        <f t="shared" si="7"/>
        <v>156754.7283014732</v>
      </c>
      <c r="O41" s="376"/>
      <c r="P41" s="381">
        <f t="shared" si="2"/>
        <v>-1507.2716985268053</v>
      </c>
      <c r="Q41" s="382">
        <f t="shared" si="3"/>
        <v>-0.009523901495790557</v>
      </c>
    </row>
    <row r="42" spans="4:17" ht="12.75">
      <c r="D42" s="502"/>
      <c r="E42" s="376"/>
      <c r="F42" s="514"/>
      <c r="G42" s="377"/>
      <c r="H42" s="505"/>
      <c r="I42" s="509"/>
      <c r="J42" s="379">
        <f t="shared" si="6"/>
        <v>0</v>
      </c>
      <c r="K42" s="376"/>
      <c r="L42" s="505"/>
      <c r="M42" s="509"/>
      <c r="N42" s="379">
        <f t="shared" si="7"/>
        <v>0</v>
      </c>
      <c r="O42" s="376"/>
      <c r="P42" s="381">
        <f t="shared" si="2"/>
        <v>0</v>
      </c>
      <c r="Q42" s="382">
        <f t="shared" si="3"/>
      </c>
    </row>
    <row r="43" spans="4:17" ht="13.5" thickBot="1">
      <c r="D43" s="501"/>
      <c r="E43" s="376"/>
      <c r="F43" s="514"/>
      <c r="G43" s="377"/>
      <c r="H43" s="505"/>
      <c r="I43" s="509"/>
      <c r="J43" s="379">
        <f t="shared" si="6"/>
        <v>0</v>
      </c>
      <c r="K43" s="376"/>
      <c r="L43" s="505"/>
      <c r="M43" s="509"/>
      <c r="N43" s="379">
        <f t="shared" si="7"/>
        <v>0</v>
      </c>
      <c r="O43" s="376"/>
      <c r="P43" s="381">
        <f t="shared" si="2"/>
        <v>0</v>
      </c>
      <c r="Q43" s="382">
        <f t="shared" si="3"/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228677.1304</v>
      </c>
      <c r="K44" s="403"/>
      <c r="L44" s="411"/>
      <c r="M44" s="412"/>
      <c r="N44" s="402">
        <f>SUM(N35:N43)</f>
        <v>230916.38901867566</v>
      </c>
      <c r="O44" s="403"/>
      <c r="P44" s="406">
        <f t="shared" si="2"/>
        <v>2239.258618675667</v>
      </c>
      <c r="Q44" s="407">
        <f t="shared" si="3"/>
        <v>0.00979222808489321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29728.026952</v>
      </c>
      <c r="K45" s="376"/>
      <c r="L45" s="511">
        <v>0.13</v>
      </c>
      <c r="M45" s="415"/>
      <c r="N45" s="414">
        <f>N44*L45</f>
        <v>30019.130572427835</v>
      </c>
      <c r="O45" s="376"/>
      <c r="P45" s="381">
        <f t="shared" si="2"/>
        <v>291.10362042783527</v>
      </c>
      <c r="Q45" s="382">
        <f t="shared" si="3"/>
        <v>0.009792228084893162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258405.16</v>
      </c>
      <c r="K46" s="403"/>
      <c r="L46" s="404"/>
      <c r="M46" s="405"/>
      <c r="N46" s="402">
        <f>ROUND(SUM(N44:N45),2)</f>
        <v>260935.52</v>
      </c>
      <c r="O46" s="403"/>
      <c r="P46" s="406">
        <f t="shared" si="2"/>
        <v>2530.359999999986</v>
      </c>
      <c r="Q46" s="407">
        <f t="shared" si="3"/>
        <v>0.009792219319459356</v>
      </c>
    </row>
    <row r="47" ht="10.5" customHeight="1"/>
    <row r="48" spans="4:12" ht="12.75">
      <c r="D48" s="367" t="s">
        <v>363</v>
      </c>
      <c r="H48" s="513">
        <v>0.0145</v>
      </c>
      <c r="L48" s="513">
        <f>-(1-'[8]Ex4 Total Loss Factors'!$G$18)</f>
        <v>0.004838001932520486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Large User &gt;5000kW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12" ht="12.75">
      <c r="B59" s="363" t="s">
        <v>53</v>
      </c>
      <c r="F59" s="367" t="s">
        <v>66</v>
      </c>
      <c r="G59" s="367"/>
      <c r="H59" s="504">
        <v>3100000</v>
      </c>
      <c r="I59" s="367" t="s">
        <v>332</v>
      </c>
      <c r="J59" s="504">
        <v>7500</v>
      </c>
      <c r="L59" s="367" t="s">
        <v>16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83">
        <f>+'2010 Existing Rates'!$C$12</f>
        <v>4126.26</v>
      </c>
      <c r="I64" s="378">
        <v>1</v>
      </c>
      <c r="J64" s="379">
        <f aca="true" t="shared" si="8" ref="J64:J78">I64*H64</f>
        <v>4126.26</v>
      </c>
      <c r="K64" s="376"/>
      <c r="L64" s="583">
        <f>+'Rate Schedule (Part 1)'!$E$43</f>
        <v>4219.51</v>
      </c>
      <c r="M64" s="380">
        <v>1</v>
      </c>
      <c r="N64" s="379">
        <f aca="true" t="shared" si="9" ref="N64:N78">M64*L64</f>
        <v>4219.51</v>
      </c>
      <c r="O64" s="376"/>
      <c r="P64" s="381">
        <f aca="true" t="shared" si="10" ref="P64:P90">N64-J64</f>
        <v>93.25</v>
      </c>
      <c r="Q64" s="382">
        <f aca="true" t="shared" si="11" ref="Q64:Q90">IF((J64)=0,"",(P64/J64))</f>
        <v>0.022599157590651096</v>
      </c>
    </row>
    <row r="65" spans="4:17" ht="12.75">
      <c r="D65" s="376" t="s">
        <v>226</v>
      </c>
      <c r="E65" s="376"/>
      <c r="F65" s="514" t="s">
        <v>330</v>
      </c>
      <c r="G65" s="377"/>
      <c r="H65" s="583">
        <f>+'2010 Existing Rates'!$B$49</f>
        <v>2.16</v>
      </c>
      <c r="I65" s="378">
        <v>1</v>
      </c>
      <c r="J65" s="379">
        <f t="shared" si="8"/>
        <v>2.16</v>
      </c>
      <c r="K65" s="376"/>
      <c r="L65" s="583">
        <f>+'Rate Schedule (Part 1)'!$E$47</f>
        <v>-0.43193202035146244</v>
      </c>
      <c r="M65" s="380">
        <v>1</v>
      </c>
      <c r="N65" s="379">
        <f t="shared" si="9"/>
        <v>-0.43193202035146244</v>
      </c>
      <c r="O65" s="376"/>
      <c r="P65" s="381">
        <f t="shared" si="10"/>
        <v>-2.5919320203514626</v>
      </c>
      <c r="Q65" s="382">
        <f t="shared" si="11"/>
        <v>-1.199968527940492</v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22</v>
      </c>
      <c r="G68" s="377"/>
      <c r="H68" s="505">
        <f>+'2010 Existing Rates'!$D$62</f>
        <v>2.4703</v>
      </c>
      <c r="I68" s="378">
        <f>+J59</f>
        <v>7500</v>
      </c>
      <c r="J68" s="379">
        <f t="shared" si="8"/>
        <v>18527.25</v>
      </c>
      <c r="K68" s="376"/>
      <c r="L68" s="505">
        <f>+'Rate Schedule (Part 1)'!$E$44</f>
        <v>2.5261</v>
      </c>
      <c r="M68" s="380">
        <f>+J59</f>
        <v>7500</v>
      </c>
      <c r="N68" s="379">
        <f t="shared" si="9"/>
        <v>18945.75</v>
      </c>
      <c r="O68" s="376"/>
      <c r="P68" s="381">
        <f t="shared" si="10"/>
        <v>418.5</v>
      </c>
      <c r="Q68" s="382">
        <f t="shared" si="11"/>
        <v>0.022588349593166822</v>
      </c>
    </row>
    <row r="69" spans="4:17" ht="12.75">
      <c r="D69" s="376" t="s">
        <v>344</v>
      </c>
      <c r="E69" s="376"/>
      <c r="F69" s="514" t="s">
        <v>22</v>
      </c>
      <c r="G69" s="377"/>
      <c r="H69" s="505">
        <f>+'2010 Existing Rates'!$D$37</f>
        <v>0.1248</v>
      </c>
      <c r="I69" s="378">
        <f aca="true" t="shared" si="12" ref="I69:I74">I68</f>
        <v>7500</v>
      </c>
      <c r="J69" s="379">
        <f t="shared" si="8"/>
        <v>936</v>
      </c>
      <c r="K69" s="376"/>
      <c r="L69" s="505">
        <f>+'Rate Schedule (Part 1)'!$E$45</f>
        <v>0.0903</v>
      </c>
      <c r="M69" s="380">
        <f aca="true" t="shared" si="13" ref="M69:M74">M68</f>
        <v>7500</v>
      </c>
      <c r="N69" s="379">
        <f t="shared" si="9"/>
        <v>677.25</v>
      </c>
      <c r="O69" s="376"/>
      <c r="P69" s="381">
        <f t="shared" si="10"/>
        <v>-258.75</v>
      </c>
      <c r="Q69" s="382">
        <f t="shared" si="11"/>
        <v>-0.2764423076923077</v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7500</v>
      </c>
      <c r="J70" s="379">
        <f t="shared" si="8"/>
        <v>0</v>
      </c>
      <c r="K70" s="376"/>
      <c r="L70" s="505"/>
      <c r="M70" s="380">
        <f t="shared" si="13"/>
        <v>7500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7500</v>
      </c>
      <c r="J71" s="379">
        <f t="shared" si="8"/>
        <v>0</v>
      </c>
      <c r="K71" s="376"/>
      <c r="L71" s="505"/>
      <c r="M71" s="380">
        <f t="shared" si="13"/>
        <v>7500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7500</v>
      </c>
      <c r="J72" s="379">
        <f t="shared" si="8"/>
        <v>0</v>
      </c>
      <c r="K72" s="376"/>
      <c r="L72" s="505"/>
      <c r="M72" s="380">
        <f t="shared" si="13"/>
        <v>7500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7500</v>
      </c>
      <c r="J73" s="379">
        <f t="shared" si="8"/>
        <v>0</v>
      </c>
      <c r="K73" s="376"/>
      <c r="L73" s="505"/>
      <c r="M73" s="380">
        <f t="shared" si="13"/>
        <v>7500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22</v>
      </c>
      <c r="G74" s="377"/>
      <c r="H74" s="505">
        <f>+'2010 Existing Rates'!$D$25</f>
        <v>-1.2508</v>
      </c>
      <c r="I74" s="378">
        <f t="shared" si="12"/>
        <v>7500</v>
      </c>
      <c r="J74" s="379">
        <f t="shared" si="8"/>
        <v>-9381</v>
      </c>
      <c r="K74" s="376"/>
      <c r="L74" s="505">
        <f>+'Rate Schedule (Part 1)'!$E$48</f>
        <v>-0.3563803210846431</v>
      </c>
      <c r="M74" s="380">
        <f t="shared" si="13"/>
        <v>7500</v>
      </c>
      <c r="N74" s="379">
        <f t="shared" si="9"/>
        <v>-2672.8524081348232</v>
      </c>
      <c r="O74" s="376"/>
      <c r="P74" s="381">
        <f t="shared" si="10"/>
        <v>6708.147591865177</v>
      </c>
      <c r="Q74" s="382">
        <f t="shared" si="11"/>
        <v>-0.7150780931526678</v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14210.669999999998</v>
      </c>
      <c r="L79" s="385"/>
      <c r="M79" s="388"/>
      <c r="N79" s="387">
        <f>SUM(N64:N78)</f>
        <v>21169.225659844826</v>
      </c>
      <c r="P79" s="389">
        <f t="shared" si="10"/>
        <v>6958.5556598448275</v>
      </c>
      <c r="Q79" s="390">
        <f t="shared" si="11"/>
        <v>0.48967118790632874</v>
      </c>
    </row>
    <row r="80" spans="4:17" ht="12.75">
      <c r="D80" s="391" t="s">
        <v>351</v>
      </c>
      <c r="E80" s="391"/>
      <c r="F80" s="515" t="s">
        <v>22</v>
      </c>
      <c r="G80" s="392"/>
      <c r="H80" s="506">
        <v>2.5886</v>
      </c>
      <c r="I80" s="393">
        <f>+J59</f>
        <v>7500</v>
      </c>
      <c r="J80" s="394">
        <f>I80*H80</f>
        <v>19414.5</v>
      </c>
      <c r="K80" s="391"/>
      <c r="L80" s="506">
        <f>+'[7]E1.1 Adj Network to Fcst Whsl'!$S$26</f>
        <v>2.406132577762992</v>
      </c>
      <c r="M80" s="395">
        <f>+J59</f>
        <v>7500</v>
      </c>
      <c r="N80" s="394">
        <f>M80*L80</f>
        <v>18045.99433322244</v>
      </c>
      <c r="O80" s="391"/>
      <c r="P80" s="396">
        <f t="shared" si="10"/>
        <v>-1368.5056667775607</v>
      </c>
      <c r="Q80" s="397">
        <f t="shared" si="11"/>
        <v>-0.07048884425442636</v>
      </c>
    </row>
    <row r="81" spans="4:17" ht="26.25" thickBot="1">
      <c r="D81" s="398" t="s">
        <v>352</v>
      </c>
      <c r="E81" s="391"/>
      <c r="F81" s="515" t="s">
        <v>22</v>
      </c>
      <c r="G81" s="392"/>
      <c r="H81" s="506">
        <v>2.1323</v>
      </c>
      <c r="I81" s="393">
        <f>I80</f>
        <v>7500</v>
      </c>
      <c r="J81" s="394">
        <f>I81*H81</f>
        <v>15992.249999999998</v>
      </c>
      <c r="K81" s="391"/>
      <c r="L81" s="506">
        <f>+'[7]E1.2 Adj Conn to Fcst Whsl'!$S$26</f>
        <v>2.1055753062374882</v>
      </c>
      <c r="M81" s="395">
        <f>M80</f>
        <v>7500</v>
      </c>
      <c r="N81" s="394">
        <f>M81*L81</f>
        <v>15791.814796781162</v>
      </c>
      <c r="O81" s="391"/>
      <c r="P81" s="396">
        <f t="shared" si="10"/>
        <v>-200.43520321883625</v>
      </c>
      <c r="Q81" s="397">
        <f t="shared" si="11"/>
        <v>-0.012533271004319984</v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49617.42</v>
      </c>
      <c r="K82" s="403"/>
      <c r="L82" s="404"/>
      <c r="M82" s="405"/>
      <c r="N82" s="402">
        <f>SUM(N79:N81)</f>
        <v>55007.034789848425</v>
      </c>
      <c r="O82" s="403"/>
      <c r="P82" s="406">
        <f t="shared" si="10"/>
        <v>5389.614789848427</v>
      </c>
      <c r="Q82" s="407">
        <f t="shared" si="11"/>
        <v>0.10862343890207163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+$H59*(1+$H95)</f>
        <v>3144950</v>
      </c>
      <c r="J83" s="379">
        <f aca="true" t="shared" si="14" ref="J83:J90">I83*H83</f>
        <v>16353.74</v>
      </c>
      <c r="K83" s="376"/>
      <c r="L83" s="505">
        <v>0.0052</v>
      </c>
      <c r="M83" s="380">
        <f>+M88</f>
        <v>3114997.8059908133</v>
      </c>
      <c r="N83" s="379">
        <f aca="true" t="shared" si="15" ref="N83:N90">M83*L83</f>
        <v>16197.988591152229</v>
      </c>
      <c r="O83" s="376"/>
      <c r="P83" s="381">
        <f t="shared" si="10"/>
        <v>-155.75140884777102</v>
      </c>
      <c r="Q83" s="382">
        <f t="shared" si="11"/>
        <v>-0.009523901495790627</v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+I83</f>
        <v>3144950</v>
      </c>
      <c r="J84" s="379">
        <f t="shared" si="14"/>
        <v>4088.435</v>
      </c>
      <c r="K84" s="376"/>
      <c r="L84" s="505">
        <v>0.0013</v>
      </c>
      <c r="M84" s="380">
        <f>+M83</f>
        <v>3114997.8059908133</v>
      </c>
      <c r="N84" s="379">
        <f t="shared" si="15"/>
        <v>4049.497147788057</v>
      </c>
      <c r="O84" s="376"/>
      <c r="P84" s="381">
        <f t="shared" si="10"/>
        <v>-38.937852211942754</v>
      </c>
      <c r="Q84" s="382">
        <f t="shared" si="11"/>
        <v>-0.009523901495790627</v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+I83</f>
        <v>3144950</v>
      </c>
      <c r="J85" s="379">
        <f t="shared" si="14"/>
        <v>1173.06635</v>
      </c>
      <c r="K85" s="376"/>
      <c r="L85" s="508">
        <v>0.000373</v>
      </c>
      <c r="M85" s="380">
        <f>+M83</f>
        <v>3114997.8059908133</v>
      </c>
      <c r="N85" s="379">
        <f t="shared" si="15"/>
        <v>1161.8941816345734</v>
      </c>
      <c r="O85" s="376"/>
      <c r="P85" s="381">
        <f t="shared" si="10"/>
        <v>-11.172168365426614</v>
      </c>
      <c r="Q85" s="382">
        <f t="shared" si="11"/>
        <v>-0.009523901495790596</v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3100000</v>
      </c>
      <c r="J87" s="379">
        <f t="shared" si="14"/>
        <v>21700</v>
      </c>
      <c r="K87" s="376"/>
      <c r="L87" s="505">
        <v>0.007</v>
      </c>
      <c r="M87" s="380">
        <f>+$H59</f>
        <v>3100000</v>
      </c>
      <c r="N87" s="379">
        <f t="shared" si="15"/>
        <v>21700</v>
      </c>
      <c r="O87" s="376"/>
      <c r="P87" s="381">
        <f t="shared" si="10"/>
        <v>0</v>
      </c>
      <c r="Q87" s="382">
        <f t="shared" si="11"/>
        <v>0</v>
      </c>
    </row>
    <row r="88" spans="4:17" ht="12.75">
      <c r="D88" s="376" t="s">
        <v>359</v>
      </c>
      <c r="E88" s="376"/>
      <c r="F88" s="514" t="s">
        <v>53</v>
      </c>
      <c r="G88" s="377"/>
      <c r="H88" s="505">
        <f>+'Other Electriciy Rates'!$J$14</f>
        <v>0.065</v>
      </c>
      <c r="I88" s="378">
        <f>+$H59*(1+$H95)</f>
        <v>3144950</v>
      </c>
      <c r="J88" s="379">
        <f t="shared" si="14"/>
        <v>204421.75</v>
      </c>
      <c r="K88" s="376"/>
      <c r="L88" s="505">
        <f>+'Other Electriciy Rates'!J$29</f>
        <v>0.065</v>
      </c>
      <c r="M88" s="378">
        <f>+$H59*(1+$L95)</f>
        <v>3114997.8059908133</v>
      </c>
      <c r="N88" s="379">
        <f t="shared" si="15"/>
        <v>202474.85738940287</v>
      </c>
      <c r="O88" s="376"/>
      <c r="P88" s="381">
        <f t="shared" si="10"/>
        <v>-1946.8926105971332</v>
      </c>
      <c r="Q88" s="382">
        <f t="shared" si="11"/>
        <v>-0.009523901495790606</v>
      </c>
    </row>
    <row r="89" spans="4:17" ht="12.75">
      <c r="D89" s="502"/>
      <c r="E89" s="376"/>
      <c r="F89" s="514"/>
      <c r="G89" s="377"/>
      <c r="H89" s="505"/>
      <c r="I89" s="509"/>
      <c r="J89" s="379">
        <f t="shared" si="14"/>
        <v>0</v>
      </c>
      <c r="K89" s="376"/>
      <c r="L89" s="505"/>
      <c r="M89" s="509"/>
      <c r="N89" s="379">
        <f t="shared" si="15"/>
        <v>0</v>
      </c>
      <c r="O89" s="376"/>
      <c r="P89" s="381">
        <f t="shared" si="10"/>
        <v>0</v>
      </c>
      <c r="Q89" s="382">
        <f t="shared" si="11"/>
      </c>
    </row>
    <row r="90" spans="4:17" ht="13.5" thickBot="1">
      <c r="D90" s="501"/>
      <c r="E90" s="376"/>
      <c r="F90" s="514"/>
      <c r="G90" s="377"/>
      <c r="H90" s="505"/>
      <c r="I90" s="509"/>
      <c r="J90" s="379">
        <f t="shared" si="14"/>
        <v>0</v>
      </c>
      <c r="K90" s="376"/>
      <c r="L90" s="505"/>
      <c r="M90" s="509"/>
      <c r="N90" s="379">
        <f t="shared" si="15"/>
        <v>0</v>
      </c>
      <c r="O90" s="376"/>
      <c r="P90" s="381">
        <f t="shared" si="10"/>
        <v>0</v>
      </c>
      <c r="Q90" s="382">
        <f t="shared" si="11"/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297354.66135</v>
      </c>
      <c r="K91" s="403"/>
      <c r="L91" s="411"/>
      <c r="M91" s="412"/>
      <c r="N91" s="402">
        <f>SUM(N82:N90)</f>
        <v>300591.52209982614</v>
      </c>
      <c r="O91" s="403"/>
      <c r="P91" s="406">
        <f>N91-J91</f>
        <v>3236.8607498261263</v>
      </c>
      <c r="Q91" s="407">
        <f>IF((J91)=0,"",(P91/J91))</f>
        <v>0.010885522140902958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38656.1059755</v>
      </c>
      <c r="K92" s="376"/>
      <c r="L92" s="511">
        <v>0.13</v>
      </c>
      <c r="M92" s="415"/>
      <c r="N92" s="414">
        <f>N91*L92</f>
        <v>39076.8978729774</v>
      </c>
      <c r="O92" s="376"/>
      <c r="P92" s="381">
        <f>N92-J92</f>
        <v>420.7918974774002</v>
      </c>
      <c r="Q92" s="382">
        <f>IF((J92)=0,"",(P92/J92))</f>
        <v>0.010885522140903056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336010.77</v>
      </c>
      <c r="K93" s="403"/>
      <c r="L93" s="404"/>
      <c r="M93" s="405"/>
      <c r="N93" s="402">
        <f>ROUND(SUM(N91:N92),2)</f>
        <v>339668.42</v>
      </c>
      <c r="O93" s="403"/>
      <c r="P93" s="406">
        <f>N93-J93</f>
        <v>3657.649999999965</v>
      </c>
      <c r="Q93" s="407">
        <f>IF((J93)=0,"",(P93/J93))</f>
        <v>0.010885514175631826</v>
      </c>
    </row>
    <row r="94" ht="10.5" customHeight="1"/>
    <row r="95" spans="4:12" ht="12.75">
      <c r="D95" s="367" t="s">
        <v>363</v>
      </c>
      <c r="H95" s="513">
        <v>0.0145</v>
      </c>
      <c r="L95" s="513">
        <f>-(1-'[8]Ex4 Total Loss Factors'!$G$18)</f>
        <v>0.004838001932520486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Large User &gt;5000kW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12" ht="12.75">
      <c r="B106" s="363" t="s">
        <v>53</v>
      </c>
      <c r="F106" s="367" t="s">
        <v>66</v>
      </c>
      <c r="G106" s="367"/>
      <c r="H106" s="504">
        <v>4200000</v>
      </c>
      <c r="I106" s="367" t="s">
        <v>332</v>
      </c>
      <c r="J106" s="504">
        <v>10000</v>
      </c>
      <c r="L106" s="367" t="s">
        <v>16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83">
        <f>+'2010 Existing Rates'!$C$12</f>
        <v>4126.26</v>
      </c>
      <c r="I111" s="378">
        <v>1</v>
      </c>
      <c r="J111" s="379">
        <f aca="true" t="shared" si="16" ref="J111:J125">I111*H111</f>
        <v>4126.26</v>
      </c>
      <c r="K111" s="376"/>
      <c r="L111" s="583">
        <f>+'Rate Schedule (Part 1)'!$E$43</f>
        <v>4219.51</v>
      </c>
      <c r="M111" s="380">
        <v>1</v>
      </c>
      <c r="N111" s="379">
        <f aca="true" t="shared" si="17" ref="N111:N125">M111*L111</f>
        <v>4219.51</v>
      </c>
      <c r="O111" s="376"/>
      <c r="P111" s="381">
        <f aca="true" t="shared" si="18" ref="P111:P137">N111-J111</f>
        <v>93.25</v>
      </c>
      <c r="Q111" s="382">
        <f aca="true" t="shared" si="19" ref="Q111:Q137">IF((J111)=0,"",(P111/J111))</f>
        <v>0.022599157590651096</v>
      </c>
    </row>
    <row r="112" spans="4:17" ht="12.75">
      <c r="D112" s="376" t="s">
        <v>226</v>
      </c>
      <c r="E112" s="376"/>
      <c r="F112" s="514" t="s">
        <v>330</v>
      </c>
      <c r="G112" s="377"/>
      <c r="H112" s="583">
        <f>+'2010 Existing Rates'!$B$49</f>
        <v>2.16</v>
      </c>
      <c r="I112" s="378">
        <v>1</v>
      </c>
      <c r="J112" s="379">
        <f t="shared" si="16"/>
        <v>2.16</v>
      </c>
      <c r="K112" s="376"/>
      <c r="L112" s="583">
        <f>+'Rate Schedule (Part 1)'!$E$47</f>
        <v>-0.43193202035146244</v>
      </c>
      <c r="M112" s="380">
        <v>1</v>
      </c>
      <c r="N112" s="379">
        <f t="shared" si="17"/>
        <v>-0.43193202035146244</v>
      </c>
      <c r="O112" s="376"/>
      <c r="P112" s="381">
        <f t="shared" si="18"/>
        <v>-2.5919320203514626</v>
      </c>
      <c r="Q112" s="382">
        <f t="shared" si="19"/>
        <v>-1.199968527940492</v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22</v>
      </c>
      <c r="G115" s="377"/>
      <c r="H115" s="505">
        <f>+'2010 Existing Rates'!$D$62</f>
        <v>2.4703</v>
      </c>
      <c r="I115" s="378">
        <f>+J106</f>
        <v>10000</v>
      </c>
      <c r="J115" s="379">
        <f t="shared" si="16"/>
        <v>24703</v>
      </c>
      <c r="K115" s="376"/>
      <c r="L115" s="505">
        <f>+'Rate Schedule (Part 1)'!$E$44</f>
        <v>2.5261</v>
      </c>
      <c r="M115" s="380">
        <f>+J106</f>
        <v>10000</v>
      </c>
      <c r="N115" s="379">
        <f t="shared" si="17"/>
        <v>25261</v>
      </c>
      <c r="O115" s="376"/>
      <c r="P115" s="381">
        <f t="shared" si="18"/>
        <v>558</v>
      </c>
      <c r="Q115" s="382">
        <f t="shared" si="19"/>
        <v>0.022588349593166822</v>
      </c>
    </row>
    <row r="116" spans="4:17" ht="12.75">
      <c r="D116" s="376" t="s">
        <v>344</v>
      </c>
      <c r="E116" s="376"/>
      <c r="F116" s="514" t="s">
        <v>22</v>
      </c>
      <c r="G116" s="377"/>
      <c r="H116" s="505">
        <f>+'2010 Existing Rates'!$D$37</f>
        <v>0.1248</v>
      </c>
      <c r="I116" s="378">
        <f aca="true" t="shared" si="20" ref="I116:I121">I115</f>
        <v>10000</v>
      </c>
      <c r="J116" s="379">
        <f t="shared" si="16"/>
        <v>1248</v>
      </c>
      <c r="K116" s="376"/>
      <c r="L116" s="505">
        <f>+'Rate Schedule (Part 1)'!$E$45</f>
        <v>0.0903</v>
      </c>
      <c r="M116" s="380">
        <f aca="true" t="shared" si="21" ref="M116:M121">M115</f>
        <v>10000</v>
      </c>
      <c r="N116" s="379">
        <f t="shared" si="17"/>
        <v>903</v>
      </c>
      <c r="O116" s="376"/>
      <c r="P116" s="381">
        <f t="shared" si="18"/>
        <v>-345</v>
      </c>
      <c r="Q116" s="382">
        <f t="shared" si="19"/>
        <v>-0.2764423076923077</v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10000</v>
      </c>
      <c r="J117" s="379">
        <f t="shared" si="16"/>
        <v>0</v>
      </c>
      <c r="K117" s="376"/>
      <c r="L117" s="505"/>
      <c r="M117" s="380">
        <f t="shared" si="21"/>
        <v>10000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10000</v>
      </c>
      <c r="J118" s="379">
        <f t="shared" si="16"/>
        <v>0</v>
      </c>
      <c r="K118" s="376"/>
      <c r="L118" s="505"/>
      <c r="M118" s="380">
        <f t="shared" si="21"/>
        <v>10000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10000</v>
      </c>
      <c r="J119" s="379">
        <f t="shared" si="16"/>
        <v>0</v>
      </c>
      <c r="K119" s="376"/>
      <c r="L119" s="505"/>
      <c r="M119" s="380">
        <f t="shared" si="21"/>
        <v>10000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10000</v>
      </c>
      <c r="J120" s="379">
        <f t="shared" si="16"/>
        <v>0</v>
      </c>
      <c r="K120" s="376"/>
      <c r="L120" s="505"/>
      <c r="M120" s="380">
        <f t="shared" si="21"/>
        <v>10000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22</v>
      </c>
      <c r="G121" s="377"/>
      <c r="H121" s="505">
        <f>+'2010 Existing Rates'!$D$25</f>
        <v>-1.2508</v>
      </c>
      <c r="I121" s="378">
        <f t="shared" si="20"/>
        <v>10000</v>
      </c>
      <c r="J121" s="379">
        <f t="shared" si="16"/>
        <v>-12508</v>
      </c>
      <c r="K121" s="376"/>
      <c r="L121" s="505">
        <f>+'Rate Schedule (Part 1)'!$E$48</f>
        <v>-0.3563803210846431</v>
      </c>
      <c r="M121" s="380">
        <f t="shared" si="21"/>
        <v>10000</v>
      </c>
      <c r="N121" s="379">
        <f t="shared" si="17"/>
        <v>-3563.8032108464313</v>
      </c>
      <c r="O121" s="376"/>
      <c r="P121" s="381">
        <f t="shared" si="18"/>
        <v>8944.196789153568</v>
      </c>
      <c r="Q121" s="382">
        <f t="shared" si="19"/>
        <v>-0.7150780931526677</v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17571.42</v>
      </c>
      <c r="L126" s="385"/>
      <c r="M126" s="388"/>
      <c r="N126" s="387">
        <f>SUM(N111:N125)</f>
        <v>26819.274857133216</v>
      </c>
      <c r="P126" s="389">
        <f t="shared" si="18"/>
        <v>9247.854857133218</v>
      </c>
      <c r="Q126" s="390">
        <f t="shared" si="19"/>
        <v>0.5263009396584464</v>
      </c>
    </row>
    <row r="127" spans="4:17" ht="12.75">
      <c r="D127" s="391" t="s">
        <v>351</v>
      </c>
      <c r="E127" s="391"/>
      <c r="F127" s="515" t="s">
        <v>22</v>
      </c>
      <c r="G127" s="392"/>
      <c r="H127" s="506">
        <v>2.5886</v>
      </c>
      <c r="I127" s="393">
        <f>+J106</f>
        <v>10000</v>
      </c>
      <c r="J127" s="394">
        <f>I127*H127</f>
        <v>25886</v>
      </c>
      <c r="K127" s="391"/>
      <c r="L127" s="506">
        <f>+'[7]E1.1 Adj Network to Fcst Whsl'!$S$26</f>
        <v>2.406132577762992</v>
      </c>
      <c r="M127" s="395">
        <f>+J106</f>
        <v>10000</v>
      </c>
      <c r="N127" s="394">
        <f>M127*L127</f>
        <v>24061.32577762992</v>
      </c>
      <c r="O127" s="391"/>
      <c r="P127" s="396">
        <f t="shared" si="18"/>
        <v>-1824.6742223700785</v>
      </c>
      <c r="Q127" s="397">
        <f t="shared" si="19"/>
        <v>-0.07048884425442627</v>
      </c>
    </row>
    <row r="128" spans="4:17" ht="26.25" thickBot="1">
      <c r="D128" s="398" t="s">
        <v>352</v>
      </c>
      <c r="E128" s="391"/>
      <c r="F128" s="515" t="s">
        <v>22</v>
      </c>
      <c r="G128" s="392"/>
      <c r="H128" s="506">
        <v>2.1323</v>
      </c>
      <c r="I128" s="393">
        <f>I127</f>
        <v>10000</v>
      </c>
      <c r="J128" s="394">
        <f>I128*H128</f>
        <v>21323</v>
      </c>
      <c r="K128" s="391"/>
      <c r="L128" s="506">
        <f>+'[7]E1.2 Adj Conn to Fcst Whsl'!$S$26</f>
        <v>2.1055753062374882</v>
      </c>
      <c r="M128" s="395">
        <f>M127</f>
        <v>10000</v>
      </c>
      <c r="N128" s="394">
        <f>M128*L128</f>
        <v>21055.753062374883</v>
      </c>
      <c r="O128" s="391"/>
      <c r="P128" s="396">
        <f t="shared" si="18"/>
        <v>-267.2469376251174</v>
      </c>
      <c r="Q128" s="397">
        <f t="shared" si="19"/>
        <v>-0.012533271004320097</v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64780.42</v>
      </c>
      <c r="K129" s="403"/>
      <c r="L129" s="404"/>
      <c r="M129" s="405"/>
      <c r="N129" s="402">
        <f>SUM(N126:N128)</f>
        <v>71936.35369713802</v>
      </c>
      <c r="O129" s="403"/>
      <c r="P129" s="406">
        <f t="shared" si="18"/>
        <v>7155.933697138025</v>
      </c>
      <c r="Q129" s="407">
        <f t="shared" si="19"/>
        <v>0.11046445356695782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+$H106*(1+$H142)</f>
        <v>4260900</v>
      </c>
      <c r="J130" s="379">
        <f aca="true" t="shared" si="22" ref="J130:J137">I130*H130</f>
        <v>22156.68</v>
      </c>
      <c r="K130" s="376"/>
      <c r="L130" s="505">
        <v>0.0052</v>
      </c>
      <c r="M130" s="380">
        <f>+M135</f>
        <v>4220319.608116586</v>
      </c>
      <c r="N130" s="379">
        <f aca="true" t="shared" si="23" ref="N130:N137">M130*L130</f>
        <v>21945.661962206246</v>
      </c>
      <c r="O130" s="376"/>
      <c r="P130" s="381">
        <f t="shared" si="18"/>
        <v>-211.01803779375405</v>
      </c>
      <c r="Q130" s="382">
        <f t="shared" si="19"/>
        <v>-0.009523901495790616</v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+I130</f>
        <v>4260900</v>
      </c>
      <c r="J131" s="379">
        <f t="shared" si="22"/>
        <v>5539.17</v>
      </c>
      <c r="K131" s="376"/>
      <c r="L131" s="505">
        <v>0.0013</v>
      </c>
      <c r="M131" s="380">
        <f>+M130</f>
        <v>4220319.608116586</v>
      </c>
      <c r="N131" s="379">
        <f t="shared" si="23"/>
        <v>5486.415490551562</v>
      </c>
      <c r="O131" s="376"/>
      <c r="P131" s="381">
        <f t="shared" si="18"/>
        <v>-52.75450944843851</v>
      </c>
      <c r="Q131" s="382">
        <f t="shared" si="19"/>
        <v>-0.009523901495790616</v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+I130</f>
        <v>4260900</v>
      </c>
      <c r="J132" s="379">
        <f t="shared" si="22"/>
        <v>1589.3157</v>
      </c>
      <c r="K132" s="376"/>
      <c r="L132" s="508">
        <v>0.000373</v>
      </c>
      <c r="M132" s="380">
        <f>+M130</f>
        <v>4220319.608116586</v>
      </c>
      <c r="N132" s="379">
        <f t="shared" si="23"/>
        <v>1574.1792138274866</v>
      </c>
      <c r="O132" s="376"/>
      <c r="P132" s="381">
        <f t="shared" si="18"/>
        <v>-15.136486172513514</v>
      </c>
      <c r="Q132" s="382">
        <f t="shared" si="19"/>
        <v>-0.009523901495790618</v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4200000</v>
      </c>
      <c r="J134" s="379">
        <f t="shared" si="22"/>
        <v>29400</v>
      </c>
      <c r="K134" s="376"/>
      <c r="L134" s="505">
        <v>0.007</v>
      </c>
      <c r="M134" s="380">
        <f>+$H106</f>
        <v>4200000</v>
      </c>
      <c r="N134" s="379">
        <f t="shared" si="23"/>
        <v>29400</v>
      </c>
      <c r="O134" s="376"/>
      <c r="P134" s="381">
        <f t="shared" si="18"/>
        <v>0</v>
      </c>
      <c r="Q134" s="382">
        <f t="shared" si="19"/>
        <v>0</v>
      </c>
    </row>
    <row r="135" spans="4:17" ht="12.75">
      <c r="D135" s="376" t="s">
        <v>359</v>
      </c>
      <c r="E135" s="376"/>
      <c r="F135" s="514" t="s">
        <v>53</v>
      </c>
      <c r="G135" s="377"/>
      <c r="H135" s="505">
        <f>+'Other Electriciy Rates'!$J$14</f>
        <v>0.065</v>
      </c>
      <c r="I135" s="378">
        <f>+$H106*(1+$H142)</f>
        <v>4260900</v>
      </c>
      <c r="J135" s="379">
        <f t="shared" si="22"/>
        <v>276958.5</v>
      </c>
      <c r="K135" s="376"/>
      <c r="L135" s="505">
        <f>+'Other Electriciy Rates'!J$29</f>
        <v>0.065</v>
      </c>
      <c r="M135" s="378">
        <f>+$H106*(1+$L142)</f>
        <v>4220319.608116586</v>
      </c>
      <c r="N135" s="379">
        <f t="shared" si="23"/>
        <v>274320.7745275781</v>
      </c>
      <c r="O135" s="376"/>
      <c r="P135" s="381">
        <f t="shared" si="18"/>
        <v>-2637.725472421909</v>
      </c>
      <c r="Q135" s="382">
        <f t="shared" si="19"/>
        <v>-0.009523901495790557</v>
      </c>
    </row>
    <row r="136" spans="4:17" ht="12.75">
      <c r="D136" s="502"/>
      <c r="E136" s="376"/>
      <c r="F136" s="514"/>
      <c r="G136" s="377"/>
      <c r="H136" s="505"/>
      <c r="I136" s="509"/>
      <c r="J136" s="379">
        <f t="shared" si="22"/>
        <v>0</v>
      </c>
      <c r="K136" s="376"/>
      <c r="L136" s="505"/>
      <c r="M136" s="509"/>
      <c r="N136" s="379">
        <f t="shared" si="23"/>
        <v>0</v>
      </c>
      <c r="O136" s="376"/>
      <c r="P136" s="381">
        <f t="shared" si="18"/>
        <v>0</v>
      </c>
      <c r="Q136" s="382">
        <f t="shared" si="19"/>
      </c>
    </row>
    <row r="137" spans="4:17" ht="13.5" thickBot="1">
      <c r="D137" s="501"/>
      <c r="E137" s="376"/>
      <c r="F137" s="514"/>
      <c r="G137" s="377"/>
      <c r="H137" s="505"/>
      <c r="I137" s="509"/>
      <c r="J137" s="379">
        <f t="shared" si="22"/>
        <v>0</v>
      </c>
      <c r="K137" s="376"/>
      <c r="L137" s="505"/>
      <c r="M137" s="509"/>
      <c r="N137" s="379">
        <f t="shared" si="23"/>
        <v>0</v>
      </c>
      <c r="O137" s="376"/>
      <c r="P137" s="381">
        <f t="shared" si="18"/>
        <v>0</v>
      </c>
      <c r="Q137" s="382">
        <f t="shared" si="19"/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400424.3357</v>
      </c>
      <c r="K138" s="403"/>
      <c r="L138" s="411"/>
      <c r="M138" s="412"/>
      <c r="N138" s="402">
        <f>SUM(N129:N137)</f>
        <v>404663.6348913014</v>
      </c>
      <c r="O138" s="403"/>
      <c r="P138" s="406">
        <f>N138-J138</f>
        <v>4239.2991913013975</v>
      </c>
      <c r="Q138" s="407">
        <f>IF((J138)=0,"",(P138/J138))</f>
        <v>0.01058701685523305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52055.163641</v>
      </c>
      <c r="K139" s="376"/>
      <c r="L139" s="511">
        <v>0.13</v>
      </c>
      <c r="M139" s="415"/>
      <c r="N139" s="414">
        <f>N138*L139</f>
        <v>52606.27253586918</v>
      </c>
      <c r="O139" s="376"/>
      <c r="P139" s="381">
        <f>N139-J139</f>
        <v>551.1088948691831</v>
      </c>
      <c r="Q139" s="382">
        <f>IF((J139)=0,"",(P139/J139))</f>
        <v>0.01058701685523308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452479.5</v>
      </c>
      <c r="K140" s="403"/>
      <c r="L140" s="404"/>
      <c r="M140" s="405"/>
      <c r="N140" s="402">
        <f>ROUND(SUM(N138:N139),2)</f>
        <v>457269.91</v>
      </c>
      <c r="O140" s="403"/>
      <c r="P140" s="406">
        <f>N140-J140</f>
        <v>4790.409999999974</v>
      </c>
      <c r="Q140" s="407">
        <f>IF((J140)=0,"",(P140/J140))</f>
        <v>0.010587021069462759</v>
      </c>
    </row>
    <row r="141" ht="10.5" customHeight="1"/>
    <row r="142" spans="4:12" ht="12.75">
      <c r="D142" s="367" t="s">
        <v>363</v>
      </c>
      <c r="H142" s="513">
        <v>0.0145</v>
      </c>
      <c r="L142" s="513">
        <f>-(1-'[8]Ex4 Total Loss Factors'!$G$18)</f>
        <v>0.004838001932520486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Large User &gt;5000kW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12" ht="12.75">
      <c r="B153" s="363" t="s">
        <v>53</v>
      </c>
      <c r="F153" s="367" t="s">
        <v>66</v>
      </c>
      <c r="G153" s="367"/>
      <c r="H153" s="504">
        <v>4700000</v>
      </c>
      <c r="I153" s="367" t="s">
        <v>332</v>
      </c>
      <c r="J153" s="504">
        <v>13900</v>
      </c>
      <c r="L153" s="367" t="s">
        <v>16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83">
        <f>+'2010 Existing Rates'!$C$12</f>
        <v>4126.26</v>
      </c>
      <c r="I158" s="378">
        <v>1</v>
      </c>
      <c r="J158" s="379">
        <f aca="true" t="shared" si="24" ref="J158:J172">I158*H158</f>
        <v>4126.26</v>
      </c>
      <c r="K158" s="376"/>
      <c r="L158" s="583">
        <f>+'Rate Schedule (Part 1)'!$E$43</f>
        <v>4219.51</v>
      </c>
      <c r="M158" s="380">
        <v>1</v>
      </c>
      <c r="N158" s="379">
        <f aca="true" t="shared" si="25" ref="N158:N172">M158*L158</f>
        <v>4219.51</v>
      </c>
      <c r="O158" s="376"/>
      <c r="P158" s="381">
        <f aca="true" t="shared" si="26" ref="P158:P184">N158-J158</f>
        <v>93.25</v>
      </c>
      <c r="Q158" s="382">
        <f aca="true" t="shared" si="27" ref="Q158:Q184">IF((J158)=0,"",(P158/J158))</f>
        <v>0.022599157590651096</v>
      </c>
    </row>
    <row r="159" spans="4:17" ht="12.75">
      <c r="D159" s="376" t="s">
        <v>226</v>
      </c>
      <c r="E159" s="376"/>
      <c r="F159" s="514" t="s">
        <v>330</v>
      </c>
      <c r="G159" s="377"/>
      <c r="H159" s="583">
        <f>+'2010 Existing Rates'!$B$49</f>
        <v>2.16</v>
      </c>
      <c r="I159" s="378">
        <v>1</v>
      </c>
      <c r="J159" s="379">
        <f t="shared" si="24"/>
        <v>2.16</v>
      </c>
      <c r="K159" s="376"/>
      <c r="L159" s="583">
        <f>+'Rate Schedule (Part 1)'!$E$47</f>
        <v>-0.43193202035146244</v>
      </c>
      <c r="M159" s="380">
        <v>1</v>
      </c>
      <c r="N159" s="379">
        <f t="shared" si="25"/>
        <v>-0.43193202035146244</v>
      </c>
      <c r="O159" s="376"/>
      <c r="P159" s="381">
        <f t="shared" si="26"/>
        <v>-2.5919320203514626</v>
      </c>
      <c r="Q159" s="382">
        <f t="shared" si="27"/>
        <v>-1.199968527940492</v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22</v>
      </c>
      <c r="G162" s="377"/>
      <c r="H162" s="505">
        <f>+'2010 Existing Rates'!$D$62</f>
        <v>2.4703</v>
      </c>
      <c r="I162" s="378">
        <f>+J153</f>
        <v>13900</v>
      </c>
      <c r="J162" s="379">
        <f t="shared" si="24"/>
        <v>34337.17</v>
      </c>
      <c r="K162" s="376"/>
      <c r="L162" s="505">
        <f>+'Rate Schedule (Part 1)'!$E$44</f>
        <v>2.5261</v>
      </c>
      <c r="M162" s="380">
        <f>+J153</f>
        <v>13900</v>
      </c>
      <c r="N162" s="379">
        <f t="shared" si="25"/>
        <v>35112.79</v>
      </c>
      <c r="O162" s="376"/>
      <c r="P162" s="381">
        <f t="shared" si="26"/>
        <v>775.6200000000026</v>
      </c>
      <c r="Q162" s="382">
        <f t="shared" si="27"/>
        <v>0.022588349593166898</v>
      </c>
    </row>
    <row r="163" spans="4:17" ht="12.75">
      <c r="D163" s="376" t="s">
        <v>344</v>
      </c>
      <c r="E163" s="376"/>
      <c r="F163" s="514" t="s">
        <v>22</v>
      </c>
      <c r="G163" s="377"/>
      <c r="H163" s="505">
        <f>+'2010 Existing Rates'!$D$37</f>
        <v>0.1248</v>
      </c>
      <c r="I163" s="378">
        <f aca="true" t="shared" si="28" ref="I163:I168">I162</f>
        <v>13900</v>
      </c>
      <c r="J163" s="379">
        <f t="shared" si="24"/>
        <v>1734.72</v>
      </c>
      <c r="K163" s="376"/>
      <c r="L163" s="505">
        <f>+'Rate Schedule (Part 1)'!$E$45</f>
        <v>0.0903</v>
      </c>
      <c r="M163" s="380">
        <f aca="true" t="shared" si="29" ref="M163:M168">M162</f>
        <v>13900</v>
      </c>
      <c r="N163" s="379">
        <f t="shared" si="25"/>
        <v>1255.17</v>
      </c>
      <c r="O163" s="376"/>
      <c r="P163" s="381">
        <f t="shared" si="26"/>
        <v>-479.54999999999995</v>
      </c>
      <c r="Q163" s="382">
        <f t="shared" si="27"/>
        <v>-0.27644230769230765</v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13900</v>
      </c>
      <c r="J164" s="379">
        <f t="shared" si="24"/>
        <v>0</v>
      </c>
      <c r="K164" s="376"/>
      <c r="L164" s="505"/>
      <c r="M164" s="380">
        <f t="shared" si="29"/>
        <v>13900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13900</v>
      </c>
      <c r="J165" s="379">
        <f t="shared" si="24"/>
        <v>0</v>
      </c>
      <c r="K165" s="376"/>
      <c r="L165" s="505"/>
      <c r="M165" s="380">
        <f t="shared" si="29"/>
        <v>13900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13900</v>
      </c>
      <c r="J166" s="379">
        <f t="shared" si="24"/>
        <v>0</v>
      </c>
      <c r="K166" s="376"/>
      <c r="L166" s="505"/>
      <c r="M166" s="380">
        <f t="shared" si="29"/>
        <v>13900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13900</v>
      </c>
      <c r="J167" s="379">
        <f t="shared" si="24"/>
        <v>0</v>
      </c>
      <c r="K167" s="376"/>
      <c r="L167" s="505"/>
      <c r="M167" s="380">
        <f t="shared" si="29"/>
        <v>13900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22</v>
      </c>
      <c r="G168" s="377"/>
      <c r="H168" s="505">
        <f>+'2010 Existing Rates'!$D$25</f>
        <v>-1.2508</v>
      </c>
      <c r="I168" s="378">
        <f t="shared" si="28"/>
        <v>13900</v>
      </c>
      <c r="J168" s="379">
        <f t="shared" si="24"/>
        <v>-17386.12</v>
      </c>
      <c r="K168" s="376"/>
      <c r="L168" s="505">
        <f>+'Rate Schedule (Part 1)'!$E$48</f>
        <v>-0.3563803210846431</v>
      </c>
      <c r="M168" s="380">
        <f t="shared" si="29"/>
        <v>13900</v>
      </c>
      <c r="N168" s="379">
        <f t="shared" si="25"/>
        <v>-4953.686463076539</v>
      </c>
      <c r="O168" s="376"/>
      <c r="P168" s="381">
        <f t="shared" si="26"/>
        <v>12432.43353692346</v>
      </c>
      <c r="Q168" s="382">
        <f t="shared" si="27"/>
        <v>-0.7150780931526678</v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22814.19</v>
      </c>
      <c r="L173" s="385"/>
      <c r="M173" s="388"/>
      <c r="N173" s="387">
        <f>SUM(N158:N172)</f>
        <v>35633.35160490311</v>
      </c>
      <c r="P173" s="389">
        <f t="shared" si="26"/>
        <v>12819.16160490311</v>
      </c>
      <c r="Q173" s="390">
        <f t="shared" si="27"/>
        <v>0.5618942248181115</v>
      </c>
    </row>
    <row r="174" spans="4:17" ht="12.75">
      <c r="D174" s="391" t="s">
        <v>351</v>
      </c>
      <c r="E174" s="391"/>
      <c r="F174" s="515" t="s">
        <v>22</v>
      </c>
      <c r="G174" s="392"/>
      <c r="H174" s="506">
        <v>2.5886</v>
      </c>
      <c r="I174" s="393">
        <f>+J153</f>
        <v>13900</v>
      </c>
      <c r="J174" s="394">
        <f>I174*H174</f>
        <v>35981.54</v>
      </c>
      <c r="K174" s="391"/>
      <c r="L174" s="506">
        <f>+'[7]E1.1 Adj Network to Fcst Whsl'!$S$26</f>
        <v>2.406132577762992</v>
      </c>
      <c r="M174" s="395">
        <f>+J153</f>
        <v>13900</v>
      </c>
      <c r="N174" s="394">
        <f>M174*L174</f>
        <v>33445.24283090559</v>
      </c>
      <c r="O174" s="391"/>
      <c r="P174" s="396">
        <f t="shared" si="26"/>
        <v>-2536.2971690944105</v>
      </c>
      <c r="Q174" s="397">
        <f t="shared" si="27"/>
        <v>-0.07048884425442631</v>
      </c>
    </row>
    <row r="175" spans="4:17" ht="26.25" thickBot="1">
      <c r="D175" s="398" t="s">
        <v>352</v>
      </c>
      <c r="E175" s="391"/>
      <c r="F175" s="515" t="s">
        <v>22</v>
      </c>
      <c r="G175" s="392"/>
      <c r="H175" s="506">
        <v>2.1323</v>
      </c>
      <c r="I175" s="393">
        <f>I174</f>
        <v>13900</v>
      </c>
      <c r="J175" s="394">
        <f>I175*H175</f>
        <v>29638.969999999998</v>
      </c>
      <c r="K175" s="391"/>
      <c r="L175" s="506">
        <f>+'[7]E1.2 Adj Conn to Fcst Whsl'!$S$26</f>
        <v>2.1055753062374882</v>
      </c>
      <c r="M175" s="395">
        <f>M174</f>
        <v>13900</v>
      </c>
      <c r="N175" s="394">
        <f>M175*L175</f>
        <v>29267.496756701086</v>
      </c>
      <c r="O175" s="391"/>
      <c r="P175" s="396">
        <f t="shared" si="26"/>
        <v>-371.47324329891126</v>
      </c>
      <c r="Q175" s="397">
        <f t="shared" si="27"/>
        <v>-0.01253327100432003</v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88434.7</v>
      </c>
      <c r="K176" s="403"/>
      <c r="L176" s="404"/>
      <c r="M176" s="405"/>
      <c r="N176" s="402">
        <f>SUM(N173:N175)</f>
        <v>98346.09119250979</v>
      </c>
      <c r="O176" s="403"/>
      <c r="P176" s="406">
        <f t="shared" si="26"/>
        <v>9911.391192509793</v>
      </c>
      <c r="Q176" s="407">
        <f t="shared" si="27"/>
        <v>0.11207581630864122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+$H153*(1+$H189)</f>
        <v>4768150</v>
      </c>
      <c r="J177" s="379">
        <f aca="true" t="shared" si="30" ref="J177:J184">I177*H177</f>
        <v>24794.379999999997</v>
      </c>
      <c r="K177" s="376"/>
      <c r="L177" s="505">
        <v>0.0052</v>
      </c>
      <c r="M177" s="380">
        <f>+M182</f>
        <v>4722738.609082846</v>
      </c>
      <c r="N177" s="379">
        <f aca="true" t="shared" si="31" ref="N177:N184">M177*L177</f>
        <v>24558.240767230796</v>
      </c>
      <c r="O177" s="376"/>
      <c r="P177" s="381">
        <f t="shared" si="26"/>
        <v>-236.13923276920104</v>
      </c>
      <c r="Q177" s="382">
        <f t="shared" si="27"/>
        <v>-0.009523901495790622</v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+I177</f>
        <v>4768150</v>
      </c>
      <c r="J178" s="379">
        <f t="shared" si="30"/>
        <v>6198.594999999999</v>
      </c>
      <c r="K178" s="376"/>
      <c r="L178" s="505">
        <v>0.0013</v>
      </c>
      <c r="M178" s="380">
        <f>+M177</f>
        <v>4722738.609082846</v>
      </c>
      <c r="N178" s="379">
        <f t="shared" si="31"/>
        <v>6139.560191807699</v>
      </c>
      <c r="O178" s="376"/>
      <c r="P178" s="381">
        <f t="shared" si="26"/>
        <v>-59.03480819230026</v>
      </c>
      <c r="Q178" s="382">
        <f t="shared" si="27"/>
        <v>-0.009523901495790622</v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+I177</f>
        <v>4768150</v>
      </c>
      <c r="J179" s="379">
        <f t="shared" si="30"/>
        <v>1778.51995</v>
      </c>
      <c r="K179" s="376"/>
      <c r="L179" s="508">
        <v>0.000373</v>
      </c>
      <c r="M179" s="380">
        <f>+M177</f>
        <v>4722738.609082846</v>
      </c>
      <c r="N179" s="379">
        <f t="shared" si="31"/>
        <v>1761.5815011879017</v>
      </c>
      <c r="O179" s="376"/>
      <c r="P179" s="381">
        <f t="shared" si="26"/>
        <v>-16.938448812098386</v>
      </c>
      <c r="Q179" s="382">
        <f t="shared" si="27"/>
        <v>-0.009523901495790578</v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4700000</v>
      </c>
      <c r="J181" s="379">
        <f t="shared" si="30"/>
        <v>32900</v>
      </c>
      <c r="K181" s="376"/>
      <c r="L181" s="505">
        <v>0.007</v>
      </c>
      <c r="M181" s="380">
        <f>+$H153</f>
        <v>4700000</v>
      </c>
      <c r="N181" s="379">
        <f t="shared" si="31"/>
        <v>32900</v>
      </c>
      <c r="O181" s="376"/>
      <c r="P181" s="381">
        <f t="shared" si="26"/>
        <v>0</v>
      </c>
      <c r="Q181" s="382">
        <f t="shared" si="27"/>
        <v>0</v>
      </c>
    </row>
    <row r="182" spans="4:17" ht="12.75">
      <c r="D182" s="376" t="s">
        <v>359</v>
      </c>
      <c r="E182" s="376"/>
      <c r="F182" s="514" t="s">
        <v>53</v>
      </c>
      <c r="G182" s="377"/>
      <c r="H182" s="505">
        <f>+'Other Electriciy Rates'!$J$14</f>
        <v>0.065</v>
      </c>
      <c r="I182" s="378">
        <f>+$H153*(1+$H189)</f>
        <v>4768150</v>
      </c>
      <c r="J182" s="379">
        <f t="shared" si="30"/>
        <v>309929.75</v>
      </c>
      <c r="K182" s="376"/>
      <c r="L182" s="505">
        <f>+'Other Electriciy Rates'!J$29</f>
        <v>0.065</v>
      </c>
      <c r="M182" s="378">
        <f>+$H153*(1+$L189)</f>
        <v>4722738.609082846</v>
      </c>
      <c r="N182" s="379">
        <f t="shared" si="31"/>
        <v>306978.009590385</v>
      </c>
      <c r="O182" s="376"/>
      <c r="P182" s="381">
        <f t="shared" si="26"/>
        <v>-2951.740409614984</v>
      </c>
      <c r="Q182" s="382">
        <f t="shared" si="27"/>
        <v>-0.009523901495790526</v>
      </c>
    </row>
    <row r="183" spans="4:17" ht="12.75">
      <c r="D183" s="502"/>
      <c r="E183" s="376"/>
      <c r="F183" s="514"/>
      <c r="G183" s="377"/>
      <c r="H183" s="505"/>
      <c r="I183" s="509"/>
      <c r="J183" s="379">
        <f t="shared" si="30"/>
        <v>0</v>
      </c>
      <c r="K183" s="376"/>
      <c r="L183" s="505"/>
      <c r="M183" s="509"/>
      <c r="N183" s="379">
        <f t="shared" si="31"/>
        <v>0</v>
      </c>
      <c r="O183" s="376"/>
      <c r="P183" s="381">
        <f t="shared" si="26"/>
        <v>0</v>
      </c>
      <c r="Q183" s="382">
        <f t="shared" si="27"/>
      </c>
    </row>
    <row r="184" spans="4:17" ht="13.5" thickBot="1">
      <c r="D184" s="501"/>
      <c r="E184" s="376"/>
      <c r="F184" s="514"/>
      <c r="G184" s="377"/>
      <c r="H184" s="505"/>
      <c r="I184" s="509"/>
      <c r="J184" s="379">
        <f t="shared" si="30"/>
        <v>0</v>
      </c>
      <c r="K184" s="376"/>
      <c r="L184" s="505"/>
      <c r="M184" s="509"/>
      <c r="N184" s="379">
        <f t="shared" si="31"/>
        <v>0</v>
      </c>
      <c r="O184" s="376"/>
      <c r="P184" s="381">
        <f t="shared" si="26"/>
        <v>0</v>
      </c>
      <c r="Q184" s="382">
        <f t="shared" si="27"/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464036.19495</v>
      </c>
      <c r="K185" s="403"/>
      <c r="L185" s="411"/>
      <c r="M185" s="412"/>
      <c r="N185" s="402">
        <f>SUM(N176:N184)</f>
        <v>470683.7332431212</v>
      </c>
      <c r="O185" s="403"/>
      <c r="P185" s="406">
        <f>N185-J185</f>
        <v>6647.538293121208</v>
      </c>
      <c r="Q185" s="407">
        <f>IF((J185)=0,"",(P185/J185))</f>
        <v>0.014325473670943884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60324.7053435</v>
      </c>
      <c r="K186" s="376"/>
      <c r="L186" s="511">
        <v>0.13</v>
      </c>
      <c r="M186" s="415"/>
      <c r="N186" s="414">
        <f>N185*L186</f>
        <v>61188.885321605754</v>
      </c>
      <c r="O186" s="376"/>
      <c r="P186" s="381">
        <f>N186-J186</f>
        <v>864.1799781057562</v>
      </c>
      <c r="Q186" s="382">
        <f>IF((J186)=0,"",(P186/J186))</f>
        <v>0.01432547367094387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524360.9</v>
      </c>
      <c r="K187" s="403"/>
      <c r="L187" s="404"/>
      <c r="M187" s="405"/>
      <c r="N187" s="402">
        <f>ROUND(SUM(N185:N186),2)</f>
        <v>531872.62</v>
      </c>
      <c r="O187" s="403"/>
      <c r="P187" s="406">
        <f>N187-J187</f>
        <v>7511.719999999972</v>
      </c>
      <c r="Q187" s="407">
        <f>IF((J187)=0,"",(P187/J187))</f>
        <v>0.014325476975876675</v>
      </c>
    </row>
    <row r="188" ht="10.5" customHeight="1"/>
    <row r="189" spans="4:12" ht="12.75">
      <c r="D189" s="367" t="s">
        <v>363</v>
      </c>
      <c r="H189" s="513">
        <v>0.0145</v>
      </c>
      <c r="L189" s="513">
        <f>-(1-'[8]Ex4 Total Loss Factors'!$G$18)</f>
        <v>0.004838001932520486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Large User &gt;5000kW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12" ht="12.75">
      <c r="B200" s="363" t="s">
        <v>53</v>
      </c>
      <c r="F200" s="367" t="s">
        <v>66</v>
      </c>
      <c r="G200" s="367"/>
      <c r="H200" s="504"/>
      <c r="I200" s="367" t="s">
        <v>332</v>
      </c>
      <c r="J200" s="504"/>
      <c r="L200" s="367" t="s">
        <v>16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83">
        <f>+'2010 Existing Rates'!$C$12</f>
        <v>4126.26</v>
      </c>
      <c r="I205" s="378">
        <v>1</v>
      </c>
      <c r="J205" s="379">
        <f aca="true" t="shared" si="32" ref="J205:J219">I205*H205</f>
        <v>4126.26</v>
      </c>
      <c r="K205" s="376"/>
      <c r="L205" s="583">
        <f>+'Rate Schedule (Part 1)'!$E$43</f>
        <v>4219.51</v>
      </c>
      <c r="M205" s="380">
        <v>1</v>
      </c>
      <c r="N205" s="379">
        <f aca="true" t="shared" si="33" ref="N205:N219">M205*L205</f>
        <v>4219.51</v>
      </c>
      <c r="O205" s="376"/>
      <c r="P205" s="381">
        <f aca="true" t="shared" si="34" ref="P205:P231">N205-J205</f>
        <v>93.25</v>
      </c>
      <c r="Q205" s="382">
        <f aca="true" t="shared" si="35" ref="Q205:Q231">IF((J205)=0,"",(P205/J205))</f>
        <v>0.022599157590651096</v>
      </c>
    </row>
    <row r="206" spans="4:17" ht="12.75">
      <c r="D206" s="376" t="s">
        <v>226</v>
      </c>
      <c r="E206" s="376"/>
      <c r="F206" s="514" t="s">
        <v>330</v>
      </c>
      <c r="G206" s="377"/>
      <c r="H206" s="583">
        <f>+'2010 Existing Rates'!$B$49</f>
        <v>2.16</v>
      </c>
      <c r="I206" s="378">
        <v>1</v>
      </c>
      <c r="J206" s="379">
        <f t="shared" si="32"/>
        <v>2.16</v>
      </c>
      <c r="K206" s="376"/>
      <c r="L206" s="583">
        <f>+'Rate Schedule (Part 1)'!$E$47</f>
        <v>-0.43193202035146244</v>
      </c>
      <c r="M206" s="380">
        <v>1</v>
      </c>
      <c r="N206" s="379">
        <f t="shared" si="33"/>
        <v>-0.43193202035146244</v>
      </c>
      <c r="O206" s="376"/>
      <c r="P206" s="381">
        <f t="shared" si="34"/>
        <v>-2.5919320203514626</v>
      </c>
      <c r="Q206" s="382">
        <f t="shared" si="35"/>
        <v>-1.199968527940492</v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05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22</v>
      </c>
      <c r="G209" s="377"/>
      <c r="H209" s="505">
        <f>+'2010 Existing Rates'!$D$62</f>
        <v>2.4703</v>
      </c>
      <c r="I209" s="378">
        <f>+J200</f>
        <v>0</v>
      </c>
      <c r="J209" s="379">
        <f t="shared" si="32"/>
        <v>0</v>
      </c>
      <c r="K209" s="376"/>
      <c r="L209" s="505">
        <f>+'Rate Schedule (Part 1)'!$E$44</f>
        <v>2.5261</v>
      </c>
      <c r="M209" s="380">
        <f>+J200</f>
        <v>0</v>
      </c>
      <c r="N209" s="379">
        <f t="shared" si="33"/>
        <v>0</v>
      </c>
      <c r="O209" s="376"/>
      <c r="P209" s="381">
        <f t="shared" si="34"/>
        <v>0</v>
      </c>
      <c r="Q209" s="382">
        <f t="shared" si="35"/>
      </c>
    </row>
    <row r="210" spans="4:17" ht="12.75">
      <c r="D210" s="376" t="s">
        <v>344</v>
      </c>
      <c r="E210" s="376"/>
      <c r="F210" s="514" t="s">
        <v>22</v>
      </c>
      <c r="G210" s="377"/>
      <c r="H210" s="505">
        <f>+'2010 Existing Rates'!$D$37</f>
        <v>0.1248</v>
      </c>
      <c r="I210" s="378">
        <f aca="true" t="shared" si="36" ref="I210:I215">I209</f>
        <v>0</v>
      </c>
      <c r="J210" s="379">
        <f t="shared" si="32"/>
        <v>0</v>
      </c>
      <c r="K210" s="376"/>
      <c r="L210" s="505">
        <f>+'Rate Schedule (Part 1)'!$E$45</f>
        <v>0.0903</v>
      </c>
      <c r="M210" s="380">
        <f aca="true" t="shared" si="37" ref="M210:M215">M209</f>
        <v>0</v>
      </c>
      <c r="N210" s="379">
        <f t="shared" si="33"/>
        <v>0</v>
      </c>
      <c r="O210" s="376"/>
      <c r="P210" s="381">
        <f t="shared" si="34"/>
        <v>0</v>
      </c>
      <c r="Q210" s="382">
        <f t="shared" si="35"/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0</v>
      </c>
      <c r="J211" s="379">
        <f t="shared" si="32"/>
        <v>0</v>
      </c>
      <c r="K211" s="376"/>
      <c r="L211" s="505"/>
      <c r="M211" s="380">
        <f t="shared" si="37"/>
        <v>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0</v>
      </c>
      <c r="J212" s="379">
        <f t="shared" si="32"/>
        <v>0</v>
      </c>
      <c r="K212" s="376"/>
      <c r="L212" s="505"/>
      <c r="M212" s="380">
        <f t="shared" si="37"/>
        <v>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0</v>
      </c>
      <c r="J213" s="379">
        <f t="shared" si="32"/>
        <v>0</v>
      </c>
      <c r="K213" s="376"/>
      <c r="L213" s="505"/>
      <c r="M213" s="380">
        <f t="shared" si="37"/>
        <v>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0</v>
      </c>
      <c r="J214" s="379">
        <f t="shared" si="32"/>
        <v>0</v>
      </c>
      <c r="K214" s="376"/>
      <c r="L214" s="505"/>
      <c r="M214" s="380">
        <f t="shared" si="37"/>
        <v>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22</v>
      </c>
      <c r="G215" s="377"/>
      <c r="H215" s="505">
        <f>+'2010 Existing Rates'!$D$25</f>
        <v>-1.2508</v>
      </c>
      <c r="I215" s="378">
        <f t="shared" si="36"/>
        <v>0</v>
      </c>
      <c r="J215" s="379">
        <f t="shared" si="32"/>
        <v>0</v>
      </c>
      <c r="K215" s="376"/>
      <c r="L215" s="505">
        <f>+'Rate Schedule (Part 1)'!$E$48</f>
        <v>-0.3563803210846431</v>
      </c>
      <c r="M215" s="380">
        <f t="shared" si="37"/>
        <v>0</v>
      </c>
      <c r="N215" s="379">
        <f t="shared" si="33"/>
        <v>0</v>
      </c>
      <c r="O215" s="376"/>
      <c r="P215" s="381">
        <f t="shared" si="34"/>
        <v>0</v>
      </c>
      <c r="Q215" s="382">
        <f t="shared" si="35"/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4128.42</v>
      </c>
      <c r="L220" s="385"/>
      <c r="M220" s="388"/>
      <c r="N220" s="387">
        <f>SUM(N205:N219)</f>
        <v>4219.078067979649</v>
      </c>
      <c r="P220" s="389">
        <f t="shared" si="34"/>
        <v>90.65806797964888</v>
      </c>
      <c r="Q220" s="390">
        <f t="shared" si="35"/>
        <v>0.021959507021971813</v>
      </c>
    </row>
    <row r="221" spans="4:17" ht="12.75">
      <c r="D221" s="391" t="s">
        <v>351</v>
      </c>
      <c r="E221" s="391"/>
      <c r="F221" s="515" t="s">
        <v>22</v>
      </c>
      <c r="G221" s="392"/>
      <c r="H221" s="506">
        <v>2.5886</v>
      </c>
      <c r="I221" s="393">
        <f>+J200</f>
        <v>0</v>
      </c>
      <c r="J221" s="394">
        <f>I221*H221</f>
        <v>0</v>
      </c>
      <c r="K221" s="391"/>
      <c r="L221" s="506">
        <f>+'[7]E1.1 Adj Network to Fcst Whsl'!$S$26</f>
        <v>2.406132577762992</v>
      </c>
      <c r="M221" s="395">
        <f>+J200</f>
        <v>0</v>
      </c>
      <c r="N221" s="394">
        <f>M221*L221</f>
        <v>0</v>
      </c>
      <c r="O221" s="391"/>
      <c r="P221" s="396">
        <f t="shared" si="34"/>
        <v>0</v>
      </c>
      <c r="Q221" s="397">
        <f t="shared" si="35"/>
      </c>
    </row>
    <row r="222" spans="4:17" ht="26.25" thickBot="1">
      <c r="D222" s="398" t="s">
        <v>352</v>
      </c>
      <c r="E222" s="391"/>
      <c r="F222" s="515" t="s">
        <v>22</v>
      </c>
      <c r="G222" s="392"/>
      <c r="H222" s="506">
        <v>2.1323</v>
      </c>
      <c r="I222" s="393">
        <f>I221</f>
        <v>0</v>
      </c>
      <c r="J222" s="394">
        <f>I222*H222</f>
        <v>0</v>
      </c>
      <c r="K222" s="391"/>
      <c r="L222" s="506">
        <f>+'[7]E1.2 Adj Conn to Fcst Whsl'!$S$26</f>
        <v>2.1055753062374882</v>
      </c>
      <c r="M222" s="395">
        <f>M221</f>
        <v>0</v>
      </c>
      <c r="N222" s="394">
        <f>M222*L222</f>
        <v>0</v>
      </c>
      <c r="O222" s="391"/>
      <c r="P222" s="396">
        <f t="shared" si="34"/>
        <v>0</v>
      </c>
      <c r="Q222" s="397">
        <f t="shared" si="35"/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4128.42</v>
      </c>
      <c r="K223" s="403"/>
      <c r="L223" s="404"/>
      <c r="M223" s="405"/>
      <c r="N223" s="402">
        <f>SUM(N220:N222)</f>
        <v>4219.078067979649</v>
      </c>
      <c r="O223" s="403"/>
      <c r="P223" s="406">
        <f t="shared" si="34"/>
        <v>90.65806797964888</v>
      </c>
      <c r="Q223" s="407">
        <f t="shared" si="35"/>
        <v>0.021959507021971813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+$H200*(1+$H236)</f>
        <v>0</v>
      </c>
      <c r="J224" s="379">
        <f aca="true" t="shared" si="38" ref="J224:J231">I224*H224</f>
        <v>0</v>
      </c>
      <c r="K224" s="376"/>
      <c r="L224" s="505">
        <v>0.0052</v>
      </c>
      <c r="M224" s="380">
        <f>+M229</f>
        <v>0</v>
      </c>
      <c r="N224" s="379">
        <f aca="true" t="shared" si="39" ref="N224:N231">M224*L224</f>
        <v>0</v>
      </c>
      <c r="O224" s="376"/>
      <c r="P224" s="381">
        <f t="shared" si="34"/>
        <v>0</v>
      </c>
      <c r="Q224" s="382">
        <f t="shared" si="35"/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+I224</f>
        <v>0</v>
      </c>
      <c r="J225" s="379">
        <f t="shared" si="38"/>
        <v>0</v>
      </c>
      <c r="K225" s="376"/>
      <c r="L225" s="505">
        <v>0.0013</v>
      </c>
      <c r="M225" s="380">
        <f>+M224</f>
        <v>0</v>
      </c>
      <c r="N225" s="379">
        <f t="shared" si="39"/>
        <v>0</v>
      </c>
      <c r="O225" s="376"/>
      <c r="P225" s="381">
        <f t="shared" si="34"/>
        <v>0</v>
      </c>
      <c r="Q225" s="382">
        <f t="shared" si="35"/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+I224</f>
        <v>0</v>
      </c>
      <c r="J226" s="379">
        <f t="shared" si="38"/>
        <v>0</v>
      </c>
      <c r="K226" s="376"/>
      <c r="L226" s="508">
        <v>0.000373</v>
      </c>
      <c r="M226" s="380">
        <f>+M224</f>
        <v>0</v>
      </c>
      <c r="N226" s="379">
        <f t="shared" si="39"/>
        <v>0</v>
      </c>
      <c r="O226" s="376"/>
      <c r="P226" s="381">
        <f t="shared" si="34"/>
        <v>0</v>
      </c>
      <c r="Q226" s="382">
        <f t="shared" si="35"/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0</v>
      </c>
      <c r="J228" s="379">
        <f t="shared" si="38"/>
        <v>0</v>
      </c>
      <c r="K228" s="376"/>
      <c r="L228" s="505">
        <v>0.007</v>
      </c>
      <c r="M228" s="380">
        <f>+$H200</f>
        <v>0</v>
      </c>
      <c r="N228" s="379">
        <f t="shared" si="39"/>
        <v>0</v>
      </c>
      <c r="O228" s="376"/>
      <c r="P228" s="381">
        <f t="shared" si="34"/>
        <v>0</v>
      </c>
      <c r="Q228" s="382">
        <f t="shared" si="35"/>
      </c>
    </row>
    <row r="229" spans="4:17" ht="12.75">
      <c r="D229" s="376" t="s">
        <v>359</v>
      </c>
      <c r="E229" s="376"/>
      <c r="F229" s="514" t="s">
        <v>53</v>
      </c>
      <c r="G229" s="377"/>
      <c r="H229" s="505">
        <f>+'Other Electriciy Rates'!$J$14</f>
        <v>0.065</v>
      </c>
      <c r="I229" s="378">
        <f>+$H200*(1+$H236)</f>
        <v>0</v>
      </c>
      <c r="J229" s="379">
        <f t="shared" si="38"/>
        <v>0</v>
      </c>
      <c r="K229" s="376"/>
      <c r="L229" s="505">
        <f>+'Other Electriciy Rates'!J$29</f>
        <v>0.065</v>
      </c>
      <c r="M229" s="378">
        <f>+$H200*(1+$L236)</f>
        <v>0</v>
      </c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/>
      <c r="E230" s="376"/>
      <c r="F230" s="514"/>
      <c r="G230" s="377"/>
      <c r="H230" s="505"/>
      <c r="I230" s="509"/>
      <c r="J230" s="379">
        <f t="shared" si="38"/>
        <v>0</v>
      </c>
      <c r="K230" s="376"/>
      <c r="L230" s="505"/>
      <c r="M230" s="509"/>
      <c r="N230" s="379">
        <f t="shared" si="39"/>
        <v>0</v>
      </c>
      <c r="O230" s="376"/>
      <c r="P230" s="381">
        <f t="shared" si="34"/>
        <v>0</v>
      </c>
      <c r="Q230" s="382">
        <f t="shared" si="35"/>
      </c>
    </row>
    <row r="231" spans="4:17" ht="13.5" thickBot="1">
      <c r="D231" s="501"/>
      <c r="E231" s="376"/>
      <c r="F231" s="514"/>
      <c r="G231" s="377"/>
      <c r="H231" s="505"/>
      <c r="I231" s="509"/>
      <c r="J231" s="379">
        <f t="shared" si="38"/>
        <v>0</v>
      </c>
      <c r="K231" s="376"/>
      <c r="L231" s="505"/>
      <c r="M231" s="509"/>
      <c r="N231" s="379">
        <f t="shared" si="39"/>
        <v>0</v>
      </c>
      <c r="O231" s="376"/>
      <c r="P231" s="381">
        <f t="shared" si="34"/>
        <v>0</v>
      </c>
      <c r="Q231" s="382">
        <f t="shared" si="35"/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4128.67</v>
      </c>
      <c r="K232" s="403"/>
      <c r="L232" s="411"/>
      <c r="M232" s="412"/>
      <c r="N232" s="402">
        <f>SUM(N223:N231)</f>
        <v>4219.328067979649</v>
      </c>
      <c r="O232" s="403"/>
      <c r="P232" s="406">
        <f>N232-J232</f>
        <v>90.65806797964888</v>
      </c>
      <c r="Q232" s="407">
        <f>IF((J232)=0,"",(P232/J232))</f>
        <v>0.02195817732578503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536.7271000000001</v>
      </c>
      <c r="K233" s="376"/>
      <c r="L233" s="511">
        <v>0.13</v>
      </c>
      <c r="M233" s="415"/>
      <c r="N233" s="414">
        <f>N232*L233</f>
        <v>548.5126488373544</v>
      </c>
      <c r="O233" s="376"/>
      <c r="P233" s="381">
        <f>N233-J233</f>
        <v>11.785548837354327</v>
      </c>
      <c r="Q233" s="382">
        <f>IF((J233)=0,"",(P233/J233))</f>
        <v>0.021958177325784974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4665.4</v>
      </c>
      <c r="K234" s="403"/>
      <c r="L234" s="404"/>
      <c r="M234" s="405"/>
      <c r="N234" s="402">
        <f>ROUND(SUM(N232:N233),2)</f>
        <v>4767.84</v>
      </c>
      <c r="O234" s="403"/>
      <c r="P234" s="406">
        <f>N234-J234</f>
        <v>102.44000000000051</v>
      </c>
      <c r="Q234" s="407">
        <f>IF((J234)=0,"",(P234/J234))</f>
        <v>0.021957388434003626</v>
      </c>
    </row>
    <row r="235" ht="10.5" customHeight="1"/>
    <row r="236" spans="4:12" ht="12.75">
      <c r="D236" s="367" t="s">
        <v>363</v>
      </c>
      <c r="H236" s="513">
        <v>0.0145</v>
      </c>
      <c r="L236" s="513">
        <f>-(1-'[8]Ex4 Total Loss Factors'!$G$18)</f>
        <v>0.004838001932520486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Large User &gt;5000kW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12" ht="12.75">
      <c r="B247" s="363" t="s">
        <v>53</v>
      </c>
      <c r="F247" s="367" t="s">
        <v>66</v>
      </c>
      <c r="G247" s="367"/>
      <c r="H247" s="504"/>
      <c r="I247" s="367" t="s">
        <v>332</v>
      </c>
      <c r="J247" s="504"/>
      <c r="L247" s="367" t="s">
        <v>16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83">
        <f>+'2010 Existing Rates'!$C$12</f>
        <v>4126.26</v>
      </c>
      <c r="I252" s="378">
        <v>1</v>
      </c>
      <c r="J252" s="379">
        <f aca="true" t="shared" si="40" ref="J252:J266">I252*H252</f>
        <v>4126.26</v>
      </c>
      <c r="K252" s="376"/>
      <c r="L252" s="583">
        <f>+'Rate Schedule (Part 1)'!$E$43</f>
        <v>4219.51</v>
      </c>
      <c r="M252" s="380">
        <v>1</v>
      </c>
      <c r="N252" s="379">
        <f aca="true" t="shared" si="41" ref="N252:N266">M252*L252</f>
        <v>4219.51</v>
      </c>
      <c r="O252" s="376"/>
      <c r="P252" s="381">
        <f aca="true" t="shared" si="42" ref="P252:P278">N252-J252</f>
        <v>93.25</v>
      </c>
      <c r="Q252" s="382">
        <f aca="true" t="shared" si="43" ref="Q252:Q278">IF((J252)=0,"",(P252/J252))</f>
        <v>0.022599157590651096</v>
      </c>
    </row>
    <row r="253" spans="4:17" ht="12.75">
      <c r="D253" s="376" t="s">
        <v>226</v>
      </c>
      <c r="E253" s="376"/>
      <c r="F253" s="514" t="s">
        <v>330</v>
      </c>
      <c r="G253" s="377"/>
      <c r="H253" s="583">
        <f>+'2010 Existing Rates'!$B$49</f>
        <v>2.16</v>
      </c>
      <c r="I253" s="378">
        <v>1</v>
      </c>
      <c r="J253" s="379">
        <f t="shared" si="40"/>
        <v>2.16</v>
      </c>
      <c r="K253" s="376"/>
      <c r="L253" s="583">
        <f>+'Rate Schedule (Part 1)'!$E$47</f>
        <v>-0.43193202035146244</v>
      </c>
      <c r="M253" s="380">
        <v>1</v>
      </c>
      <c r="N253" s="379">
        <f t="shared" si="41"/>
        <v>-0.43193202035146244</v>
      </c>
      <c r="O253" s="376"/>
      <c r="P253" s="381">
        <f t="shared" si="42"/>
        <v>-2.5919320203514626</v>
      </c>
      <c r="Q253" s="382">
        <f t="shared" si="43"/>
        <v>-1.199968527940492</v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22</v>
      </c>
      <c r="G256" s="377"/>
      <c r="H256" s="505">
        <f>+'2010 Existing Rates'!$D$62</f>
        <v>2.4703</v>
      </c>
      <c r="I256" s="378">
        <f>+J247</f>
        <v>0</v>
      </c>
      <c r="J256" s="379">
        <f t="shared" si="40"/>
        <v>0</v>
      </c>
      <c r="K256" s="376"/>
      <c r="L256" s="505">
        <f>+'Rate Schedule (Part 1)'!$E$44</f>
        <v>2.5261</v>
      </c>
      <c r="M256" s="380">
        <f>+J247</f>
        <v>0</v>
      </c>
      <c r="N256" s="379">
        <f t="shared" si="41"/>
        <v>0</v>
      </c>
      <c r="O256" s="376"/>
      <c r="P256" s="381">
        <f t="shared" si="42"/>
        <v>0</v>
      </c>
      <c r="Q256" s="382">
        <f t="shared" si="43"/>
      </c>
    </row>
    <row r="257" spans="4:17" ht="12.75">
      <c r="D257" s="376" t="s">
        <v>344</v>
      </c>
      <c r="E257" s="376"/>
      <c r="F257" s="514" t="s">
        <v>22</v>
      </c>
      <c r="G257" s="377"/>
      <c r="H257" s="505">
        <f>+'2010 Existing Rates'!$D$37</f>
        <v>0.1248</v>
      </c>
      <c r="I257" s="378">
        <f aca="true" t="shared" si="44" ref="I257:I262">I256</f>
        <v>0</v>
      </c>
      <c r="J257" s="379">
        <f t="shared" si="40"/>
        <v>0</v>
      </c>
      <c r="K257" s="376"/>
      <c r="L257" s="505">
        <f>+'Rate Schedule (Part 1)'!$E$45</f>
        <v>0.0903</v>
      </c>
      <c r="M257" s="380">
        <f aca="true" t="shared" si="45" ref="M257:M262">M256</f>
        <v>0</v>
      </c>
      <c r="N257" s="379">
        <f t="shared" si="41"/>
        <v>0</v>
      </c>
      <c r="O257" s="376"/>
      <c r="P257" s="381">
        <f t="shared" si="42"/>
        <v>0</v>
      </c>
      <c r="Q257" s="382">
        <f t="shared" si="43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0</v>
      </c>
      <c r="J258" s="379">
        <f t="shared" si="40"/>
        <v>0</v>
      </c>
      <c r="K258" s="376"/>
      <c r="L258" s="505"/>
      <c r="M258" s="380">
        <f t="shared" si="45"/>
        <v>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0</v>
      </c>
      <c r="J259" s="379">
        <f t="shared" si="40"/>
        <v>0</v>
      </c>
      <c r="K259" s="376"/>
      <c r="L259" s="505"/>
      <c r="M259" s="380">
        <f t="shared" si="45"/>
        <v>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0</v>
      </c>
      <c r="J260" s="379">
        <f t="shared" si="40"/>
        <v>0</v>
      </c>
      <c r="K260" s="376"/>
      <c r="L260" s="505"/>
      <c r="M260" s="380">
        <f t="shared" si="45"/>
        <v>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0</v>
      </c>
      <c r="J261" s="379">
        <f t="shared" si="40"/>
        <v>0</v>
      </c>
      <c r="K261" s="376"/>
      <c r="L261" s="505"/>
      <c r="M261" s="380">
        <f t="shared" si="45"/>
        <v>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22</v>
      </c>
      <c r="G262" s="377"/>
      <c r="H262" s="505">
        <f>+'2010 Existing Rates'!$D$25</f>
        <v>-1.2508</v>
      </c>
      <c r="I262" s="378">
        <f t="shared" si="44"/>
        <v>0</v>
      </c>
      <c r="J262" s="379">
        <f t="shared" si="40"/>
        <v>0</v>
      </c>
      <c r="K262" s="376"/>
      <c r="L262" s="505">
        <f>+'Rate Schedule (Part 1)'!$E$48</f>
        <v>-0.3563803210846431</v>
      </c>
      <c r="M262" s="380">
        <f t="shared" si="45"/>
        <v>0</v>
      </c>
      <c r="N262" s="379">
        <f t="shared" si="41"/>
        <v>0</v>
      </c>
      <c r="O262" s="376"/>
      <c r="P262" s="381">
        <f t="shared" si="42"/>
        <v>0</v>
      </c>
      <c r="Q262" s="382">
        <f t="shared" si="43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4128.42</v>
      </c>
      <c r="L267" s="385"/>
      <c r="M267" s="388"/>
      <c r="N267" s="387">
        <f>SUM(N252:N266)</f>
        <v>4219.078067979649</v>
      </c>
      <c r="P267" s="389">
        <f t="shared" si="42"/>
        <v>90.65806797964888</v>
      </c>
      <c r="Q267" s="390">
        <f t="shared" si="43"/>
        <v>0.021959507021971813</v>
      </c>
    </row>
    <row r="268" spans="4:17" ht="12.75">
      <c r="D268" s="391" t="s">
        <v>351</v>
      </c>
      <c r="E268" s="391"/>
      <c r="F268" s="515" t="s">
        <v>22</v>
      </c>
      <c r="G268" s="392"/>
      <c r="H268" s="506">
        <v>2.5886</v>
      </c>
      <c r="I268" s="393">
        <f>+J247</f>
        <v>0</v>
      </c>
      <c r="J268" s="394">
        <f>I268*H268</f>
        <v>0</v>
      </c>
      <c r="K268" s="391"/>
      <c r="L268" s="506">
        <f>+'[7]E1.1 Adj Network to Fcst Whsl'!$S$26</f>
        <v>2.406132577762992</v>
      </c>
      <c r="M268" s="395">
        <f>+J247</f>
        <v>0</v>
      </c>
      <c r="N268" s="394">
        <f>M268*L268</f>
        <v>0</v>
      </c>
      <c r="O268" s="391"/>
      <c r="P268" s="396">
        <f t="shared" si="42"/>
        <v>0</v>
      </c>
      <c r="Q268" s="397">
        <f t="shared" si="43"/>
      </c>
    </row>
    <row r="269" spans="4:17" ht="26.25" thickBot="1">
      <c r="D269" s="398" t="s">
        <v>352</v>
      </c>
      <c r="E269" s="391"/>
      <c r="F269" s="515" t="s">
        <v>22</v>
      </c>
      <c r="G269" s="392"/>
      <c r="H269" s="506">
        <v>2.1323</v>
      </c>
      <c r="I269" s="393">
        <f>I268</f>
        <v>0</v>
      </c>
      <c r="J269" s="394">
        <f>I269*H269</f>
        <v>0</v>
      </c>
      <c r="K269" s="391"/>
      <c r="L269" s="506">
        <f>+'[7]E1.2 Adj Conn to Fcst Whsl'!$S$26</f>
        <v>2.1055753062374882</v>
      </c>
      <c r="M269" s="395">
        <f>M268</f>
        <v>0</v>
      </c>
      <c r="N269" s="394">
        <f>M269*L269</f>
        <v>0</v>
      </c>
      <c r="O269" s="391"/>
      <c r="P269" s="396">
        <f t="shared" si="42"/>
        <v>0</v>
      </c>
      <c r="Q269" s="397">
        <f t="shared" si="43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4128.42</v>
      </c>
      <c r="K270" s="403"/>
      <c r="L270" s="404"/>
      <c r="M270" s="405"/>
      <c r="N270" s="402">
        <f>SUM(N267:N269)</f>
        <v>4219.078067979649</v>
      </c>
      <c r="O270" s="403"/>
      <c r="P270" s="406">
        <f t="shared" si="42"/>
        <v>90.65806797964888</v>
      </c>
      <c r="Q270" s="407">
        <f t="shared" si="43"/>
        <v>0.021959507021971813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+$H247*(1+$H283)</f>
        <v>0</v>
      </c>
      <c r="J271" s="379">
        <f aca="true" t="shared" si="46" ref="J271:J278">I271*H271</f>
        <v>0</v>
      </c>
      <c r="K271" s="376"/>
      <c r="L271" s="505">
        <v>0.0052</v>
      </c>
      <c r="M271" s="380">
        <f>+M276</f>
        <v>0</v>
      </c>
      <c r="N271" s="379">
        <f aca="true" t="shared" si="47" ref="N271:N278">M271*L271</f>
        <v>0</v>
      </c>
      <c r="O271" s="376"/>
      <c r="P271" s="381">
        <f t="shared" si="42"/>
        <v>0</v>
      </c>
      <c r="Q271" s="382">
        <f t="shared" si="43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+I271</f>
        <v>0</v>
      </c>
      <c r="J272" s="379">
        <f t="shared" si="46"/>
        <v>0</v>
      </c>
      <c r="K272" s="376"/>
      <c r="L272" s="505">
        <v>0.0013</v>
      </c>
      <c r="M272" s="380">
        <f>+M271</f>
        <v>0</v>
      </c>
      <c r="N272" s="379">
        <f t="shared" si="47"/>
        <v>0</v>
      </c>
      <c r="O272" s="376"/>
      <c r="P272" s="381">
        <f t="shared" si="42"/>
        <v>0</v>
      </c>
      <c r="Q272" s="382">
        <f t="shared" si="43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+I271</f>
        <v>0</v>
      </c>
      <c r="J273" s="379">
        <f t="shared" si="46"/>
        <v>0</v>
      </c>
      <c r="K273" s="376"/>
      <c r="L273" s="508">
        <v>0.000373</v>
      </c>
      <c r="M273" s="380">
        <f>+M271</f>
        <v>0</v>
      </c>
      <c r="N273" s="379">
        <f t="shared" si="47"/>
        <v>0</v>
      </c>
      <c r="O273" s="376"/>
      <c r="P273" s="381">
        <f t="shared" si="42"/>
        <v>0</v>
      </c>
      <c r="Q273" s="382">
        <f t="shared" si="43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46"/>
        <v>0</v>
      </c>
      <c r="K275" s="376"/>
      <c r="L275" s="505">
        <v>0.007</v>
      </c>
      <c r="M275" s="380">
        <f>+$H247</f>
        <v>0</v>
      </c>
      <c r="N275" s="379">
        <f t="shared" si="47"/>
        <v>0</v>
      </c>
      <c r="O275" s="376"/>
      <c r="P275" s="381">
        <f t="shared" si="42"/>
        <v>0</v>
      </c>
      <c r="Q275" s="382">
        <f t="shared" si="43"/>
      </c>
    </row>
    <row r="276" spans="4:17" ht="12.75">
      <c r="D276" s="376" t="s">
        <v>359</v>
      </c>
      <c r="E276" s="376"/>
      <c r="F276" s="514" t="s">
        <v>53</v>
      </c>
      <c r="G276" s="377"/>
      <c r="H276" s="505">
        <f>+'Other Electriciy Rates'!$J$14</f>
        <v>0.065</v>
      </c>
      <c r="I276" s="378">
        <f>+$H247*(1+$H283)</f>
        <v>0</v>
      </c>
      <c r="J276" s="379">
        <f t="shared" si="46"/>
        <v>0</v>
      </c>
      <c r="K276" s="376"/>
      <c r="L276" s="505">
        <f>+'Other Electriciy Rates'!J$29</f>
        <v>0.065</v>
      </c>
      <c r="M276" s="378">
        <f>+$H247*(1+$L283)</f>
        <v>0</v>
      </c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/>
      <c r="E277" s="376"/>
      <c r="F277" s="514"/>
      <c r="G277" s="377"/>
      <c r="H277" s="505"/>
      <c r="I277" s="509"/>
      <c r="J277" s="379">
        <f t="shared" si="46"/>
        <v>0</v>
      </c>
      <c r="K277" s="376"/>
      <c r="L277" s="505"/>
      <c r="M277" s="509"/>
      <c r="N277" s="379">
        <f t="shared" si="47"/>
        <v>0</v>
      </c>
      <c r="O277" s="376"/>
      <c r="P277" s="381">
        <f t="shared" si="42"/>
        <v>0</v>
      </c>
      <c r="Q277" s="382">
        <f t="shared" si="43"/>
      </c>
    </row>
    <row r="278" spans="4:17" ht="13.5" thickBot="1">
      <c r="D278" s="501"/>
      <c r="E278" s="376"/>
      <c r="F278" s="514"/>
      <c r="G278" s="377"/>
      <c r="H278" s="505"/>
      <c r="I278" s="509"/>
      <c r="J278" s="379">
        <f t="shared" si="46"/>
        <v>0</v>
      </c>
      <c r="K278" s="376"/>
      <c r="L278" s="505"/>
      <c r="M278" s="509"/>
      <c r="N278" s="379">
        <f t="shared" si="47"/>
        <v>0</v>
      </c>
      <c r="O278" s="376"/>
      <c r="P278" s="381">
        <f t="shared" si="42"/>
        <v>0</v>
      </c>
      <c r="Q278" s="382">
        <f t="shared" si="43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4128.67</v>
      </c>
      <c r="K279" s="403"/>
      <c r="L279" s="411"/>
      <c r="M279" s="412"/>
      <c r="N279" s="402">
        <f>SUM(N270:N278)</f>
        <v>4219.328067979649</v>
      </c>
      <c r="O279" s="403"/>
      <c r="P279" s="406">
        <f>N279-J279</f>
        <v>90.65806797964888</v>
      </c>
      <c r="Q279" s="407">
        <f>IF((J279)=0,"",(P279/J279))</f>
        <v>0.02195817732578503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536.7271000000001</v>
      </c>
      <c r="K280" s="376"/>
      <c r="L280" s="511">
        <v>0.13</v>
      </c>
      <c r="M280" s="415"/>
      <c r="N280" s="414">
        <f>N279*L280</f>
        <v>548.5126488373544</v>
      </c>
      <c r="O280" s="376"/>
      <c r="P280" s="381">
        <f>N280-J280</f>
        <v>11.785548837354327</v>
      </c>
      <c r="Q280" s="382">
        <f>IF((J280)=0,"",(P280/J280))</f>
        <v>0.021958177325784974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4665.4</v>
      </c>
      <c r="K281" s="403"/>
      <c r="L281" s="404"/>
      <c r="M281" s="405"/>
      <c r="N281" s="402">
        <f>ROUND(SUM(N279:N280),2)</f>
        <v>4767.84</v>
      </c>
      <c r="O281" s="403"/>
      <c r="P281" s="406">
        <f>N281-J281</f>
        <v>102.44000000000051</v>
      </c>
      <c r="Q281" s="407">
        <f>IF((J281)=0,"",(P281/J281))</f>
        <v>0.021957388434003626</v>
      </c>
    </row>
    <row r="282" ht="10.5" customHeight="1"/>
    <row r="283" spans="4:12" ht="12.75">
      <c r="D283" s="367" t="s">
        <v>363</v>
      </c>
      <c r="H283" s="513">
        <v>0.0145</v>
      </c>
      <c r="L283" s="513">
        <f>-(1-'[8]Ex4 Total Loss Factors'!$G$18)</f>
        <v>0.004838001932520486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Large User &gt;5000kW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12" ht="12.75">
      <c r="B294" s="363" t="s">
        <v>53</v>
      </c>
      <c r="F294" s="367" t="s">
        <v>66</v>
      </c>
      <c r="G294" s="367"/>
      <c r="H294" s="504"/>
      <c r="I294" s="367" t="s">
        <v>332</v>
      </c>
      <c r="J294" s="504"/>
      <c r="L294" s="367" t="s">
        <v>16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83">
        <f>+'2010 Existing Rates'!$C$12</f>
        <v>4126.26</v>
      </c>
      <c r="I299" s="378">
        <v>1</v>
      </c>
      <c r="J299" s="379">
        <f aca="true" t="shared" si="48" ref="J299:J313">I299*H299</f>
        <v>4126.26</v>
      </c>
      <c r="K299" s="376"/>
      <c r="L299" s="583">
        <f>+'Rate Schedule (Part 1)'!$E$43</f>
        <v>4219.51</v>
      </c>
      <c r="M299" s="380">
        <v>1</v>
      </c>
      <c r="N299" s="379">
        <f aca="true" t="shared" si="49" ref="N299:N313">M299*L299</f>
        <v>4219.51</v>
      </c>
      <c r="O299" s="376"/>
      <c r="P299" s="381">
        <f aca="true" t="shared" si="50" ref="P299:P325">N299-J299</f>
        <v>93.25</v>
      </c>
      <c r="Q299" s="382">
        <f aca="true" t="shared" si="51" ref="Q299:Q325">IF((J299)=0,"",(P299/J299))</f>
        <v>0.022599157590651096</v>
      </c>
    </row>
    <row r="300" spans="4:17" ht="12.75">
      <c r="D300" s="376" t="s">
        <v>226</v>
      </c>
      <c r="E300" s="376"/>
      <c r="F300" s="514" t="s">
        <v>330</v>
      </c>
      <c r="G300" s="377"/>
      <c r="H300" s="583">
        <f>+'2010 Existing Rates'!$B$49</f>
        <v>2.16</v>
      </c>
      <c r="I300" s="378">
        <v>1</v>
      </c>
      <c r="J300" s="379">
        <f t="shared" si="48"/>
        <v>2.16</v>
      </c>
      <c r="K300" s="376"/>
      <c r="L300" s="583">
        <f>+'Rate Schedule (Part 1)'!$E$47</f>
        <v>-0.43193202035146244</v>
      </c>
      <c r="M300" s="380">
        <v>1</v>
      </c>
      <c r="N300" s="379">
        <f t="shared" si="49"/>
        <v>-0.43193202035146244</v>
      </c>
      <c r="O300" s="376"/>
      <c r="P300" s="381">
        <f t="shared" si="50"/>
        <v>-2.5919320203514626</v>
      </c>
      <c r="Q300" s="382">
        <f t="shared" si="51"/>
        <v>-1.199968527940492</v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22</v>
      </c>
      <c r="G303" s="377"/>
      <c r="H303" s="505">
        <f>+'2010 Existing Rates'!$D$62</f>
        <v>2.4703</v>
      </c>
      <c r="I303" s="378">
        <f>+J294</f>
        <v>0</v>
      </c>
      <c r="J303" s="379">
        <f t="shared" si="48"/>
        <v>0</v>
      </c>
      <c r="K303" s="376"/>
      <c r="L303" s="505">
        <f>+'Rate Schedule (Part 1)'!$E$44</f>
        <v>2.5261</v>
      </c>
      <c r="M303" s="380">
        <f>+J294</f>
        <v>0</v>
      </c>
      <c r="N303" s="379">
        <f t="shared" si="49"/>
        <v>0</v>
      </c>
      <c r="O303" s="376"/>
      <c r="P303" s="381">
        <f t="shared" si="50"/>
        <v>0</v>
      </c>
      <c r="Q303" s="382">
        <f t="shared" si="51"/>
      </c>
    </row>
    <row r="304" spans="4:17" ht="12.75">
      <c r="D304" s="376" t="s">
        <v>344</v>
      </c>
      <c r="E304" s="376"/>
      <c r="F304" s="514" t="s">
        <v>22</v>
      </c>
      <c r="G304" s="377"/>
      <c r="H304" s="505">
        <f>+'2010 Existing Rates'!$D$37</f>
        <v>0.1248</v>
      </c>
      <c r="I304" s="378">
        <f aca="true" t="shared" si="52" ref="I304:I309">I303</f>
        <v>0</v>
      </c>
      <c r="J304" s="379">
        <f t="shared" si="48"/>
        <v>0</v>
      </c>
      <c r="K304" s="376"/>
      <c r="L304" s="505">
        <f>+'Rate Schedule (Part 1)'!$E$45</f>
        <v>0.0903</v>
      </c>
      <c r="M304" s="380">
        <f aca="true" t="shared" si="53" ref="M304:M309">M303</f>
        <v>0</v>
      </c>
      <c r="N304" s="379">
        <f t="shared" si="49"/>
        <v>0</v>
      </c>
      <c r="O304" s="376"/>
      <c r="P304" s="381">
        <f t="shared" si="50"/>
        <v>0</v>
      </c>
      <c r="Q304" s="382">
        <f t="shared" si="51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0</v>
      </c>
      <c r="J305" s="379">
        <f t="shared" si="48"/>
        <v>0</v>
      </c>
      <c r="K305" s="376"/>
      <c r="L305" s="505"/>
      <c r="M305" s="380">
        <f t="shared" si="53"/>
        <v>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0</v>
      </c>
      <c r="J306" s="379">
        <f t="shared" si="48"/>
        <v>0</v>
      </c>
      <c r="K306" s="376"/>
      <c r="L306" s="505"/>
      <c r="M306" s="380">
        <f t="shared" si="53"/>
        <v>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0</v>
      </c>
      <c r="J307" s="379">
        <f t="shared" si="48"/>
        <v>0</v>
      </c>
      <c r="K307" s="376"/>
      <c r="L307" s="505"/>
      <c r="M307" s="380">
        <f t="shared" si="53"/>
        <v>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0</v>
      </c>
      <c r="J308" s="379">
        <f t="shared" si="48"/>
        <v>0</v>
      </c>
      <c r="K308" s="376"/>
      <c r="L308" s="505"/>
      <c r="M308" s="380">
        <f t="shared" si="53"/>
        <v>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22</v>
      </c>
      <c r="G309" s="377"/>
      <c r="H309" s="505">
        <f>+'2010 Existing Rates'!$D$25</f>
        <v>-1.2508</v>
      </c>
      <c r="I309" s="378">
        <f t="shared" si="52"/>
        <v>0</v>
      </c>
      <c r="J309" s="379">
        <f t="shared" si="48"/>
        <v>0</v>
      </c>
      <c r="K309" s="376"/>
      <c r="L309" s="505">
        <f>+'Rate Schedule (Part 1)'!$E$48</f>
        <v>-0.3563803210846431</v>
      </c>
      <c r="M309" s="380">
        <f t="shared" si="53"/>
        <v>0</v>
      </c>
      <c r="N309" s="379">
        <f t="shared" si="49"/>
        <v>0</v>
      </c>
      <c r="O309" s="376"/>
      <c r="P309" s="381">
        <f t="shared" si="50"/>
        <v>0</v>
      </c>
      <c r="Q309" s="382">
        <f t="shared" si="51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4128.42</v>
      </c>
      <c r="L314" s="385"/>
      <c r="M314" s="388"/>
      <c r="N314" s="387">
        <f>SUM(N299:N313)</f>
        <v>4219.078067979649</v>
      </c>
      <c r="P314" s="389">
        <f t="shared" si="50"/>
        <v>90.65806797964888</v>
      </c>
      <c r="Q314" s="390">
        <f t="shared" si="51"/>
        <v>0.021959507021971813</v>
      </c>
    </row>
    <row r="315" spans="4:17" ht="12.75">
      <c r="D315" s="391" t="s">
        <v>351</v>
      </c>
      <c r="E315" s="391"/>
      <c r="F315" s="515" t="s">
        <v>22</v>
      </c>
      <c r="G315" s="392"/>
      <c r="H315" s="506">
        <v>2.5886</v>
      </c>
      <c r="I315" s="393">
        <f>+J294</f>
        <v>0</v>
      </c>
      <c r="J315" s="394">
        <f>I315*H315</f>
        <v>0</v>
      </c>
      <c r="K315" s="391"/>
      <c r="L315" s="506">
        <f>+'[7]E1.1 Adj Network to Fcst Whsl'!$S$26</f>
        <v>2.406132577762992</v>
      </c>
      <c r="M315" s="395">
        <f>+J294</f>
        <v>0</v>
      </c>
      <c r="N315" s="394">
        <f>M315*L315</f>
        <v>0</v>
      </c>
      <c r="O315" s="391"/>
      <c r="P315" s="396">
        <f t="shared" si="50"/>
        <v>0</v>
      </c>
      <c r="Q315" s="397">
        <f t="shared" si="51"/>
      </c>
    </row>
    <row r="316" spans="4:17" ht="26.25" thickBot="1">
      <c r="D316" s="398" t="s">
        <v>352</v>
      </c>
      <c r="E316" s="391"/>
      <c r="F316" s="515" t="s">
        <v>22</v>
      </c>
      <c r="G316" s="392"/>
      <c r="H316" s="506">
        <v>2.1323</v>
      </c>
      <c r="I316" s="393">
        <f>I315</f>
        <v>0</v>
      </c>
      <c r="J316" s="394">
        <f>I316*H316</f>
        <v>0</v>
      </c>
      <c r="K316" s="391"/>
      <c r="L316" s="506">
        <f>+'[7]E1.2 Adj Conn to Fcst Whsl'!$S$26</f>
        <v>2.1055753062374882</v>
      </c>
      <c r="M316" s="395">
        <f>M315</f>
        <v>0</v>
      </c>
      <c r="N316" s="394">
        <f>M316*L316</f>
        <v>0</v>
      </c>
      <c r="O316" s="391"/>
      <c r="P316" s="396">
        <f t="shared" si="50"/>
        <v>0</v>
      </c>
      <c r="Q316" s="397">
        <f t="shared" si="51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4128.42</v>
      </c>
      <c r="K317" s="403"/>
      <c r="L317" s="404"/>
      <c r="M317" s="405"/>
      <c r="N317" s="402">
        <f>SUM(N314:N316)</f>
        <v>4219.078067979649</v>
      </c>
      <c r="O317" s="403"/>
      <c r="P317" s="406">
        <f t="shared" si="50"/>
        <v>90.65806797964888</v>
      </c>
      <c r="Q317" s="407">
        <f t="shared" si="51"/>
        <v>0.021959507021971813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+$H294*(1+$H330)</f>
        <v>0</v>
      </c>
      <c r="J318" s="379">
        <f aca="true" t="shared" si="54" ref="J318:J325">I318*H318</f>
        <v>0</v>
      </c>
      <c r="K318" s="376"/>
      <c r="L318" s="505">
        <v>0.0052</v>
      </c>
      <c r="M318" s="380">
        <f>+M323</f>
        <v>0</v>
      </c>
      <c r="N318" s="379">
        <f aca="true" t="shared" si="55" ref="N318:N325">M318*L318</f>
        <v>0</v>
      </c>
      <c r="O318" s="376"/>
      <c r="P318" s="381">
        <f t="shared" si="50"/>
        <v>0</v>
      </c>
      <c r="Q318" s="382">
        <f t="shared" si="51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+I318</f>
        <v>0</v>
      </c>
      <c r="J319" s="379">
        <f t="shared" si="54"/>
        <v>0</v>
      </c>
      <c r="K319" s="376"/>
      <c r="L319" s="505">
        <v>0.0013</v>
      </c>
      <c r="M319" s="380">
        <f>+M318</f>
        <v>0</v>
      </c>
      <c r="N319" s="379">
        <f t="shared" si="55"/>
        <v>0</v>
      </c>
      <c r="O319" s="376"/>
      <c r="P319" s="381">
        <f t="shared" si="50"/>
        <v>0</v>
      </c>
      <c r="Q319" s="382">
        <f t="shared" si="51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+I318</f>
        <v>0</v>
      </c>
      <c r="J320" s="379">
        <f t="shared" si="54"/>
        <v>0</v>
      </c>
      <c r="K320" s="376"/>
      <c r="L320" s="508">
        <v>0.000373</v>
      </c>
      <c r="M320" s="380">
        <f>+M318</f>
        <v>0</v>
      </c>
      <c r="N320" s="379">
        <f t="shared" si="55"/>
        <v>0</v>
      </c>
      <c r="O320" s="376"/>
      <c r="P320" s="381">
        <f t="shared" si="50"/>
        <v>0</v>
      </c>
      <c r="Q320" s="382">
        <f t="shared" si="51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54"/>
        <v>0</v>
      </c>
      <c r="K322" s="376"/>
      <c r="L322" s="505">
        <v>0.007</v>
      </c>
      <c r="M322" s="380">
        <f>+$H294</f>
        <v>0</v>
      </c>
      <c r="N322" s="379">
        <f t="shared" si="55"/>
        <v>0</v>
      </c>
      <c r="O322" s="376"/>
      <c r="P322" s="381">
        <f t="shared" si="50"/>
        <v>0</v>
      </c>
      <c r="Q322" s="382">
        <f t="shared" si="51"/>
      </c>
    </row>
    <row r="323" spans="4:17" ht="12.75">
      <c r="D323" s="376" t="s">
        <v>359</v>
      </c>
      <c r="E323" s="376"/>
      <c r="F323" s="514" t="s">
        <v>53</v>
      </c>
      <c r="G323" s="377"/>
      <c r="H323" s="505">
        <f>+'Other Electriciy Rates'!$J$14</f>
        <v>0.065</v>
      </c>
      <c r="I323" s="378">
        <f>+$H294*(1+$H330)</f>
        <v>0</v>
      </c>
      <c r="J323" s="379">
        <f t="shared" si="54"/>
        <v>0</v>
      </c>
      <c r="K323" s="376"/>
      <c r="L323" s="505">
        <f>+'Other Electriciy Rates'!J$29</f>
        <v>0.065</v>
      </c>
      <c r="M323" s="378">
        <f>+$H294*(1+$L330)</f>
        <v>0</v>
      </c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/>
      <c r="E324" s="376"/>
      <c r="F324" s="514"/>
      <c r="G324" s="377"/>
      <c r="H324" s="505"/>
      <c r="I324" s="509"/>
      <c r="J324" s="379">
        <f t="shared" si="54"/>
        <v>0</v>
      </c>
      <c r="K324" s="376"/>
      <c r="L324" s="505"/>
      <c r="M324" s="509"/>
      <c r="N324" s="379">
        <f t="shared" si="55"/>
        <v>0</v>
      </c>
      <c r="O324" s="376"/>
      <c r="P324" s="381">
        <f t="shared" si="50"/>
        <v>0</v>
      </c>
      <c r="Q324" s="382">
        <f t="shared" si="51"/>
      </c>
    </row>
    <row r="325" spans="4:17" ht="13.5" thickBot="1">
      <c r="D325" s="501"/>
      <c r="E325" s="376"/>
      <c r="F325" s="514"/>
      <c r="G325" s="377"/>
      <c r="H325" s="505"/>
      <c r="I325" s="509"/>
      <c r="J325" s="379">
        <f t="shared" si="54"/>
        <v>0</v>
      </c>
      <c r="K325" s="376"/>
      <c r="L325" s="505"/>
      <c r="M325" s="509"/>
      <c r="N325" s="379">
        <f t="shared" si="55"/>
        <v>0</v>
      </c>
      <c r="O325" s="376"/>
      <c r="P325" s="381">
        <f t="shared" si="50"/>
        <v>0</v>
      </c>
      <c r="Q325" s="382">
        <f t="shared" si="51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4128.67</v>
      </c>
      <c r="K326" s="403"/>
      <c r="L326" s="411"/>
      <c r="M326" s="412"/>
      <c r="N326" s="402">
        <f>SUM(N317:N325)</f>
        <v>4219.328067979649</v>
      </c>
      <c r="O326" s="403"/>
      <c r="P326" s="406">
        <f>N326-J326</f>
        <v>90.65806797964888</v>
      </c>
      <c r="Q326" s="407">
        <f>IF((J326)=0,"",(P326/J326))</f>
        <v>0.02195817732578503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536.7271000000001</v>
      </c>
      <c r="K327" s="376"/>
      <c r="L327" s="511">
        <v>0.13</v>
      </c>
      <c r="M327" s="415"/>
      <c r="N327" s="414">
        <f>N326*L327</f>
        <v>548.5126488373544</v>
      </c>
      <c r="O327" s="376"/>
      <c r="P327" s="381">
        <f>N327-J327</f>
        <v>11.785548837354327</v>
      </c>
      <c r="Q327" s="382">
        <f>IF((J327)=0,"",(P327/J327))</f>
        <v>0.021958177325784974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4665.4</v>
      </c>
      <c r="K328" s="403"/>
      <c r="L328" s="404"/>
      <c r="M328" s="405"/>
      <c r="N328" s="402">
        <f>ROUND(SUM(N326:N327),2)</f>
        <v>4767.84</v>
      </c>
      <c r="O328" s="403"/>
      <c r="P328" s="406">
        <f>N328-J328</f>
        <v>102.44000000000051</v>
      </c>
      <c r="Q328" s="407">
        <f>IF((J328)=0,"",(P328/J328))</f>
        <v>0.021957388434003626</v>
      </c>
    </row>
    <row r="329" ht="10.5" customHeight="1"/>
    <row r="330" spans="4:12" ht="12.75">
      <c r="D330" s="367" t="s">
        <v>363</v>
      </c>
      <c r="H330" s="513">
        <v>0.0145</v>
      </c>
      <c r="L330" s="513">
        <f>-(1-'[8]Ex4 Total Loss Factors'!$G$18)</f>
        <v>0.004838001932520486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F17:F31 F205:F219 F33:F34 F158:F172 F36:F43 F252:F266 F268:F269 F221:F222 F271:F278 F64:F78 F80:F81 F83:F90 F111:F125 F224:F231 F127:F128 F174:F175 F130:F137 F177:F184 F299:F313 F315:F316 F318:F325">
      <formula1>$B$10:$B$13</formula1>
    </dataValidation>
    <dataValidation type="list" allowBlank="1" showInputMessage="1" showErrorMessage="1" sqref="G17:G31 G205:G219 G33:G34 G158:G172 G36:G43 G252:G266 G268:G269 G221:G222 G271:G278 G64:G78 G80:G81 G83:G90 G111:G125 G224:G231 G127:G128 G174:G175 G130:G137 G177:G184 G299:G313 G315:G316 G318:G325">
      <formula1>$B$10:$B$15</formula1>
    </dataValidation>
  </dataValidations>
  <printOptions/>
  <pageMargins left="0.7" right="0.7" top="0.75" bottom="0.75" header="0.3" footer="0.3"/>
  <pageSetup fitToHeight="4" horizontalDpi="600" verticalDpi="600" orientation="portrait" scale="59" r:id="rId1"/>
  <rowBreaks count="3" manualBreakCount="3">
    <brk id="55" max="16" man="1"/>
    <brk id="102" max="16" man="1"/>
    <brk id="149" max="1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2.28125" style="362" customWidth="1"/>
    <col min="9" max="9" width="8.57421875" style="362" customWidth="1"/>
    <col min="10" max="10" width="15.851562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6.57421875" style="362" bestFit="1" customWidth="1"/>
    <col min="15" max="15" width="2.8515625" style="362" customWidth="1"/>
    <col min="16" max="16" width="15.8515625" style="362" bestFit="1" customWidth="1"/>
    <col min="17" max="17" width="14.421875" style="362" bestFit="1" customWidth="1"/>
    <col min="18" max="18" width="3.8515625" style="362" customWidth="1"/>
    <col min="19" max="16384" width="9.140625" style="362" customWidth="1"/>
  </cols>
  <sheetData>
    <row r="1" spans="3:18" s="355" customFormat="1" ht="15" customHeight="1"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32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376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377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5" ht="12.75">
      <c r="B12" s="363" t="s">
        <v>53</v>
      </c>
      <c r="F12" s="367" t="s">
        <v>66</v>
      </c>
      <c r="G12" s="367"/>
      <c r="H12" s="516">
        <f>+'Forecast Data For 2011'!C25/12</f>
        <v>526732.239641291</v>
      </c>
      <c r="I12" s="367" t="s">
        <v>332</v>
      </c>
      <c r="J12" s="516">
        <f>+'Forecast Data For 2011'!C24/12</f>
        <v>1484.1374112626709</v>
      </c>
      <c r="L12" s="367" t="s">
        <v>16</v>
      </c>
      <c r="M12" s="561">
        <f>+'Forecast Data For 2011'!C23</f>
        <v>2864.573962684278</v>
      </c>
      <c r="O12" s="367" t="s">
        <v>134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05">
        <f>+'2010 Existing Rates'!$B$14</f>
        <v>0.16</v>
      </c>
      <c r="I17" s="378">
        <f>+$M12</f>
        <v>2864.573962684278</v>
      </c>
      <c r="J17" s="379">
        <f aca="true" t="shared" si="0" ref="J17:J31">I17*H17</f>
        <v>458.33183402948447</v>
      </c>
      <c r="K17" s="376"/>
      <c r="L17" s="505">
        <f>+'Rate Schedule (Part 1)'!$E$58</f>
        <v>1.1372</v>
      </c>
      <c r="M17" s="380">
        <f>+$M12</f>
        <v>2864.573962684278</v>
      </c>
      <c r="N17" s="379">
        <f aca="true" t="shared" si="1" ref="N17:N31">M17*L17</f>
        <v>3257.5935103645606</v>
      </c>
      <c r="O17" s="376"/>
      <c r="P17" s="381">
        <f aca="true" t="shared" si="2" ref="P17:P46">N17-J17</f>
        <v>2799.261676335076</v>
      </c>
      <c r="Q17" s="382">
        <f aca="true" t="shared" si="3" ref="Q17:Q46">IF((J17)=0,"",(P17/J17))</f>
        <v>6.107499999999999</v>
      </c>
    </row>
    <row r="18" spans="4:17" ht="12.75">
      <c r="D18" s="376" t="s">
        <v>226</v>
      </c>
      <c r="E18" s="376"/>
      <c r="F18" s="514" t="s">
        <v>330</v>
      </c>
      <c r="G18" s="377"/>
      <c r="H18" s="505"/>
      <c r="I18" s="378">
        <v>1</v>
      </c>
      <c r="J18" s="379">
        <f t="shared" si="0"/>
        <v>0</v>
      </c>
      <c r="K18" s="376"/>
      <c r="L18" s="505"/>
      <c r="M18" s="380">
        <v>1</v>
      </c>
      <c r="N18" s="379">
        <f t="shared" si="1"/>
        <v>0</v>
      </c>
      <c r="O18" s="376"/>
      <c r="P18" s="381">
        <f t="shared" si="2"/>
        <v>0</v>
      </c>
      <c r="Q18" s="382">
        <f t="shared" si="3"/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22</v>
      </c>
      <c r="G21" s="377"/>
      <c r="H21" s="505">
        <f>+'2010 Existing Rates'!$D$64</f>
        <v>0.6995</v>
      </c>
      <c r="I21" s="378">
        <f>+J12</f>
        <v>1484.1374112626709</v>
      </c>
      <c r="J21" s="379">
        <f t="shared" si="0"/>
        <v>1038.1541191782383</v>
      </c>
      <c r="K21" s="376"/>
      <c r="L21" s="505">
        <f>+'Rate Schedule (Part 1)'!$E$59</f>
        <v>4.9716</v>
      </c>
      <c r="M21" s="380">
        <f>+J12</f>
        <v>1484.1374112626709</v>
      </c>
      <c r="N21" s="379">
        <f t="shared" si="1"/>
        <v>7378.537553833494</v>
      </c>
      <c r="O21" s="376"/>
      <c r="P21" s="381">
        <f t="shared" si="2"/>
        <v>6340.383434655256</v>
      </c>
      <c r="Q21" s="382">
        <f t="shared" si="3"/>
        <v>6.107362401715511</v>
      </c>
    </row>
    <row r="22" spans="4:17" ht="12.75">
      <c r="D22" s="376" t="s">
        <v>344</v>
      </c>
      <c r="E22" s="376"/>
      <c r="F22" s="514" t="s">
        <v>22</v>
      </c>
      <c r="G22" s="377"/>
      <c r="H22" s="505">
        <f>+'2010 Existing Rates'!$D$39</f>
        <v>0.0764</v>
      </c>
      <c r="I22" s="378">
        <f aca="true" t="shared" si="4" ref="I22:I27">I21</f>
        <v>1484.1374112626709</v>
      </c>
      <c r="J22" s="379">
        <f t="shared" si="0"/>
        <v>113.38809822046805</v>
      </c>
      <c r="K22" s="376"/>
      <c r="L22" s="505">
        <f>+'Rate Schedule (Part 1)'!$E$60</f>
        <v>0.0552</v>
      </c>
      <c r="M22" s="380">
        <f aca="true" t="shared" si="5" ref="M22:M27">M21</f>
        <v>1484.1374112626709</v>
      </c>
      <c r="N22" s="379">
        <f t="shared" si="1"/>
        <v>81.92438510169943</v>
      </c>
      <c r="O22" s="376"/>
      <c r="P22" s="381">
        <f t="shared" si="2"/>
        <v>-31.463713118768624</v>
      </c>
      <c r="Q22" s="382">
        <f t="shared" si="3"/>
        <v>-0.2774869109947644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1484.1374112626709</v>
      </c>
      <c r="J23" s="379">
        <f t="shared" si="0"/>
        <v>0</v>
      </c>
      <c r="K23" s="376"/>
      <c r="L23" s="505"/>
      <c r="M23" s="380">
        <f t="shared" si="5"/>
        <v>1484.1374112626709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1484.1374112626709</v>
      </c>
      <c r="J24" s="379">
        <f t="shared" si="0"/>
        <v>0</v>
      </c>
      <c r="K24" s="376"/>
      <c r="L24" s="505"/>
      <c r="M24" s="380">
        <f t="shared" si="5"/>
        <v>1484.1374112626709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1484.1374112626709</v>
      </c>
      <c r="J25" s="379">
        <f t="shared" si="0"/>
        <v>0</v>
      </c>
      <c r="K25" s="376"/>
      <c r="L25" s="505"/>
      <c r="M25" s="380">
        <f t="shared" si="5"/>
        <v>1484.1374112626709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1484.1374112626709</v>
      </c>
      <c r="J26" s="379">
        <f t="shared" si="0"/>
        <v>0</v>
      </c>
      <c r="K26" s="376"/>
      <c r="L26" s="505"/>
      <c r="M26" s="380">
        <f t="shared" si="5"/>
        <v>1484.1374112626709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22</v>
      </c>
      <c r="G27" s="377"/>
      <c r="H27" s="505">
        <f>+'2010 Existing Rates'!$D$27</f>
        <v>-1.1241</v>
      </c>
      <c r="I27" s="378">
        <f t="shared" si="4"/>
        <v>1484.1374112626709</v>
      </c>
      <c r="J27" s="379">
        <f t="shared" si="0"/>
        <v>-1668.3188640003684</v>
      </c>
      <c r="K27" s="376"/>
      <c r="L27" s="505">
        <f>+'Rate Schedule (Part 1)'!$E$62</f>
        <v>-0.3347942462419059</v>
      </c>
      <c r="M27" s="380">
        <f t="shared" si="5"/>
        <v>1484.1374112626709</v>
      </c>
      <c r="N27" s="379">
        <f t="shared" si="1"/>
        <v>-496.8806659230994</v>
      </c>
      <c r="O27" s="376"/>
      <c r="P27" s="381">
        <f t="shared" si="2"/>
        <v>1171.4381980772691</v>
      </c>
      <c r="Q27" s="382">
        <f t="shared" si="3"/>
        <v>-0.7021668479299833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-58.444812572177625</v>
      </c>
      <c r="L32" s="385"/>
      <c r="M32" s="388"/>
      <c r="N32" s="387">
        <f>SUM(N17:N31)</f>
        <v>10221.174783376655</v>
      </c>
      <c r="P32" s="389">
        <f>N32-J32</f>
        <v>10279.619595948832</v>
      </c>
      <c r="Q32" s="390">
        <f t="shared" si="3"/>
        <v>-175.88591944330054</v>
      </c>
    </row>
    <row r="33" spans="4:17" ht="12.75">
      <c r="D33" s="391" t="s">
        <v>351</v>
      </c>
      <c r="E33" s="391"/>
      <c r="F33" s="515" t="s">
        <v>22</v>
      </c>
      <c r="G33" s="392"/>
      <c r="H33" s="506">
        <v>1.6461</v>
      </c>
      <c r="I33" s="393">
        <f>+J12</f>
        <v>1484.1374112626709</v>
      </c>
      <c r="J33" s="394">
        <f>I33*H33</f>
        <v>2443.0385926794825</v>
      </c>
      <c r="K33" s="391"/>
      <c r="L33" s="506">
        <f>+'[7]E1.1 Adj Network to Fcst Whsl'!$S$27</f>
        <v>1.530068313472789</v>
      </c>
      <c r="M33" s="395">
        <f>+J12</f>
        <v>1484.1374112626709</v>
      </c>
      <c r="N33" s="394">
        <f>M33*L33</f>
        <v>2270.831625812546</v>
      </c>
      <c r="O33" s="391"/>
      <c r="P33" s="396">
        <f t="shared" si="2"/>
        <v>-172.20696686693645</v>
      </c>
      <c r="Q33" s="397">
        <f t="shared" si="3"/>
        <v>-0.07048884425442614</v>
      </c>
    </row>
    <row r="34" spans="4:17" ht="26.25" thickBot="1">
      <c r="D34" s="398" t="s">
        <v>352</v>
      </c>
      <c r="E34" s="391"/>
      <c r="F34" s="515" t="s">
        <v>22</v>
      </c>
      <c r="G34" s="392"/>
      <c r="H34" s="506">
        <v>1.3038</v>
      </c>
      <c r="I34" s="393">
        <f>I33</f>
        <v>1484.1374112626709</v>
      </c>
      <c r="J34" s="394">
        <f>I34*H34</f>
        <v>1935.0183568042703</v>
      </c>
      <c r="K34" s="391"/>
      <c r="L34" s="506">
        <f>+'[7]E1.2 Adj Conn to Fcst Whsl'!$S$27</f>
        <v>1.2874591212645676</v>
      </c>
      <c r="M34" s="395">
        <f>M33</f>
        <v>1484.1374112626709</v>
      </c>
      <c r="N34" s="394">
        <f>M34*L34</f>
        <v>1910.7662473401085</v>
      </c>
      <c r="O34" s="391"/>
      <c r="P34" s="396">
        <f t="shared" si="2"/>
        <v>-24.252109464161776</v>
      </c>
      <c r="Q34" s="397">
        <f t="shared" si="3"/>
        <v>-0.01253327100431994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4319.612136911575</v>
      </c>
      <c r="K35" s="403"/>
      <c r="L35" s="404"/>
      <c r="M35" s="405"/>
      <c r="N35" s="402">
        <f>SUM(N32:N34)</f>
        <v>14402.77265652931</v>
      </c>
      <c r="O35" s="403"/>
      <c r="P35" s="406">
        <f t="shared" si="2"/>
        <v>10083.160519617735</v>
      </c>
      <c r="Q35" s="407">
        <f t="shared" si="3"/>
        <v>2.3342745135508776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+$H12*(1+$H48)</f>
        <v>545220.5412527003</v>
      </c>
      <c r="J36" s="379">
        <f aca="true" t="shared" si="6" ref="J36:J43">I36*H36</f>
        <v>2835.146814514041</v>
      </c>
      <c r="K36" s="376"/>
      <c r="L36" s="505">
        <v>0.0052</v>
      </c>
      <c r="M36" s="380">
        <f>+M41</f>
        <v>545795.3367171497</v>
      </c>
      <c r="N36" s="379">
        <f aca="true" t="shared" si="7" ref="N36:N43">M36*L36</f>
        <v>2838.1357509291784</v>
      </c>
      <c r="O36" s="376"/>
      <c r="P36" s="381">
        <f t="shared" si="2"/>
        <v>2.988936415137232</v>
      </c>
      <c r="Q36" s="382">
        <f t="shared" si="3"/>
        <v>0.0010542439636056558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+I36</f>
        <v>545220.5412527003</v>
      </c>
      <c r="J37" s="379">
        <f t="shared" si="6"/>
        <v>708.7867036285103</v>
      </c>
      <c r="K37" s="376"/>
      <c r="L37" s="505">
        <v>0.0013</v>
      </c>
      <c r="M37" s="380">
        <f>+M36</f>
        <v>545795.3367171497</v>
      </c>
      <c r="N37" s="379">
        <f t="shared" si="7"/>
        <v>709.5339377322946</v>
      </c>
      <c r="O37" s="376"/>
      <c r="P37" s="381">
        <f t="shared" si="2"/>
        <v>0.747234103784308</v>
      </c>
      <c r="Q37" s="382">
        <f t="shared" si="3"/>
        <v>0.0010542439636056558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+I36</f>
        <v>545220.5412527003</v>
      </c>
      <c r="J38" s="379">
        <f t="shared" si="6"/>
        <v>203.3672618872572</v>
      </c>
      <c r="K38" s="376"/>
      <c r="L38" s="508">
        <v>0.000373</v>
      </c>
      <c r="M38" s="380">
        <f>+M36</f>
        <v>545795.3367171497</v>
      </c>
      <c r="N38" s="379">
        <f t="shared" si="7"/>
        <v>203.58166059549686</v>
      </c>
      <c r="O38" s="376"/>
      <c r="P38" s="381">
        <f t="shared" si="2"/>
        <v>0.21439870823965634</v>
      </c>
      <c r="Q38" s="382">
        <f t="shared" si="3"/>
        <v>0.00105424396360568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526732.239641291</v>
      </c>
      <c r="J40" s="379">
        <f t="shared" si="6"/>
        <v>3687.1256774890367</v>
      </c>
      <c r="K40" s="376"/>
      <c r="L40" s="505">
        <v>0.007</v>
      </c>
      <c r="M40" s="380">
        <f>+$H12</f>
        <v>526732.239641291</v>
      </c>
      <c r="N40" s="379">
        <f t="shared" si="7"/>
        <v>3687.1256774890367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 t="s">
        <v>53</v>
      </c>
      <c r="G41" s="377"/>
      <c r="H41" s="505">
        <f>+'Other Electriciy Rates'!$J$16</f>
        <v>0.065</v>
      </c>
      <c r="I41" s="378">
        <f>+$H12*(1+$H48)</f>
        <v>545220.5412527003</v>
      </c>
      <c r="J41" s="379">
        <f t="shared" si="6"/>
        <v>35439.335181425515</v>
      </c>
      <c r="K41" s="376"/>
      <c r="L41" s="505">
        <f>+'Other Electriciy Rates'!J$31</f>
        <v>0.065</v>
      </c>
      <c r="M41" s="378">
        <f>+$H12*(1+$L48)</f>
        <v>545795.3367171497</v>
      </c>
      <c r="N41" s="379">
        <f t="shared" si="7"/>
        <v>35476.69688661473</v>
      </c>
      <c r="O41" s="376"/>
      <c r="P41" s="381">
        <f t="shared" si="2"/>
        <v>37.36170518921426</v>
      </c>
      <c r="Q41" s="382">
        <f t="shared" si="3"/>
        <v>0.0010542439636056237</v>
      </c>
    </row>
    <row r="42" spans="4:17" ht="12.75">
      <c r="D42" s="502"/>
      <c r="E42" s="376"/>
      <c r="F42" s="514"/>
      <c r="G42" s="377"/>
      <c r="H42" s="505"/>
      <c r="I42" s="509"/>
      <c r="J42" s="379">
        <f t="shared" si="6"/>
        <v>0</v>
      </c>
      <c r="K42" s="376"/>
      <c r="L42" s="505"/>
      <c r="M42" s="509"/>
      <c r="N42" s="379">
        <f t="shared" si="7"/>
        <v>0</v>
      </c>
      <c r="O42" s="376"/>
      <c r="P42" s="381">
        <f t="shared" si="2"/>
        <v>0</v>
      </c>
      <c r="Q42" s="382">
        <f t="shared" si="3"/>
      </c>
    </row>
    <row r="43" spans="4:17" ht="13.5" thickBot="1">
      <c r="D43" s="501"/>
      <c r="E43" s="376"/>
      <c r="F43" s="514"/>
      <c r="G43" s="377"/>
      <c r="H43" s="505"/>
      <c r="I43" s="509"/>
      <c r="J43" s="379">
        <f t="shared" si="6"/>
        <v>0</v>
      </c>
      <c r="K43" s="376"/>
      <c r="L43" s="505"/>
      <c r="M43" s="509"/>
      <c r="N43" s="379">
        <f t="shared" si="7"/>
        <v>0</v>
      </c>
      <c r="O43" s="376"/>
      <c r="P43" s="381">
        <f t="shared" si="2"/>
        <v>0</v>
      </c>
      <c r="Q43" s="382">
        <f t="shared" si="3"/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47193.62377585594</v>
      </c>
      <c r="K44" s="403"/>
      <c r="L44" s="411"/>
      <c r="M44" s="412"/>
      <c r="N44" s="402">
        <f>SUM(N35:N43)</f>
        <v>57318.09656989005</v>
      </c>
      <c r="O44" s="403"/>
      <c r="P44" s="406">
        <f t="shared" si="2"/>
        <v>10124.47279403411</v>
      </c>
      <c r="Q44" s="407">
        <f t="shared" si="3"/>
        <v>0.21453052306641793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6135.171090861272</v>
      </c>
      <c r="K45" s="376"/>
      <c r="L45" s="511">
        <v>0.13</v>
      </c>
      <c r="M45" s="415"/>
      <c r="N45" s="414">
        <f>N44*L45</f>
        <v>7451.352554085706</v>
      </c>
      <c r="O45" s="376"/>
      <c r="P45" s="381">
        <f t="shared" si="2"/>
        <v>1316.181463224434</v>
      </c>
      <c r="Q45" s="382">
        <f t="shared" si="3"/>
        <v>0.21453052306641784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53328.79</v>
      </c>
      <c r="K46" s="403"/>
      <c r="L46" s="404"/>
      <c r="M46" s="405"/>
      <c r="N46" s="402">
        <f>ROUND(SUM(N44:N45),2)</f>
        <v>64769.45</v>
      </c>
      <c r="O46" s="403"/>
      <c r="P46" s="406">
        <f t="shared" si="2"/>
        <v>11440.659999999996</v>
      </c>
      <c r="Q46" s="407">
        <f t="shared" si="3"/>
        <v>0.2145306503297749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Streetlighting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15" ht="12.75">
      <c r="B59" s="363" t="s">
        <v>53</v>
      </c>
      <c r="F59" s="367" t="s">
        <v>66</v>
      </c>
      <c r="G59" s="367"/>
      <c r="H59" s="516"/>
      <c r="I59" s="367" t="s">
        <v>332</v>
      </c>
      <c r="J59" s="516"/>
      <c r="L59" s="367" t="s">
        <v>16</v>
      </c>
      <c r="M59" s="504"/>
      <c r="O59" s="367" t="s">
        <v>134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05">
        <f>+'2010 Existing Rates'!$B$14</f>
        <v>0.16</v>
      </c>
      <c r="I64" s="378">
        <f>+$M59</f>
        <v>0</v>
      </c>
      <c r="J64" s="379">
        <f aca="true" t="shared" si="8" ref="J64:J78">I64*H64</f>
        <v>0</v>
      </c>
      <c r="K64" s="376"/>
      <c r="L64" s="505">
        <f>+'Rate Schedule (Part 1)'!$E$58</f>
        <v>1.1372</v>
      </c>
      <c r="M64" s="380">
        <f>+$M59</f>
        <v>0</v>
      </c>
      <c r="N64" s="379">
        <f aca="true" t="shared" si="9" ref="N64:N78">M64*L64</f>
        <v>0</v>
      </c>
      <c r="O64" s="376"/>
      <c r="P64" s="381">
        <f aca="true" t="shared" si="10" ref="P64:P78">N64-J64</f>
        <v>0</v>
      </c>
      <c r="Q64" s="382">
        <f aca="true" t="shared" si="11" ref="Q64:Q90">IF((J64)=0,"",(P64/J64))</f>
      </c>
    </row>
    <row r="65" spans="4:17" ht="12.75">
      <c r="D65" s="376" t="s">
        <v>226</v>
      </c>
      <c r="E65" s="376"/>
      <c r="F65" s="514" t="s">
        <v>330</v>
      </c>
      <c r="G65" s="377"/>
      <c r="H65" s="505"/>
      <c r="I65" s="378">
        <v>1</v>
      </c>
      <c r="J65" s="379">
        <f t="shared" si="8"/>
        <v>0</v>
      </c>
      <c r="K65" s="376"/>
      <c r="L65" s="505"/>
      <c r="M65" s="380">
        <v>1</v>
      </c>
      <c r="N65" s="379">
        <f t="shared" si="9"/>
        <v>0</v>
      </c>
      <c r="O65" s="376"/>
      <c r="P65" s="381">
        <f t="shared" si="10"/>
        <v>0</v>
      </c>
      <c r="Q65" s="382">
        <f t="shared" si="11"/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22</v>
      </c>
      <c r="G68" s="377"/>
      <c r="H68" s="505">
        <f>+'2010 Existing Rates'!$D$64</f>
        <v>0.6995</v>
      </c>
      <c r="I68" s="378">
        <f>+J59</f>
        <v>0</v>
      </c>
      <c r="J68" s="379">
        <f t="shared" si="8"/>
        <v>0</v>
      </c>
      <c r="K68" s="376"/>
      <c r="L68" s="505">
        <f>+'Rate Schedule (Part 1)'!$E$59</f>
        <v>4.9716</v>
      </c>
      <c r="M68" s="380">
        <f>+J59</f>
        <v>0</v>
      </c>
      <c r="N68" s="379">
        <f t="shared" si="9"/>
        <v>0</v>
      </c>
      <c r="O68" s="376"/>
      <c r="P68" s="381">
        <f t="shared" si="10"/>
        <v>0</v>
      </c>
      <c r="Q68" s="382">
        <f t="shared" si="11"/>
      </c>
    </row>
    <row r="69" spans="4:17" ht="12.75">
      <c r="D69" s="376" t="s">
        <v>344</v>
      </c>
      <c r="E69" s="376"/>
      <c r="F69" s="514" t="s">
        <v>22</v>
      </c>
      <c r="G69" s="377"/>
      <c r="H69" s="505">
        <f>+'2010 Existing Rates'!$D$39</f>
        <v>0.0764</v>
      </c>
      <c r="I69" s="378">
        <f aca="true" t="shared" si="12" ref="I69:I74">I68</f>
        <v>0</v>
      </c>
      <c r="J69" s="379">
        <f t="shared" si="8"/>
        <v>0</v>
      </c>
      <c r="K69" s="376"/>
      <c r="L69" s="505">
        <f>+'Rate Schedule (Part 1)'!$E$60</f>
        <v>0.0552</v>
      </c>
      <c r="M69" s="380">
        <f aca="true" t="shared" si="13" ref="M69:M74">M68</f>
        <v>0</v>
      </c>
      <c r="N69" s="379">
        <f t="shared" si="9"/>
        <v>0</v>
      </c>
      <c r="O69" s="376"/>
      <c r="P69" s="381">
        <f t="shared" si="10"/>
        <v>0</v>
      </c>
      <c r="Q69" s="382">
        <f t="shared" si="11"/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0</v>
      </c>
      <c r="J70" s="379">
        <f t="shared" si="8"/>
        <v>0</v>
      </c>
      <c r="K70" s="376"/>
      <c r="L70" s="505"/>
      <c r="M70" s="380">
        <f t="shared" si="13"/>
        <v>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0</v>
      </c>
      <c r="J71" s="379">
        <f t="shared" si="8"/>
        <v>0</v>
      </c>
      <c r="K71" s="376"/>
      <c r="L71" s="505"/>
      <c r="M71" s="380">
        <f t="shared" si="13"/>
        <v>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0</v>
      </c>
      <c r="J72" s="379">
        <f t="shared" si="8"/>
        <v>0</v>
      </c>
      <c r="K72" s="376"/>
      <c r="L72" s="505"/>
      <c r="M72" s="380">
        <f t="shared" si="13"/>
        <v>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0</v>
      </c>
      <c r="J73" s="379">
        <f t="shared" si="8"/>
        <v>0</v>
      </c>
      <c r="K73" s="376"/>
      <c r="L73" s="505"/>
      <c r="M73" s="380">
        <f t="shared" si="13"/>
        <v>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22</v>
      </c>
      <c r="G74" s="377"/>
      <c r="H74" s="505">
        <f>+'2010 Existing Rates'!$D$27</f>
        <v>-1.1241</v>
      </c>
      <c r="I74" s="378">
        <f t="shared" si="12"/>
        <v>0</v>
      </c>
      <c r="J74" s="379">
        <f t="shared" si="8"/>
        <v>0</v>
      </c>
      <c r="K74" s="376"/>
      <c r="L74" s="505">
        <f>+'Rate Schedule (Part 1)'!$E$62</f>
        <v>-0.3347942462419059</v>
      </c>
      <c r="M74" s="380">
        <f t="shared" si="13"/>
        <v>0</v>
      </c>
      <c r="N74" s="379">
        <f t="shared" si="9"/>
        <v>0</v>
      </c>
      <c r="O74" s="376"/>
      <c r="P74" s="381">
        <f t="shared" si="10"/>
        <v>0</v>
      </c>
      <c r="Q74" s="382">
        <f t="shared" si="11"/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0</v>
      </c>
      <c r="L79" s="385"/>
      <c r="M79" s="388"/>
      <c r="N79" s="387">
        <f>SUM(N64:N78)</f>
        <v>0</v>
      </c>
      <c r="P79" s="389">
        <f>N79-J79</f>
        <v>0</v>
      </c>
      <c r="Q79" s="390">
        <f t="shared" si="11"/>
      </c>
    </row>
    <row r="80" spans="4:17" ht="12.75">
      <c r="D80" s="391" t="s">
        <v>351</v>
      </c>
      <c r="E80" s="391"/>
      <c r="F80" s="515" t="s">
        <v>22</v>
      </c>
      <c r="G80" s="392"/>
      <c r="H80" s="506">
        <v>1.6461</v>
      </c>
      <c r="I80" s="393">
        <f>+J59</f>
        <v>0</v>
      </c>
      <c r="J80" s="394">
        <f>I80*H80</f>
        <v>0</v>
      </c>
      <c r="K80" s="391"/>
      <c r="L80" s="506">
        <f>+'[7]E1.1 Adj Network to Fcst Whsl'!$S$27</f>
        <v>1.530068313472789</v>
      </c>
      <c r="M80" s="395">
        <f>+J59</f>
        <v>0</v>
      </c>
      <c r="N80" s="394">
        <f>M80*L80</f>
        <v>0</v>
      </c>
      <c r="O80" s="391"/>
      <c r="P80" s="396">
        <f aca="true" t="shared" si="14" ref="P80:P90">N80-J80</f>
        <v>0</v>
      </c>
      <c r="Q80" s="397">
        <f t="shared" si="11"/>
      </c>
    </row>
    <row r="81" spans="4:17" ht="26.25" thickBot="1">
      <c r="D81" s="398" t="s">
        <v>352</v>
      </c>
      <c r="E81" s="391"/>
      <c r="F81" s="515" t="s">
        <v>22</v>
      </c>
      <c r="G81" s="392"/>
      <c r="H81" s="506">
        <v>1.3038</v>
      </c>
      <c r="I81" s="393">
        <f>I80</f>
        <v>0</v>
      </c>
      <c r="J81" s="394">
        <f>I81*H81</f>
        <v>0</v>
      </c>
      <c r="K81" s="391"/>
      <c r="L81" s="506">
        <f>+'[7]E1.2 Adj Conn to Fcst Whsl'!$S$27</f>
        <v>1.2874591212645676</v>
      </c>
      <c r="M81" s="395">
        <f>M80</f>
        <v>0</v>
      </c>
      <c r="N81" s="394">
        <f>M81*L81</f>
        <v>0</v>
      </c>
      <c r="O81" s="391"/>
      <c r="P81" s="396">
        <f t="shared" si="14"/>
        <v>0</v>
      </c>
      <c r="Q81" s="397">
        <f t="shared" si="11"/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0</v>
      </c>
      <c r="K82" s="403"/>
      <c r="L82" s="404"/>
      <c r="M82" s="405"/>
      <c r="N82" s="402">
        <f>SUM(N79:N81)</f>
        <v>0</v>
      </c>
      <c r="O82" s="403"/>
      <c r="P82" s="406">
        <f t="shared" si="14"/>
        <v>0</v>
      </c>
      <c r="Q82" s="407">
        <f t="shared" si="11"/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+$H59*(1+$H95)</f>
        <v>0</v>
      </c>
      <c r="J83" s="379">
        <f aca="true" t="shared" si="15" ref="J83:J90">I83*H83</f>
        <v>0</v>
      </c>
      <c r="K83" s="376"/>
      <c r="L83" s="505">
        <v>0.0052</v>
      </c>
      <c r="M83" s="380">
        <f>+M88</f>
        <v>0</v>
      </c>
      <c r="N83" s="379">
        <f aca="true" t="shared" si="16" ref="N83:N90">M83*L83</f>
        <v>0</v>
      </c>
      <c r="O83" s="376"/>
      <c r="P83" s="381">
        <f t="shared" si="14"/>
        <v>0</v>
      </c>
      <c r="Q83" s="382">
        <f t="shared" si="11"/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+I83</f>
        <v>0</v>
      </c>
      <c r="J84" s="379">
        <f t="shared" si="15"/>
        <v>0</v>
      </c>
      <c r="K84" s="376"/>
      <c r="L84" s="505">
        <v>0.0013</v>
      </c>
      <c r="M84" s="380">
        <f>+M83</f>
        <v>0</v>
      </c>
      <c r="N84" s="379">
        <f t="shared" si="16"/>
        <v>0</v>
      </c>
      <c r="O84" s="376"/>
      <c r="P84" s="381">
        <f t="shared" si="14"/>
        <v>0</v>
      </c>
      <c r="Q84" s="382">
        <f t="shared" si="11"/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+I83</f>
        <v>0</v>
      </c>
      <c r="J85" s="379">
        <f t="shared" si="15"/>
        <v>0</v>
      </c>
      <c r="K85" s="376"/>
      <c r="L85" s="508">
        <v>0.000373</v>
      </c>
      <c r="M85" s="380">
        <f>+M83</f>
        <v>0</v>
      </c>
      <c r="N85" s="379">
        <f t="shared" si="16"/>
        <v>0</v>
      </c>
      <c r="O85" s="376"/>
      <c r="P85" s="381">
        <f t="shared" si="14"/>
        <v>0</v>
      </c>
      <c r="Q85" s="382">
        <f t="shared" si="11"/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5"/>
        <v>0.25</v>
      </c>
      <c r="K86" s="376"/>
      <c r="L86" s="505">
        <v>0.25</v>
      </c>
      <c r="M86" s="380">
        <v>1</v>
      </c>
      <c r="N86" s="379">
        <f t="shared" si="16"/>
        <v>0.25</v>
      </c>
      <c r="O86" s="376"/>
      <c r="P86" s="381">
        <f t="shared" si="14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0</v>
      </c>
      <c r="J87" s="379">
        <f t="shared" si="15"/>
        <v>0</v>
      </c>
      <c r="K87" s="376"/>
      <c r="L87" s="505">
        <v>0.007</v>
      </c>
      <c r="M87" s="380">
        <f>+$H59</f>
        <v>0</v>
      </c>
      <c r="N87" s="379">
        <f t="shared" si="16"/>
        <v>0</v>
      </c>
      <c r="O87" s="376"/>
      <c r="P87" s="381">
        <f t="shared" si="14"/>
        <v>0</v>
      </c>
      <c r="Q87" s="382">
        <f t="shared" si="11"/>
      </c>
    </row>
    <row r="88" spans="4:17" ht="12.75">
      <c r="D88" s="376" t="s">
        <v>359</v>
      </c>
      <c r="E88" s="376"/>
      <c r="F88" s="514" t="s">
        <v>53</v>
      </c>
      <c r="G88" s="377"/>
      <c r="H88" s="505">
        <f>+'Other Electriciy Rates'!$J$16</f>
        <v>0.065</v>
      </c>
      <c r="I88" s="378">
        <f>+$H59*(1+$H95)</f>
        <v>0</v>
      </c>
      <c r="J88" s="379">
        <f t="shared" si="15"/>
        <v>0</v>
      </c>
      <c r="K88" s="376"/>
      <c r="L88" s="505">
        <f>+'Other Electriciy Rates'!J$31</f>
        <v>0.065</v>
      </c>
      <c r="M88" s="378">
        <f>+$H59*(1+$L95)</f>
        <v>0</v>
      </c>
      <c r="N88" s="379">
        <f t="shared" si="16"/>
        <v>0</v>
      </c>
      <c r="O88" s="376"/>
      <c r="P88" s="381">
        <f t="shared" si="14"/>
        <v>0</v>
      </c>
      <c r="Q88" s="382">
        <f t="shared" si="11"/>
      </c>
    </row>
    <row r="89" spans="4:17" ht="12.75">
      <c r="D89" s="502"/>
      <c r="E89" s="376"/>
      <c r="F89" s="514"/>
      <c r="G89" s="377"/>
      <c r="H89" s="505"/>
      <c r="I89" s="509"/>
      <c r="J89" s="379">
        <f t="shared" si="15"/>
        <v>0</v>
      </c>
      <c r="K89" s="376"/>
      <c r="L89" s="505"/>
      <c r="M89" s="509"/>
      <c r="N89" s="379">
        <f t="shared" si="16"/>
        <v>0</v>
      </c>
      <c r="O89" s="376"/>
      <c r="P89" s="381">
        <f t="shared" si="14"/>
        <v>0</v>
      </c>
      <c r="Q89" s="382">
        <f t="shared" si="11"/>
      </c>
    </row>
    <row r="90" spans="4:17" ht="13.5" thickBot="1">
      <c r="D90" s="501"/>
      <c r="E90" s="376"/>
      <c r="F90" s="514"/>
      <c r="G90" s="377"/>
      <c r="H90" s="505"/>
      <c r="I90" s="509"/>
      <c r="J90" s="379">
        <f t="shared" si="15"/>
        <v>0</v>
      </c>
      <c r="K90" s="376"/>
      <c r="L90" s="505"/>
      <c r="M90" s="509"/>
      <c r="N90" s="379">
        <f t="shared" si="16"/>
        <v>0</v>
      </c>
      <c r="O90" s="376"/>
      <c r="P90" s="381">
        <f t="shared" si="14"/>
        <v>0</v>
      </c>
      <c r="Q90" s="382">
        <f t="shared" si="11"/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0.25</v>
      </c>
      <c r="K91" s="403"/>
      <c r="L91" s="411"/>
      <c r="M91" s="412"/>
      <c r="N91" s="402">
        <f>SUM(N82:N90)</f>
        <v>0.25</v>
      </c>
      <c r="O91" s="403"/>
      <c r="P91" s="406">
        <f>N91-J91</f>
        <v>0</v>
      </c>
      <c r="Q91" s="407">
        <f>IF((J91)=0,"",(P91/J91))</f>
        <v>0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0.0325</v>
      </c>
      <c r="K92" s="376"/>
      <c r="L92" s="511">
        <v>0.13</v>
      </c>
      <c r="M92" s="415"/>
      <c r="N92" s="414">
        <f>N91*L92</f>
        <v>0.0325</v>
      </c>
      <c r="O92" s="376"/>
      <c r="P92" s="381">
        <f>N92-J92</f>
        <v>0</v>
      </c>
      <c r="Q92" s="382">
        <f>IF((J92)=0,"",(P92/J92))</f>
        <v>0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0.28</v>
      </c>
      <c r="K93" s="403"/>
      <c r="L93" s="404"/>
      <c r="M93" s="405"/>
      <c r="N93" s="402">
        <f>ROUND(SUM(N91:N92),2)</f>
        <v>0.28</v>
      </c>
      <c r="O93" s="403"/>
      <c r="P93" s="406">
        <f>N93-J93</f>
        <v>0</v>
      </c>
      <c r="Q93" s="407">
        <f>IF((J93)=0,"",(P93/J93))</f>
        <v>0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Streetlighting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15" ht="12.75">
      <c r="B106" s="363" t="s">
        <v>53</v>
      </c>
      <c r="F106" s="367" t="s">
        <v>66</v>
      </c>
      <c r="G106" s="367"/>
      <c r="H106" s="516"/>
      <c r="I106" s="367" t="s">
        <v>332</v>
      </c>
      <c r="J106" s="516"/>
      <c r="L106" s="367" t="s">
        <v>16</v>
      </c>
      <c r="M106" s="504"/>
      <c r="O106" s="367" t="s">
        <v>134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05">
        <f>+'2010 Existing Rates'!$B$14</f>
        <v>0.16</v>
      </c>
      <c r="I111" s="378">
        <f>+$M106</f>
        <v>0</v>
      </c>
      <c r="J111" s="379">
        <f aca="true" t="shared" si="17" ref="J111:J125">I111*H111</f>
        <v>0</v>
      </c>
      <c r="K111" s="376"/>
      <c r="L111" s="505">
        <f>+'Rate Schedule (Part 1)'!$E$58</f>
        <v>1.1372</v>
      </c>
      <c r="M111" s="380">
        <f>+$M106</f>
        <v>0</v>
      </c>
      <c r="N111" s="379">
        <f aca="true" t="shared" si="18" ref="N111:N125">M111*L111</f>
        <v>0</v>
      </c>
      <c r="O111" s="376"/>
      <c r="P111" s="381">
        <f aca="true" t="shared" si="19" ref="P111:P125">N111-J111</f>
        <v>0</v>
      </c>
      <c r="Q111" s="382">
        <f aca="true" t="shared" si="20" ref="Q111:Q137">IF((J111)=0,"",(P111/J111))</f>
      </c>
    </row>
    <row r="112" spans="4:17" ht="12.75">
      <c r="D112" s="376" t="s">
        <v>226</v>
      </c>
      <c r="E112" s="376"/>
      <c r="F112" s="514" t="s">
        <v>330</v>
      </c>
      <c r="G112" s="377"/>
      <c r="H112" s="505"/>
      <c r="I112" s="378">
        <v>1</v>
      </c>
      <c r="J112" s="379">
        <f t="shared" si="17"/>
        <v>0</v>
      </c>
      <c r="K112" s="376"/>
      <c r="L112" s="505"/>
      <c r="M112" s="380">
        <v>1</v>
      </c>
      <c r="N112" s="379">
        <f t="shared" si="18"/>
        <v>0</v>
      </c>
      <c r="O112" s="376"/>
      <c r="P112" s="381">
        <f t="shared" si="19"/>
        <v>0</v>
      </c>
      <c r="Q112" s="382">
        <f t="shared" si="20"/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7"/>
        <v>0</v>
      </c>
      <c r="K113" s="376"/>
      <c r="L113" s="505"/>
      <c r="M113" s="380">
        <v>1</v>
      </c>
      <c r="N113" s="379">
        <f t="shared" si="18"/>
        <v>0</v>
      </c>
      <c r="O113" s="376"/>
      <c r="P113" s="381">
        <f t="shared" si="19"/>
        <v>0</v>
      </c>
      <c r="Q113" s="382">
        <f t="shared" si="20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7"/>
        <v>0</v>
      </c>
      <c r="K114" s="376"/>
      <c r="L114" s="505"/>
      <c r="M114" s="380">
        <v>1</v>
      </c>
      <c r="N114" s="379">
        <f t="shared" si="18"/>
        <v>0</v>
      </c>
      <c r="O114" s="376"/>
      <c r="P114" s="381">
        <f t="shared" si="19"/>
        <v>0</v>
      </c>
      <c r="Q114" s="382">
        <f t="shared" si="20"/>
      </c>
    </row>
    <row r="115" spans="4:17" ht="12.75">
      <c r="D115" s="376" t="s">
        <v>85</v>
      </c>
      <c r="E115" s="376"/>
      <c r="F115" s="514" t="s">
        <v>22</v>
      </c>
      <c r="G115" s="377"/>
      <c r="H115" s="505">
        <f>+'2010 Existing Rates'!$D$64</f>
        <v>0.6995</v>
      </c>
      <c r="I115" s="378">
        <f>+J106</f>
        <v>0</v>
      </c>
      <c r="J115" s="379">
        <f t="shared" si="17"/>
        <v>0</v>
      </c>
      <c r="K115" s="376"/>
      <c r="L115" s="505">
        <f>+'Rate Schedule (Part 1)'!$E$59</f>
        <v>4.9716</v>
      </c>
      <c r="M115" s="380">
        <f>+J106</f>
        <v>0</v>
      </c>
      <c r="N115" s="379">
        <f t="shared" si="18"/>
        <v>0</v>
      </c>
      <c r="O115" s="376"/>
      <c r="P115" s="381">
        <f t="shared" si="19"/>
        <v>0</v>
      </c>
      <c r="Q115" s="382">
        <f t="shared" si="20"/>
      </c>
    </row>
    <row r="116" spans="4:17" ht="12.75">
      <c r="D116" s="376" t="s">
        <v>344</v>
      </c>
      <c r="E116" s="376"/>
      <c r="F116" s="514" t="s">
        <v>22</v>
      </c>
      <c r="G116" s="377"/>
      <c r="H116" s="505">
        <f>+'2010 Existing Rates'!$D$39</f>
        <v>0.0764</v>
      </c>
      <c r="I116" s="378">
        <f aca="true" t="shared" si="21" ref="I116:I121">I115</f>
        <v>0</v>
      </c>
      <c r="J116" s="379">
        <f t="shared" si="17"/>
        <v>0</v>
      </c>
      <c r="K116" s="376"/>
      <c r="L116" s="505">
        <f>+'Rate Schedule (Part 1)'!$E$60</f>
        <v>0.0552</v>
      </c>
      <c r="M116" s="380">
        <f aca="true" t="shared" si="22" ref="M116:M121">M115</f>
        <v>0</v>
      </c>
      <c r="N116" s="379">
        <f t="shared" si="18"/>
        <v>0</v>
      </c>
      <c r="O116" s="376"/>
      <c r="P116" s="381">
        <f t="shared" si="19"/>
        <v>0</v>
      </c>
      <c r="Q116" s="382">
        <f t="shared" si="20"/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1"/>
        <v>0</v>
      </c>
      <c r="J117" s="379">
        <f t="shared" si="17"/>
        <v>0</v>
      </c>
      <c r="K117" s="376"/>
      <c r="L117" s="505"/>
      <c r="M117" s="380">
        <f t="shared" si="22"/>
        <v>0</v>
      </c>
      <c r="N117" s="379">
        <f t="shared" si="18"/>
        <v>0</v>
      </c>
      <c r="O117" s="376"/>
      <c r="P117" s="381">
        <f t="shared" si="19"/>
        <v>0</v>
      </c>
      <c r="Q117" s="382">
        <f t="shared" si="20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1"/>
        <v>0</v>
      </c>
      <c r="J118" s="379">
        <f t="shared" si="17"/>
        <v>0</v>
      </c>
      <c r="K118" s="376"/>
      <c r="L118" s="505"/>
      <c r="M118" s="380">
        <f t="shared" si="22"/>
        <v>0</v>
      </c>
      <c r="N118" s="379">
        <f t="shared" si="18"/>
        <v>0</v>
      </c>
      <c r="O118" s="376"/>
      <c r="P118" s="381">
        <f t="shared" si="19"/>
        <v>0</v>
      </c>
      <c r="Q118" s="382">
        <f t="shared" si="20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1"/>
        <v>0</v>
      </c>
      <c r="J119" s="379">
        <f t="shared" si="17"/>
        <v>0</v>
      </c>
      <c r="K119" s="376"/>
      <c r="L119" s="505"/>
      <c r="M119" s="380">
        <f t="shared" si="22"/>
        <v>0</v>
      </c>
      <c r="N119" s="379">
        <f t="shared" si="18"/>
        <v>0</v>
      </c>
      <c r="O119" s="376"/>
      <c r="P119" s="381">
        <f t="shared" si="19"/>
        <v>0</v>
      </c>
      <c r="Q119" s="382">
        <f t="shared" si="20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1"/>
        <v>0</v>
      </c>
      <c r="J120" s="379">
        <f t="shared" si="17"/>
        <v>0</v>
      </c>
      <c r="K120" s="376"/>
      <c r="L120" s="505"/>
      <c r="M120" s="380">
        <f t="shared" si="22"/>
        <v>0</v>
      </c>
      <c r="N120" s="379">
        <f t="shared" si="18"/>
        <v>0</v>
      </c>
      <c r="O120" s="376"/>
      <c r="P120" s="381">
        <f t="shared" si="19"/>
        <v>0</v>
      </c>
      <c r="Q120" s="382">
        <f t="shared" si="20"/>
      </c>
    </row>
    <row r="121" spans="4:17" ht="25.5">
      <c r="D121" s="383" t="s">
        <v>349</v>
      </c>
      <c r="E121" s="376"/>
      <c r="F121" s="514" t="s">
        <v>22</v>
      </c>
      <c r="G121" s="377"/>
      <c r="H121" s="505">
        <f>+'2010 Existing Rates'!$D$27</f>
        <v>-1.1241</v>
      </c>
      <c r="I121" s="378">
        <f t="shared" si="21"/>
        <v>0</v>
      </c>
      <c r="J121" s="379">
        <f t="shared" si="17"/>
        <v>0</v>
      </c>
      <c r="K121" s="376"/>
      <c r="L121" s="505">
        <f>+'Rate Schedule (Part 1)'!$E$62</f>
        <v>-0.3347942462419059</v>
      </c>
      <c r="M121" s="380">
        <f t="shared" si="22"/>
        <v>0</v>
      </c>
      <c r="N121" s="379">
        <f t="shared" si="18"/>
        <v>0</v>
      </c>
      <c r="O121" s="376"/>
      <c r="P121" s="381">
        <f t="shared" si="19"/>
        <v>0</v>
      </c>
      <c r="Q121" s="382">
        <f t="shared" si="20"/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7"/>
        <v>0</v>
      </c>
      <c r="K122" s="376"/>
      <c r="L122" s="505"/>
      <c r="M122" s="510"/>
      <c r="N122" s="379">
        <f t="shared" si="18"/>
        <v>0</v>
      </c>
      <c r="O122" s="376"/>
      <c r="P122" s="381">
        <f t="shared" si="19"/>
        <v>0</v>
      </c>
      <c r="Q122" s="382">
        <f t="shared" si="20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7"/>
        <v>0</v>
      </c>
      <c r="K123" s="376"/>
      <c r="L123" s="505"/>
      <c r="M123" s="510"/>
      <c r="N123" s="379">
        <f t="shared" si="18"/>
        <v>0</v>
      </c>
      <c r="O123" s="376"/>
      <c r="P123" s="381">
        <f t="shared" si="19"/>
        <v>0</v>
      </c>
      <c r="Q123" s="382">
        <f t="shared" si="20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7"/>
        <v>0</v>
      </c>
      <c r="K124" s="376"/>
      <c r="L124" s="505"/>
      <c r="M124" s="510"/>
      <c r="N124" s="379">
        <f t="shared" si="18"/>
        <v>0</v>
      </c>
      <c r="O124" s="376"/>
      <c r="P124" s="381">
        <f t="shared" si="19"/>
        <v>0</v>
      </c>
      <c r="Q124" s="382">
        <f t="shared" si="20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7"/>
        <v>0</v>
      </c>
      <c r="K125" s="376"/>
      <c r="L125" s="505"/>
      <c r="M125" s="510"/>
      <c r="N125" s="379">
        <f t="shared" si="18"/>
        <v>0</v>
      </c>
      <c r="O125" s="376"/>
      <c r="P125" s="381">
        <f t="shared" si="19"/>
        <v>0</v>
      </c>
      <c r="Q125" s="382">
        <f t="shared" si="20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0</v>
      </c>
      <c r="L126" s="385"/>
      <c r="M126" s="388"/>
      <c r="N126" s="387">
        <f>SUM(N111:N125)</f>
        <v>0</v>
      </c>
      <c r="P126" s="389">
        <f>N126-J126</f>
        <v>0</v>
      </c>
      <c r="Q126" s="390">
        <f t="shared" si="20"/>
      </c>
    </row>
    <row r="127" spans="4:17" ht="12.75">
      <c r="D127" s="391" t="s">
        <v>351</v>
      </c>
      <c r="E127" s="391"/>
      <c r="F127" s="515" t="s">
        <v>22</v>
      </c>
      <c r="G127" s="392"/>
      <c r="H127" s="506">
        <v>1.6461</v>
      </c>
      <c r="I127" s="393">
        <f>+J106</f>
        <v>0</v>
      </c>
      <c r="J127" s="394">
        <f>I127*H127</f>
        <v>0</v>
      </c>
      <c r="K127" s="391"/>
      <c r="L127" s="506">
        <f>+'[7]E1.1 Adj Network to Fcst Whsl'!$S$27</f>
        <v>1.530068313472789</v>
      </c>
      <c r="M127" s="395">
        <f>+J106</f>
        <v>0</v>
      </c>
      <c r="N127" s="394">
        <f>M127*L127</f>
        <v>0</v>
      </c>
      <c r="O127" s="391"/>
      <c r="P127" s="396">
        <f aca="true" t="shared" si="23" ref="P127:P137">N127-J127</f>
        <v>0</v>
      </c>
      <c r="Q127" s="397">
        <f t="shared" si="20"/>
      </c>
    </row>
    <row r="128" spans="4:17" ht="26.25" thickBot="1">
      <c r="D128" s="398" t="s">
        <v>352</v>
      </c>
      <c r="E128" s="391"/>
      <c r="F128" s="515" t="s">
        <v>22</v>
      </c>
      <c r="G128" s="392"/>
      <c r="H128" s="506">
        <v>1.3038</v>
      </c>
      <c r="I128" s="393">
        <f>I127</f>
        <v>0</v>
      </c>
      <c r="J128" s="394">
        <f>I128*H128</f>
        <v>0</v>
      </c>
      <c r="K128" s="391"/>
      <c r="L128" s="506">
        <f>+'[7]E1.2 Adj Conn to Fcst Whsl'!$S$27</f>
        <v>1.2874591212645676</v>
      </c>
      <c r="M128" s="395">
        <f>M127</f>
        <v>0</v>
      </c>
      <c r="N128" s="394">
        <f>M128*L128</f>
        <v>0</v>
      </c>
      <c r="O128" s="391"/>
      <c r="P128" s="396">
        <f t="shared" si="23"/>
        <v>0</v>
      </c>
      <c r="Q128" s="397">
        <f t="shared" si="20"/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0</v>
      </c>
      <c r="K129" s="403"/>
      <c r="L129" s="404"/>
      <c r="M129" s="405"/>
      <c r="N129" s="402">
        <f>SUM(N126:N128)</f>
        <v>0</v>
      </c>
      <c r="O129" s="403"/>
      <c r="P129" s="406">
        <f t="shared" si="23"/>
        <v>0</v>
      </c>
      <c r="Q129" s="407">
        <f t="shared" si="20"/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+$H106*(1+$H142)</f>
        <v>0</v>
      </c>
      <c r="J130" s="379">
        <f aca="true" t="shared" si="24" ref="J130:J137">I130*H130</f>
        <v>0</v>
      </c>
      <c r="K130" s="376"/>
      <c r="L130" s="505">
        <v>0.0052</v>
      </c>
      <c r="M130" s="380">
        <f>+M135</f>
        <v>0</v>
      </c>
      <c r="N130" s="379">
        <f aca="true" t="shared" si="25" ref="N130:N137">M130*L130</f>
        <v>0</v>
      </c>
      <c r="O130" s="376"/>
      <c r="P130" s="381">
        <f t="shared" si="23"/>
        <v>0</v>
      </c>
      <c r="Q130" s="382">
        <f t="shared" si="20"/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+I130</f>
        <v>0</v>
      </c>
      <c r="J131" s="379">
        <f t="shared" si="24"/>
        <v>0</v>
      </c>
      <c r="K131" s="376"/>
      <c r="L131" s="505">
        <v>0.0013</v>
      </c>
      <c r="M131" s="380">
        <f>+M130</f>
        <v>0</v>
      </c>
      <c r="N131" s="379">
        <f t="shared" si="25"/>
        <v>0</v>
      </c>
      <c r="O131" s="376"/>
      <c r="P131" s="381">
        <f t="shared" si="23"/>
        <v>0</v>
      </c>
      <c r="Q131" s="382">
        <f t="shared" si="20"/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+I130</f>
        <v>0</v>
      </c>
      <c r="J132" s="379">
        <f t="shared" si="24"/>
        <v>0</v>
      </c>
      <c r="K132" s="376"/>
      <c r="L132" s="508">
        <v>0.000373</v>
      </c>
      <c r="M132" s="380">
        <f>+M130</f>
        <v>0</v>
      </c>
      <c r="N132" s="379">
        <f t="shared" si="25"/>
        <v>0</v>
      </c>
      <c r="O132" s="376"/>
      <c r="P132" s="381">
        <f t="shared" si="23"/>
        <v>0</v>
      </c>
      <c r="Q132" s="382">
        <f t="shared" si="20"/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4"/>
        <v>0.25</v>
      </c>
      <c r="K133" s="376"/>
      <c r="L133" s="505">
        <v>0.25</v>
      </c>
      <c r="M133" s="380">
        <v>1</v>
      </c>
      <c r="N133" s="379">
        <f t="shared" si="25"/>
        <v>0.25</v>
      </c>
      <c r="O133" s="376"/>
      <c r="P133" s="381">
        <f t="shared" si="23"/>
        <v>0</v>
      </c>
      <c r="Q133" s="382">
        <f t="shared" si="20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0</v>
      </c>
      <c r="J134" s="379">
        <f t="shared" si="24"/>
        <v>0</v>
      </c>
      <c r="K134" s="376"/>
      <c r="L134" s="505">
        <v>0.007</v>
      </c>
      <c r="M134" s="380">
        <f>+$H106</f>
        <v>0</v>
      </c>
      <c r="N134" s="379">
        <f t="shared" si="25"/>
        <v>0</v>
      </c>
      <c r="O134" s="376"/>
      <c r="P134" s="381">
        <f t="shared" si="23"/>
        <v>0</v>
      </c>
      <c r="Q134" s="382">
        <f t="shared" si="20"/>
      </c>
    </row>
    <row r="135" spans="4:17" ht="12.75">
      <c r="D135" s="376" t="s">
        <v>359</v>
      </c>
      <c r="E135" s="376"/>
      <c r="F135" s="514" t="s">
        <v>53</v>
      </c>
      <c r="G135" s="377"/>
      <c r="H135" s="505">
        <f>+'Other Electriciy Rates'!$J$16</f>
        <v>0.065</v>
      </c>
      <c r="I135" s="378">
        <f>+$H106*(1+$H142)</f>
        <v>0</v>
      </c>
      <c r="J135" s="379">
        <f t="shared" si="24"/>
        <v>0</v>
      </c>
      <c r="K135" s="376"/>
      <c r="L135" s="505">
        <f>+'Other Electriciy Rates'!J$31</f>
        <v>0.065</v>
      </c>
      <c r="M135" s="378">
        <f>+$H106*(1+$L142)</f>
        <v>0</v>
      </c>
      <c r="N135" s="379">
        <f t="shared" si="25"/>
        <v>0</v>
      </c>
      <c r="O135" s="376"/>
      <c r="P135" s="381">
        <f t="shared" si="23"/>
        <v>0</v>
      </c>
      <c r="Q135" s="382">
        <f t="shared" si="20"/>
      </c>
    </row>
    <row r="136" spans="4:17" ht="12.75">
      <c r="D136" s="502"/>
      <c r="E136" s="376"/>
      <c r="F136" s="514"/>
      <c r="G136" s="377"/>
      <c r="H136" s="505"/>
      <c r="I136" s="509"/>
      <c r="J136" s="379">
        <f t="shared" si="24"/>
        <v>0</v>
      </c>
      <c r="K136" s="376"/>
      <c r="L136" s="505"/>
      <c r="M136" s="509"/>
      <c r="N136" s="379">
        <f t="shared" si="25"/>
        <v>0</v>
      </c>
      <c r="O136" s="376"/>
      <c r="P136" s="381">
        <f t="shared" si="23"/>
        <v>0</v>
      </c>
      <c r="Q136" s="382">
        <f t="shared" si="20"/>
      </c>
    </row>
    <row r="137" spans="4:17" ht="13.5" thickBot="1">
      <c r="D137" s="501"/>
      <c r="E137" s="376"/>
      <c r="F137" s="514"/>
      <c r="G137" s="377"/>
      <c r="H137" s="505"/>
      <c r="I137" s="509"/>
      <c r="J137" s="379">
        <f t="shared" si="24"/>
        <v>0</v>
      </c>
      <c r="K137" s="376"/>
      <c r="L137" s="505"/>
      <c r="M137" s="509"/>
      <c r="N137" s="379">
        <f t="shared" si="25"/>
        <v>0</v>
      </c>
      <c r="O137" s="376"/>
      <c r="P137" s="381">
        <f t="shared" si="23"/>
        <v>0</v>
      </c>
      <c r="Q137" s="382">
        <f t="shared" si="20"/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0.25</v>
      </c>
      <c r="K138" s="403"/>
      <c r="L138" s="411"/>
      <c r="M138" s="412"/>
      <c r="N138" s="402">
        <f>SUM(N129:N137)</f>
        <v>0.25</v>
      </c>
      <c r="O138" s="403"/>
      <c r="P138" s="406">
        <f>N138-J138</f>
        <v>0</v>
      </c>
      <c r="Q138" s="407">
        <f>IF((J138)=0,"",(P138/J138))</f>
        <v>0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0.0325</v>
      </c>
      <c r="K139" s="376"/>
      <c r="L139" s="511">
        <v>0.13</v>
      </c>
      <c r="M139" s="415"/>
      <c r="N139" s="414">
        <f>N138*L139</f>
        <v>0.0325</v>
      </c>
      <c r="O139" s="376"/>
      <c r="P139" s="381">
        <f>N139-J139</f>
        <v>0</v>
      </c>
      <c r="Q139" s="382">
        <f>IF((J139)=0,"",(P139/J139))</f>
        <v>0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0.28</v>
      </c>
      <c r="K140" s="403"/>
      <c r="L140" s="404"/>
      <c r="M140" s="405"/>
      <c r="N140" s="402">
        <f>ROUND(SUM(N138:N139),2)</f>
        <v>0.28</v>
      </c>
      <c r="O140" s="403"/>
      <c r="P140" s="406">
        <f>N140-J140</f>
        <v>0</v>
      </c>
      <c r="Q140" s="407">
        <f>IF((J140)=0,"",(P140/J140))</f>
        <v>0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Streetlighting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15" ht="12.75">
      <c r="B153" s="363" t="s">
        <v>53</v>
      </c>
      <c r="F153" s="367" t="s">
        <v>66</v>
      </c>
      <c r="G153" s="367"/>
      <c r="H153" s="516"/>
      <c r="I153" s="367" t="s">
        <v>332</v>
      </c>
      <c r="J153" s="516"/>
      <c r="L153" s="367" t="s">
        <v>16</v>
      </c>
      <c r="M153" s="504"/>
      <c r="O153" s="367" t="s">
        <v>134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05">
        <f>+'2010 Existing Rates'!$B$14</f>
        <v>0.16</v>
      </c>
      <c r="I158" s="378">
        <f>+$M153</f>
        <v>0</v>
      </c>
      <c r="J158" s="379">
        <f aca="true" t="shared" si="26" ref="J158:J172">I158*H158</f>
        <v>0</v>
      </c>
      <c r="K158" s="376"/>
      <c r="L158" s="505">
        <f>+'Rate Schedule (Part 1)'!$E$58</f>
        <v>1.1372</v>
      </c>
      <c r="M158" s="380">
        <f>+$M153</f>
        <v>0</v>
      </c>
      <c r="N158" s="379">
        <f aca="true" t="shared" si="27" ref="N158:N172">M158*L158</f>
        <v>0</v>
      </c>
      <c r="O158" s="376"/>
      <c r="P158" s="381">
        <f aca="true" t="shared" si="28" ref="P158:P172">N158-J158</f>
        <v>0</v>
      </c>
      <c r="Q158" s="382">
        <f aca="true" t="shared" si="29" ref="Q158:Q184">IF((J158)=0,"",(P158/J158))</f>
      </c>
    </row>
    <row r="159" spans="4:17" ht="12.75">
      <c r="D159" s="376" t="s">
        <v>226</v>
      </c>
      <c r="E159" s="376"/>
      <c r="F159" s="514" t="s">
        <v>330</v>
      </c>
      <c r="G159" s="377"/>
      <c r="H159" s="505"/>
      <c r="I159" s="378">
        <v>1</v>
      </c>
      <c r="J159" s="379">
        <f t="shared" si="26"/>
        <v>0</v>
      </c>
      <c r="K159" s="376"/>
      <c r="L159" s="505"/>
      <c r="M159" s="380">
        <v>1</v>
      </c>
      <c r="N159" s="379">
        <f t="shared" si="27"/>
        <v>0</v>
      </c>
      <c r="O159" s="376"/>
      <c r="P159" s="381">
        <f t="shared" si="28"/>
        <v>0</v>
      </c>
      <c r="Q159" s="382">
        <f t="shared" si="29"/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6"/>
        <v>0</v>
      </c>
      <c r="K160" s="376"/>
      <c r="L160" s="505"/>
      <c r="M160" s="380">
        <v>1</v>
      </c>
      <c r="N160" s="379">
        <f t="shared" si="27"/>
        <v>0</v>
      </c>
      <c r="O160" s="376"/>
      <c r="P160" s="381">
        <f t="shared" si="28"/>
        <v>0</v>
      </c>
      <c r="Q160" s="382">
        <f t="shared" si="29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6"/>
        <v>0</v>
      </c>
      <c r="K161" s="376"/>
      <c r="L161" s="505"/>
      <c r="M161" s="380">
        <v>1</v>
      </c>
      <c r="N161" s="379">
        <f t="shared" si="27"/>
        <v>0</v>
      </c>
      <c r="O161" s="376"/>
      <c r="P161" s="381">
        <f t="shared" si="28"/>
        <v>0</v>
      </c>
      <c r="Q161" s="382">
        <f t="shared" si="29"/>
      </c>
    </row>
    <row r="162" spans="4:17" ht="12.75">
      <c r="D162" s="376" t="s">
        <v>85</v>
      </c>
      <c r="E162" s="376"/>
      <c r="F162" s="514" t="s">
        <v>22</v>
      </c>
      <c r="G162" s="377"/>
      <c r="H162" s="505">
        <f>+'2010 Existing Rates'!$D$64</f>
        <v>0.6995</v>
      </c>
      <c r="I162" s="378">
        <f>+J153</f>
        <v>0</v>
      </c>
      <c r="J162" s="379">
        <f t="shared" si="26"/>
        <v>0</v>
      </c>
      <c r="K162" s="376"/>
      <c r="L162" s="505">
        <f>+'Rate Schedule (Part 1)'!$E$59</f>
        <v>4.9716</v>
      </c>
      <c r="M162" s="380">
        <f>+J153</f>
        <v>0</v>
      </c>
      <c r="N162" s="379">
        <f t="shared" si="27"/>
        <v>0</v>
      </c>
      <c r="O162" s="376"/>
      <c r="P162" s="381">
        <f t="shared" si="28"/>
        <v>0</v>
      </c>
      <c r="Q162" s="382">
        <f t="shared" si="29"/>
      </c>
    </row>
    <row r="163" spans="4:17" ht="12.75">
      <c r="D163" s="376" t="s">
        <v>344</v>
      </c>
      <c r="E163" s="376"/>
      <c r="F163" s="514" t="s">
        <v>22</v>
      </c>
      <c r="G163" s="377"/>
      <c r="H163" s="505">
        <f>+'2010 Existing Rates'!$D$39</f>
        <v>0.0764</v>
      </c>
      <c r="I163" s="378">
        <f aca="true" t="shared" si="30" ref="I163:I168">I162</f>
        <v>0</v>
      </c>
      <c r="J163" s="379">
        <f t="shared" si="26"/>
        <v>0</v>
      </c>
      <c r="K163" s="376"/>
      <c r="L163" s="505">
        <f>+'Rate Schedule (Part 1)'!$E$60</f>
        <v>0.0552</v>
      </c>
      <c r="M163" s="380">
        <f aca="true" t="shared" si="31" ref="M163:M168">M162</f>
        <v>0</v>
      </c>
      <c r="N163" s="379">
        <f t="shared" si="27"/>
        <v>0</v>
      </c>
      <c r="O163" s="376"/>
      <c r="P163" s="381">
        <f t="shared" si="28"/>
        <v>0</v>
      </c>
      <c r="Q163" s="382">
        <f t="shared" si="29"/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30"/>
        <v>0</v>
      </c>
      <c r="J164" s="379">
        <f t="shared" si="26"/>
        <v>0</v>
      </c>
      <c r="K164" s="376"/>
      <c r="L164" s="505"/>
      <c r="M164" s="380">
        <f t="shared" si="31"/>
        <v>0</v>
      </c>
      <c r="N164" s="379">
        <f t="shared" si="27"/>
        <v>0</v>
      </c>
      <c r="O164" s="376"/>
      <c r="P164" s="381">
        <f t="shared" si="28"/>
        <v>0</v>
      </c>
      <c r="Q164" s="382">
        <f t="shared" si="29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30"/>
        <v>0</v>
      </c>
      <c r="J165" s="379">
        <f t="shared" si="26"/>
        <v>0</v>
      </c>
      <c r="K165" s="376"/>
      <c r="L165" s="505"/>
      <c r="M165" s="380">
        <f t="shared" si="31"/>
        <v>0</v>
      </c>
      <c r="N165" s="379">
        <f t="shared" si="27"/>
        <v>0</v>
      </c>
      <c r="O165" s="376"/>
      <c r="P165" s="381">
        <f t="shared" si="28"/>
        <v>0</v>
      </c>
      <c r="Q165" s="382">
        <f t="shared" si="29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30"/>
        <v>0</v>
      </c>
      <c r="J166" s="379">
        <f t="shared" si="26"/>
        <v>0</v>
      </c>
      <c r="K166" s="376"/>
      <c r="L166" s="505"/>
      <c r="M166" s="380">
        <f t="shared" si="31"/>
        <v>0</v>
      </c>
      <c r="N166" s="379">
        <f t="shared" si="27"/>
        <v>0</v>
      </c>
      <c r="O166" s="376"/>
      <c r="P166" s="381">
        <f t="shared" si="28"/>
        <v>0</v>
      </c>
      <c r="Q166" s="382">
        <f t="shared" si="29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30"/>
        <v>0</v>
      </c>
      <c r="J167" s="379">
        <f t="shared" si="26"/>
        <v>0</v>
      </c>
      <c r="K167" s="376"/>
      <c r="L167" s="505"/>
      <c r="M167" s="380">
        <f t="shared" si="31"/>
        <v>0</v>
      </c>
      <c r="N167" s="379">
        <f t="shared" si="27"/>
        <v>0</v>
      </c>
      <c r="O167" s="376"/>
      <c r="P167" s="381">
        <f t="shared" si="28"/>
        <v>0</v>
      </c>
      <c r="Q167" s="382">
        <f t="shared" si="29"/>
      </c>
    </row>
    <row r="168" spans="4:17" ht="25.5">
      <c r="D168" s="383" t="s">
        <v>349</v>
      </c>
      <c r="E168" s="376"/>
      <c r="F168" s="514" t="s">
        <v>22</v>
      </c>
      <c r="G168" s="377"/>
      <c r="H168" s="505">
        <f>+'2010 Existing Rates'!$D$27</f>
        <v>-1.1241</v>
      </c>
      <c r="I168" s="378">
        <f t="shared" si="30"/>
        <v>0</v>
      </c>
      <c r="J168" s="379">
        <f t="shared" si="26"/>
        <v>0</v>
      </c>
      <c r="K168" s="376"/>
      <c r="L168" s="505">
        <f>+'Rate Schedule (Part 1)'!$E$62</f>
        <v>-0.3347942462419059</v>
      </c>
      <c r="M168" s="380">
        <f t="shared" si="31"/>
        <v>0</v>
      </c>
      <c r="N168" s="379">
        <f t="shared" si="27"/>
        <v>0</v>
      </c>
      <c r="O168" s="376"/>
      <c r="P168" s="381">
        <f t="shared" si="28"/>
        <v>0</v>
      </c>
      <c r="Q168" s="382">
        <f t="shared" si="29"/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6"/>
        <v>0</v>
      </c>
      <c r="K169" s="376"/>
      <c r="L169" s="505"/>
      <c r="M169" s="510"/>
      <c r="N169" s="379">
        <f t="shared" si="27"/>
        <v>0</v>
      </c>
      <c r="O169" s="376"/>
      <c r="P169" s="381">
        <f t="shared" si="28"/>
        <v>0</v>
      </c>
      <c r="Q169" s="382">
        <f t="shared" si="29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6"/>
        <v>0</v>
      </c>
      <c r="K170" s="376"/>
      <c r="L170" s="505"/>
      <c r="M170" s="510"/>
      <c r="N170" s="379">
        <f t="shared" si="27"/>
        <v>0</v>
      </c>
      <c r="O170" s="376"/>
      <c r="P170" s="381">
        <f t="shared" si="28"/>
        <v>0</v>
      </c>
      <c r="Q170" s="382">
        <f t="shared" si="29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6"/>
        <v>0</v>
      </c>
      <c r="K171" s="376"/>
      <c r="L171" s="505"/>
      <c r="M171" s="510"/>
      <c r="N171" s="379">
        <f t="shared" si="27"/>
        <v>0</v>
      </c>
      <c r="O171" s="376"/>
      <c r="P171" s="381">
        <f t="shared" si="28"/>
        <v>0</v>
      </c>
      <c r="Q171" s="382">
        <f t="shared" si="29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6"/>
        <v>0</v>
      </c>
      <c r="K172" s="376"/>
      <c r="L172" s="505"/>
      <c r="M172" s="510"/>
      <c r="N172" s="379">
        <f t="shared" si="27"/>
        <v>0</v>
      </c>
      <c r="O172" s="376"/>
      <c r="P172" s="381">
        <f t="shared" si="28"/>
        <v>0</v>
      </c>
      <c r="Q172" s="382">
        <f t="shared" si="29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0</v>
      </c>
      <c r="L173" s="385"/>
      <c r="M173" s="388"/>
      <c r="N173" s="387">
        <f>SUM(N158:N172)</f>
        <v>0</v>
      </c>
      <c r="P173" s="389">
        <f>N173-J173</f>
        <v>0</v>
      </c>
      <c r="Q173" s="390">
        <f t="shared" si="29"/>
      </c>
    </row>
    <row r="174" spans="4:17" ht="12.75">
      <c r="D174" s="391" t="s">
        <v>351</v>
      </c>
      <c r="E174" s="391"/>
      <c r="F174" s="515" t="s">
        <v>22</v>
      </c>
      <c r="G174" s="392"/>
      <c r="H174" s="506">
        <v>1.6461</v>
      </c>
      <c r="I174" s="393">
        <f>+J153</f>
        <v>0</v>
      </c>
      <c r="J174" s="394">
        <f>I174*H174</f>
        <v>0</v>
      </c>
      <c r="K174" s="391"/>
      <c r="L174" s="506">
        <f>+'[7]E1.1 Adj Network to Fcst Whsl'!$S$27</f>
        <v>1.530068313472789</v>
      </c>
      <c r="M174" s="395">
        <f>+J153</f>
        <v>0</v>
      </c>
      <c r="N174" s="394">
        <f>M174*L174</f>
        <v>0</v>
      </c>
      <c r="O174" s="391"/>
      <c r="P174" s="396">
        <f aca="true" t="shared" si="32" ref="P174:P184">N174-J174</f>
        <v>0</v>
      </c>
      <c r="Q174" s="397">
        <f t="shared" si="29"/>
      </c>
    </row>
    <row r="175" spans="4:17" ht="26.25" thickBot="1">
      <c r="D175" s="398" t="s">
        <v>352</v>
      </c>
      <c r="E175" s="391"/>
      <c r="F175" s="515" t="s">
        <v>22</v>
      </c>
      <c r="G175" s="392"/>
      <c r="H175" s="506">
        <v>1.3038</v>
      </c>
      <c r="I175" s="393">
        <f>I174</f>
        <v>0</v>
      </c>
      <c r="J175" s="394">
        <f>I175*H175</f>
        <v>0</v>
      </c>
      <c r="K175" s="391"/>
      <c r="L175" s="506">
        <f>+'[7]E1.2 Adj Conn to Fcst Whsl'!$S$27</f>
        <v>1.2874591212645676</v>
      </c>
      <c r="M175" s="395">
        <f>M174</f>
        <v>0</v>
      </c>
      <c r="N175" s="394">
        <f>M175*L175</f>
        <v>0</v>
      </c>
      <c r="O175" s="391"/>
      <c r="P175" s="396">
        <f t="shared" si="32"/>
        <v>0</v>
      </c>
      <c r="Q175" s="397">
        <f t="shared" si="29"/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0</v>
      </c>
      <c r="K176" s="403"/>
      <c r="L176" s="404"/>
      <c r="M176" s="405"/>
      <c r="N176" s="402">
        <f>SUM(N173:N175)</f>
        <v>0</v>
      </c>
      <c r="O176" s="403"/>
      <c r="P176" s="406">
        <f t="shared" si="32"/>
        <v>0</v>
      </c>
      <c r="Q176" s="407">
        <f t="shared" si="29"/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+$H153*(1+$H189)</f>
        <v>0</v>
      </c>
      <c r="J177" s="379">
        <f aca="true" t="shared" si="33" ref="J177:J184">I177*H177</f>
        <v>0</v>
      </c>
      <c r="K177" s="376"/>
      <c r="L177" s="505">
        <v>0.0052</v>
      </c>
      <c r="M177" s="380">
        <f>+M182</f>
        <v>0</v>
      </c>
      <c r="N177" s="379">
        <f aca="true" t="shared" si="34" ref="N177:N184">M177*L177</f>
        <v>0</v>
      </c>
      <c r="O177" s="376"/>
      <c r="P177" s="381">
        <f t="shared" si="32"/>
        <v>0</v>
      </c>
      <c r="Q177" s="382">
        <f t="shared" si="29"/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+I177</f>
        <v>0</v>
      </c>
      <c r="J178" s="379">
        <f t="shared" si="33"/>
        <v>0</v>
      </c>
      <c r="K178" s="376"/>
      <c r="L178" s="505">
        <v>0.0013</v>
      </c>
      <c r="M178" s="380">
        <f>+M177</f>
        <v>0</v>
      </c>
      <c r="N178" s="379">
        <f t="shared" si="34"/>
        <v>0</v>
      </c>
      <c r="O178" s="376"/>
      <c r="P178" s="381">
        <f t="shared" si="32"/>
        <v>0</v>
      </c>
      <c r="Q178" s="382">
        <f t="shared" si="29"/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+I177</f>
        <v>0</v>
      </c>
      <c r="J179" s="379">
        <f t="shared" si="33"/>
        <v>0</v>
      </c>
      <c r="K179" s="376"/>
      <c r="L179" s="508">
        <v>0.000373</v>
      </c>
      <c r="M179" s="380">
        <f>+M177</f>
        <v>0</v>
      </c>
      <c r="N179" s="379">
        <f t="shared" si="34"/>
        <v>0</v>
      </c>
      <c r="O179" s="376"/>
      <c r="P179" s="381">
        <f t="shared" si="32"/>
        <v>0</v>
      </c>
      <c r="Q179" s="382">
        <f t="shared" si="29"/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3"/>
        <v>0.25</v>
      </c>
      <c r="K180" s="376"/>
      <c r="L180" s="505">
        <v>0.25</v>
      </c>
      <c r="M180" s="380">
        <v>1</v>
      </c>
      <c r="N180" s="379">
        <f t="shared" si="34"/>
        <v>0.25</v>
      </c>
      <c r="O180" s="376"/>
      <c r="P180" s="381">
        <f t="shared" si="32"/>
        <v>0</v>
      </c>
      <c r="Q180" s="382">
        <f t="shared" si="29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0</v>
      </c>
      <c r="J181" s="379">
        <f t="shared" si="33"/>
        <v>0</v>
      </c>
      <c r="K181" s="376"/>
      <c r="L181" s="505">
        <v>0.007</v>
      </c>
      <c r="M181" s="380">
        <f>+$H153</f>
        <v>0</v>
      </c>
      <c r="N181" s="379">
        <f t="shared" si="34"/>
        <v>0</v>
      </c>
      <c r="O181" s="376"/>
      <c r="P181" s="381">
        <f t="shared" si="32"/>
        <v>0</v>
      </c>
      <c r="Q181" s="382">
        <f t="shared" si="29"/>
      </c>
    </row>
    <row r="182" spans="4:17" ht="12.75">
      <c r="D182" s="376" t="s">
        <v>359</v>
      </c>
      <c r="E182" s="376"/>
      <c r="F182" s="514" t="s">
        <v>53</v>
      </c>
      <c r="G182" s="377"/>
      <c r="H182" s="505">
        <f>+'Other Electriciy Rates'!$J$16</f>
        <v>0.065</v>
      </c>
      <c r="I182" s="378">
        <f>+$H153*(1+$H189)</f>
        <v>0</v>
      </c>
      <c r="J182" s="379">
        <f t="shared" si="33"/>
        <v>0</v>
      </c>
      <c r="K182" s="376"/>
      <c r="L182" s="505">
        <f>+'Other Electriciy Rates'!J$31</f>
        <v>0.065</v>
      </c>
      <c r="M182" s="378">
        <f>+$H153*(1+$L189)</f>
        <v>0</v>
      </c>
      <c r="N182" s="379">
        <f t="shared" si="34"/>
        <v>0</v>
      </c>
      <c r="O182" s="376"/>
      <c r="P182" s="381">
        <f t="shared" si="32"/>
        <v>0</v>
      </c>
      <c r="Q182" s="382">
        <f t="shared" si="29"/>
      </c>
    </row>
    <row r="183" spans="4:17" ht="12.75">
      <c r="D183" s="502"/>
      <c r="E183" s="376"/>
      <c r="F183" s="514"/>
      <c r="G183" s="377"/>
      <c r="H183" s="505"/>
      <c r="I183" s="509"/>
      <c r="J183" s="379">
        <f t="shared" si="33"/>
        <v>0</v>
      </c>
      <c r="K183" s="376"/>
      <c r="L183" s="505"/>
      <c r="M183" s="509"/>
      <c r="N183" s="379">
        <f t="shared" si="34"/>
        <v>0</v>
      </c>
      <c r="O183" s="376"/>
      <c r="P183" s="381">
        <f t="shared" si="32"/>
        <v>0</v>
      </c>
      <c r="Q183" s="382">
        <f t="shared" si="29"/>
      </c>
    </row>
    <row r="184" spans="4:17" ht="13.5" thickBot="1">
      <c r="D184" s="501"/>
      <c r="E184" s="376"/>
      <c r="F184" s="514"/>
      <c r="G184" s="377"/>
      <c r="H184" s="505"/>
      <c r="I184" s="509"/>
      <c r="J184" s="379">
        <f t="shared" si="33"/>
        <v>0</v>
      </c>
      <c r="K184" s="376"/>
      <c r="L184" s="505"/>
      <c r="M184" s="509"/>
      <c r="N184" s="379">
        <f t="shared" si="34"/>
        <v>0</v>
      </c>
      <c r="O184" s="376"/>
      <c r="P184" s="381">
        <f t="shared" si="32"/>
        <v>0</v>
      </c>
      <c r="Q184" s="382">
        <f t="shared" si="29"/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0.25</v>
      </c>
      <c r="K185" s="403"/>
      <c r="L185" s="411"/>
      <c r="M185" s="412"/>
      <c r="N185" s="402">
        <f>SUM(N176:N184)</f>
        <v>0.25</v>
      </c>
      <c r="O185" s="403"/>
      <c r="P185" s="406">
        <f>N185-J185</f>
        <v>0</v>
      </c>
      <c r="Q185" s="407">
        <f>IF((J185)=0,"",(P185/J185))</f>
        <v>0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0.0325</v>
      </c>
      <c r="K186" s="376"/>
      <c r="L186" s="511">
        <v>0.13</v>
      </c>
      <c r="M186" s="415"/>
      <c r="N186" s="414">
        <f>N185*L186</f>
        <v>0.0325</v>
      </c>
      <c r="O186" s="376"/>
      <c r="P186" s="381">
        <f>N186-J186</f>
        <v>0</v>
      </c>
      <c r="Q186" s="382">
        <f>IF((J186)=0,"",(P186/J186))</f>
        <v>0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0.28</v>
      </c>
      <c r="K187" s="403"/>
      <c r="L187" s="404"/>
      <c r="M187" s="405"/>
      <c r="N187" s="402">
        <f>ROUND(SUM(N185:N186),2)</f>
        <v>0.28</v>
      </c>
      <c r="O187" s="403"/>
      <c r="P187" s="406">
        <f>N187-J187</f>
        <v>0</v>
      </c>
      <c r="Q187" s="407">
        <f>IF((J187)=0,"",(P187/J187))</f>
        <v>0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Streetlighting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15" ht="12.75">
      <c r="B200" s="363" t="s">
        <v>53</v>
      </c>
      <c r="F200" s="367" t="s">
        <v>66</v>
      </c>
      <c r="G200" s="367"/>
      <c r="H200" s="516"/>
      <c r="I200" s="367" t="s">
        <v>332</v>
      </c>
      <c r="J200" s="516"/>
      <c r="L200" s="367" t="s">
        <v>16</v>
      </c>
      <c r="M200" s="504"/>
      <c r="O200" s="367" t="s">
        <v>134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05">
        <f>+'2010 Existing Rates'!$B$14</f>
        <v>0.16</v>
      </c>
      <c r="I205" s="378">
        <f>+$M200</f>
        <v>0</v>
      </c>
      <c r="J205" s="379">
        <f aca="true" t="shared" si="35" ref="J205:J219">I205*H205</f>
        <v>0</v>
      </c>
      <c r="K205" s="376"/>
      <c r="L205" s="505">
        <f>+'Rate Schedule (Part 1)'!$E$58</f>
        <v>1.1372</v>
      </c>
      <c r="M205" s="380">
        <f>+$M200</f>
        <v>0</v>
      </c>
      <c r="N205" s="379">
        <f aca="true" t="shared" si="36" ref="N205:N219">M205*L205</f>
        <v>0</v>
      </c>
      <c r="O205" s="376"/>
      <c r="P205" s="381">
        <f aca="true" t="shared" si="37" ref="P205:P219">N205-J205</f>
        <v>0</v>
      </c>
      <c r="Q205" s="382">
        <f aca="true" t="shared" si="38" ref="Q205:Q231">IF((J205)=0,"",(P205/J205))</f>
      </c>
    </row>
    <row r="206" spans="4:17" ht="12.75">
      <c r="D206" s="376" t="s">
        <v>226</v>
      </c>
      <c r="E206" s="376"/>
      <c r="F206" s="514" t="s">
        <v>330</v>
      </c>
      <c r="G206" s="377"/>
      <c r="H206" s="505"/>
      <c r="I206" s="378">
        <v>1</v>
      </c>
      <c r="J206" s="379">
        <f t="shared" si="35"/>
        <v>0</v>
      </c>
      <c r="K206" s="376"/>
      <c r="L206" s="505"/>
      <c r="M206" s="380">
        <v>1</v>
      </c>
      <c r="N206" s="379">
        <f t="shared" si="36"/>
        <v>0</v>
      </c>
      <c r="O206" s="376"/>
      <c r="P206" s="381">
        <f t="shared" si="37"/>
        <v>0</v>
      </c>
      <c r="Q206" s="382">
        <f t="shared" si="38"/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5"/>
        <v>0</v>
      </c>
      <c r="K207" s="376"/>
      <c r="L207" s="505"/>
      <c r="M207" s="380">
        <v>1</v>
      </c>
      <c r="N207" s="379">
        <f t="shared" si="36"/>
        <v>0</v>
      </c>
      <c r="O207" s="376"/>
      <c r="P207" s="381">
        <f t="shared" si="37"/>
        <v>0</v>
      </c>
      <c r="Q207" s="382">
        <f t="shared" si="38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5"/>
        <v>0</v>
      </c>
      <c r="K208" s="376"/>
      <c r="L208" s="505"/>
      <c r="M208" s="380">
        <v>1</v>
      </c>
      <c r="N208" s="379">
        <f t="shared" si="36"/>
        <v>0</v>
      </c>
      <c r="O208" s="376"/>
      <c r="P208" s="381">
        <f t="shared" si="37"/>
        <v>0</v>
      </c>
      <c r="Q208" s="382">
        <f t="shared" si="38"/>
      </c>
    </row>
    <row r="209" spans="4:17" ht="12.75">
      <c r="D209" s="376" t="s">
        <v>85</v>
      </c>
      <c r="E209" s="376"/>
      <c r="F209" s="514" t="s">
        <v>22</v>
      </c>
      <c r="G209" s="377"/>
      <c r="H209" s="505">
        <f>+'2010 Existing Rates'!$D$64</f>
        <v>0.6995</v>
      </c>
      <c r="I209" s="378">
        <f>+J200</f>
        <v>0</v>
      </c>
      <c r="J209" s="379">
        <f t="shared" si="35"/>
        <v>0</v>
      </c>
      <c r="K209" s="376"/>
      <c r="L209" s="505">
        <f>+'Rate Schedule (Part 1)'!$E$59</f>
        <v>4.9716</v>
      </c>
      <c r="M209" s="380">
        <f>+J200</f>
        <v>0</v>
      </c>
      <c r="N209" s="379">
        <f t="shared" si="36"/>
        <v>0</v>
      </c>
      <c r="O209" s="376"/>
      <c r="P209" s="381">
        <f t="shared" si="37"/>
        <v>0</v>
      </c>
      <c r="Q209" s="382">
        <f t="shared" si="38"/>
      </c>
    </row>
    <row r="210" spans="4:17" ht="12.75">
      <c r="D210" s="376" t="s">
        <v>344</v>
      </c>
      <c r="E210" s="376"/>
      <c r="F210" s="514" t="s">
        <v>22</v>
      </c>
      <c r="G210" s="377"/>
      <c r="H210" s="505">
        <f>+'2010 Existing Rates'!$D$39</f>
        <v>0.0764</v>
      </c>
      <c r="I210" s="378">
        <f aca="true" t="shared" si="39" ref="I210:I215">I209</f>
        <v>0</v>
      </c>
      <c r="J210" s="379">
        <f t="shared" si="35"/>
        <v>0</v>
      </c>
      <c r="K210" s="376"/>
      <c r="L210" s="505">
        <f>+'Rate Schedule (Part 1)'!$E$60</f>
        <v>0.0552</v>
      </c>
      <c r="M210" s="380">
        <f aca="true" t="shared" si="40" ref="M210:M215">M209</f>
        <v>0</v>
      </c>
      <c r="N210" s="379">
        <f t="shared" si="36"/>
        <v>0</v>
      </c>
      <c r="O210" s="376"/>
      <c r="P210" s="381">
        <f t="shared" si="37"/>
        <v>0</v>
      </c>
      <c r="Q210" s="382">
        <f t="shared" si="38"/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9"/>
        <v>0</v>
      </c>
      <c r="J211" s="379">
        <f t="shared" si="35"/>
        <v>0</v>
      </c>
      <c r="K211" s="376"/>
      <c r="L211" s="505"/>
      <c r="M211" s="380">
        <f t="shared" si="40"/>
        <v>0</v>
      </c>
      <c r="N211" s="379">
        <f t="shared" si="36"/>
        <v>0</v>
      </c>
      <c r="O211" s="376"/>
      <c r="P211" s="381">
        <f t="shared" si="37"/>
        <v>0</v>
      </c>
      <c r="Q211" s="382">
        <f t="shared" si="38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9"/>
        <v>0</v>
      </c>
      <c r="J212" s="379">
        <f t="shared" si="35"/>
        <v>0</v>
      </c>
      <c r="K212" s="376"/>
      <c r="L212" s="505"/>
      <c r="M212" s="380">
        <f t="shared" si="40"/>
        <v>0</v>
      </c>
      <c r="N212" s="379">
        <f t="shared" si="36"/>
        <v>0</v>
      </c>
      <c r="O212" s="376"/>
      <c r="P212" s="381">
        <f t="shared" si="37"/>
        <v>0</v>
      </c>
      <c r="Q212" s="382">
        <f t="shared" si="38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9"/>
        <v>0</v>
      </c>
      <c r="J213" s="379">
        <f t="shared" si="35"/>
        <v>0</v>
      </c>
      <c r="K213" s="376"/>
      <c r="L213" s="505"/>
      <c r="M213" s="380">
        <f t="shared" si="40"/>
        <v>0</v>
      </c>
      <c r="N213" s="379">
        <f t="shared" si="36"/>
        <v>0</v>
      </c>
      <c r="O213" s="376"/>
      <c r="P213" s="381">
        <f t="shared" si="37"/>
        <v>0</v>
      </c>
      <c r="Q213" s="382">
        <f t="shared" si="38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9"/>
        <v>0</v>
      </c>
      <c r="J214" s="379">
        <f t="shared" si="35"/>
        <v>0</v>
      </c>
      <c r="K214" s="376"/>
      <c r="L214" s="505"/>
      <c r="M214" s="380">
        <f t="shared" si="40"/>
        <v>0</v>
      </c>
      <c r="N214" s="379">
        <f t="shared" si="36"/>
        <v>0</v>
      </c>
      <c r="O214" s="376"/>
      <c r="P214" s="381">
        <f t="shared" si="37"/>
        <v>0</v>
      </c>
      <c r="Q214" s="382">
        <f t="shared" si="38"/>
      </c>
    </row>
    <row r="215" spans="4:17" ht="25.5">
      <c r="D215" s="383" t="s">
        <v>349</v>
      </c>
      <c r="E215" s="376"/>
      <c r="F215" s="514" t="s">
        <v>22</v>
      </c>
      <c r="G215" s="377"/>
      <c r="H215" s="505">
        <f>+'2010 Existing Rates'!$D$27</f>
        <v>-1.1241</v>
      </c>
      <c r="I215" s="378">
        <f t="shared" si="39"/>
        <v>0</v>
      </c>
      <c r="J215" s="379">
        <f t="shared" si="35"/>
        <v>0</v>
      </c>
      <c r="K215" s="376"/>
      <c r="L215" s="505">
        <f>+'Rate Schedule (Part 1)'!$E$62</f>
        <v>-0.3347942462419059</v>
      </c>
      <c r="M215" s="380">
        <f t="shared" si="40"/>
        <v>0</v>
      </c>
      <c r="N215" s="379">
        <f t="shared" si="36"/>
        <v>0</v>
      </c>
      <c r="O215" s="376"/>
      <c r="P215" s="381">
        <f t="shared" si="37"/>
        <v>0</v>
      </c>
      <c r="Q215" s="382">
        <f t="shared" si="38"/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5"/>
        <v>0</v>
      </c>
      <c r="K216" s="376"/>
      <c r="L216" s="505"/>
      <c r="M216" s="510"/>
      <c r="N216" s="379">
        <f t="shared" si="36"/>
        <v>0</v>
      </c>
      <c r="O216" s="376"/>
      <c r="P216" s="381">
        <f t="shared" si="37"/>
        <v>0</v>
      </c>
      <c r="Q216" s="382">
        <f t="shared" si="38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5"/>
        <v>0</v>
      </c>
      <c r="K217" s="376"/>
      <c r="L217" s="505"/>
      <c r="M217" s="510"/>
      <c r="N217" s="379">
        <f t="shared" si="36"/>
        <v>0</v>
      </c>
      <c r="O217" s="376"/>
      <c r="P217" s="381">
        <f t="shared" si="37"/>
        <v>0</v>
      </c>
      <c r="Q217" s="382">
        <f t="shared" si="38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5"/>
        <v>0</v>
      </c>
      <c r="K218" s="376"/>
      <c r="L218" s="505"/>
      <c r="M218" s="510"/>
      <c r="N218" s="379">
        <f t="shared" si="36"/>
        <v>0</v>
      </c>
      <c r="O218" s="376"/>
      <c r="P218" s="381">
        <f t="shared" si="37"/>
        <v>0</v>
      </c>
      <c r="Q218" s="382">
        <f t="shared" si="38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5"/>
        <v>0</v>
      </c>
      <c r="K219" s="376"/>
      <c r="L219" s="505"/>
      <c r="M219" s="510"/>
      <c r="N219" s="379">
        <f t="shared" si="36"/>
        <v>0</v>
      </c>
      <c r="O219" s="376"/>
      <c r="P219" s="381">
        <f t="shared" si="37"/>
        <v>0</v>
      </c>
      <c r="Q219" s="382">
        <f t="shared" si="38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0</v>
      </c>
      <c r="L220" s="385"/>
      <c r="M220" s="388"/>
      <c r="N220" s="387">
        <f>SUM(N205:N219)</f>
        <v>0</v>
      </c>
      <c r="P220" s="389">
        <f>N220-J220</f>
        <v>0</v>
      </c>
      <c r="Q220" s="390">
        <f t="shared" si="38"/>
      </c>
    </row>
    <row r="221" spans="4:17" ht="12.75">
      <c r="D221" s="391" t="s">
        <v>351</v>
      </c>
      <c r="E221" s="391"/>
      <c r="F221" s="515" t="s">
        <v>22</v>
      </c>
      <c r="G221" s="392"/>
      <c r="H221" s="506">
        <v>1.6461</v>
      </c>
      <c r="I221" s="393">
        <f>+J200</f>
        <v>0</v>
      </c>
      <c r="J221" s="394">
        <f>I221*H221</f>
        <v>0</v>
      </c>
      <c r="K221" s="391"/>
      <c r="L221" s="506">
        <f>+'[7]E1.1 Adj Network to Fcst Whsl'!$S$27</f>
        <v>1.530068313472789</v>
      </c>
      <c r="M221" s="395">
        <f>+J200</f>
        <v>0</v>
      </c>
      <c r="N221" s="394">
        <f>M221*L221</f>
        <v>0</v>
      </c>
      <c r="O221" s="391"/>
      <c r="P221" s="396">
        <f aca="true" t="shared" si="41" ref="P221:P231">N221-J221</f>
        <v>0</v>
      </c>
      <c r="Q221" s="397">
        <f t="shared" si="38"/>
      </c>
    </row>
    <row r="222" spans="4:17" ht="26.25" thickBot="1">
      <c r="D222" s="398" t="s">
        <v>352</v>
      </c>
      <c r="E222" s="391"/>
      <c r="F222" s="515" t="s">
        <v>22</v>
      </c>
      <c r="G222" s="392"/>
      <c r="H222" s="506">
        <v>1.3038</v>
      </c>
      <c r="I222" s="393">
        <f>I221</f>
        <v>0</v>
      </c>
      <c r="J222" s="394">
        <f>I222*H222</f>
        <v>0</v>
      </c>
      <c r="K222" s="391"/>
      <c r="L222" s="506">
        <f>+'[7]E1.2 Adj Conn to Fcst Whsl'!$S$27</f>
        <v>1.2874591212645676</v>
      </c>
      <c r="M222" s="395">
        <f>M221</f>
        <v>0</v>
      </c>
      <c r="N222" s="394">
        <f>M222*L222</f>
        <v>0</v>
      </c>
      <c r="O222" s="391"/>
      <c r="P222" s="396">
        <f t="shared" si="41"/>
        <v>0</v>
      </c>
      <c r="Q222" s="397">
        <f t="shared" si="38"/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0</v>
      </c>
      <c r="K223" s="403"/>
      <c r="L223" s="404"/>
      <c r="M223" s="405"/>
      <c r="N223" s="402">
        <f>SUM(N220:N222)</f>
        <v>0</v>
      </c>
      <c r="O223" s="403"/>
      <c r="P223" s="406">
        <f t="shared" si="41"/>
        <v>0</v>
      </c>
      <c r="Q223" s="407">
        <f t="shared" si="38"/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+$H200*(1+$H236)</f>
        <v>0</v>
      </c>
      <c r="J224" s="379">
        <f aca="true" t="shared" si="42" ref="J224:J231">I224*H224</f>
        <v>0</v>
      </c>
      <c r="K224" s="376"/>
      <c r="L224" s="505">
        <v>0.0052</v>
      </c>
      <c r="M224" s="380">
        <f>+M229</f>
        <v>0</v>
      </c>
      <c r="N224" s="379">
        <f aca="true" t="shared" si="43" ref="N224:N231">M224*L224</f>
        <v>0</v>
      </c>
      <c r="O224" s="376"/>
      <c r="P224" s="381">
        <f t="shared" si="41"/>
        <v>0</v>
      </c>
      <c r="Q224" s="382">
        <f t="shared" si="38"/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+I224</f>
        <v>0</v>
      </c>
      <c r="J225" s="379">
        <f t="shared" si="42"/>
        <v>0</v>
      </c>
      <c r="K225" s="376"/>
      <c r="L225" s="505">
        <v>0.0013</v>
      </c>
      <c r="M225" s="380">
        <f>+M224</f>
        <v>0</v>
      </c>
      <c r="N225" s="379">
        <f t="shared" si="43"/>
        <v>0</v>
      </c>
      <c r="O225" s="376"/>
      <c r="P225" s="381">
        <f t="shared" si="41"/>
        <v>0</v>
      </c>
      <c r="Q225" s="382">
        <f t="shared" si="38"/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+I224</f>
        <v>0</v>
      </c>
      <c r="J226" s="379">
        <f t="shared" si="42"/>
        <v>0</v>
      </c>
      <c r="K226" s="376"/>
      <c r="L226" s="508">
        <v>0.000373</v>
      </c>
      <c r="M226" s="380">
        <f>+M224</f>
        <v>0</v>
      </c>
      <c r="N226" s="379">
        <f t="shared" si="43"/>
        <v>0</v>
      </c>
      <c r="O226" s="376"/>
      <c r="P226" s="381">
        <f t="shared" si="41"/>
        <v>0</v>
      </c>
      <c r="Q226" s="382">
        <f t="shared" si="38"/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42"/>
        <v>0.25</v>
      </c>
      <c r="K227" s="376"/>
      <c r="L227" s="505">
        <v>0.25</v>
      </c>
      <c r="M227" s="380">
        <v>1</v>
      </c>
      <c r="N227" s="379">
        <f t="shared" si="43"/>
        <v>0.25</v>
      </c>
      <c r="O227" s="376"/>
      <c r="P227" s="381">
        <f t="shared" si="41"/>
        <v>0</v>
      </c>
      <c r="Q227" s="382">
        <f t="shared" si="38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0</v>
      </c>
      <c r="J228" s="379">
        <f t="shared" si="42"/>
        <v>0</v>
      </c>
      <c r="K228" s="376"/>
      <c r="L228" s="505">
        <v>0.007</v>
      </c>
      <c r="M228" s="380">
        <f>+$H200</f>
        <v>0</v>
      </c>
      <c r="N228" s="379">
        <f t="shared" si="43"/>
        <v>0</v>
      </c>
      <c r="O228" s="376"/>
      <c r="P228" s="381">
        <f t="shared" si="41"/>
        <v>0</v>
      </c>
      <c r="Q228" s="382">
        <f t="shared" si="38"/>
      </c>
    </row>
    <row r="229" spans="4:17" ht="12.75">
      <c r="D229" s="376" t="s">
        <v>359</v>
      </c>
      <c r="E229" s="376"/>
      <c r="F229" s="514" t="s">
        <v>53</v>
      </c>
      <c r="G229" s="377"/>
      <c r="H229" s="505">
        <f>+'Other Electriciy Rates'!$J$16</f>
        <v>0.065</v>
      </c>
      <c r="I229" s="378">
        <f>+$H200*(1+$H236)</f>
        <v>0</v>
      </c>
      <c r="J229" s="379">
        <f t="shared" si="42"/>
        <v>0</v>
      </c>
      <c r="K229" s="376"/>
      <c r="L229" s="505">
        <f>+'Other Electriciy Rates'!J$31</f>
        <v>0.065</v>
      </c>
      <c r="M229" s="378">
        <f>+$H200*(1+$L236)</f>
        <v>0</v>
      </c>
      <c r="N229" s="379">
        <f t="shared" si="43"/>
        <v>0</v>
      </c>
      <c r="O229" s="376"/>
      <c r="P229" s="381">
        <f t="shared" si="41"/>
        <v>0</v>
      </c>
      <c r="Q229" s="382">
        <f t="shared" si="38"/>
      </c>
    </row>
    <row r="230" spans="4:17" ht="12.75">
      <c r="D230" s="502"/>
      <c r="E230" s="376"/>
      <c r="F230" s="514"/>
      <c r="G230" s="377"/>
      <c r="H230" s="505"/>
      <c r="I230" s="509"/>
      <c r="J230" s="379">
        <f t="shared" si="42"/>
        <v>0</v>
      </c>
      <c r="K230" s="376"/>
      <c r="L230" s="505"/>
      <c r="M230" s="509"/>
      <c r="N230" s="379">
        <f t="shared" si="43"/>
        <v>0</v>
      </c>
      <c r="O230" s="376"/>
      <c r="P230" s="381">
        <f t="shared" si="41"/>
        <v>0</v>
      </c>
      <c r="Q230" s="382">
        <f t="shared" si="38"/>
      </c>
    </row>
    <row r="231" spans="4:17" ht="13.5" thickBot="1">
      <c r="D231" s="501"/>
      <c r="E231" s="376"/>
      <c r="F231" s="514"/>
      <c r="G231" s="377"/>
      <c r="H231" s="505"/>
      <c r="I231" s="509"/>
      <c r="J231" s="379">
        <f t="shared" si="42"/>
        <v>0</v>
      </c>
      <c r="K231" s="376"/>
      <c r="L231" s="505"/>
      <c r="M231" s="509"/>
      <c r="N231" s="379">
        <f t="shared" si="43"/>
        <v>0</v>
      </c>
      <c r="O231" s="376"/>
      <c r="P231" s="381">
        <f t="shared" si="41"/>
        <v>0</v>
      </c>
      <c r="Q231" s="382">
        <f t="shared" si="38"/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0.25</v>
      </c>
      <c r="K232" s="403"/>
      <c r="L232" s="411"/>
      <c r="M232" s="412"/>
      <c r="N232" s="402">
        <f>SUM(N223:N231)</f>
        <v>0.25</v>
      </c>
      <c r="O232" s="403"/>
      <c r="P232" s="406">
        <f>N232-J232</f>
        <v>0</v>
      </c>
      <c r="Q232" s="407">
        <f>IF((J232)=0,"",(P232/J232))</f>
        <v>0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0.0325</v>
      </c>
      <c r="K233" s="376"/>
      <c r="L233" s="511">
        <v>0.13</v>
      </c>
      <c r="M233" s="415"/>
      <c r="N233" s="414">
        <f>N232*L233</f>
        <v>0.0325</v>
      </c>
      <c r="O233" s="376"/>
      <c r="P233" s="381">
        <f>N233-J233</f>
        <v>0</v>
      </c>
      <c r="Q233" s="382">
        <f>IF((J233)=0,"",(P233/J233))</f>
        <v>0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0.28</v>
      </c>
      <c r="K234" s="403"/>
      <c r="L234" s="404"/>
      <c r="M234" s="405"/>
      <c r="N234" s="402">
        <f>ROUND(SUM(N232:N233),2)</f>
        <v>0.28</v>
      </c>
      <c r="O234" s="403"/>
      <c r="P234" s="406">
        <f>N234-J234</f>
        <v>0</v>
      </c>
      <c r="Q234" s="407">
        <f>IF((J234)=0,"",(P234/J234))</f>
        <v>0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Streetlighting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15" ht="12.75">
      <c r="B247" s="363" t="s">
        <v>53</v>
      </c>
      <c r="F247" s="367" t="s">
        <v>66</v>
      </c>
      <c r="G247" s="367"/>
      <c r="H247" s="516"/>
      <c r="I247" s="367" t="s">
        <v>332</v>
      </c>
      <c r="J247" s="516"/>
      <c r="L247" s="367" t="s">
        <v>16</v>
      </c>
      <c r="M247" s="504"/>
      <c r="O247" s="367" t="s">
        <v>134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05">
        <f>+'2010 Existing Rates'!$B$14</f>
        <v>0.16</v>
      </c>
      <c r="I252" s="378">
        <f>+$M247</f>
        <v>0</v>
      </c>
      <c r="J252" s="379">
        <f aca="true" t="shared" si="44" ref="J252:J266">I252*H252</f>
        <v>0</v>
      </c>
      <c r="K252" s="376"/>
      <c r="L252" s="505">
        <f>+'Rate Schedule (Part 1)'!$E$58</f>
        <v>1.1372</v>
      </c>
      <c r="M252" s="380">
        <f>+$M247</f>
        <v>0</v>
      </c>
      <c r="N252" s="379">
        <f aca="true" t="shared" si="45" ref="N252:N266">M252*L252</f>
        <v>0</v>
      </c>
      <c r="O252" s="376"/>
      <c r="P252" s="381">
        <f aca="true" t="shared" si="46" ref="P252:P266">N252-J252</f>
        <v>0</v>
      </c>
      <c r="Q252" s="382">
        <f aca="true" t="shared" si="47" ref="Q252:Q278">IF((J252)=0,"",(P252/J252))</f>
      </c>
    </row>
    <row r="253" spans="4:17" ht="12.75">
      <c r="D253" s="376" t="s">
        <v>226</v>
      </c>
      <c r="E253" s="376"/>
      <c r="F253" s="514" t="s">
        <v>330</v>
      </c>
      <c r="G253" s="377"/>
      <c r="H253" s="505"/>
      <c r="I253" s="378">
        <v>1</v>
      </c>
      <c r="J253" s="379">
        <f t="shared" si="44"/>
        <v>0</v>
      </c>
      <c r="K253" s="376"/>
      <c r="L253" s="505"/>
      <c r="M253" s="380">
        <v>1</v>
      </c>
      <c r="N253" s="379">
        <f t="shared" si="45"/>
        <v>0</v>
      </c>
      <c r="O253" s="376"/>
      <c r="P253" s="381">
        <f t="shared" si="46"/>
        <v>0</v>
      </c>
      <c r="Q253" s="382">
        <f t="shared" si="47"/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4"/>
        <v>0</v>
      </c>
      <c r="K254" s="376"/>
      <c r="L254" s="505"/>
      <c r="M254" s="380">
        <v>1</v>
      </c>
      <c r="N254" s="379">
        <f t="shared" si="45"/>
        <v>0</v>
      </c>
      <c r="O254" s="376"/>
      <c r="P254" s="381">
        <f t="shared" si="46"/>
        <v>0</v>
      </c>
      <c r="Q254" s="382">
        <f t="shared" si="47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4"/>
        <v>0</v>
      </c>
      <c r="K255" s="376"/>
      <c r="L255" s="505"/>
      <c r="M255" s="380">
        <v>1</v>
      </c>
      <c r="N255" s="379">
        <f t="shared" si="45"/>
        <v>0</v>
      </c>
      <c r="O255" s="376"/>
      <c r="P255" s="381">
        <f t="shared" si="46"/>
        <v>0</v>
      </c>
      <c r="Q255" s="382">
        <f t="shared" si="47"/>
      </c>
    </row>
    <row r="256" spans="4:17" ht="12.75">
      <c r="D256" s="376" t="s">
        <v>85</v>
      </c>
      <c r="E256" s="376"/>
      <c r="F256" s="514" t="s">
        <v>22</v>
      </c>
      <c r="G256" s="377"/>
      <c r="H256" s="505">
        <f>+'2010 Existing Rates'!$D$64</f>
        <v>0.6995</v>
      </c>
      <c r="I256" s="378">
        <f>+J247</f>
        <v>0</v>
      </c>
      <c r="J256" s="379">
        <f t="shared" si="44"/>
        <v>0</v>
      </c>
      <c r="K256" s="376"/>
      <c r="L256" s="505">
        <f>+'Rate Schedule (Part 1)'!$E$59</f>
        <v>4.9716</v>
      </c>
      <c r="M256" s="380">
        <f>+J247</f>
        <v>0</v>
      </c>
      <c r="N256" s="379">
        <f t="shared" si="45"/>
        <v>0</v>
      </c>
      <c r="O256" s="376"/>
      <c r="P256" s="381">
        <f t="shared" si="46"/>
        <v>0</v>
      </c>
      <c r="Q256" s="382">
        <f t="shared" si="47"/>
      </c>
    </row>
    <row r="257" spans="4:17" ht="12.75">
      <c r="D257" s="376" t="s">
        <v>344</v>
      </c>
      <c r="E257" s="376"/>
      <c r="F257" s="514" t="s">
        <v>22</v>
      </c>
      <c r="G257" s="377"/>
      <c r="H257" s="505">
        <f>+'2010 Existing Rates'!$D$39</f>
        <v>0.0764</v>
      </c>
      <c r="I257" s="378">
        <f aca="true" t="shared" si="48" ref="I257:I262">I256</f>
        <v>0</v>
      </c>
      <c r="J257" s="379">
        <f t="shared" si="44"/>
        <v>0</v>
      </c>
      <c r="K257" s="376"/>
      <c r="L257" s="505">
        <f>+'Rate Schedule (Part 1)'!$E$60</f>
        <v>0.0552</v>
      </c>
      <c r="M257" s="380">
        <f aca="true" t="shared" si="49" ref="M257:M262">M256</f>
        <v>0</v>
      </c>
      <c r="N257" s="379">
        <f t="shared" si="45"/>
        <v>0</v>
      </c>
      <c r="O257" s="376"/>
      <c r="P257" s="381">
        <f t="shared" si="46"/>
        <v>0</v>
      </c>
      <c r="Q257" s="382">
        <f t="shared" si="47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8"/>
        <v>0</v>
      </c>
      <c r="J258" s="379">
        <f t="shared" si="44"/>
        <v>0</v>
      </c>
      <c r="K258" s="376"/>
      <c r="L258" s="505"/>
      <c r="M258" s="380">
        <f t="shared" si="49"/>
        <v>0</v>
      </c>
      <c r="N258" s="379">
        <f t="shared" si="45"/>
        <v>0</v>
      </c>
      <c r="O258" s="376"/>
      <c r="P258" s="381">
        <f t="shared" si="46"/>
        <v>0</v>
      </c>
      <c r="Q258" s="382">
        <f t="shared" si="47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8"/>
        <v>0</v>
      </c>
      <c r="J259" s="379">
        <f t="shared" si="44"/>
        <v>0</v>
      </c>
      <c r="K259" s="376"/>
      <c r="L259" s="505"/>
      <c r="M259" s="380">
        <f t="shared" si="49"/>
        <v>0</v>
      </c>
      <c r="N259" s="379">
        <f t="shared" si="45"/>
        <v>0</v>
      </c>
      <c r="O259" s="376"/>
      <c r="P259" s="381">
        <f t="shared" si="46"/>
        <v>0</v>
      </c>
      <c r="Q259" s="382">
        <f t="shared" si="47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8"/>
        <v>0</v>
      </c>
      <c r="J260" s="379">
        <f t="shared" si="44"/>
        <v>0</v>
      </c>
      <c r="K260" s="376"/>
      <c r="L260" s="505"/>
      <c r="M260" s="380">
        <f t="shared" si="49"/>
        <v>0</v>
      </c>
      <c r="N260" s="379">
        <f t="shared" si="45"/>
        <v>0</v>
      </c>
      <c r="O260" s="376"/>
      <c r="P260" s="381">
        <f t="shared" si="46"/>
        <v>0</v>
      </c>
      <c r="Q260" s="382">
        <f t="shared" si="47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8"/>
        <v>0</v>
      </c>
      <c r="J261" s="379">
        <f t="shared" si="44"/>
        <v>0</v>
      </c>
      <c r="K261" s="376"/>
      <c r="L261" s="505"/>
      <c r="M261" s="380">
        <f t="shared" si="49"/>
        <v>0</v>
      </c>
      <c r="N261" s="379">
        <f t="shared" si="45"/>
        <v>0</v>
      </c>
      <c r="O261" s="376"/>
      <c r="P261" s="381">
        <f t="shared" si="46"/>
        <v>0</v>
      </c>
      <c r="Q261" s="382">
        <f t="shared" si="47"/>
      </c>
    </row>
    <row r="262" spans="4:17" ht="25.5">
      <c r="D262" s="383" t="s">
        <v>349</v>
      </c>
      <c r="E262" s="376"/>
      <c r="F262" s="514" t="s">
        <v>22</v>
      </c>
      <c r="G262" s="377"/>
      <c r="H262" s="505">
        <f>+'2010 Existing Rates'!$D$27</f>
        <v>-1.1241</v>
      </c>
      <c r="I262" s="378">
        <f t="shared" si="48"/>
        <v>0</v>
      </c>
      <c r="J262" s="379">
        <f t="shared" si="44"/>
        <v>0</v>
      </c>
      <c r="K262" s="376"/>
      <c r="L262" s="505">
        <f>+'Rate Schedule (Part 1)'!$E$62</f>
        <v>-0.3347942462419059</v>
      </c>
      <c r="M262" s="380">
        <f t="shared" si="49"/>
        <v>0</v>
      </c>
      <c r="N262" s="379">
        <f t="shared" si="45"/>
        <v>0</v>
      </c>
      <c r="O262" s="376"/>
      <c r="P262" s="381">
        <f t="shared" si="46"/>
        <v>0</v>
      </c>
      <c r="Q262" s="382">
        <f t="shared" si="47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4"/>
        <v>0</v>
      </c>
      <c r="K263" s="376"/>
      <c r="L263" s="505"/>
      <c r="M263" s="510"/>
      <c r="N263" s="379">
        <f t="shared" si="45"/>
        <v>0</v>
      </c>
      <c r="O263" s="376"/>
      <c r="P263" s="381">
        <f t="shared" si="46"/>
        <v>0</v>
      </c>
      <c r="Q263" s="382">
        <f t="shared" si="47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4"/>
        <v>0</v>
      </c>
      <c r="K264" s="376"/>
      <c r="L264" s="505"/>
      <c r="M264" s="510"/>
      <c r="N264" s="379">
        <f t="shared" si="45"/>
        <v>0</v>
      </c>
      <c r="O264" s="376"/>
      <c r="P264" s="381">
        <f t="shared" si="46"/>
        <v>0</v>
      </c>
      <c r="Q264" s="382">
        <f t="shared" si="47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4"/>
        <v>0</v>
      </c>
      <c r="K265" s="376"/>
      <c r="L265" s="505"/>
      <c r="M265" s="510"/>
      <c r="N265" s="379">
        <f t="shared" si="45"/>
        <v>0</v>
      </c>
      <c r="O265" s="376"/>
      <c r="P265" s="381">
        <f t="shared" si="46"/>
        <v>0</v>
      </c>
      <c r="Q265" s="382">
        <f t="shared" si="47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4"/>
        <v>0</v>
      </c>
      <c r="K266" s="376"/>
      <c r="L266" s="505"/>
      <c r="M266" s="510"/>
      <c r="N266" s="379">
        <f t="shared" si="45"/>
        <v>0</v>
      </c>
      <c r="O266" s="376"/>
      <c r="P266" s="381">
        <f t="shared" si="46"/>
        <v>0</v>
      </c>
      <c r="Q266" s="382">
        <f t="shared" si="47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0</v>
      </c>
      <c r="L267" s="385"/>
      <c r="M267" s="388"/>
      <c r="N267" s="387">
        <f>SUM(N252:N266)</f>
        <v>0</v>
      </c>
      <c r="P267" s="389">
        <f>N267-J267</f>
        <v>0</v>
      </c>
      <c r="Q267" s="390">
        <f t="shared" si="47"/>
      </c>
    </row>
    <row r="268" spans="4:17" ht="12.75">
      <c r="D268" s="391" t="s">
        <v>351</v>
      </c>
      <c r="E268" s="391"/>
      <c r="F268" s="515" t="s">
        <v>22</v>
      </c>
      <c r="G268" s="392"/>
      <c r="H268" s="506">
        <v>1.6461</v>
      </c>
      <c r="I268" s="393">
        <f>+J247</f>
        <v>0</v>
      </c>
      <c r="J268" s="394">
        <f>I268*H268</f>
        <v>0</v>
      </c>
      <c r="K268" s="391"/>
      <c r="L268" s="506">
        <f>+'[7]E1.1 Adj Network to Fcst Whsl'!$S$27</f>
        <v>1.530068313472789</v>
      </c>
      <c r="M268" s="395">
        <f>+J247</f>
        <v>0</v>
      </c>
      <c r="N268" s="394">
        <f>M268*L268</f>
        <v>0</v>
      </c>
      <c r="O268" s="391"/>
      <c r="P268" s="396">
        <f aca="true" t="shared" si="50" ref="P268:P278">N268-J268</f>
        <v>0</v>
      </c>
      <c r="Q268" s="397">
        <f t="shared" si="47"/>
      </c>
    </row>
    <row r="269" spans="4:17" ht="26.25" thickBot="1">
      <c r="D269" s="398" t="s">
        <v>352</v>
      </c>
      <c r="E269" s="391"/>
      <c r="F269" s="515" t="s">
        <v>22</v>
      </c>
      <c r="G269" s="392"/>
      <c r="H269" s="506">
        <v>1.3038</v>
      </c>
      <c r="I269" s="393">
        <f>I268</f>
        <v>0</v>
      </c>
      <c r="J269" s="394">
        <f>I269*H269</f>
        <v>0</v>
      </c>
      <c r="K269" s="391"/>
      <c r="L269" s="506">
        <f>+'[7]E1.2 Adj Conn to Fcst Whsl'!$S$27</f>
        <v>1.2874591212645676</v>
      </c>
      <c r="M269" s="395">
        <f>M268</f>
        <v>0</v>
      </c>
      <c r="N269" s="394">
        <f>M269*L269</f>
        <v>0</v>
      </c>
      <c r="O269" s="391"/>
      <c r="P269" s="396">
        <f t="shared" si="50"/>
        <v>0</v>
      </c>
      <c r="Q269" s="397">
        <f t="shared" si="47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0</v>
      </c>
      <c r="K270" s="403"/>
      <c r="L270" s="404"/>
      <c r="M270" s="405"/>
      <c r="N270" s="402">
        <f>SUM(N267:N269)</f>
        <v>0</v>
      </c>
      <c r="O270" s="403"/>
      <c r="P270" s="406">
        <f t="shared" si="50"/>
        <v>0</v>
      </c>
      <c r="Q270" s="407">
        <f t="shared" si="47"/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+$H247*(1+$H283)</f>
        <v>0</v>
      </c>
      <c r="J271" s="379">
        <f aca="true" t="shared" si="51" ref="J271:J278">I271*H271</f>
        <v>0</v>
      </c>
      <c r="K271" s="376"/>
      <c r="L271" s="505">
        <v>0.0052</v>
      </c>
      <c r="M271" s="380">
        <f>+M276</f>
        <v>0</v>
      </c>
      <c r="N271" s="379">
        <f aca="true" t="shared" si="52" ref="N271:N278">M271*L271</f>
        <v>0</v>
      </c>
      <c r="O271" s="376"/>
      <c r="P271" s="381">
        <f t="shared" si="50"/>
        <v>0</v>
      </c>
      <c r="Q271" s="382">
        <f t="shared" si="47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+I271</f>
        <v>0</v>
      </c>
      <c r="J272" s="379">
        <f t="shared" si="51"/>
        <v>0</v>
      </c>
      <c r="K272" s="376"/>
      <c r="L272" s="505">
        <v>0.0013</v>
      </c>
      <c r="M272" s="380">
        <f>+M271</f>
        <v>0</v>
      </c>
      <c r="N272" s="379">
        <f t="shared" si="52"/>
        <v>0</v>
      </c>
      <c r="O272" s="376"/>
      <c r="P272" s="381">
        <f t="shared" si="50"/>
        <v>0</v>
      </c>
      <c r="Q272" s="382">
        <f t="shared" si="47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+I271</f>
        <v>0</v>
      </c>
      <c r="J273" s="379">
        <f t="shared" si="51"/>
        <v>0</v>
      </c>
      <c r="K273" s="376"/>
      <c r="L273" s="508">
        <v>0.000373</v>
      </c>
      <c r="M273" s="380">
        <f>+M271</f>
        <v>0</v>
      </c>
      <c r="N273" s="379">
        <f t="shared" si="52"/>
        <v>0</v>
      </c>
      <c r="O273" s="376"/>
      <c r="P273" s="381">
        <f t="shared" si="50"/>
        <v>0</v>
      </c>
      <c r="Q273" s="382">
        <f t="shared" si="47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51"/>
        <v>0.25</v>
      </c>
      <c r="K274" s="376"/>
      <c r="L274" s="505">
        <v>0.25</v>
      </c>
      <c r="M274" s="380">
        <v>1</v>
      </c>
      <c r="N274" s="379">
        <f t="shared" si="52"/>
        <v>0.25</v>
      </c>
      <c r="O274" s="376"/>
      <c r="P274" s="381">
        <f t="shared" si="50"/>
        <v>0</v>
      </c>
      <c r="Q274" s="382">
        <f t="shared" si="47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51"/>
        <v>0</v>
      </c>
      <c r="K275" s="376"/>
      <c r="L275" s="505">
        <v>0.007</v>
      </c>
      <c r="M275" s="380">
        <f>+$H247</f>
        <v>0</v>
      </c>
      <c r="N275" s="379">
        <f t="shared" si="52"/>
        <v>0</v>
      </c>
      <c r="O275" s="376"/>
      <c r="P275" s="381">
        <f t="shared" si="50"/>
        <v>0</v>
      </c>
      <c r="Q275" s="382">
        <f t="shared" si="47"/>
      </c>
    </row>
    <row r="276" spans="4:17" ht="12.75">
      <c r="D276" s="376" t="s">
        <v>359</v>
      </c>
      <c r="E276" s="376"/>
      <c r="F276" s="514" t="s">
        <v>53</v>
      </c>
      <c r="G276" s="377"/>
      <c r="H276" s="505">
        <f>+'Other Electriciy Rates'!$J$16</f>
        <v>0.065</v>
      </c>
      <c r="I276" s="378">
        <f>+$H247*(1+$H283)</f>
        <v>0</v>
      </c>
      <c r="J276" s="379">
        <f t="shared" si="51"/>
        <v>0</v>
      </c>
      <c r="K276" s="376"/>
      <c r="L276" s="505">
        <f>+'Other Electriciy Rates'!J$31</f>
        <v>0.065</v>
      </c>
      <c r="M276" s="378">
        <f>+$H247*(1+$L283)</f>
        <v>0</v>
      </c>
      <c r="N276" s="379">
        <f t="shared" si="52"/>
        <v>0</v>
      </c>
      <c r="O276" s="376"/>
      <c r="P276" s="381">
        <f t="shared" si="50"/>
        <v>0</v>
      </c>
      <c r="Q276" s="382">
        <f t="shared" si="47"/>
      </c>
    </row>
    <row r="277" spans="4:17" ht="12.75">
      <c r="D277" s="502"/>
      <c r="E277" s="376"/>
      <c r="F277" s="514"/>
      <c r="G277" s="377"/>
      <c r="H277" s="505"/>
      <c r="I277" s="509"/>
      <c r="J277" s="379">
        <f t="shared" si="51"/>
        <v>0</v>
      </c>
      <c r="K277" s="376"/>
      <c r="L277" s="505"/>
      <c r="M277" s="509"/>
      <c r="N277" s="379">
        <f t="shared" si="52"/>
        <v>0</v>
      </c>
      <c r="O277" s="376"/>
      <c r="P277" s="381">
        <f t="shared" si="50"/>
        <v>0</v>
      </c>
      <c r="Q277" s="382">
        <f t="shared" si="47"/>
      </c>
    </row>
    <row r="278" spans="4:17" ht="13.5" thickBot="1">
      <c r="D278" s="501"/>
      <c r="E278" s="376"/>
      <c r="F278" s="514"/>
      <c r="G278" s="377"/>
      <c r="H278" s="505"/>
      <c r="I278" s="509"/>
      <c r="J278" s="379">
        <f t="shared" si="51"/>
        <v>0</v>
      </c>
      <c r="K278" s="376"/>
      <c r="L278" s="505"/>
      <c r="M278" s="509"/>
      <c r="N278" s="379">
        <f t="shared" si="52"/>
        <v>0</v>
      </c>
      <c r="O278" s="376"/>
      <c r="P278" s="381">
        <f t="shared" si="50"/>
        <v>0</v>
      </c>
      <c r="Q278" s="382">
        <f t="shared" si="47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0.25</v>
      </c>
      <c r="K279" s="403"/>
      <c r="L279" s="411"/>
      <c r="M279" s="412"/>
      <c r="N279" s="402">
        <f>SUM(N270:N278)</f>
        <v>0.25</v>
      </c>
      <c r="O279" s="403"/>
      <c r="P279" s="406">
        <f>N279-J279</f>
        <v>0</v>
      </c>
      <c r="Q279" s="407">
        <f>IF((J279)=0,"",(P279/J279))</f>
        <v>0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0.0325</v>
      </c>
      <c r="K280" s="376"/>
      <c r="L280" s="511">
        <v>0.13</v>
      </c>
      <c r="M280" s="415"/>
      <c r="N280" s="414">
        <f>N279*L280</f>
        <v>0.0325</v>
      </c>
      <c r="O280" s="376"/>
      <c r="P280" s="381">
        <f>N280-J280</f>
        <v>0</v>
      </c>
      <c r="Q280" s="382">
        <f>IF((J280)=0,"",(P280/J280))</f>
        <v>0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0.28</v>
      </c>
      <c r="K281" s="403"/>
      <c r="L281" s="404"/>
      <c r="M281" s="405"/>
      <c r="N281" s="402">
        <f>ROUND(SUM(N279:N280),2)</f>
        <v>0.28</v>
      </c>
      <c r="O281" s="403"/>
      <c r="P281" s="406">
        <f>N281-J281</f>
        <v>0</v>
      </c>
      <c r="Q281" s="407">
        <f>IF((J281)=0,"",(P281/J281))</f>
        <v>0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Streetlighting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15" ht="12.75">
      <c r="B294" s="363" t="s">
        <v>53</v>
      </c>
      <c r="F294" s="367" t="s">
        <v>66</v>
      </c>
      <c r="G294" s="367"/>
      <c r="H294" s="516"/>
      <c r="I294" s="367" t="s">
        <v>332</v>
      </c>
      <c r="J294" s="516"/>
      <c r="L294" s="367" t="s">
        <v>16</v>
      </c>
      <c r="M294" s="504"/>
      <c r="O294" s="367" t="s">
        <v>134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05">
        <f>+'2010 Existing Rates'!$B$14</f>
        <v>0.16</v>
      </c>
      <c r="I299" s="378">
        <f>+$M294</f>
        <v>0</v>
      </c>
      <c r="J299" s="379">
        <f aca="true" t="shared" si="53" ref="J299:J313">I299*H299</f>
        <v>0</v>
      </c>
      <c r="K299" s="376"/>
      <c r="L299" s="505">
        <f>+'Rate Schedule (Part 1)'!$E$58</f>
        <v>1.1372</v>
      </c>
      <c r="M299" s="380">
        <f>+$M294</f>
        <v>0</v>
      </c>
      <c r="N299" s="379">
        <f aca="true" t="shared" si="54" ref="N299:N313">M299*L299</f>
        <v>0</v>
      </c>
      <c r="O299" s="376"/>
      <c r="P299" s="381">
        <f aca="true" t="shared" si="55" ref="P299:P313">N299-J299</f>
        <v>0</v>
      </c>
      <c r="Q299" s="382">
        <f aca="true" t="shared" si="56" ref="Q299:Q325">IF((J299)=0,"",(P299/J299))</f>
      </c>
    </row>
    <row r="300" spans="4:17" ht="12.75">
      <c r="D300" s="376" t="s">
        <v>226</v>
      </c>
      <c r="E300" s="376"/>
      <c r="F300" s="514" t="s">
        <v>330</v>
      </c>
      <c r="G300" s="377"/>
      <c r="H300" s="505"/>
      <c r="I300" s="378">
        <v>1</v>
      </c>
      <c r="J300" s="379">
        <f t="shared" si="53"/>
        <v>0</v>
      </c>
      <c r="K300" s="376"/>
      <c r="L300" s="505"/>
      <c r="M300" s="380">
        <v>1</v>
      </c>
      <c r="N300" s="379">
        <f t="shared" si="54"/>
        <v>0</v>
      </c>
      <c r="O300" s="376"/>
      <c r="P300" s="381">
        <f t="shared" si="55"/>
        <v>0</v>
      </c>
      <c r="Q300" s="382">
        <f t="shared" si="56"/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53"/>
        <v>0</v>
      </c>
      <c r="K301" s="376"/>
      <c r="L301" s="505"/>
      <c r="M301" s="380">
        <v>1</v>
      </c>
      <c r="N301" s="379">
        <f t="shared" si="54"/>
        <v>0</v>
      </c>
      <c r="O301" s="376"/>
      <c r="P301" s="381">
        <f t="shared" si="55"/>
        <v>0</v>
      </c>
      <c r="Q301" s="382">
        <f t="shared" si="56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53"/>
        <v>0</v>
      </c>
      <c r="K302" s="376"/>
      <c r="L302" s="505"/>
      <c r="M302" s="380">
        <v>1</v>
      </c>
      <c r="N302" s="379">
        <f t="shared" si="54"/>
        <v>0</v>
      </c>
      <c r="O302" s="376"/>
      <c r="P302" s="381">
        <f t="shared" si="55"/>
        <v>0</v>
      </c>
      <c r="Q302" s="382">
        <f t="shared" si="56"/>
      </c>
    </row>
    <row r="303" spans="4:17" ht="12.75">
      <c r="D303" s="376" t="s">
        <v>85</v>
      </c>
      <c r="E303" s="376"/>
      <c r="F303" s="514" t="s">
        <v>22</v>
      </c>
      <c r="G303" s="377"/>
      <c r="H303" s="505">
        <f>+'2010 Existing Rates'!$D$64</f>
        <v>0.6995</v>
      </c>
      <c r="I303" s="378">
        <f>+J294</f>
        <v>0</v>
      </c>
      <c r="J303" s="379">
        <f t="shared" si="53"/>
        <v>0</v>
      </c>
      <c r="K303" s="376"/>
      <c r="L303" s="505">
        <f>+'Rate Schedule (Part 1)'!$E$59</f>
        <v>4.9716</v>
      </c>
      <c r="M303" s="380">
        <f>+J294</f>
        <v>0</v>
      </c>
      <c r="N303" s="379">
        <f t="shared" si="54"/>
        <v>0</v>
      </c>
      <c r="O303" s="376"/>
      <c r="P303" s="381">
        <f t="shared" si="55"/>
        <v>0</v>
      </c>
      <c r="Q303" s="382">
        <f t="shared" si="56"/>
      </c>
    </row>
    <row r="304" spans="4:17" ht="12.75">
      <c r="D304" s="376" t="s">
        <v>344</v>
      </c>
      <c r="E304" s="376"/>
      <c r="F304" s="514" t="s">
        <v>22</v>
      </c>
      <c r="G304" s="377"/>
      <c r="H304" s="505">
        <f>+'2010 Existing Rates'!$D$39</f>
        <v>0.0764</v>
      </c>
      <c r="I304" s="378">
        <f aca="true" t="shared" si="57" ref="I304:I309">I303</f>
        <v>0</v>
      </c>
      <c r="J304" s="379">
        <f t="shared" si="53"/>
        <v>0</v>
      </c>
      <c r="K304" s="376"/>
      <c r="L304" s="505">
        <f>+'Rate Schedule (Part 1)'!$E$60</f>
        <v>0.0552</v>
      </c>
      <c r="M304" s="380">
        <f aca="true" t="shared" si="58" ref="M304:M309">M303</f>
        <v>0</v>
      </c>
      <c r="N304" s="379">
        <f t="shared" si="54"/>
        <v>0</v>
      </c>
      <c r="O304" s="376"/>
      <c r="P304" s="381">
        <f t="shared" si="55"/>
        <v>0</v>
      </c>
      <c r="Q304" s="382">
        <f t="shared" si="56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7"/>
        <v>0</v>
      </c>
      <c r="J305" s="379">
        <f t="shared" si="53"/>
        <v>0</v>
      </c>
      <c r="K305" s="376"/>
      <c r="L305" s="505"/>
      <c r="M305" s="380">
        <f t="shared" si="58"/>
        <v>0</v>
      </c>
      <c r="N305" s="379">
        <f t="shared" si="54"/>
        <v>0</v>
      </c>
      <c r="O305" s="376"/>
      <c r="P305" s="381">
        <f t="shared" si="55"/>
        <v>0</v>
      </c>
      <c r="Q305" s="382">
        <f t="shared" si="56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7"/>
        <v>0</v>
      </c>
      <c r="J306" s="379">
        <f t="shared" si="53"/>
        <v>0</v>
      </c>
      <c r="K306" s="376"/>
      <c r="L306" s="505"/>
      <c r="M306" s="380">
        <f t="shared" si="58"/>
        <v>0</v>
      </c>
      <c r="N306" s="379">
        <f t="shared" si="54"/>
        <v>0</v>
      </c>
      <c r="O306" s="376"/>
      <c r="P306" s="381">
        <f t="shared" si="55"/>
        <v>0</v>
      </c>
      <c r="Q306" s="382">
        <f t="shared" si="56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7"/>
        <v>0</v>
      </c>
      <c r="J307" s="379">
        <f t="shared" si="53"/>
        <v>0</v>
      </c>
      <c r="K307" s="376"/>
      <c r="L307" s="505"/>
      <c r="M307" s="380">
        <f t="shared" si="58"/>
        <v>0</v>
      </c>
      <c r="N307" s="379">
        <f t="shared" si="54"/>
        <v>0</v>
      </c>
      <c r="O307" s="376"/>
      <c r="P307" s="381">
        <f t="shared" si="55"/>
        <v>0</v>
      </c>
      <c r="Q307" s="382">
        <f t="shared" si="56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7"/>
        <v>0</v>
      </c>
      <c r="J308" s="379">
        <f t="shared" si="53"/>
        <v>0</v>
      </c>
      <c r="K308" s="376"/>
      <c r="L308" s="505"/>
      <c r="M308" s="380">
        <f t="shared" si="58"/>
        <v>0</v>
      </c>
      <c r="N308" s="379">
        <f t="shared" si="54"/>
        <v>0</v>
      </c>
      <c r="O308" s="376"/>
      <c r="P308" s="381">
        <f t="shared" si="55"/>
        <v>0</v>
      </c>
      <c r="Q308" s="382">
        <f t="shared" si="56"/>
      </c>
    </row>
    <row r="309" spans="4:17" ht="25.5">
      <c r="D309" s="383" t="s">
        <v>349</v>
      </c>
      <c r="E309" s="376"/>
      <c r="F309" s="514" t="s">
        <v>22</v>
      </c>
      <c r="G309" s="377"/>
      <c r="H309" s="505">
        <f>+'2010 Existing Rates'!$D$27</f>
        <v>-1.1241</v>
      </c>
      <c r="I309" s="378">
        <f t="shared" si="57"/>
        <v>0</v>
      </c>
      <c r="J309" s="379">
        <f t="shared" si="53"/>
        <v>0</v>
      </c>
      <c r="K309" s="376"/>
      <c r="L309" s="505">
        <f>+'Rate Schedule (Part 1)'!$E$62</f>
        <v>-0.3347942462419059</v>
      </c>
      <c r="M309" s="380">
        <f t="shared" si="58"/>
        <v>0</v>
      </c>
      <c r="N309" s="379">
        <f t="shared" si="54"/>
        <v>0</v>
      </c>
      <c r="O309" s="376"/>
      <c r="P309" s="381">
        <f t="shared" si="55"/>
        <v>0</v>
      </c>
      <c r="Q309" s="382">
        <f t="shared" si="56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53"/>
        <v>0</v>
      </c>
      <c r="K310" s="376"/>
      <c r="L310" s="505"/>
      <c r="M310" s="510"/>
      <c r="N310" s="379">
        <f t="shared" si="54"/>
        <v>0</v>
      </c>
      <c r="O310" s="376"/>
      <c r="P310" s="381">
        <f t="shared" si="55"/>
        <v>0</v>
      </c>
      <c r="Q310" s="382">
        <f t="shared" si="56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53"/>
        <v>0</v>
      </c>
      <c r="K311" s="376"/>
      <c r="L311" s="505"/>
      <c r="M311" s="510"/>
      <c r="N311" s="379">
        <f t="shared" si="54"/>
        <v>0</v>
      </c>
      <c r="O311" s="376"/>
      <c r="P311" s="381">
        <f t="shared" si="55"/>
        <v>0</v>
      </c>
      <c r="Q311" s="382">
        <f t="shared" si="56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53"/>
        <v>0</v>
      </c>
      <c r="K312" s="376"/>
      <c r="L312" s="505"/>
      <c r="M312" s="510"/>
      <c r="N312" s="379">
        <f t="shared" si="54"/>
        <v>0</v>
      </c>
      <c r="O312" s="376"/>
      <c r="P312" s="381">
        <f t="shared" si="55"/>
        <v>0</v>
      </c>
      <c r="Q312" s="382">
        <f t="shared" si="56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53"/>
        <v>0</v>
      </c>
      <c r="K313" s="376"/>
      <c r="L313" s="505"/>
      <c r="M313" s="510"/>
      <c r="N313" s="379">
        <f t="shared" si="54"/>
        <v>0</v>
      </c>
      <c r="O313" s="376"/>
      <c r="P313" s="381">
        <f t="shared" si="55"/>
        <v>0</v>
      </c>
      <c r="Q313" s="382">
        <f t="shared" si="56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0</v>
      </c>
      <c r="L314" s="385"/>
      <c r="M314" s="388"/>
      <c r="N314" s="387">
        <f>SUM(N299:N313)</f>
        <v>0</v>
      </c>
      <c r="P314" s="389">
        <f>N314-J314</f>
        <v>0</v>
      </c>
      <c r="Q314" s="390">
        <f t="shared" si="56"/>
      </c>
    </row>
    <row r="315" spans="4:17" ht="12.75">
      <c r="D315" s="391" t="s">
        <v>351</v>
      </c>
      <c r="E315" s="391"/>
      <c r="F315" s="515" t="s">
        <v>22</v>
      </c>
      <c r="G315" s="392"/>
      <c r="H315" s="506">
        <v>1.6461</v>
      </c>
      <c r="I315" s="393">
        <f>+J294</f>
        <v>0</v>
      </c>
      <c r="J315" s="394">
        <f>I315*H315</f>
        <v>0</v>
      </c>
      <c r="K315" s="391"/>
      <c r="L315" s="506">
        <f>+'[7]E1.1 Adj Network to Fcst Whsl'!$S$27</f>
        <v>1.530068313472789</v>
      </c>
      <c r="M315" s="395">
        <f>+J294</f>
        <v>0</v>
      </c>
      <c r="N315" s="394">
        <f>M315*L315</f>
        <v>0</v>
      </c>
      <c r="O315" s="391"/>
      <c r="P315" s="396">
        <f aca="true" t="shared" si="59" ref="P315:P325">N315-J315</f>
        <v>0</v>
      </c>
      <c r="Q315" s="397">
        <f t="shared" si="56"/>
      </c>
    </row>
    <row r="316" spans="4:17" ht="26.25" thickBot="1">
      <c r="D316" s="398" t="s">
        <v>352</v>
      </c>
      <c r="E316" s="391"/>
      <c r="F316" s="515" t="s">
        <v>22</v>
      </c>
      <c r="G316" s="392"/>
      <c r="H316" s="506">
        <v>1.3038</v>
      </c>
      <c r="I316" s="393">
        <f>I315</f>
        <v>0</v>
      </c>
      <c r="J316" s="394">
        <f>I316*H316</f>
        <v>0</v>
      </c>
      <c r="K316" s="391"/>
      <c r="L316" s="506">
        <f>+'[7]E1.2 Adj Conn to Fcst Whsl'!$S$27</f>
        <v>1.2874591212645676</v>
      </c>
      <c r="M316" s="395">
        <f>M315</f>
        <v>0</v>
      </c>
      <c r="N316" s="394">
        <f>M316*L316</f>
        <v>0</v>
      </c>
      <c r="O316" s="391"/>
      <c r="P316" s="396">
        <f t="shared" si="59"/>
        <v>0</v>
      </c>
      <c r="Q316" s="397">
        <f t="shared" si="56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0</v>
      </c>
      <c r="K317" s="403"/>
      <c r="L317" s="404"/>
      <c r="M317" s="405"/>
      <c r="N317" s="402">
        <f>SUM(N314:N316)</f>
        <v>0</v>
      </c>
      <c r="O317" s="403"/>
      <c r="P317" s="406">
        <f t="shared" si="59"/>
        <v>0</v>
      </c>
      <c r="Q317" s="407">
        <f t="shared" si="56"/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+$H294*(1+$H330)</f>
        <v>0</v>
      </c>
      <c r="J318" s="379">
        <f aca="true" t="shared" si="60" ref="J318:J325">I318*H318</f>
        <v>0</v>
      </c>
      <c r="K318" s="376"/>
      <c r="L318" s="505">
        <v>0.0052</v>
      </c>
      <c r="M318" s="380">
        <f>+M323</f>
        <v>0</v>
      </c>
      <c r="N318" s="379">
        <f aca="true" t="shared" si="61" ref="N318:N325">M318*L318</f>
        <v>0</v>
      </c>
      <c r="O318" s="376"/>
      <c r="P318" s="381">
        <f t="shared" si="59"/>
        <v>0</v>
      </c>
      <c r="Q318" s="382">
        <f t="shared" si="56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+I318</f>
        <v>0</v>
      </c>
      <c r="J319" s="379">
        <f t="shared" si="60"/>
        <v>0</v>
      </c>
      <c r="K319" s="376"/>
      <c r="L319" s="505">
        <v>0.0013</v>
      </c>
      <c r="M319" s="380">
        <f>+M318</f>
        <v>0</v>
      </c>
      <c r="N319" s="379">
        <f t="shared" si="61"/>
        <v>0</v>
      </c>
      <c r="O319" s="376"/>
      <c r="P319" s="381">
        <f t="shared" si="59"/>
        <v>0</v>
      </c>
      <c r="Q319" s="382">
        <f t="shared" si="56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+I318</f>
        <v>0</v>
      </c>
      <c r="J320" s="379">
        <f t="shared" si="60"/>
        <v>0</v>
      </c>
      <c r="K320" s="376"/>
      <c r="L320" s="508">
        <v>0.000373</v>
      </c>
      <c r="M320" s="380">
        <f>+M318</f>
        <v>0</v>
      </c>
      <c r="N320" s="379">
        <f t="shared" si="61"/>
        <v>0</v>
      </c>
      <c r="O320" s="376"/>
      <c r="P320" s="381">
        <f t="shared" si="59"/>
        <v>0</v>
      </c>
      <c r="Q320" s="382">
        <f t="shared" si="56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60"/>
        <v>0.25</v>
      </c>
      <c r="K321" s="376"/>
      <c r="L321" s="505">
        <v>0.25</v>
      </c>
      <c r="M321" s="380">
        <v>1</v>
      </c>
      <c r="N321" s="379">
        <f t="shared" si="61"/>
        <v>0.25</v>
      </c>
      <c r="O321" s="376"/>
      <c r="P321" s="381">
        <f t="shared" si="59"/>
        <v>0</v>
      </c>
      <c r="Q321" s="382">
        <f t="shared" si="56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60"/>
        <v>0</v>
      </c>
      <c r="K322" s="376"/>
      <c r="L322" s="505">
        <v>0.007</v>
      </c>
      <c r="M322" s="380">
        <f>+$H294</f>
        <v>0</v>
      </c>
      <c r="N322" s="379">
        <f t="shared" si="61"/>
        <v>0</v>
      </c>
      <c r="O322" s="376"/>
      <c r="P322" s="381">
        <f t="shared" si="59"/>
        <v>0</v>
      </c>
      <c r="Q322" s="382">
        <f t="shared" si="56"/>
      </c>
    </row>
    <row r="323" spans="4:17" ht="12.75">
      <c r="D323" s="376" t="s">
        <v>359</v>
      </c>
      <c r="E323" s="376"/>
      <c r="F323" s="514" t="s">
        <v>53</v>
      </c>
      <c r="G323" s="377"/>
      <c r="H323" s="505">
        <f>+'Other Electriciy Rates'!$J$16</f>
        <v>0.065</v>
      </c>
      <c r="I323" s="378">
        <f>+$H294*(1+$H330)</f>
        <v>0</v>
      </c>
      <c r="J323" s="379">
        <f t="shared" si="60"/>
        <v>0</v>
      </c>
      <c r="K323" s="376"/>
      <c r="L323" s="505">
        <f>+'Other Electriciy Rates'!J$31</f>
        <v>0.065</v>
      </c>
      <c r="M323" s="378">
        <f>+$H294*(1+$L330)</f>
        <v>0</v>
      </c>
      <c r="N323" s="379">
        <f t="shared" si="61"/>
        <v>0</v>
      </c>
      <c r="O323" s="376"/>
      <c r="P323" s="381">
        <f t="shared" si="59"/>
        <v>0</v>
      </c>
      <c r="Q323" s="382">
        <f t="shared" si="56"/>
      </c>
    </row>
    <row r="324" spans="4:17" ht="12.75">
      <c r="D324" s="502"/>
      <c r="E324" s="376"/>
      <c r="F324" s="514"/>
      <c r="G324" s="377"/>
      <c r="H324" s="505"/>
      <c r="I324" s="509"/>
      <c r="J324" s="379">
        <f t="shared" si="60"/>
        <v>0</v>
      </c>
      <c r="K324" s="376"/>
      <c r="L324" s="505"/>
      <c r="M324" s="509"/>
      <c r="N324" s="379">
        <f t="shared" si="61"/>
        <v>0</v>
      </c>
      <c r="O324" s="376"/>
      <c r="P324" s="381">
        <f t="shared" si="59"/>
        <v>0</v>
      </c>
      <c r="Q324" s="382">
        <f t="shared" si="56"/>
      </c>
    </row>
    <row r="325" spans="4:17" ht="13.5" thickBot="1">
      <c r="D325" s="501"/>
      <c r="E325" s="376"/>
      <c r="F325" s="514"/>
      <c r="G325" s="377"/>
      <c r="H325" s="505"/>
      <c r="I325" s="509"/>
      <c r="J325" s="379">
        <f t="shared" si="60"/>
        <v>0</v>
      </c>
      <c r="K325" s="376"/>
      <c r="L325" s="505"/>
      <c r="M325" s="509"/>
      <c r="N325" s="379">
        <f t="shared" si="61"/>
        <v>0</v>
      </c>
      <c r="O325" s="376"/>
      <c r="P325" s="381">
        <f t="shared" si="59"/>
        <v>0</v>
      </c>
      <c r="Q325" s="382">
        <f t="shared" si="56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0.25</v>
      </c>
      <c r="K326" s="403"/>
      <c r="L326" s="411"/>
      <c r="M326" s="412"/>
      <c r="N326" s="402">
        <f>SUM(N317:N325)</f>
        <v>0.25</v>
      </c>
      <c r="O326" s="403"/>
      <c r="P326" s="406">
        <f>N326-J326</f>
        <v>0</v>
      </c>
      <c r="Q326" s="407">
        <f>IF((J326)=0,"",(P326/J326))</f>
        <v>0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0.0325</v>
      </c>
      <c r="K327" s="376"/>
      <c r="L327" s="511">
        <v>0.13</v>
      </c>
      <c r="M327" s="415"/>
      <c r="N327" s="414">
        <f>N326*L327</f>
        <v>0.0325</v>
      </c>
      <c r="O327" s="376"/>
      <c r="P327" s="381">
        <f>N327-J327</f>
        <v>0</v>
      </c>
      <c r="Q327" s="382">
        <f>IF((J327)=0,"",(P327/J327))</f>
        <v>0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0.28</v>
      </c>
      <c r="K328" s="403"/>
      <c r="L328" s="404"/>
      <c r="M328" s="405"/>
      <c r="N328" s="402">
        <f>ROUND(SUM(N326:N327),2)</f>
        <v>0.28</v>
      </c>
      <c r="O328" s="403"/>
      <c r="P328" s="406">
        <f>N328-J328</f>
        <v>0</v>
      </c>
      <c r="Q328" s="407">
        <f>IF((J328)=0,"",(P328/J328))</f>
        <v>0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G17:G31 G158:G172 G33:G34 G111:G125 G36:G43 G205:G219 G221:G222 G174:G175 G224:G231 G252:G266 G268:G269 G271:G278 G64:G78 G177:G184 G80:G81 G127:G128 G83:G90 G130:G137 G299:G313 G315:G316 G318:G325">
      <formula1>$B$10:$B$15</formula1>
    </dataValidation>
    <dataValidation type="list" allowBlank="1" showInputMessage="1" showErrorMessage="1" sqref="F17:F31 F158:F172 F33:F34 F111:F125 F36:F43 F205:F219 F221:F222 F174:F175 F224:F231 F252:F266 F268:F269 F271:F278 F64:F78 F177:F184 F80:F81 F127:F128 F83:F90 F130:F137 F299:F313 F315:F316 F318:F325">
      <formula1>$B$10:$B$13</formula1>
    </dataValidation>
  </dataValidation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2.28125" style="362" customWidth="1"/>
    <col min="9" max="9" width="8.57421875" style="362" customWidth="1"/>
    <col min="10" max="10" width="14.42187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5.140625" style="362" bestFit="1" customWidth="1"/>
    <col min="15" max="15" width="2.8515625" style="362" customWidth="1"/>
    <col min="16" max="16" width="14.421875" style="362" bestFit="1" customWidth="1"/>
    <col min="17" max="17" width="12.421875" style="362" bestFit="1" customWidth="1"/>
    <col min="18" max="18" width="3.8515625" style="362" customWidth="1"/>
    <col min="19" max="16384" width="9.140625" style="362" customWidth="1"/>
  </cols>
  <sheetData>
    <row r="1" spans="3:18" s="355" customFormat="1" ht="15" customHeight="1"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32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379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378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5" ht="12.75">
      <c r="B12" s="363" t="s">
        <v>53</v>
      </c>
      <c r="F12" s="367" t="s">
        <v>66</v>
      </c>
      <c r="G12" s="367"/>
      <c r="H12" s="516">
        <v>50</v>
      </c>
      <c r="I12" s="367" t="s">
        <v>332</v>
      </c>
      <c r="J12" s="516">
        <v>1</v>
      </c>
      <c r="L12" s="367" t="s">
        <v>16</v>
      </c>
      <c r="M12" s="561">
        <v>1</v>
      </c>
      <c r="O12" s="367" t="s">
        <v>134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05">
        <f>+'2010 Existing Rates'!$B$13</f>
        <v>0.4</v>
      </c>
      <c r="I17" s="378">
        <f>+M$12</f>
        <v>1</v>
      </c>
      <c r="J17" s="379">
        <f aca="true" t="shared" si="0" ref="J17:J31">I17*H17</f>
        <v>0.4</v>
      </c>
      <c r="K17" s="376"/>
      <c r="L17" s="505">
        <f>+'Rate Schedule (Part 1)'!$E$51</f>
        <v>1.4692</v>
      </c>
      <c r="M17" s="380">
        <f>+M$12</f>
        <v>1</v>
      </c>
      <c r="N17" s="379">
        <f aca="true" t="shared" si="1" ref="N17:N31">M17*L17</f>
        <v>1.4692</v>
      </c>
      <c r="O17" s="376"/>
      <c r="P17" s="381">
        <f aca="true" t="shared" si="2" ref="P17:P46">N17-J17</f>
        <v>1.0692</v>
      </c>
      <c r="Q17" s="382">
        <f aca="true" t="shared" si="3" ref="Q17:Q46">IF((J17)=0,"",(P17/J17))</f>
        <v>2.6729999999999996</v>
      </c>
    </row>
    <row r="18" spans="4:17" ht="12.75">
      <c r="D18" s="376" t="s">
        <v>226</v>
      </c>
      <c r="E18" s="376"/>
      <c r="F18" s="514" t="s">
        <v>330</v>
      </c>
      <c r="G18" s="377"/>
      <c r="H18" s="505"/>
      <c r="I18" s="378">
        <v>1</v>
      </c>
      <c r="J18" s="379">
        <f t="shared" si="0"/>
        <v>0</v>
      </c>
      <c r="K18" s="376"/>
      <c r="L18" s="505"/>
      <c r="M18" s="380">
        <v>1</v>
      </c>
      <c r="N18" s="379">
        <f t="shared" si="1"/>
        <v>0</v>
      </c>
      <c r="O18" s="376"/>
      <c r="P18" s="381">
        <f t="shared" si="2"/>
        <v>0</v>
      </c>
      <c r="Q18" s="382">
        <f t="shared" si="3"/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22</v>
      </c>
      <c r="G21" s="377"/>
      <c r="H21" s="505">
        <f>+'2010 Existing Rates'!$D$63</f>
        <v>3.0225</v>
      </c>
      <c r="I21" s="378">
        <f>+J12</f>
        <v>1</v>
      </c>
      <c r="J21" s="379">
        <f t="shared" si="0"/>
        <v>3.0225</v>
      </c>
      <c r="K21" s="376"/>
      <c r="L21" s="505">
        <f>+'Rate Schedule (Part 1)'!$E$52</f>
        <v>11.1018</v>
      </c>
      <c r="M21" s="380">
        <f>+J12</f>
        <v>1</v>
      </c>
      <c r="N21" s="379">
        <f t="shared" si="1"/>
        <v>11.1018</v>
      </c>
      <c r="O21" s="376"/>
      <c r="P21" s="381">
        <f t="shared" si="2"/>
        <v>8.0793</v>
      </c>
      <c r="Q21" s="382">
        <f t="shared" si="3"/>
        <v>2.6730521091811417</v>
      </c>
    </row>
    <row r="22" spans="4:17" ht="12.75">
      <c r="D22" s="376" t="s">
        <v>344</v>
      </c>
      <c r="E22" s="376"/>
      <c r="F22" s="514" t="s">
        <v>22</v>
      </c>
      <c r="G22" s="377"/>
      <c r="H22" s="505">
        <f>+'2010 Existing Rates'!$D$38</f>
        <v>0.0779</v>
      </c>
      <c r="I22" s="378">
        <f aca="true" t="shared" si="4" ref="I22:I27">I21</f>
        <v>1</v>
      </c>
      <c r="J22" s="379">
        <f t="shared" si="0"/>
        <v>0.0779</v>
      </c>
      <c r="K22" s="376"/>
      <c r="L22" s="505">
        <f>+'Rate Schedule (Part 1)'!$E$53</f>
        <v>0.0564</v>
      </c>
      <c r="M22" s="380">
        <f aca="true" t="shared" si="5" ref="M22:M27">M21</f>
        <v>1</v>
      </c>
      <c r="N22" s="379">
        <f t="shared" si="1"/>
        <v>0.0564</v>
      </c>
      <c r="O22" s="376"/>
      <c r="P22" s="381">
        <f t="shared" si="2"/>
        <v>-0.0215</v>
      </c>
      <c r="Q22" s="382">
        <f t="shared" si="3"/>
        <v>-0.27599486521181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1</v>
      </c>
      <c r="J23" s="379">
        <f t="shared" si="0"/>
        <v>0</v>
      </c>
      <c r="K23" s="376"/>
      <c r="L23" s="505"/>
      <c r="M23" s="380">
        <f t="shared" si="5"/>
        <v>1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1</v>
      </c>
      <c r="J24" s="379">
        <f t="shared" si="0"/>
        <v>0</v>
      </c>
      <c r="K24" s="376"/>
      <c r="L24" s="505"/>
      <c r="M24" s="380">
        <f t="shared" si="5"/>
        <v>1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1</v>
      </c>
      <c r="J25" s="379">
        <f t="shared" si="0"/>
        <v>0</v>
      </c>
      <c r="K25" s="376"/>
      <c r="L25" s="505"/>
      <c r="M25" s="380">
        <f t="shared" si="5"/>
        <v>1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1</v>
      </c>
      <c r="J26" s="379">
        <f t="shared" si="0"/>
        <v>0</v>
      </c>
      <c r="K26" s="376"/>
      <c r="L26" s="505"/>
      <c r="M26" s="380">
        <f t="shared" si="5"/>
        <v>1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22</v>
      </c>
      <c r="G27" s="377"/>
      <c r="H27" s="505">
        <f>+'2010 Existing Rates'!$D$26</f>
        <v>-3.3185</v>
      </c>
      <c r="I27" s="378">
        <f t="shared" si="4"/>
        <v>1</v>
      </c>
      <c r="J27" s="379">
        <f t="shared" si="0"/>
        <v>-3.3185</v>
      </c>
      <c r="K27" s="376"/>
      <c r="L27" s="505">
        <f>+'Rate Schedule (Part 1)'!$E$55</f>
        <v>-0.28275737528032935</v>
      </c>
      <c r="M27" s="380">
        <f t="shared" si="5"/>
        <v>1</v>
      </c>
      <c r="N27" s="379">
        <f t="shared" si="1"/>
        <v>-0.28275737528032935</v>
      </c>
      <c r="O27" s="376"/>
      <c r="P27" s="381">
        <f t="shared" si="2"/>
        <v>3.0357426247196706</v>
      </c>
      <c r="Q27" s="382">
        <f t="shared" si="3"/>
        <v>-0.9147936190205427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0.18190000000000017</v>
      </c>
      <c r="L32" s="385"/>
      <c r="M32" s="388"/>
      <c r="N32" s="387">
        <f>SUM(N17:N31)</f>
        <v>12.344642624719672</v>
      </c>
      <c r="P32" s="389">
        <f t="shared" si="2"/>
        <v>12.162742624719671</v>
      </c>
      <c r="Q32" s="390">
        <f t="shared" si="3"/>
        <v>66.86499518812347</v>
      </c>
    </row>
    <row r="33" spans="4:17" ht="12.75">
      <c r="D33" s="391" t="s">
        <v>351</v>
      </c>
      <c r="E33" s="391"/>
      <c r="F33" s="515" t="s">
        <v>22</v>
      </c>
      <c r="G33" s="392"/>
      <c r="H33" s="506">
        <v>1.6545</v>
      </c>
      <c r="I33" s="393">
        <f>+J12</f>
        <v>1</v>
      </c>
      <c r="J33" s="394">
        <f>I33*H33</f>
        <v>1.6545</v>
      </c>
      <c r="K33" s="391"/>
      <c r="L33" s="506">
        <f>+'[7]E1.1 Adj Network to Fcst Whsl'!$S$28</f>
        <v>1.5378762071810521</v>
      </c>
      <c r="M33" s="395">
        <f>+J12</f>
        <v>1</v>
      </c>
      <c r="N33" s="394">
        <f>M33*L33</f>
        <v>1.5378762071810521</v>
      </c>
      <c r="O33" s="391"/>
      <c r="P33" s="396">
        <f t="shared" si="2"/>
        <v>-0.11662379281894797</v>
      </c>
      <c r="Q33" s="397">
        <f t="shared" si="3"/>
        <v>-0.07048884425442609</v>
      </c>
    </row>
    <row r="34" spans="4:17" ht="26.25" thickBot="1">
      <c r="D34" s="398" t="s">
        <v>352</v>
      </c>
      <c r="E34" s="391"/>
      <c r="F34" s="515" t="s">
        <v>22</v>
      </c>
      <c r="G34" s="392"/>
      <c r="H34" s="506">
        <v>1.3312</v>
      </c>
      <c r="I34" s="393">
        <f>I33</f>
        <v>1</v>
      </c>
      <c r="J34" s="394">
        <f>I34*H34</f>
        <v>1.3312</v>
      </c>
      <c r="K34" s="391"/>
      <c r="L34" s="506">
        <f>+'[7]E1.2 Adj Conn to Fcst Whsl'!$S$28</f>
        <v>1.3145157096390492</v>
      </c>
      <c r="M34" s="395">
        <f>M33</f>
        <v>1</v>
      </c>
      <c r="N34" s="394">
        <f>M34*L34</f>
        <v>1.3145157096390492</v>
      </c>
      <c r="O34" s="391"/>
      <c r="P34" s="396">
        <f t="shared" si="2"/>
        <v>-0.01668429036095076</v>
      </c>
      <c r="Q34" s="397">
        <f t="shared" si="3"/>
        <v>-0.012533271004319982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3.1676</v>
      </c>
      <c r="K35" s="403"/>
      <c r="L35" s="404"/>
      <c r="M35" s="405"/>
      <c r="N35" s="402">
        <f>SUM(N32:N34)</f>
        <v>15.197034541539773</v>
      </c>
      <c r="O35" s="403"/>
      <c r="P35" s="406">
        <f t="shared" si="2"/>
        <v>12.029434541539773</v>
      </c>
      <c r="Q35" s="407">
        <f t="shared" si="3"/>
        <v>3.7976494953718185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+$H12*(1+$H48)</f>
        <v>51.754999999999995</v>
      </c>
      <c r="J36" s="379">
        <f aca="true" t="shared" si="6" ref="J36:J43">I36*H36</f>
        <v>0.269126</v>
      </c>
      <c r="K36" s="376"/>
      <c r="L36" s="505">
        <v>0.0052</v>
      </c>
      <c r="M36" s="380">
        <f>+M41</f>
        <v>51.8095623963364</v>
      </c>
      <c r="N36" s="379">
        <f aca="true" t="shared" si="7" ref="N36:N43">M36*L36</f>
        <v>0.2694097244609493</v>
      </c>
      <c r="O36" s="376"/>
      <c r="P36" s="381">
        <f t="shared" si="2"/>
        <v>0.00028372446094931947</v>
      </c>
      <c r="Q36" s="382">
        <f t="shared" si="3"/>
        <v>0.0010542439636055956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+I36</f>
        <v>51.754999999999995</v>
      </c>
      <c r="J37" s="379">
        <f t="shared" si="6"/>
        <v>0.0672815</v>
      </c>
      <c r="K37" s="376"/>
      <c r="L37" s="505">
        <v>0.0013</v>
      </c>
      <c r="M37" s="380">
        <f>+M36</f>
        <v>51.8095623963364</v>
      </c>
      <c r="N37" s="379">
        <f t="shared" si="7"/>
        <v>0.06735243111523732</v>
      </c>
      <c r="O37" s="376"/>
      <c r="P37" s="381">
        <f t="shared" si="2"/>
        <v>7.093111523732987E-05</v>
      </c>
      <c r="Q37" s="382">
        <f t="shared" si="3"/>
        <v>0.0010542439636055956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+I36</f>
        <v>51.754999999999995</v>
      </c>
      <c r="J38" s="379">
        <f t="shared" si="6"/>
        <v>0.019304615</v>
      </c>
      <c r="K38" s="376"/>
      <c r="L38" s="508">
        <v>0.000373</v>
      </c>
      <c r="M38" s="380">
        <f>+M36</f>
        <v>51.8095623963364</v>
      </c>
      <c r="N38" s="379">
        <f t="shared" si="7"/>
        <v>0.01932496677383348</v>
      </c>
      <c r="O38" s="376"/>
      <c r="P38" s="381">
        <f t="shared" si="2"/>
        <v>2.035177383347825E-05</v>
      </c>
      <c r="Q38" s="382">
        <f t="shared" si="3"/>
        <v>0.001054243963605503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50</v>
      </c>
      <c r="J40" s="379">
        <f t="shared" si="6"/>
        <v>0.35000000000000003</v>
      </c>
      <c r="K40" s="376"/>
      <c r="L40" s="505">
        <v>0.007</v>
      </c>
      <c r="M40" s="380">
        <f>+$H12</f>
        <v>50</v>
      </c>
      <c r="N40" s="379">
        <f t="shared" si="7"/>
        <v>0.35000000000000003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 t="s">
        <v>53</v>
      </c>
      <c r="G41" s="377"/>
      <c r="H41" s="505">
        <f>+'Other Electriciy Rates'!$J$15</f>
        <v>0.065</v>
      </c>
      <c r="I41" s="378">
        <f>+$H12*(1+$H48)</f>
        <v>51.754999999999995</v>
      </c>
      <c r="J41" s="379">
        <f t="shared" si="6"/>
        <v>3.3640749999999997</v>
      </c>
      <c r="K41" s="376"/>
      <c r="L41" s="505">
        <f>+'Other Electriciy Rates'!$J$30</f>
        <v>0.065</v>
      </c>
      <c r="M41" s="378">
        <f>+$H12*(1+$L48)</f>
        <v>51.8095623963364</v>
      </c>
      <c r="N41" s="379">
        <f t="shared" si="7"/>
        <v>3.3676215557618665</v>
      </c>
      <c r="O41" s="376"/>
      <c r="P41" s="381">
        <f t="shared" si="2"/>
        <v>0.0035465557618667987</v>
      </c>
      <c r="Q41" s="382">
        <f t="shared" si="3"/>
        <v>0.0010542439636056862</v>
      </c>
    </row>
    <row r="42" spans="4:17" ht="12.75">
      <c r="D42" s="502"/>
      <c r="E42" s="376"/>
      <c r="F42" s="514"/>
      <c r="G42" s="377"/>
      <c r="H42" s="505"/>
      <c r="I42" s="509"/>
      <c r="J42" s="379">
        <f t="shared" si="6"/>
        <v>0</v>
      </c>
      <c r="K42" s="376"/>
      <c r="L42" s="505"/>
      <c r="M42" s="509"/>
      <c r="N42" s="379">
        <f t="shared" si="7"/>
        <v>0</v>
      </c>
      <c r="O42" s="376"/>
      <c r="P42" s="381">
        <f t="shared" si="2"/>
        <v>0</v>
      </c>
      <c r="Q42" s="382">
        <f t="shared" si="3"/>
      </c>
    </row>
    <row r="43" spans="4:17" ht="13.5" thickBot="1">
      <c r="D43" s="501"/>
      <c r="E43" s="376"/>
      <c r="F43" s="514"/>
      <c r="G43" s="377"/>
      <c r="H43" s="505"/>
      <c r="I43" s="509"/>
      <c r="J43" s="379">
        <f t="shared" si="6"/>
        <v>0</v>
      </c>
      <c r="K43" s="376"/>
      <c r="L43" s="505"/>
      <c r="M43" s="509"/>
      <c r="N43" s="379">
        <f t="shared" si="7"/>
        <v>0</v>
      </c>
      <c r="O43" s="376"/>
      <c r="P43" s="381">
        <f t="shared" si="2"/>
        <v>0</v>
      </c>
      <c r="Q43" s="382">
        <f t="shared" si="3"/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7.487387115</v>
      </c>
      <c r="K44" s="403"/>
      <c r="L44" s="411"/>
      <c r="M44" s="412"/>
      <c r="N44" s="402">
        <f>SUM(N35:N43)</f>
        <v>19.520743219651663</v>
      </c>
      <c r="O44" s="403"/>
      <c r="P44" s="406">
        <f t="shared" si="2"/>
        <v>12.033356104651663</v>
      </c>
      <c r="Q44" s="407">
        <f t="shared" si="3"/>
        <v>1.607150254131299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0.97336032495</v>
      </c>
      <c r="K45" s="376"/>
      <c r="L45" s="511">
        <v>0.13</v>
      </c>
      <c r="M45" s="415"/>
      <c r="N45" s="414">
        <f>N44*L45</f>
        <v>2.5376966185547163</v>
      </c>
      <c r="O45" s="376"/>
      <c r="P45" s="381">
        <f t="shared" si="2"/>
        <v>1.5643362936047163</v>
      </c>
      <c r="Q45" s="382">
        <f t="shared" si="3"/>
        <v>1.607150254131299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8.46</v>
      </c>
      <c r="K46" s="403"/>
      <c r="L46" s="404"/>
      <c r="M46" s="405"/>
      <c r="N46" s="402">
        <f>ROUND(SUM(N44:N45),2)</f>
        <v>22.06</v>
      </c>
      <c r="O46" s="403"/>
      <c r="P46" s="406">
        <f t="shared" si="2"/>
        <v>13.599999999999998</v>
      </c>
      <c r="Q46" s="407">
        <f t="shared" si="3"/>
        <v>1.6075650118203306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Sentinel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15" ht="12.75">
      <c r="B59" s="363" t="s">
        <v>53</v>
      </c>
      <c r="F59" s="367" t="s">
        <v>66</v>
      </c>
      <c r="G59" s="367"/>
      <c r="H59" s="516"/>
      <c r="I59" s="367" t="s">
        <v>332</v>
      </c>
      <c r="J59" s="516"/>
      <c r="L59" s="367" t="s">
        <v>16</v>
      </c>
      <c r="M59" s="504"/>
      <c r="O59" s="367" t="s">
        <v>134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05">
        <f>+'2010 Existing Rates'!$B$13</f>
        <v>0.4</v>
      </c>
      <c r="I64" s="378">
        <f>+M$12</f>
        <v>1</v>
      </c>
      <c r="J64" s="379">
        <f aca="true" t="shared" si="8" ref="J64:J78">I64*H64</f>
        <v>0.4</v>
      </c>
      <c r="K64" s="376"/>
      <c r="L64" s="505">
        <f>+'Rate Schedule (Part 1)'!$E$51</f>
        <v>1.4692</v>
      </c>
      <c r="M64" s="380">
        <f>+M$12</f>
        <v>1</v>
      </c>
      <c r="N64" s="379">
        <f aca="true" t="shared" si="9" ref="N64:N78">M64*L64</f>
        <v>1.4692</v>
      </c>
      <c r="O64" s="376"/>
      <c r="P64" s="381">
        <f aca="true" t="shared" si="10" ref="P64:P90">N64-J64</f>
        <v>1.0692</v>
      </c>
      <c r="Q64" s="382">
        <f aca="true" t="shared" si="11" ref="Q64:Q90">IF((J64)=0,"",(P64/J64))</f>
        <v>2.6729999999999996</v>
      </c>
    </row>
    <row r="65" spans="4:17" ht="12.75">
      <c r="D65" s="376" t="s">
        <v>226</v>
      </c>
      <c r="E65" s="376"/>
      <c r="F65" s="514" t="s">
        <v>330</v>
      </c>
      <c r="G65" s="377"/>
      <c r="H65" s="505"/>
      <c r="I65" s="378">
        <v>1</v>
      </c>
      <c r="J65" s="379">
        <f t="shared" si="8"/>
        <v>0</v>
      </c>
      <c r="K65" s="376"/>
      <c r="L65" s="505"/>
      <c r="M65" s="380">
        <v>1</v>
      </c>
      <c r="N65" s="379">
        <f t="shared" si="9"/>
        <v>0</v>
      </c>
      <c r="O65" s="376"/>
      <c r="P65" s="381">
        <f t="shared" si="10"/>
        <v>0</v>
      </c>
      <c r="Q65" s="382">
        <f t="shared" si="11"/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22</v>
      </c>
      <c r="G68" s="377"/>
      <c r="H68" s="505">
        <f>+'2010 Existing Rates'!$D$63</f>
        <v>3.0225</v>
      </c>
      <c r="I68" s="378">
        <f>+J59</f>
        <v>0</v>
      </c>
      <c r="J68" s="379">
        <f t="shared" si="8"/>
        <v>0</v>
      </c>
      <c r="K68" s="376"/>
      <c r="L68" s="505">
        <f>+'Rate Schedule (Part 1)'!$E$52</f>
        <v>11.1018</v>
      </c>
      <c r="M68" s="380">
        <f>+J59</f>
        <v>0</v>
      </c>
      <c r="N68" s="379">
        <f t="shared" si="9"/>
        <v>0</v>
      </c>
      <c r="O68" s="376"/>
      <c r="P68" s="381">
        <f t="shared" si="10"/>
        <v>0</v>
      </c>
      <c r="Q68" s="382">
        <f t="shared" si="11"/>
      </c>
    </row>
    <row r="69" spans="4:17" ht="12.75">
      <c r="D69" s="376" t="s">
        <v>344</v>
      </c>
      <c r="E69" s="376"/>
      <c r="F69" s="514" t="s">
        <v>22</v>
      </c>
      <c r="G69" s="377"/>
      <c r="H69" s="505">
        <f>+'2010 Existing Rates'!$D$38</f>
        <v>0.0779</v>
      </c>
      <c r="I69" s="378">
        <f aca="true" t="shared" si="12" ref="I69:I74">I68</f>
        <v>0</v>
      </c>
      <c r="J69" s="379">
        <f t="shared" si="8"/>
        <v>0</v>
      </c>
      <c r="K69" s="376"/>
      <c r="L69" s="505">
        <f>+'Rate Schedule (Part 1)'!$E$53</f>
        <v>0.0564</v>
      </c>
      <c r="M69" s="380">
        <f aca="true" t="shared" si="13" ref="M69:M74">M68</f>
        <v>0</v>
      </c>
      <c r="N69" s="379">
        <f t="shared" si="9"/>
        <v>0</v>
      </c>
      <c r="O69" s="376"/>
      <c r="P69" s="381">
        <f t="shared" si="10"/>
        <v>0</v>
      </c>
      <c r="Q69" s="382">
        <f t="shared" si="11"/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0</v>
      </c>
      <c r="J70" s="379">
        <f t="shared" si="8"/>
        <v>0</v>
      </c>
      <c r="K70" s="376"/>
      <c r="L70" s="505"/>
      <c r="M70" s="380">
        <f t="shared" si="13"/>
        <v>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0</v>
      </c>
      <c r="J71" s="379">
        <f t="shared" si="8"/>
        <v>0</v>
      </c>
      <c r="K71" s="376"/>
      <c r="L71" s="505"/>
      <c r="M71" s="380">
        <f t="shared" si="13"/>
        <v>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0</v>
      </c>
      <c r="J72" s="379">
        <f t="shared" si="8"/>
        <v>0</v>
      </c>
      <c r="K72" s="376"/>
      <c r="L72" s="505"/>
      <c r="M72" s="380">
        <f t="shared" si="13"/>
        <v>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0</v>
      </c>
      <c r="J73" s="379">
        <f t="shared" si="8"/>
        <v>0</v>
      </c>
      <c r="K73" s="376"/>
      <c r="L73" s="505"/>
      <c r="M73" s="380">
        <f t="shared" si="13"/>
        <v>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22</v>
      </c>
      <c r="G74" s="377"/>
      <c r="H74" s="505">
        <f>+'2010 Existing Rates'!$D$26</f>
        <v>-3.3185</v>
      </c>
      <c r="I74" s="378">
        <f t="shared" si="12"/>
        <v>0</v>
      </c>
      <c r="J74" s="379">
        <f t="shared" si="8"/>
        <v>0</v>
      </c>
      <c r="K74" s="376"/>
      <c r="L74" s="505">
        <f>+'Rate Schedule (Part 1)'!$E$55</f>
        <v>-0.28275737528032935</v>
      </c>
      <c r="M74" s="380">
        <f t="shared" si="13"/>
        <v>0</v>
      </c>
      <c r="N74" s="379">
        <f t="shared" si="9"/>
        <v>0</v>
      </c>
      <c r="O74" s="376"/>
      <c r="P74" s="381">
        <f t="shared" si="10"/>
        <v>0</v>
      </c>
      <c r="Q74" s="382">
        <f t="shared" si="11"/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0.4</v>
      </c>
      <c r="L79" s="385"/>
      <c r="M79" s="388"/>
      <c r="N79" s="387">
        <f>SUM(N64:N78)</f>
        <v>1.4692</v>
      </c>
      <c r="P79" s="389">
        <f t="shared" si="10"/>
        <v>1.0692</v>
      </c>
      <c r="Q79" s="390">
        <f t="shared" si="11"/>
        <v>2.6729999999999996</v>
      </c>
    </row>
    <row r="80" spans="4:17" ht="12.75">
      <c r="D80" s="391" t="s">
        <v>351</v>
      </c>
      <c r="E80" s="391"/>
      <c r="F80" s="515" t="s">
        <v>22</v>
      </c>
      <c r="G80" s="392"/>
      <c r="H80" s="506">
        <v>1.6545</v>
      </c>
      <c r="I80" s="393">
        <f>+J59</f>
        <v>0</v>
      </c>
      <c r="J80" s="394">
        <f>I80*H80</f>
        <v>0</v>
      </c>
      <c r="K80" s="391"/>
      <c r="L80" s="506">
        <f>+'[7]E1.1 Adj Network to Fcst Whsl'!$S$28</f>
        <v>1.5378762071810521</v>
      </c>
      <c r="M80" s="395">
        <f>+J59</f>
        <v>0</v>
      </c>
      <c r="N80" s="394">
        <f>M80*L80</f>
        <v>0</v>
      </c>
      <c r="O80" s="391"/>
      <c r="P80" s="396">
        <f t="shared" si="10"/>
        <v>0</v>
      </c>
      <c r="Q80" s="397">
        <f t="shared" si="11"/>
      </c>
    </row>
    <row r="81" spans="4:17" ht="26.25" thickBot="1">
      <c r="D81" s="398" t="s">
        <v>352</v>
      </c>
      <c r="E81" s="391"/>
      <c r="F81" s="515" t="s">
        <v>22</v>
      </c>
      <c r="G81" s="392"/>
      <c r="H81" s="506">
        <v>1.3312</v>
      </c>
      <c r="I81" s="393">
        <f>I80</f>
        <v>0</v>
      </c>
      <c r="J81" s="394">
        <f>I81*H81</f>
        <v>0</v>
      </c>
      <c r="K81" s="391"/>
      <c r="L81" s="506">
        <f>+'[7]E1.2 Adj Conn to Fcst Whsl'!$S$28</f>
        <v>1.3145157096390492</v>
      </c>
      <c r="M81" s="395">
        <f>M80</f>
        <v>0</v>
      </c>
      <c r="N81" s="394">
        <f>M81*L81</f>
        <v>0</v>
      </c>
      <c r="O81" s="391"/>
      <c r="P81" s="396">
        <f t="shared" si="10"/>
        <v>0</v>
      </c>
      <c r="Q81" s="397">
        <f t="shared" si="11"/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0.4</v>
      </c>
      <c r="K82" s="403"/>
      <c r="L82" s="404"/>
      <c r="M82" s="405"/>
      <c r="N82" s="402">
        <f>SUM(N79:N81)</f>
        <v>1.4692</v>
      </c>
      <c r="O82" s="403"/>
      <c r="P82" s="406">
        <f t="shared" si="10"/>
        <v>1.0692</v>
      </c>
      <c r="Q82" s="407">
        <f t="shared" si="11"/>
        <v>2.6729999999999996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+$H59*(1+$H95)</f>
        <v>0</v>
      </c>
      <c r="J83" s="379">
        <f aca="true" t="shared" si="14" ref="J83:J90">I83*H83</f>
        <v>0</v>
      </c>
      <c r="K83" s="376"/>
      <c r="L83" s="505">
        <v>0.0052</v>
      </c>
      <c r="M83" s="380">
        <f>+M88</f>
        <v>0</v>
      </c>
      <c r="N83" s="379">
        <f aca="true" t="shared" si="15" ref="N83:N90">M83*L83</f>
        <v>0</v>
      </c>
      <c r="O83" s="376"/>
      <c r="P83" s="381">
        <f t="shared" si="10"/>
        <v>0</v>
      </c>
      <c r="Q83" s="382">
        <f t="shared" si="11"/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+I83</f>
        <v>0</v>
      </c>
      <c r="J84" s="379">
        <f t="shared" si="14"/>
        <v>0</v>
      </c>
      <c r="K84" s="376"/>
      <c r="L84" s="505">
        <v>0.0013</v>
      </c>
      <c r="M84" s="380">
        <f>+M83</f>
        <v>0</v>
      </c>
      <c r="N84" s="379">
        <f t="shared" si="15"/>
        <v>0</v>
      </c>
      <c r="O84" s="376"/>
      <c r="P84" s="381">
        <f t="shared" si="10"/>
        <v>0</v>
      </c>
      <c r="Q84" s="382">
        <f t="shared" si="11"/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+I83</f>
        <v>0</v>
      </c>
      <c r="J85" s="379">
        <f t="shared" si="14"/>
        <v>0</v>
      </c>
      <c r="K85" s="376"/>
      <c r="L85" s="508">
        <v>0.000373</v>
      </c>
      <c r="M85" s="380">
        <f>+M83</f>
        <v>0</v>
      </c>
      <c r="N85" s="379">
        <f t="shared" si="15"/>
        <v>0</v>
      </c>
      <c r="O85" s="376"/>
      <c r="P85" s="381">
        <f t="shared" si="10"/>
        <v>0</v>
      </c>
      <c r="Q85" s="382">
        <f t="shared" si="11"/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0</v>
      </c>
      <c r="J87" s="379">
        <f t="shared" si="14"/>
        <v>0</v>
      </c>
      <c r="K87" s="376"/>
      <c r="L87" s="505">
        <v>0.007</v>
      </c>
      <c r="M87" s="380">
        <f>+$H59</f>
        <v>0</v>
      </c>
      <c r="N87" s="379">
        <f t="shared" si="15"/>
        <v>0</v>
      </c>
      <c r="O87" s="376"/>
      <c r="P87" s="381">
        <f t="shared" si="10"/>
        <v>0</v>
      </c>
      <c r="Q87" s="382">
        <f t="shared" si="11"/>
      </c>
    </row>
    <row r="88" spans="4:17" ht="12.75">
      <c r="D88" s="376" t="s">
        <v>359</v>
      </c>
      <c r="E88" s="376"/>
      <c r="F88" s="514" t="s">
        <v>53</v>
      </c>
      <c r="G88" s="377"/>
      <c r="H88" s="505">
        <f>+'Other Electriciy Rates'!$J$15</f>
        <v>0.065</v>
      </c>
      <c r="I88" s="378">
        <f>+$H59*(1+$H95)</f>
        <v>0</v>
      </c>
      <c r="J88" s="379">
        <f t="shared" si="14"/>
        <v>0</v>
      </c>
      <c r="K88" s="376"/>
      <c r="L88" s="505">
        <f>+'Other Electriciy Rates'!$J$30</f>
        <v>0.065</v>
      </c>
      <c r="M88" s="378">
        <f>+$H59*(1+$L95)</f>
        <v>0</v>
      </c>
      <c r="N88" s="379">
        <f t="shared" si="15"/>
        <v>0</v>
      </c>
      <c r="O88" s="376"/>
      <c r="P88" s="381">
        <f t="shared" si="10"/>
        <v>0</v>
      </c>
      <c r="Q88" s="382">
        <f t="shared" si="11"/>
      </c>
    </row>
    <row r="89" spans="4:17" ht="12.75">
      <c r="D89" s="502"/>
      <c r="E89" s="376"/>
      <c r="F89" s="514"/>
      <c r="G89" s="377"/>
      <c r="H89" s="505"/>
      <c r="I89" s="509"/>
      <c r="J89" s="379">
        <f t="shared" si="14"/>
        <v>0</v>
      </c>
      <c r="K89" s="376"/>
      <c r="L89" s="505"/>
      <c r="M89" s="509"/>
      <c r="N89" s="379">
        <f t="shared" si="15"/>
        <v>0</v>
      </c>
      <c r="O89" s="376"/>
      <c r="P89" s="381">
        <f t="shared" si="10"/>
        <v>0</v>
      </c>
      <c r="Q89" s="382">
        <f t="shared" si="11"/>
      </c>
    </row>
    <row r="90" spans="4:17" ht="13.5" thickBot="1">
      <c r="D90" s="501"/>
      <c r="E90" s="376"/>
      <c r="F90" s="514"/>
      <c r="G90" s="377"/>
      <c r="H90" s="505"/>
      <c r="I90" s="509"/>
      <c r="J90" s="379">
        <f t="shared" si="14"/>
        <v>0</v>
      </c>
      <c r="K90" s="376"/>
      <c r="L90" s="505"/>
      <c r="M90" s="509"/>
      <c r="N90" s="379">
        <f t="shared" si="15"/>
        <v>0</v>
      </c>
      <c r="O90" s="376"/>
      <c r="P90" s="381">
        <f t="shared" si="10"/>
        <v>0</v>
      </c>
      <c r="Q90" s="382">
        <f t="shared" si="11"/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0.65</v>
      </c>
      <c r="K91" s="403"/>
      <c r="L91" s="411"/>
      <c r="M91" s="412"/>
      <c r="N91" s="402">
        <f>SUM(N82:N90)</f>
        <v>1.7192</v>
      </c>
      <c r="O91" s="403"/>
      <c r="P91" s="406">
        <f>N91-J91</f>
        <v>1.0692</v>
      </c>
      <c r="Q91" s="407">
        <f>IF((J91)=0,"",(P91/J91))</f>
        <v>1.6449230769230767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0.0845</v>
      </c>
      <c r="K92" s="376"/>
      <c r="L92" s="511">
        <v>0.13</v>
      </c>
      <c r="M92" s="415"/>
      <c r="N92" s="414">
        <f>N91*L92</f>
        <v>0.22349600000000003</v>
      </c>
      <c r="O92" s="376"/>
      <c r="P92" s="381">
        <f>N92-J92</f>
        <v>0.138996</v>
      </c>
      <c r="Q92" s="382">
        <f>IF((J92)=0,"",(P92/J92))</f>
        <v>1.644923076923077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0.73</v>
      </c>
      <c r="K93" s="403"/>
      <c r="L93" s="404"/>
      <c r="M93" s="405"/>
      <c r="N93" s="402">
        <f>ROUND(SUM(N91:N92),2)</f>
        <v>1.94</v>
      </c>
      <c r="O93" s="403"/>
      <c r="P93" s="406">
        <f>N93-J93</f>
        <v>1.21</v>
      </c>
      <c r="Q93" s="407">
        <f>IF((J93)=0,"",(P93/J93))</f>
        <v>1.6575342465753424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Sentinel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15" ht="12.75">
      <c r="B106" s="363" t="s">
        <v>53</v>
      </c>
      <c r="F106" s="367" t="s">
        <v>66</v>
      </c>
      <c r="G106" s="367"/>
      <c r="H106" s="516"/>
      <c r="I106" s="367" t="s">
        <v>332</v>
      </c>
      <c r="J106" s="516"/>
      <c r="L106" s="367" t="s">
        <v>16</v>
      </c>
      <c r="M106" s="504"/>
      <c r="O106" s="367" t="s">
        <v>134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05">
        <f>+'2010 Existing Rates'!$B$13</f>
        <v>0.4</v>
      </c>
      <c r="I111" s="378">
        <f>+M$12</f>
        <v>1</v>
      </c>
      <c r="J111" s="379">
        <f aca="true" t="shared" si="16" ref="J111:J125">I111*H111</f>
        <v>0.4</v>
      </c>
      <c r="K111" s="376"/>
      <c r="L111" s="505">
        <f>+'Rate Schedule (Part 1)'!$E$51</f>
        <v>1.4692</v>
      </c>
      <c r="M111" s="380">
        <f>+M$12</f>
        <v>1</v>
      </c>
      <c r="N111" s="379">
        <f aca="true" t="shared" si="17" ref="N111:N125">M111*L111</f>
        <v>1.4692</v>
      </c>
      <c r="O111" s="376"/>
      <c r="P111" s="381">
        <f aca="true" t="shared" si="18" ref="P111:P137">N111-J111</f>
        <v>1.0692</v>
      </c>
      <c r="Q111" s="382">
        <f aca="true" t="shared" si="19" ref="Q111:Q137">IF((J111)=0,"",(P111/J111))</f>
        <v>2.6729999999999996</v>
      </c>
    </row>
    <row r="112" spans="4:17" ht="12.75">
      <c r="D112" s="376" t="s">
        <v>226</v>
      </c>
      <c r="E112" s="376"/>
      <c r="F112" s="514" t="s">
        <v>330</v>
      </c>
      <c r="G112" s="377"/>
      <c r="H112" s="505"/>
      <c r="I112" s="378">
        <v>1</v>
      </c>
      <c r="J112" s="379">
        <f t="shared" si="16"/>
        <v>0</v>
      </c>
      <c r="K112" s="376"/>
      <c r="L112" s="505"/>
      <c r="M112" s="380">
        <v>1</v>
      </c>
      <c r="N112" s="379">
        <f t="shared" si="17"/>
        <v>0</v>
      </c>
      <c r="O112" s="376"/>
      <c r="P112" s="381">
        <f t="shared" si="18"/>
        <v>0</v>
      </c>
      <c r="Q112" s="382">
        <f t="shared" si="19"/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22</v>
      </c>
      <c r="G115" s="377"/>
      <c r="H115" s="505">
        <f>+'2010 Existing Rates'!$D$63</f>
        <v>3.0225</v>
      </c>
      <c r="I115" s="378">
        <f>+J106</f>
        <v>0</v>
      </c>
      <c r="J115" s="379">
        <f t="shared" si="16"/>
        <v>0</v>
      </c>
      <c r="K115" s="376"/>
      <c r="L115" s="505">
        <f>+'Rate Schedule (Part 1)'!$E$52</f>
        <v>11.1018</v>
      </c>
      <c r="M115" s="380">
        <f>+J106</f>
        <v>0</v>
      </c>
      <c r="N115" s="379">
        <f t="shared" si="17"/>
        <v>0</v>
      </c>
      <c r="O115" s="376"/>
      <c r="P115" s="381">
        <f t="shared" si="18"/>
        <v>0</v>
      </c>
      <c r="Q115" s="382">
        <f t="shared" si="19"/>
      </c>
    </row>
    <row r="116" spans="4:17" ht="12.75">
      <c r="D116" s="376" t="s">
        <v>344</v>
      </c>
      <c r="E116" s="376"/>
      <c r="F116" s="514" t="s">
        <v>22</v>
      </c>
      <c r="G116" s="377"/>
      <c r="H116" s="505">
        <f>+'2010 Existing Rates'!$D$38</f>
        <v>0.0779</v>
      </c>
      <c r="I116" s="378">
        <f aca="true" t="shared" si="20" ref="I116:I121">I115</f>
        <v>0</v>
      </c>
      <c r="J116" s="379">
        <f t="shared" si="16"/>
        <v>0</v>
      </c>
      <c r="K116" s="376"/>
      <c r="L116" s="505">
        <f>+'Rate Schedule (Part 1)'!$E$53</f>
        <v>0.0564</v>
      </c>
      <c r="M116" s="380">
        <f aca="true" t="shared" si="21" ref="M116:M121">M115</f>
        <v>0</v>
      </c>
      <c r="N116" s="379">
        <f t="shared" si="17"/>
        <v>0</v>
      </c>
      <c r="O116" s="376"/>
      <c r="P116" s="381">
        <f t="shared" si="18"/>
        <v>0</v>
      </c>
      <c r="Q116" s="382">
        <f t="shared" si="19"/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0</v>
      </c>
      <c r="J117" s="379">
        <f t="shared" si="16"/>
        <v>0</v>
      </c>
      <c r="K117" s="376"/>
      <c r="L117" s="505"/>
      <c r="M117" s="380">
        <f t="shared" si="21"/>
        <v>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0</v>
      </c>
      <c r="J118" s="379">
        <f t="shared" si="16"/>
        <v>0</v>
      </c>
      <c r="K118" s="376"/>
      <c r="L118" s="505"/>
      <c r="M118" s="380">
        <f t="shared" si="21"/>
        <v>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0</v>
      </c>
      <c r="J119" s="379">
        <f t="shared" si="16"/>
        <v>0</v>
      </c>
      <c r="K119" s="376"/>
      <c r="L119" s="505"/>
      <c r="M119" s="380">
        <f t="shared" si="21"/>
        <v>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0</v>
      </c>
      <c r="J120" s="379">
        <f t="shared" si="16"/>
        <v>0</v>
      </c>
      <c r="K120" s="376"/>
      <c r="L120" s="505"/>
      <c r="M120" s="380">
        <f t="shared" si="21"/>
        <v>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22</v>
      </c>
      <c r="G121" s="377"/>
      <c r="H121" s="505">
        <f>+'2010 Existing Rates'!$D$26</f>
        <v>-3.3185</v>
      </c>
      <c r="I121" s="378">
        <f t="shared" si="20"/>
        <v>0</v>
      </c>
      <c r="J121" s="379">
        <f t="shared" si="16"/>
        <v>0</v>
      </c>
      <c r="K121" s="376"/>
      <c r="L121" s="505">
        <f>+'Rate Schedule (Part 1)'!$E$55</f>
        <v>-0.28275737528032935</v>
      </c>
      <c r="M121" s="380">
        <f t="shared" si="21"/>
        <v>0</v>
      </c>
      <c r="N121" s="379">
        <f t="shared" si="17"/>
        <v>0</v>
      </c>
      <c r="O121" s="376"/>
      <c r="P121" s="381">
        <f t="shared" si="18"/>
        <v>0</v>
      </c>
      <c r="Q121" s="382">
        <f t="shared" si="19"/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0.4</v>
      </c>
      <c r="L126" s="385"/>
      <c r="M126" s="388"/>
      <c r="N126" s="387">
        <f>SUM(N111:N125)</f>
        <v>1.4692</v>
      </c>
      <c r="P126" s="389">
        <f t="shared" si="18"/>
        <v>1.0692</v>
      </c>
      <c r="Q126" s="390">
        <f t="shared" si="19"/>
        <v>2.6729999999999996</v>
      </c>
    </row>
    <row r="127" spans="4:17" ht="12.75">
      <c r="D127" s="391" t="s">
        <v>351</v>
      </c>
      <c r="E127" s="391"/>
      <c r="F127" s="515" t="s">
        <v>22</v>
      </c>
      <c r="G127" s="392"/>
      <c r="H127" s="506">
        <v>1.6545</v>
      </c>
      <c r="I127" s="393">
        <f>+J106</f>
        <v>0</v>
      </c>
      <c r="J127" s="394">
        <f>I127*H127</f>
        <v>0</v>
      </c>
      <c r="K127" s="391"/>
      <c r="L127" s="506">
        <f>+'[7]E1.1 Adj Network to Fcst Whsl'!$S$28</f>
        <v>1.5378762071810521</v>
      </c>
      <c r="M127" s="395">
        <f>+J106</f>
        <v>0</v>
      </c>
      <c r="N127" s="394">
        <f>M127*L127</f>
        <v>0</v>
      </c>
      <c r="O127" s="391"/>
      <c r="P127" s="396">
        <f t="shared" si="18"/>
        <v>0</v>
      </c>
      <c r="Q127" s="397">
        <f t="shared" si="19"/>
      </c>
    </row>
    <row r="128" spans="4:17" ht="26.25" thickBot="1">
      <c r="D128" s="398" t="s">
        <v>352</v>
      </c>
      <c r="E128" s="391"/>
      <c r="F128" s="515" t="s">
        <v>22</v>
      </c>
      <c r="G128" s="392"/>
      <c r="H128" s="506">
        <v>1.3312</v>
      </c>
      <c r="I128" s="393">
        <f>I127</f>
        <v>0</v>
      </c>
      <c r="J128" s="394">
        <f>I128*H128</f>
        <v>0</v>
      </c>
      <c r="K128" s="391"/>
      <c r="L128" s="506">
        <f>+'[7]E1.2 Adj Conn to Fcst Whsl'!$S$28</f>
        <v>1.3145157096390492</v>
      </c>
      <c r="M128" s="395">
        <f>M127</f>
        <v>0</v>
      </c>
      <c r="N128" s="394">
        <f>M128*L128</f>
        <v>0</v>
      </c>
      <c r="O128" s="391"/>
      <c r="P128" s="396">
        <f t="shared" si="18"/>
        <v>0</v>
      </c>
      <c r="Q128" s="397">
        <f t="shared" si="19"/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0.4</v>
      </c>
      <c r="K129" s="403"/>
      <c r="L129" s="404"/>
      <c r="M129" s="405"/>
      <c r="N129" s="402">
        <f>SUM(N126:N128)</f>
        <v>1.4692</v>
      </c>
      <c r="O129" s="403"/>
      <c r="P129" s="406">
        <f t="shared" si="18"/>
        <v>1.0692</v>
      </c>
      <c r="Q129" s="407">
        <f t="shared" si="19"/>
        <v>2.6729999999999996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+$H106*(1+$H142)</f>
        <v>0</v>
      </c>
      <c r="J130" s="379">
        <f aca="true" t="shared" si="22" ref="J130:J137">I130*H130</f>
        <v>0</v>
      </c>
      <c r="K130" s="376"/>
      <c r="L130" s="505">
        <v>0.0052</v>
      </c>
      <c r="M130" s="380">
        <f>+M135</f>
        <v>0</v>
      </c>
      <c r="N130" s="379">
        <f aca="true" t="shared" si="23" ref="N130:N137">M130*L130</f>
        <v>0</v>
      </c>
      <c r="O130" s="376"/>
      <c r="P130" s="381">
        <f t="shared" si="18"/>
        <v>0</v>
      </c>
      <c r="Q130" s="382">
        <f t="shared" si="19"/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+I130</f>
        <v>0</v>
      </c>
      <c r="J131" s="379">
        <f t="shared" si="22"/>
        <v>0</v>
      </c>
      <c r="K131" s="376"/>
      <c r="L131" s="505">
        <v>0.0013</v>
      </c>
      <c r="M131" s="380">
        <f>+M130</f>
        <v>0</v>
      </c>
      <c r="N131" s="379">
        <f t="shared" si="23"/>
        <v>0</v>
      </c>
      <c r="O131" s="376"/>
      <c r="P131" s="381">
        <f t="shared" si="18"/>
        <v>0</v>
      </c>
      <c r="Q131" s="382">
        <f t="shared" si="19"/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+I130</f>
        <v>0</v>
      </c>
      <c r="J132" s="379">
        <f t="shared" si="22"/>
        <v>0</v>
      </c>
      <c r="K132" s="376"/>
      <c r="L132" s="508">
        <v>0.000373</v>
      </c>
      <c r="M132" s="380">
        <f>+M130</f>
        <v>0</v>
      </c>
      <c r="N132" s="379">
        <f t="shared" si="23"/>
        <v>0</v>
      </c>
      <c r="O132" s="376"/>
      <c r="P132" s="381">
        <f t="shared" si="18"/>
        <v>0</v>
      </c>
      <c r="Q132" s="382">
        <f t="shared" si="19"/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0</v>
      </c>
      <c r="J134" s="379">
        <f t="shared" si="22"/>
        <v>0</v>
      </c>
      <c r="K134" s="376"/>
      <c r="L134" s="505">
        <v>0.007</v>
      </c>
      <c r="M134" s="380">
        <f>+$H106</f>
        <v>0</v>
      </c>
      <c r="N134" s="379">
        <f t="shared" si="23"/>
        <v>0</v>
      </c>
      <c r="O134" s="376"/>
      <c r="P134" s="381">
        <f t="shared" si="18"/>
        <v>0</v>
      </c>
      <c r="Q134" s="382">
        <f t="shared" si="19"/>
      </c>
    </row>
    <row r="135" spans="4:17" ht="12.75">
      <c r="D135" s="376" t="s">
        <v>359</v>
      </c>
      <c r="E135" s="376"/>
      <c r="F135" s="514" t="s">
        <v>53</v>
      </c>
      <c r="G135" s="377"/>
      <c r="H135" s="505">
        <f>+'Other Electriciy Rates'!$J$15</f>
        <v>0.065</v>
      </c>
      <c r="I135" s="378">
        <f>+$H106*(1+$H142)</f>
        <v>0</v>
      </c>
      <c r="J135" s="379">
        <f t="shared" si="22"/>
        <v>0</v>
      </c>
      <c r="K135" s="376"/>
      <c r="L135" s="505">
        <f>+'Other Electriciy Rates'!$J$30</f>
        <v>0.065</v>
      </c>
      <c r="M135" s="378">
        <f>+$H106*(1+$L142)</f>
        <v>0</v>
      </c>
      <c r="N135" s="379">
        <f t="shared" si="23"/>
        <v>0</v>
      </c>
      <c r="O135" s="376"/>
      <c r="P135" s="381">
        <f t="shared" si="18"/>
        <v>0</v>
      </c>
      <c r="Q135" s="382">
        <f t="shared" si="19"/>
      </c>
    </row>
    <row r="136" spans="4:17" ht="12.75">
      <c r="D136" s="502"/>
      <c r="E136" s="376"/>
      <c r="F136" s="514"/>
      <c r="G136" s="377"/>
      <c r="H136" s="505"/>
      <c r="I136" s="509"/>
      <c r="J136" s="379">
        <f t="shared" si="22"/>
        <v>0</v>
      </c>
      <c r="K136" s="376"/>
      <c r="L136" s="505"/>
      <c r="M136" s="509"/>
      <c r="N136" s="379">
        <f t="shared" si="23"/>
        <v>0</v>
      </c>
      <c r="O136" s="376"/>
      <c r="P136" s="381">
        <f t="shared" si="18"/>
        <v>0</v>
      </c>
      <c r="Q136" s="382">
        <f t="shared" si="19"/>
      </c>
    </row>
    <row r="137" spans="4:17" ht="13.5" thickBot="1">
      <c r="D137" s="501"/>
      <c r="E137" s="376"/>
      <c r="F137" s="514"/>
      <c r="G137" s="377"/>
      <c r="H137" s="505"/>
      <c r="I137" s="509"/>
      <c r="J137" s="379">
        <f t="shared" si="22"/>
        <v>0</v>
      </c>
      <c r="K137" s="376"/>
      <c r="L137" s="505"/>
      <c r="M137" s="509"/>
      <c r="N137" s="379">
        <f t="shared" si="23"/>
        <v>0</v>
      </c>
      <c r="O137" s="376"/>
      <c r="P137" s="381">
        <f t="shared" si="18"/>
        <v>0</v>
      </c>
      <c r="Q137" s="382">
        <f t="shared" si="19"/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0.65</v>
      </c>
      <c r="K138" s="403"/>
      <c r="L138" s="411"/>
      <c r="M138" s="412"/>
      <c r="N138" s="402">
        <f>SUM(N129:N137)</f>
        <v>1.7192</v>
      </c>
      <c r="O138" s="403"/>
      <c r="P138" s="406">
        <f>N138-J138</f>
        <v>1.0692</v>
      </c>
      <c r="Q138" s="407">
        <f>IF((J138)=0,"",(P138/J138))</f>
        <v>1.6449230769230767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0.0845</v>
      </c>
      <c r="K139" s="376"/>
      <c r="L139" s="511">
        <v>0.13</v>
      </c>
      <c r="M139" s="415"/>
      <c r="N139" s="414">
        <f>N138*L139</f>
        <v>0.22349600000000003</v>
      </c>
      <c r="O139" s="376"/>
      <c r="P139" s="381">
        <f>N139-J139</f>
        <v>0.138996</v>
      </c>
      <c r="Q139" s="382">
        <f>IF((J139)=0,"",(P139/J139))</f>
        <v>1.644923076923077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0.73</v>
      </c>
      <c r="K140" s="403"/>
      <c r="L140" s="404"/>
      <c r="M140" s="405"/>
      <c r="N140" s="402">
        <f>ROUND(SUM(N138:N139),2)</f>
        <v>1.94</v>
      </c>
      <c r="O140" s="403"/>
      <c r="P140" s="406">
        <f>N140-J140</f>
        <v>1.21</v>
      </c>
      <c r="Q140" s="407">
        <f>IF((J140)=0,"",(P140/J140))</f>
        <v>1.6575342465753424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Sentinel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15" ht="12.75">
      <c r="B153" s="363" t="s">
        <v>53</v>
      </c>
      <c r="F153" s="367" t="s">
        <v>66</v>
      </c>
      <c r="G153" s="367"/>
      <c r="H153" s="516"/>
      <c r="I153" s="367" t="s">
        <v>332</v>
      </c>
      <c r="J153" s="516"/>
      <c r="L153" s="367" t="s">
        <v>16</v>
      </c>
      <c r="M153" s="504"/>
      <c r="O153" s="367" t="s">
        <v>134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05">
        <f>+'2010 Existing Rates'!$B$13</f>
        <v>0.4</v>
      </c>
      <c r="I158" s="378">
        <f>+M$12</f>
        <v>1</v>
      </c>
      <c r="J158" s="379">
        <f aca="true" t="shared" si="24" ref="J158:J172">I158*H158</f>
        <v>0.4</v>
      </c>
      <c r="K158" s="376"/>
      <c r="L158" s="505">
        <f>+'Rate Schedule (Part 1)'!$E$51</f>
        <v>1.4692</v>
      </c>
      <c r="M158" s="380">
        <f>+M$12</f>
        <v>1</v>
      </c>
      <c r="N158" s="379">
        <f aca="true" t="shared" si="25" ref="N158:N172">M158*L158</f>
        <v>1.4692</v>
      </c>
      <c r="O158" s="376"/>
      <c r="P158" s="381">
        <f aca="true" t="shared" si="26" ref="P158:P184">N158-J158</f>
        <v>1.0692</v>
      </c>
      <c r="Q158" s="382">
        <f aca="true" t="shared" si="27" ref="Q158:Q184">IF((J158)=0,"",(P158/J158))</f>
        <v>2.6729999999999996</v>
      </c>
    </row>
    <row r="159" spans="4:17" ht="12.75">
      <c r="D159" s="376" t="s">
        <v>226</v>
      </c>
      <c r="E159" s="376"/>
      <c r="F159" s="514" t="s">
        <v>330</v>
      </c>
      <c r="G159" s="377"/>
      <c r="H159" s="505"/>
      <c r="I159" s="378">
        <v>1</v>
      </c>
      <c r="J159" s="379">
        <f t="shared" si="24"/>
        <v>0</v>
      </c>
      <c r="K159" s="376"/>
      <c r="L159" s="505"/>
      <c r="M159" s="380">
        <v>1</v>
      </c>
      <c r="N159" s="379">
        <f t="shared" si="25"/>
        <v>0</v>
      </c>
      <c r="O159" s="376"/>
      <c r="P159" s="381">
        <f t="shared" si="26"/>
        <v>0</v>
      </c>
      <c r="Q159" s="382">
        <f t="shared" si="27"/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22</v>
      </c>
      <c r="G162" s="377"/>
      <c r="H162" s="505">
        <f>+'2010 Existing Rates'!$D$63</f>
        <v>3.0225</v>
      </c>
      <c r="I162" s="378">
        <f>+J153</f>
        <v>0</v>
      </c>
      <c r="J162" s="379">
        <f t="shared" si="24"/>
        <v>0</v>
      </c>
      <c r="K162" s="376"/>
      <c r="L162" s="505">
        <f>+'Rate Schedule (Part 1)'!$E$52</f>
        <v>11.1018</v>
      </c>
      <c r="M162" s="380">
        <f>+J153</f>
        <v>0</v>
      </c>
      <c r="N162" s="379">
        <f t="shared" si="25"/>
        <v>0</v>
      </c>
      <c r="O162" s="376"/>
      <c r="P162" s="381">
        <f t="shared" si="26"/>
        <v>0</v>
      </c>
      <c r="Q162" s="382">
        <f t="shared" si="27"/>
      </c>
    </row>
    <row r="163" spans="4:17" ht="12.75">
      <c r="D163" s="376" t="s">
        <v>344</v>
      </c>
      <c r="E163" s="376"/>
      <c r="F163" s="514" t="s">
        <v>22</v>
      </c>
      <c r="G163" s="377"/>
      <c r="H163" s="505">
        <f>+'2010 Existing Rates'!$D$38</f>
        <v>0.0779</v>
      </c>
      <c r="I163" s="378">
        <f aca="true" t="shared" si="28" ref="I163:I168">I162</f>
        <v>0</v>
      </c>
      <c r="J163" s="379">
        <f t="shared" si="24"/>
        <v>0</v>
      </c>
      <c r="K163" s="376"/>
      <c r="L163" s="505">
        <f>+'Rate Schedule (Part 1)'!$E$53</f>
        <v>0.0564</v>
      </c>
      <c r="M163" s="380">
        <f aca="true" t="shared" si="29" ref="M163:M168">M162</f>
        <v>0</v>
      </c>
      <c r="N163" s="379">
        <f t="shared" si="25"/>
        <v>0</v>
      </c>
      <c r="O163" s="376"/>
      <c r="P163" s="381">
        <f t="shared" si="26"/>
        <v>0</v>
      </c>
      <c r="Q163" s="382">
        <f t="shared" si="27"/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0</v>
      </c>
      <c r="J164" s="379">
        <f t="shared" si="24"/>
        <v>0</v>
      </c>
      <c r="K164" s="376"/>
      <c r="L164" s="505"/>
      <c r="M164" s="380">
        <f t="shared" si="29"/>
        <v>0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0</v>
      </c>
      <c r="J165" s="379">
        <f t="shared" si="24"/>
        <v>0</v>
      </c>
      <c r="K165" s="376"/>
      <c r="L165" s="505"/>
      <c r="M165" s="380">
        <f t="shared" si="29"/>
        <v>0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0</v>
      </c>
      <c r="J166" s="379">
        <f t="shared" si="24"/>
        <v>0</v>
      </c>
      <c r="K166" s="376"/>
      <c r="L166" s="505"/>
      <c r="M166" s="380">
        <f t="shared" si="29"/>
        <v>0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0</v>
      </c>
      <c r="J167" s="379">
        <f t="shared" si="24"/>
        <v>0</v>
      </c>
      <c r="K167" s="376"/>
      <c r="L167" s="505"/>
      <c r="M167" s="380">
        <f t="shared" si="29"/>
        <v>0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22</v>
      </c>
      <c r="G168" s="377"/>
      <c r="H168" s="505">
        <f>+'2010 Existing Rates'!$D$26</f>
        <v>-3.3185</v>
      </c>
      <c r="I168" s="378">
        <f t="shared" si="28"/>
        <v>0</v>
      </c>
      <c r="J168" s="379">
        <f t="shared" si="24"/>
        <v>0</v>
      </c>
      <c r="K168" s="376"/>
      <c r="L168" s="505">
        <f>+'Rate Schedule (Part 1)'!$E$55</f>
        <v>-0.28275737528032935</v>
      </c>
      <c r="M168" s="380">
        <f t="shared" si="29"/>
        <v>0</v>
      </c>
      <c r="N168" s="379">
        <f t="shared" si="25"/>
        <v>0</v>
      </c>
      <c r="O168" s="376"/>
      <c r="P168" s="381">
        <f t="shared" si="26"/>
        <v>0</v>
      </c>
      <c r="Q168" s="382">
        <f t="shared" si="27"/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0.4</v>
      </c>
      <c r="L173" s="385"/>
      <c r="M173" s="388"/>
      <c r="N173" s="387">
        <f>SUM(N158:N172)</f>
        <v>1.4692</v>
      </c>
      <c r="P173" s="389">
        <f t="shared" si="26"/>
        <v>1.0692</v>
      </c>
      <c r="Q173" s="390">
        <f t="shared" si="27"/>
        <v>2.6729999999999996</v>
      </c>
    </row>
    <row r="174" spans="4:17" ht="12.75">
      <c r="D174" s="391" t="s">
        <v>351</v>
      </c>
      <c r="E174" s="391"/>
      <c r="F174" s="515" t="s">
        <v>22</v>
      </c>
      <c r="G174" s="392"/>
      <c r="H174" s="506">
        <v>1.6545</v>
      </c>
      <c r="I174" s="393">
        <f>+J153</f>
        <v>0</v>
      </c>
      <c r="J174" s="394">
        <f>I174*H174</f>
        <v>0</v>
      </c>
      <c r="K174" s="391"/>
      <c r="L174" s="506">
        <f>+'[7]E1.1 Adj Network to Fcst Whsl'!$S$28</f>
        <v>1.5378762071810521</v>
      </c>
      <c r="M174" s="395">
        <f>+J153</f>
        <v>0</v>
      </c>
      <c r="N174" s="394">
        <f>M174*L174</f>
        <v>0</v>
      </c>
      <c r="O174" s="391"/>
      <c r="P174" s="396">
        <f t="shared" si="26"/>
        <v>0</v>
      </c>
      <c r="Q174" s="397">
        <f t="shared" si="27"/>
      </c>
    </row>
    <row r="175" spans="4:17" ht="26.25" thickBot="1">
      <c r="D175" s="398" t="s">
        <v>352</v>
      </c>
      <c r="E175" s="391"/>
      <c r="F175" s="515" t="s">
        <v>22</v>
      </c>
      <c r="G175" s="392"/>
      <c r="H175" s="506">
        <v>1.3312</v>
      </c>
      <c r="I175" s="393">
        <f>I174</f>
        <v>0</v>
      </c>
      <c r="J175" s="394">
        <f>I175*H175</f>
        <v>0</v>
      </c>
      <c r="K175" s="391"/>
      <c r="L175" s="506">
        <f>+'[7]E1.2 Adj Conn to Fcst Whsl'!$S$28</f>
        <v>1.3145157096390492</v>
      </c>
      <c r="M175" s="395">
        <f>M174</f>
        <v>0</v>
      </c>
      <c r="N175" s="394">
        <f>M175*L175</f>
        <v>0</v>
      </c>
      <c r="O175" s="391"/>
      <c r="P175" s="396">
        <f t="shared" si="26"/>
        <v>0</v>
      </c>
      <c r="Q175" s="397">
        <f t="shared" si="27"/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0.4</v>
      </c>
      <c r="K176" s="403"/>
      <c r="L176" s="404"/>
      <c r="M176" s="405"/>
      <c r="N176" s="402">
        <f>SUM(N173:N175)</f>
        <v>1.4692</v>
      </c>
      <c r="O176" s="403"/>
      <c r="P176" s="406">
        <f t="shared" si="26"/>
        <v>1.0692</v>
      </c>
      <c r="Q176" s="407">
        <f t="shared" si="27"/>
        <v>2.6729999999999996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+$H153*(1+$H189)</f>
        <v>0</v>
      </c>
      <c r="J177" s="379">
        <f aca="true" t="shared" si="30" ref="J177:J184">I177*H177</f>
        <v>0</v>
      </c>
      <c r="K177" s="376"/>
      <c r="L177" s="505">
        <v>0.0052</v>
      </c>
      <c r="M177" s="380">
        <f>+M182</f>
        <v>0</v>
      </c>
      <c r="N177" s="379">
        <f aca="true" t="shared" si="31" ref="N177:N184">M177*L177</f>
        <v>0</v>
      </c>
      <c r="O177" s="376"/>
      <c r="P177" s="381">
        <f t="shared" si="26"/>
        <v>0</v>
      </c>
      <c r="Q177" s="382">
        <f t="shared" si="27"/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+I177</f>
        <v>0</v>
      </c>
      <c r="J178" s="379">
        <f t="shared" si="30"/>
        <v>0</v>
      </c>
      <c r="K178" s="376"/>
      <c r="L178" s="505">
        <v>0.0013</v>
      </c>
      <c r="M178" s="380">
        <f>+M177</f>
        <v>0</v>
      </c>
      <c r="N178" s="379">
        <f t="shared" si="31"/>
        <v>0</v>
      </c>
      <c r="O178" s="376"/>
      <c r="P178" s="381">
        <f t="shared" si="26"/>
        <v>0</v>
      </c>
      <c r="Q178" s="382">
        <f t="shared" si="27"/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+I177</f>
        <v>0</v>
      </c>
      <c r="J179" s="379">
        <f t="shared" si="30"/>
        <v>0</v>
      </c>
      <c r="K179" s="376"/>
      <c r="L179" s="508">
        <v>0.000373</v>
      </c>
      <c r="M179" s="380">
        <f>+M177</f>
        <v>0</v>
      </c>
      <c r="N179" s="379">
        <f t="shared" si="31"/>
        <v>0</v>
      </c>
      <c r="O179" s="376"/>
      <c r="P179" s="381">
        <f t="shared" si="26"/>
        <v>0</v>
      </c>
      <c r="Q179" s="382">
        <f t="shared" si="27"/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0</v>
      </c>
      <c r="J181" s="379">
        <f t="shared" si="30"/>
        <v>0</v>
      </c>
      <c r="K181" s="376"/>
      <c r="L181" s="505">
        <v>0.007</v>
      </c>
      <c r="M181" s="380">
        <f>+$H153</f>
        <v>0</v>
      </c>
      <c r="N181" s="379">
        <f t="shared" si="31"/>
        <v>0</v>
      </c>
      <c r="O181" s="376"/>
      <c r="P181" s="381">
        <f t="shared" si="26"/>
        <v>0</v>
      </c>
      <c r="Q181" s="382">
        <f t="shared" si="27"/>
      </c>
    </row>
    <row r="182" spans="4:17" ht="12.75">
      <c r="D182" s="376" t="s">
        <v>359</v>
      </c>
      <c r="E182" s="376"/>
      <c r="F182" s="514" t="s">
        <v>53</v>
      </c>
      <c r="G182" s="377"/>
      <c r="H182" s="505">
        <f>+'Other Electriciy Rates'!$J$15</f>
        <v>0.065</v>
      </c>
      <c r="I182" s="378">
        <f>+$H153*(1+$H189)</f>
        <v>0</v>
      </c>
      <c r="J182" s="379">
        <f t="shared" si="30"/>
        <v>0</v>
      </c>
      <c r="K182" s="376"/>
      <c r="L182" s="505">
        <f>+'Other Electriciy Rates'!$J$30</f>
        <v>0.065</v>
      </c>
      <c r="M182" s="378">
        <f>+$H153*(1+$L189)</f>
        <v>0</v>
      </c>
      <c r="N182" s="379">
        <f t="shared" si="31"/>
        <v>0</v>
      </c>
      <c r="O182" s="376"/>
      <c r="P182" s="381">
        <f t="shared" si="26"/>
        <v>0</v>
      </c>
      <c r="Q182" s="382">
        <f t="shared" si="27"/>
      </c>
    </row>
    <row r="183" spans="4:17" ht="12.75">
      <c r="D183" s="502"/>
      <c r="E183" s="376"/>
      <c r="F183" s="514"/>
      <c r="G183" s="377"/>
      <c r="H183" s="505"/>
      <c r="I183" s="509"/>
      <c r="J183" s="379">
        <f t="shared" si="30"/>
        <v>0</v>
      </c>
      <c r="K183" s="376"/>
      <c r="L183" s="505"/>
      <c r="M183" s="509"/>
      <c r="N183" s="379">
        <f t="shared" si="31"/>
        <v>0</v>
      </c>
      <c r="O183" s="376"/>
      <c r="P183" s="381">
        <f t="shared" si="26"/>
        <v>0</v>
      </c>
      <c r="Q183" s="382">
        <f t="shared" si="27"/>
      </c>
    </row>
    <row r="184" spans="4:17" ht="13.5" thickBot="1">
      <c r="D184" s="501"/>
      <c r="E184" s="376"/>
      <c r="F184" s="514"/>
      <c r="G184" s="377"/>
      <c r="H184" s="505"/>
      <c r="I184" s="509"/>
      <c r="J184" s="379">
        <f t="shared" si="30"/>
        <v>0</v>
      </c>
      <c r="K184" s="376"/>
      <c r="L184" s="505"/>
      <c r="M184" s="509"/>
      <c r="N184" s="379">
        <f t="shared" si="31"/>
        <v>0</v>
      </c>
      <c r="O184" s="376"/>
      <c r="P184" s="381">
        <f t="shared" si="26"/>
        <v>0</v>
      </c>
      <c r="Q184" s="382">
        <f t="shared" si="27"/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0.65</v>
      </c>
      <c r="K185" s="403"/>
      <c r="L185" s="411"/>
      <c r="M185" s="412"/>
      <c r="N185" s="402">
        <f>SUM(N176:N184)</f>
        <v>1.7192</v>
      </c>
      <c r="O185" s="403"/>
      <c r="P185" s="406">
        <f>N185-J185</f>
        <v>1.0692</v>
      </c>
      <c r="Q185" s="407">
        <f>IF((J185)=0,"",(P185/J185))</f>
        <v>1.6449230769230767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0.0845</v>
      </c>
      <c r="K186" s="376"/>
      <c r="L186" s="511">
        <v>0.13</v>
      </c>
      <c r="M186" s="415"/>
      <c r="N186" s="414">
        <f>N185*L186</f>
        <v>0.22349600000000003</v>
      </c>
      <c r="O186" s="376"/>
      <c r="P186" s="381">
        <f>N186-J186</f>
        <v>0.138996</v>
      </c>
      <c r="Q186" s="382">
        <f>IF((J186)=0,"",(P186/J186))</f>
        <v>1.644923076923077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0.73</v>
      </c>
      <c r="K187" s="403"/>
      <c r="L187" s="404"/>
      <c r="M187" s="405"/>
      <c r="N187" s="402">
        <f>ROUND(SUM(N185:N186),2)</f>
        <v>1.94</v>
      </c>
      <c r="O187" s="403"/>
      <c r="P187" s="406">
        <f>N187-J187</f>
        <v>1.21</v>
      </c>
      <c r="Q187" s="407">
        <f>IF((J187)=0,"",(P187/J187))</f>
        <v>1.6575342465753424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Sentinel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15" ht="12.75">
      <c r="B200" s="363" t="s">
        <v>53</v>
      </c>
      <c r="F200" s="367" t="s">
        <v>66</v>
      </c>
      <c r="G200" s="367"/>
      <c r="H200" s="516"/>
      <c r="I200" s="367" t="s">
        <v>332</v>
      </c>
      <c r="J200" s="516"/>
      <c r="L200" s="367" t="s">
        <v>16</v>
      </c>
      <c r="M200" s="504"/>
      <c r="O200" s="367" t="s">
        <v>134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05">
        <f>+'2010 Existing Rates'!$B$13</f>
        <v>0.4</v>
      </c>
      <c r="I205" s="378">
        <f>+M$12</f>
        <v>1</v>
      </c>
      <c r="J205" s="379">
        <f aca="true" t="shared" si="32" ref="J205:J219">I205*H205</f>
        <v>0.4</v>
      </c>
      <c r="K205" s="376"/>
      <c r="L205" s="505">
        <f>+'Rate Schedule (Part 1)'!$E$51</f>
        <v>1.4692</v>
      </c>
      <c r="M205" s="380">
        <f>+M$12</f>
        <v>1</v>
      </c>
      <c r="N205" s="379">
        <f aca="true" t="shared" si="33" ref="N205:N219">M205*L205</f>
        <v>1.4692</v>
      </c>
      <c r="O205" s="376"/>
      <c r="P205" s="381">
        <f aca="true" t="shared" si="34" ref="P205:P231">N205-J205</f>
        <v>1.0692</v>
      </c>
      <c r="Q205" s="382">
        <f aca="true" t="shared" si="35" ref="Q205:Q231">IF((J205)=0,"",(P205/J205))</f>
        <v>2.6729999999999996</v>
      </c>
    </row>
    <row r="206" spans="4:17" ht="12.75">
      <c r="D206" s="376" t="s">
        <v>226</v>
      </c>
      <c r="E206" s="376"/>
      <c r="F206" s="514" t="s">
        <v>330</v>
      </c>
      <c r="G206" s="377"/>
      <c r="H206" s="505"/>
      <c r="I206" s="378">
        <v>1</v>
      </c>
      <c r="J206" s="379">
        <f t="shared" si="32"/>
        <v>0</v>
      </c>
      <c r="K206" s="376"/>
      <c r="L206" s="505"/>
      <c r="M206" s="380">
        <v>1</v>
      </c>
      <c r="N206" s="379">
        <f t="shared" si="33"/>
        <v>0</v>
      </c>
      <c r="O206" s="376"/>
      <c r="P206" s="381">
        <f t="shared" si="34"/>
        <v>0</v>
      </c>
      <c r="Q206" s="382">
        <f t="shared" si="35"/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05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22</v>
      </c>
      <c r="G209" s="377"/>
      <c r="H209" s="505">
        <f>+'2010 Existing Rates'!$D$63</f>
        <v>3.0225</v>
      </c>
      <c r="I209" s="378">
        <f>+J200</f>
        <v>0</v>
      </c>
      <c r="J209" s="379">
        <f t="shared" si="32"/>
        <v>0</v>
      </c>
      <c r="K209" s="376"/>
      <c r="L209" s="505">
        <f>+'Rate Schedule (Part 1)'!$E$52</f>
        <v>11.1018</v>
      </c>
      <c r="M209" s="380">
        <f>+J200</f>
        <v>0</v>
      </c>
      <c r="N209" s="379">
        <f t="shared" si="33"/>
        <v>0</v>
      </c>
      <c r="O209" s="376"/>
      <c r="P209" s="381">
        <f t="shared" si="34"/>
        <v>0</v>
      </c>
      <c r="Q209" s="382">
        <f t="shared" si="35"/>
      </c>
    </row>
    <row r="210" spans="4:17" ht="12.75">
      <c r="D210" s="376" t="s">
        <v>344</v>
      </c>
      <c r="E210" s="376"/>
      <c r="F210" s="514" t="s">
        <v>22</v>
      </c>
      <c r="G210" s="377"/>
      <c r="H210" s="505">
        <f>+'2010 Existing Rates'!$D$38</f>
        <v>0.0779</v>
      </c>
      <c r="I210" s="378">
        <f aca="true" t="shared" si="36" ref="I210:I215">I209</f>
        <v>0</v>
      </c>
      <c r="J210" s="379">
        <f t="shared" si="32"/>
        <v>0</v>
      </c>
      <c r="K210" s="376"/>
      <c r="L210" s="505">
        <f>+'Rate Schedule (Part 1)'!$E$53</f>
        <v>0.0564</v>
      </c>
      <c r="M210" s="380">
        <f aca="true" t="shared" si="37" ref="M210:M215">M209</f>
        <v>0</v>
      </c>
      <c r="N210" s="379">
        <f t="shared" si="33"/>
        <v>0</v>
      </c>
      <c r="O210" s="376"/>
      <c r="P210" s="381">
        <f t="shared" si="34"/>
        <v>0</v>
      </c>
      <c r="Q210" s="382">
        <f t="shared" si="35"/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0</v>
      </c>
      <c r="J211" s="379">
        <f t="shared" si="32"/>
        <v>0</v>
      </c>
      <c r="K211" s="376"/>
      <c r="L211" s="505"/>
      <c r="M211" s="380">
        <f t="shared" si="37"/>
        <v>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0</v>
      </c>
      <c r="J212" s="379">
        <f t="shared" si="32"/>
        <v>0</v>
      </c>
      <c r="K212" s="376"/>
      <c r="L212" s="505"/>
      <c r="M212" s="380">
        <f t="shared" si="37"/>
        <v>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0</v>
      </c>
      <c r="J213" s="379">
        <f t="shared" si="32"/>
        <v>0</v>
      </c>
      <c r="K213" s="376"/>
      <c r="L213" s="505"/>
      <c r="M213" s="380">
        <f t="shared" si="37"/>
        <v>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0</v>
      </c>
      <c r="J214" s="379">
        <f t="shared" si="32"/>
        <v>0</v>
      </c>
      <c r="K214" s="376"/>
      <c r="L214" s="505"/>
      <c r="M214" s="380">
        <f t="shared" si="37"/>
        <v>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22</v>
      </c>
      <c r="G215" s="377"/>
      <c r="H215" s="505">
        <f>+'2010 Existing Rates'!$D$26</f>
        <v>-3.3185</v>
      </c>
      <c r="I215" s="378">
        <f t="shared" si="36"/>
        <v>0</v>
      </c>
      <c r="J215" s="379">
        <f t="shared" si="32"/>
        <v>0</v>
      </c>
      <c r="K215" s="376"/>
      <c r="L215" s="505">
        <f>+'Rate Schedule (Part 1)'!$E$55</f>
        <v>-0.28275737528032935</v>
      </c>
      <c r="M215" s="380">
        <f t="shared" si="37"/>
        <v>0</v>
      </c>
      <c r="N215" s="379">
        <f t="shared" si="33"/>
        <v>0</v>
      </c>
      <c r="O215" s="376"/>
      <c r="P215" s="381">
        <f t="shared" si="34"/>
        <v>0</v>
      </c>
      <c r="Q215" s="382">
        <f t="shared" si="35"/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0.4</v>
      </c>
      <c r="L220" s="385"/>
      <c r="M220" s="388"/>
      <c r="N220" s="387">
        <f>SUM(N205:N219)</f>
        <v>1.4692</v>
      </c>
      <c r="P220" s="389">
        <f t="shared" si="34"/>
        <v>1.0692</v>
      </c>
      <c r="Q220" s="390">
        <f t="shared" si="35"/>
        <v>2.6729999999999996</v>
      </c>
    </row>
    <row r="221" spans="4:17" ht="12.75">
      <c r="D221" s="391" t="s">
        <v>351</v>
      </c>
      <c r="E221" s="391"/>
      <c r="F221" s="515" t="s">
        <v>22</v>
      </c>
      <c r="G221" s="392"/>
      <c r="H221" s="506">
        <v>1.6545</v>
      </c>
      <c r="I221" s="393">
        <f>+J200</f>
        <v>0</v>
      </c>
      <c r="J221" s="394">
        <f>I221*H221</f>
        <v>0</v>
      </c>
      <c r="K221" s="391"/>
      <c r="L221" s="506">
        <f>+'[7]E1.1 Adj Network to Fcst Whsl'!$S$28</f>
        <v>1.5378762071810521</v>
      </c>
      <c r="M221" s="395">
        <f>+J200</f>
        <v>0</v>
      </c>
      <c r="N221" s="394">
        <f>M221*L221</f>
        <v>0</v>
      </c>
      <c r="O221" s="391"/>
      <c r="P221" s="396">
        <f t="shared" si="34"/>
        <v>0</v>
      </c>
      <c r="Q221" s="397">
        <f t="shared" si="35"/>
      </c>
    </row>
    <row r="222" spans="4:17" ht="26.25" thickBot="1">
      <c r="D222" s="398" t="s">
        <v>352</v>
      </c>
      <c r="E222" s="391"/>
      <c r="F222" s="515" t="s">
        <v>22</v>
      </c>
      <c r="G222" s="392"/>
      <c r="H222" s="506">
        <v>1.3312</v>
      </c>
      <c r="I222" s="393">
        <f>I221</f>
        <v>0</v>
      </c>
      <c r="J222" s="394">
        <f>I222*H222</f>
        <v>0</v>
      </c>
      <c r="K222" s="391"/>
      <c r="L222" s="506">
        <f>+'[7]E1.2 Adj Conn to Fcst Whsl'!$S$28</f>
        <v>1.3145157096390492</v>
      </c>
      <c r="M222" s="395">
        <f>M221</f>
        <v>0</v>
      </c>
      <c r="N222" s="394">
        <f>M222*L222</f>
        <v>0</v>
      </c>
      <c r="O222" s="391"/>
      <c r="P222" s="396">
        <f t="shared" si="34"/>
        <v>0</v>
      </c>
      <c r="Q222" s="397">
        <f t="shared" si="35"/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0.4</v>
      </c>
      <c r="K223" s="403"/>
      <c r="L223" s="404"/>
      <c r="M223" s="405"/>
      <c r="N223" s="402">
        <f>SUM(N220:N222)</f>
        <v>1.4692</v>
      </c>
      <c r="O223" s="403"/>
      <c r="P223" s="406">
        <f t="shared" si="34"/>
        <v>1.0692</v>
      </c>
      <c r="Q223" s="407">
        <f t="shared" si="35"/>
        <v>2.6729999999999996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+$H200*(1+$H236)</f>
        <v>0</v>
      </c>
      <c r="J224" s="379">
        <f aca="true" t="shared" si="38" ref="J224:J231">I224*H224</f>
        <v>0</v>
      </c>
      <c r="K224" s="376"/>
      <c r="L224" s="505">
        <v>0.0052</v>
      </c>
      <c r="M224" s="380">
        <f>+M229</f>
        <v>0</v>
      </c>
      <c r="N224" s="379">
        <f aca="true" t="shared" si="39" ref="N224:N231">M224*L224</f>
        <v>0</v>
      </c>
      <c r="O224" s="376"/>
      <c r="P224" s="381">
        <f t="shared" si="34"/>
        <v>0</v>
      </c>
      <c r="Q224" s="382">
        <f t="shared" si="35"/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+I224</f>
        <v>0</v>
      </c>
      <c r="J225" s="379">
        <f t="shared" si="38"/>
        <v>0</v>
      </c>
      <c r="K225" s="376"/>
      <c r="L225" s="505">
        <v>0.0013</v>
      </c>
      <c r="M225" s="380">
        <f>+M224</f>
        <v>0</v>
      </c>
      <c r="N225" s="379">
        <f t="shared" si="39"/>
        <v>0</v>
      </c>
      <c r="O225" s="376"/>
      <c r="P225" s="381">
        <f t="shared" si="34"/>
        <v>0</v>
      </c>
      <c r="Q225" s="382">
        <f t="shared" si="35"/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+I224</f>
        <v>0</v>
      </c>
      <c r="J226" s="379">
        <f t="shared" si="38"/>
        <v>0</v>
      </c>
      <c r="K226" s="376"/>
      <c r="L226" s="508">
        <v>0.000373</v>
      </c>
      <c r="M226" s="380">
        <f>+M224</f>
        <v>0</v>
      </c>
      <c r="N226" s="379">
        <f t="shared" si="39"/>
        <v>0</v>
      </c>
      <c r="O226" s="376"/>
      <c r="P226" s="381">
        <f t="shared" si="34"/>
        <v>0</v>
      </c>
      <c r="Q226" s="382">
        <f t="shared" si="35"/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0</v>
      </c>
      <c r="J228" s="379">
        <f t="shared" si="38"/>
        <v>0</v>
      </c>
      <c r="K228" s="376"/>
      <c r="L228" s="505">
        <v>0.007</v>
      </c>
      <c r="M228" s="380">
        <f>+$H200</f>
        <v>0</v>
      </c>
      <c r="N228" s="379">
        <f t="shared" si="39"/>
        <v>0</v>
      </c>
      <c r="O228" s="376"/>
      <c r="P228" s="381">
        <f t="shared" si="34"/>
        <v>0</v>
      </c>
      <c r="Q228" s="382">
        <f t="shared" si="35"/>
      </c>
    </row>
    <row r="229" spans="4:17" ht="12.75">
      <c r="D229" s="376" t="s">
        <v>359</v>
      </c>
      <c r="E229" s="376"/>
      <c r="F229" s="514" t="s">
        <v>53</v>
      </c>
      <c r="G229" s="377"/>
      <c r="H229" s="505">
        <f>+'Other Electriciy Rates'!$J$15</f>
        <v>0.065</v>
      </c>
      <c r="I229" s="378">
        <f>+$H200*(1+$H236)</f>
        <v>0</v>
      </c>
      <c r="J229" s="379">
        <f t="shared" si="38"/>
        <v>0</v>
      </c>
      <c r="K229" s="376"/>
      <c r="L229" s="505">
        <f>+'Other Electriciy Rates'!$J$30</f>
        <v>0.065</v>
      </c>
      <c r="M229" s="378">
        <f>+$H200*(1+$L236)</f>
        <v>0</v>
      </c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/>
      <c r="E230" s="376"/>
      <c r="F230" s="514"/>
      <c r="G230" s="377"/>
      <c r="H230" s="505"/>
      <c r="I230" s="509"/>
      <c r="J230" s="379">
        <f t="shared" si="38"/>
        <v>0</v>
      </c>
      <c r="K230" s="376"/>
      <c r="L230" s="505"/>
      <c r="M230" s="509"/>
      <c r="N230" s="379">
        <f t="shared" si="39"/>
        <v>0</v>
      </c>
      <c r="O230" s="376"/>
      <c r="P230" s="381">
        <f t="shared" si="34"/>
        <v>0</v>
      </c>
      <c r="Q230" s="382">
        <f t="shared" si="35"/>
      </c>
    </row>
    <row r="231" spans="4:17" ht="13.5" thickBot="1">
      <c r="D231" s="501"/>
      <c r="E231" s="376"/>
      <c r="F231" s="514"/>
      <c r="G231" s="377"/>
      <c r="H231" s="505"/>
      <c r="I231" s="509"/>
      <c r="J231" s="379">
        <f t="shared" si="38"/>
        <v>0</v>
      </c>
      <c r="K231" s="376"/>
      <c r="L231" s="505"/>
      <c r="M231" s="509"/>
      <c r="N231" s="379">
        <f t="shared" si="39"/>
        <v>0</v>
      </c>
      <c r="O231" s="376"/>
      <c r="P231" s="381">
        <f t="shared" si="34"/>
        <v>0</v>
      </c>
      <c r="Q231" s="382">
        <f t="shared" si="35"/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0.65</v>
      </c>
      <c r="K232" s="403"/>
      <c r="L232" s="411"/>
      <c r="M232" s="412"/>
      <c r="N232" s="402">
        <f>SUM(N223:N231)</f>
        <v>1.7192</v>
      </c>
      <c r="O232" s="403"/>
      <c r="P232" s="406">
        <f>N232-J232</f>
        <v>1.0692</v>
      </c>
      <c r="Q232" s="407">
        <f>IF((J232)=0,"",(P232/J232))</f>
        <v>1.6449230769230767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0.0845</v>
      </c>
      <c r="K233" s="376"/>
      <c r="L233" s="511">
        <v>0.13</v>
      </c>
      <c r="M233" s="415"/>
      <c r="N233" s="414">
        <f>N232*L233</f>
        <v>0.22349600000000003</v>
      </c>
      <c r="O233" s="376"/>
      <c r="P233" s="381">
        <f>N233-J233</f>
        <v>0.138996</v>
      </c>
      <c r="Q233" s="382">
        <f>IF((J233)=0,"",(P233/J233))</f>
        <v>1.644923076923077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0.73</v>
      </c>
      <c r="K234" s="403"/>
      <c r="L234" s="404"/>
      <c r="M234" s="405"/>
      <c r="N234" s="402">
        <f>ROUND(SUM(N232:N233),2)</f>
        <v>1.94</v>
      </c>
      <c r="O234" s="403"/>
      <c r="P234" s="406">
        <f>N234-J234</f>
        <v>1.21</v>
      </c>
      <c r="Q234" s="407">
        <f>IF((J234)=0,"",(P234/J234))</f>
        <v>1.6575342465753424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Sentinel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15" ht="12.75">
      <c r="B247" s="363" t="s">
        <v>53</v>
      </c>
      <c r="F247" s="367" t="s">
        <v>66</v>
      </c>
      <c r="G247" s="367"/>
      <c r="H247" s="516"/>
      <c r="I247" s="367" t="s">
        <v>332</v>
      </c>
      <c r="J247" s="516"/>
      <c r="L247" s="367" t="s">
        <v>16</v>
      </c>
      <c r="M247" s="504"/>
      <c r="O247" s="367" t="s">
        <v>134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05">
        <f>+'2010 Existing Rates'!$B$13</f>
        <v>0.4</v>
      </c>
      <c r="I252" s="378">
        <f>+M$12</f>
        <v>1</v>
      </c>
      <c r="J252" s="379">
        <f aca="true" t="shared" si="40" ref="J252:J266">I252*H252</f>
        <v>0.4</v>
      </c>
      <c r="K252" s="376"/>
      <c r="L252" s="505">
        <f>+'Rate Schedule (Part 1)'!$E$51</f>
        <v>1.4692</v>
      </c>
      <c r="M252" s="380">
        <f>+M$12</f>
        <v>1</v>
      </c>
      <c r="N252" s="379">
        <f aca="true" t="shared" si="41" ref="N252:N266">M252*L252</f>
        <v>1.4692</v>
      </c>
      <c r="O252" s="376"/>
      <c r="P252" s="381">
        <f aca="true" t="shared" si="42" ref="P252:P278">N252-J252</f>
        <v>1.0692</v>
      </c>
      <c r="Q252" s="382">
        <f aca="true" t="shared" si="43" ref="Q252:Q278">IF((J252)=0,"",(P252/J252))</f>
        <v>2.6729999999999996</v>
      </c>
    </row>
    <row r="253" spans="4:17" ht="12.75">
      <c r="D253" s="376" t="s">
        <v>226</v>
      </c>
      <c r="E253" s="376"/>
      <c r="F253" s="514" t="s">
        <v>330</v>
      </c>
      <c r="G253" s="377"/>
      <c r="H253" s="505"/>
      <c r="I253" s="378">
        <v>1</v>
      </c>
      <c r="J253" s="379">
        <f t="shared" si="40"/>
        <v>0</v>
      </c>
      <c r="K253" s="376"/>
      <c r="L253" s="505"/>
      <c r="M253" s="380">
        <v>1</v>
      </c>
      <c r="N253" s="379">
        <f t="shared" si="41"/>
        <v>0</v>
      </c>
      <c r="O253" s="376"/>
      <c r="P253" s="381">
        <f t="shared" si="42"/>
        <v>0</v>
      </c>
      <c r="Q253" s="382">
        <f t="shared" si="43"/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22</v>
      </c>
      <c r="G256" s="377"/>
      <c r="H256" s="505">
        <f>+'2010 Existing Rates'!$D$63</f>
        <v>3.0225</v>
      </c>
      <c r="I256" s="378">
        <f>+J247</f>
        <v>0</v>
      </c>
      <c r="J256" s="379">
        <f t="shared" si="40"/>
        <v>0</v>
      </c>
      <c r="K256" s="376"/>
      <c r="L256" s="505">
        <f>+'Rate Schedule (Part 1)'!$E$52</f>
        <v>11.1018</v>
      </c>
      <c r="M256" s="380">
        <f>+J247</f>
        <v>0</v>
      </c>
      <c r="N256" s="379">
        <f t="shared" si="41"/>
        <v>0</v>
      </c>
      <c r="O256" s="376"/>
      <c r="P256" s="381">
        <f t="shared" si="42"/>
        <v>0</v>
      </c>
      <c r="Q256" s="382">
        <f t="shared" si="43"/>
      </c>
    </row>
    <row r="257" spans="4:17" ht="12.75">
      <c r="D257" s="376" t="s">
        <v>344</v>
      </c>
      <c r="E257" s="376"/>
      <c r="F257" s="514" t="s">
        <v>22</v>
      </c>
      <c r="G257" s="377"/>
      <c r="H257" s="505">
        <f>+'2010 Existing Rates'!$D$38</f>
        <v>0.0779</v>
      </c>
      <c r="I257" s="378">
        <f aca="true" t="shared" si="44" ref="I257:I262">I256</f>
        <v>0</v>
      </c>
      <c r="J257" s="379">
        <f t="shared" si="40"/>
        <v>0</v>
      </c>
      <c r="K257" s="376"/>
      <c r="L257" s="505">
        <f>+'Rate Schedule (Part 1)'!$E$53</f>
        <v>0.0564</v>
      </c>
      <c r="M257" s="380">
        <f aca="true" t="shared" si="45" ref="M257:M262">M256</f>
        <v>0</v>
      </c>
      <c r="N257" s="379">
        <f t="shared" si="41"/>
        <v>0</v>
      </c>
      <c r="O257" s="376"/>
      <c r="P257" s="381">
        <f t="shared" si="42"/>
        <v>0</v>
      </c>
      <c r="Q257" s="382">
        <f t="shared" si="43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0</v>
      </c>
      <c r="J258" s="379">
        <f t="shared" si="40"/>
        <v>0</v>
      </c>
      <c r="K258" s="376"/>
      <c r="L258" s="505"/>
      <c r="M258" s="380">
        <f t="shared" si="45"/>
        <v>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0</v>
      </c>
      <c r="J259" s="379">
        <f t="shared" si="40"/>
        <v>0</v>
      </c>
      <c r="K259" s="376"/>
      <c r="L259" s="505"/>
      <c r="M259" s="380">
        <f t="shared" si="45"/>
        <v>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0</v>
      </c>
      <c r="J260" s="379">
        <f t="shared" si="40"/>
        <v>0</v>
      </c>
      <c r="K260" s="376"/>
      <c r="L260" s="505"/>
      <c r="M260" s="380">
        <f t="shared" si="45"/>
        <v>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0</v>
      </c>
      <c r="J261" s="379">
        <f t="shared" si="40"/>
        <v>0</v>
      </c>
      <c r="K261" s="376"/>
      <c r="L261" s="505"/>
      <c r="M261" s="380">
        <f t="shared" si="45"/>
        <v>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22</v>
      </c>
      <c r="G262" s="377"/>
      <c r="H262" s="505">
        <f>+'2010 Existing Rates'!$D$26</f>
        <v>-3.3185</v>
      </c>
      <c r="I262" s="378">
        <f t="shared" si="44"/>
        <v>0</v>
      </c>
      <c r="J262" s="379">
        <f t="shared" si="40"/>
        <v>0</v>
      </c>
      <c r="K262" s="376"/>
      <c r="L262" s="505">
        <f>+'Rate Schedule (Part 1)'!$E$55</f>
        <v>-0.28275737528032935</v>
      </c>
      <c r="M262" s="380">
        <f t="shared" si="45"/>
        <v>0</v>
      </c>
      <c r="N262" s="379">
        <f t="shared" si="41"/>
        <v>0</v>
      </c>
      <c r="O262" s="376"/>
      <c r="P262" s="381">
        <f t="shared" si="42"/>
        <v>0</v>
      </c>
      <c r="Q262" s="382">
        <f t="shared" si="43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0.4</v>
      </c>
      <c r="L267" s="385"/>
      <c r="M267" s="388"/>
      <c r="N267" s="387">
        <f>SUM(N252:N266)</f>
        <v>1.4692</v>
      </c>
      <c r="P267" s="389">
        <f t="shared" si="42"/>
        <v>1.0692</v>
      </c>
      <c r="Q267" s="390">
        <f t="shared" si="43"/>
        <v>2.6729999999999996</v>
      </c>
    </row>
    <row r="268" spans="4:17" ht="12.75">
      <c r="D268" s="391" t="s">
        <v>351</v>
      </c>
      <c r="E268" s="391"/>
      <c r="F268" s="515" t="s">
        <v>22</v>
      </c>
      <c r="G268" s="392"/>
      <c r="H268" s="506">
        <v>1.6545</v>
      </c>
      <c r="I268" s="393">
        <f>+J247</f>
        <v>0</v>
      </c>
      <c r="J268" s="394">
        <f>I268*H268</f>
        <v>0</v>
      </c>
      <c r="K268" s="391"/>
      <c r="L268" s="506">
        <f>+'[7]E1.1 Adj Network to Fcst Whsl'!$S$28</f>
        <v>1.5378762071810521</v>
      </c>
      <c r="M268" s="395">
        <f>+J247</f>
        <v>0</v>
      </c>
      <c r="N268" s="394">
        <f>M268*L268</f>
        <v>0</v>
      </c>
      <c r="O268" s="391"/>
      <c r="P268" s="396">
        <f t="shared" si="42"/>
        <v>0</v>
      </c>
      <c r="Q268" s="397">
        <f t="shared" si="43"/>
      </c>
    </row>
    <row r="269" spans="4:17" ht="26.25" thickBot="1">
      <c r="D269" s="398" t="s">
        <v>352</v>
      </c>
      <c r="E269" s="391"/>
      <c r="F269" s="515" t="s">
        <v>22</v>
      </c>
      <c r="G269" s="392"/>
      <c r="H269" s="506">
        <v>1.3312</v>
      </c>
      <c r="I269" s="393">
        <f>I268</f>
        <v>0</v>
      </c>
      <c r="J269" s="394">
        <f>I269*H269</f>
        <v>0</v>
      </c>
      <c r="K269" s="391"/>
      <c r="L269" s="506">
        <f>+'[7]E1.2 Adj Conn to Fcst Whsl'!$S$28</f>
        <v>1.3145157096390492</v>
      </c>
      <c r="M269" s="395">
        <f>M268</f>
        <v>0</v>
      </c>
      <c r="N269" s="394">
        <f>M269*L269</f>
        <v>0</v>
      </c>
      <c r="O269" s="391"/>
      <c r="P269" s="396">
        <f t="shared" si="42"/>
        <v>0</v>
      </c>
      <c r="Q269" s="397">
        <f t="shared" si="43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0.4</v>
      </c>
      <c r="K270" s="403"/>
      <c r="L270" s="404"/>
      <c r="M270" s="405"/>
      <c r="N270" s="402">
        <f>SUM(N267:N269)</f>
        <v>1.4692</v>
      </c>
      <c r="O270" s="403"/>
      <c r="P270" s="406">
        <f t="shared" si="42"/>
        <v>1.0692</v>
      </c>
      <c r="Q270" s="407">
        <f t="shared" si="43"/>
        <v>2.6729999999999996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+$H247*(1+$H283)</f>
        <v>0</v>
      </c>
      <c r="J271" s="379">
        <f aca="true" t="shared" si="46" ref="J271:J278">I271*H271</f>
        <v>0</v>
      </c>
      <c r="K271" s="376"/>
      <c r="L271" s="505">
        <v>0.0052</v>
      </c>
      <c r="M271" s="380">
        <f>+M276</f>
        <v>0</v>
      </c>
      <c r="N271" s="379">
        <f aca="true" t="shared" si="47" ref="N271:N278">M271*L271</f>
        <v>0</v>
      </c>
      <c r="O271" s="376"/>
      <c r="P271" s="381">
        <f t="shared" si="42"/>
        <v>0</v>
      </c>
      <c r="Q271" s="382">
        <f t="shared" si="43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+I271</f>
        <v>0</v>
      </c>
      <c r="J272" s="379">
        <f t="shared" si="46"/>
        <v>0</v>
      </c>
      <c r="K272" s="376"/>
      <c r="L272" s="505">
        <v>0.0013</v>
      </c>
      <c r="M272" s="380">
        <f>+M271</f>
        <v>0</v>
      </c>
      <c r="N272" s="379">
        <f t="shared" si="47"/>
        <v>0</v>
      </c>
      <c r="O272" s="376"/>
      <c r="P272" s="381">
        <f t="shared" si="42"/>
        <v>0</v>
      </c>
      <c r="Q272" s="382">
        <f t="shared" si="43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+I271</f>
        <v>0</v>
      </c>
      <c r="J273" s="379">
        <f t="shared" si="46"/>
        <v>0</v>
      </c>
      <c r="K273" s="376"/>
      <c r="L273" s="508">
        <v>0.000373</v>
      </c>
      <c r="M273" s="380">
        <f>+M271</f>
        <v>0</v>
      </c>
      <c r="N273" s="379">
        <f t="shared" si="47"/>
        <v>0</v>
      </c>
      <c r="O273" s="376"/>
      <c r="P273" s="381">
        <f t="shared" si="42"/>
        <v>0</v>
      </c>
      <c r="Q273" s="382">
        <f t="shared" si="43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46"/>
        <v>0</v>
      </c>
      <c r="K275" s="376"/>
      <c r="L275" s="505">
        <v>0.007</v>
      </c>
      <c r="M275" s="380">
        <f>+$H247</f>
        <v>0</v>
      </c>
      <c r="N275" s="379">
        <f t="shared" si="47"/>
        <v>0</v>
      </c>
      <c r="O275" s="376"/>
      <c r="P275" s="381">
        <f t="shared" si="42"/>
        <v>0</v>
      </c>
      <c r="Q275" s="382">
        <f t="shared" si="43"/>
      </c>
    </row>
    <row r="276" spans="4:17" ht="12.75">
      <c r="D276" s="376" t="s">
        <v>359</v>
      </c>
      <c r="E276" s="376"/>
      <c r="F276" s="514" t="s">
        <v>53</v>
      </c>
      <c r="G276" s="377"/>
      <c r="H276" s="505">
        <f>+'Other Electriciy Rates'!$J$15</f>
        <v>0.065</v>
      </c>
      <c r="I276" s="378">
        <f>+$H247*(1+$H283)</f>
        <v>0</v>
      </c>
      <c r="J276" s="379">
        <f t="shared" si="46"/>
        <v>0</v>
      </c>
      <c r="K276" s="376"/>
      <c r="L276" s="505">
        <f>+'Other Electriciy Rates'!$J$30</f>
        <v>0.065</v>
      </c>
      <c r="M276" s="378">
        <f>+$H247*(1+$L283)</f>
        <v>0</v>
      </c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/>
      <c r="E277" s="376"/>
      <c r="F277" s="514"/>
      <c r="G277" s="377"/>
      <c r="H277" s="505"/>
      <c r="I277" s="509"/>
      <c r="J277" s="379">
        <f t="shared" si="46"/>
        <v>0</v>
      </c>
      <c r="K277" s="376"/>
      <c r="L277" s="505"/>
      <c r="M277" s="509"/>
      <c r="N277" s="379">
        <f t="shared" si="47"/>
        <v>0</v>
      </c>
      <c r="O277" s="376"/>
      <c r="P277" s="381">
        <f t="shared" si="42"/>
        <v>0</v>
      </c>
      <c r="Q277" s="382">
        <f t="shared" si="43"/>
      </c>
    </row>
    <row r="278" spans="4:17" ht="13.5" thickBot="1">
      <c r="D278" s="501"/>
      <c r="E278" s="376"/>
      <c r="F278" s="514"/>
      <c r="G278" s="377"/>
      <c r="H278" s="505"/>
      <c r="I278" s="509"/>
      <c r="J278" s="379">
        <f t="shared" si="46"/>
        <v>0</v>
      </c>
      <c r="K278" s="376"/>
      <c r="L278" s="505"/>
      <c r="M278" s="509"/>
      <c r="N278" s="379">
        <f t="shared" si="47"/>
        <v>0</v>
      </c>
      <c r="O278" s="376"/>
      <c r="P278" s="381">
        <f t="shared" si="42"/>
        <v>0</v>
      </c>
      <c r="Q278" s="382">
        <f t="shared" si="43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0.65</v>
      </c>
      <c r="K279" s="403"/>
      <c r="L279" s="411"/>
      <c r="M279" s="412"/>
      <c r="N279" s="402">
        <f>SUM(N270:N278)</f>
        <v>1.7192</v>
      </c>
      <c r="O279" s="403"/>
      <c r="P279" s="406">
        <f>N279-J279</f>
        <v>1.0692</v>
      </c>
      <c r="Q279" s="407">
        <f>IF((J279)=0,"",(P279/J279))</f>
        <v>1.6449230769230767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0.0845</v>
      </c>
      <c r="K280" s="376"/>
      <c r="L280" s="511">
        <v>0.13</v>
      </c>
      <c r="M280" s="415"/>
      <c r="N280" s="414">
        <f>N279*L280</f>
        <v>0.22349600000000003</v>
      </c>
      <c r="O280" s="376"/>
      <c r="P280" s="381">
        <f>N280-J280</f>
        <v>0.138996</v>
      </c>
      <c r="Q280" s="382">
        <f>IF((J280)=0,"",(P280/J280))</f>
        <v>1.644923076923077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0.73</v>
      </c>
      <c r="K281" s="403"/>
      <c r="L281" s="404"/>
      <c r="M281" s="405"/>
      <c r="N281" s="402">
        <f>ROUND(SUM(N279:N280),2)</f>
        <v>1.94</v>
      </c>
      <c r="O281" s="403"/>
      <c r="P281" s="406">
        <f>N281-J281</f>
        <v>1.21</v>
      </c>
      <c r="Q281" s="407">
        <f>IF((J281)=0,"",(P281/J281))</f>
        <v>1.6575342465753424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Sentinel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15" ht="12.75">
      <c r="B294" s="363" t="s">
        <v>53</v>
      </c>
      <c r="F294" s="367" t="s">
        <v>66</v>
      </c>
      <c r="G294" s="367"/>
      <c r="H294" s="516"/>
      <c r="I294" s="367" t="s">
        <v>332</v>
      </c>
      <c r="J294" s="516"/>
      <c r="L294" s="367" t="s">
        <v>16</v>
      </c>
      <c r="M294" s="504"/>
      <c r="O294" s="367" t="s">
        <v>134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05">
        <f>+'2010 Existing Rates'!$B$13</f>
        <v>0.4</v>
      </c>
      <c r="I299" s="378">
        <f>+M$12</f>
        <v>1</v>
      </c>
      <c r="J299" s="379">
        <f aca="true" t="shared" si="48" ref="J299:J313">I299*H299</f>
        <v>0.4</v>
      </c>
      <c r="K299" s="376"/>
      <c r="L299" s="505">
        <f>+'Rate Schedule (Part 1)'!$E$51</f>
        <v>1.4692</v>
      </c>
      <c r="M299" s="380">
        <f>+M$12</f>
        <v>1</v>
      </c>
      <c r="N299" s="379">
        <f aca="true" t="shared" si="49" ref="N299:N313">M299*L299</f>
        <v>1.4692</v>
      </c>
      <c r="O299" s="376"/>
      <c r="P299" s="381">
        <f aca="true" t="shared" si="50" ref="P299:P325">N299-J299</f>
        <v>1.0692</v>
      </c>
      <c r="Q299" s="382">
        <f aca="true" t="shared" si="51" ref="Q299:Q325">IF((J299)=0,"",(P299/J299))</f>
        <v>2.6729999999999996</v>
      </c>
    </row>
    <row r="300" spans="4:17" ht="12.75">
      <c r="D300" s="376" t="s">
        <v>226</v>
      </c>
      <c r="E300" s="376"/>
      <c r="F300" s="514" t="s">
        <v>330</v>
      </c>
      <c r="G300" s="377"/>
      <c r="H300" s="505"/>
      <c r="I300" s="378">
        <v>1</v>
      </c>
      <c r="J300" s="379">
        <f t="shared" si="48"/>
        <v>0</v>
      </c>
      <c r="K300" s="376"/>
      <c r="L300" s="505"/>
      <c r="M300" s="380">
        <v>1</v>
      </c>
      <c r="N300" s="379">
        <f t="shared" si="49"/>
        <v>0</v>
      </c>
      <c r="O300" s="376"/>
      <c r="P300" s="381">
        <f t="shared" si="50"/>
        <v>0</v>
      </c>
      <c r="Q300" s="382">
        <f t="shared" si="51"/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22</v>
      </c>
      <c r="G303" s="377"/>
      <c r="H303" s="505">
        <f>+'2010 Existing Rates'!$D$63</f>
        <v>3.0225</v>
      </c>
      <c r="I303" s="378">
        <f>+J294</f>
        <v>0</v>
      </c>
      <c r="J303" s="379">
        <f t="shared" si="48"/>
        <v>0</v>
      </c>
      <c r="K303" s="376"/>
      <c r="L303" s="505">
        <f>+'Rate Schedule (Part 1)'!$E$52</f>
        <v>11.1018</v>
      </c>
      <c r="M303" s="380">
        <f>+J294</f>
        <v>0</v>
      </c>
      <c r="N303" s="379">
        <f t="shared" si="49"/>
        <v>0</v>
      </c>
      <c r="O303" s="376"/>
      <c r="P303" s="381">
        <f t="shared" si="50"/>
        <v>0</v>
      </c>
      <c r="Q303" s="382">
        <f t="shared" si="51"/>
      </c>
    </row>
    <row r="304" spans="4:17" ht="12.75">
      <c r="D304" s="376" t="s">
        <v>344</v>
      </c>
      <c r="E304" s="376"/>
      <c r="F304" s="514" t="s">
        <v>22</v>
      </c>
      <c r="G304" s="377"/>
      <c r="H304" s="505">
        <f>+'2010 Existing Rates'!$D$38</f>
        <v>0.0779</v>
      </c>
      <c r="I304" s="378">
        <f aca="true" t="shared" si="52" ref="I304:I309">I303</f>
        <v>0</v>
      </c>
      <c r="J304" s="379">
        <f t="shared" si="48"/>
        <v>0</v>
      </c>
      <c r="K304" s="376"/>
      <c r="L304" s="505">
        <f>+'Rate Schedule (Part 1)'!$E$53</f>
        <v>0.0564</v>
      </c>
      <c r="M304" s="380">
        <f aca="true" t="shared" si="53" ref="M304:M309">M303</f>
        <v>0</v>
      </c>
      <c r="N304" s="379">
        <f t="shared" si="49"/>
        <v>0</v>
      </c>
      <c r="O304" s="376"/>
      <c r="P304" s="381">
        <f t="shared" si="50"/>
        <v>0</v>
      </c>
      <c r="Q304" s="382">
        <f t="shared" si="51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0</v>
      </c>
      <c r="J305" s="379">
        <f t="shared" si="48"/>
        <v>0</v>
      </c>
      <c r="K305" s="376"/>
      <c r="L305" s="505"/>
      <c r="M305" s="380">
        <f t="shared" si="53"/>
        <v>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0</v>
      </c>
      <c r="J306" s="379">
        <f t="shared" si="48"/>
        <v>0</v>
      </c>
      <c r="K306" s="376"/>
      <c r="L306" s="505"/>
      <c r="M306" s="380">
        <f t="shared" si="53"/>
        <v>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0</v>
      </c>
      <c r="J307" s="379">
        <f t="shared" si="48"/>
        <v>0</v>
      </c>
      <c r="K307" s="376"/>
      <c r="L307" s="505"/>
      <c r="M307" s="380">
        <f t="shared" si="53"/>
        <v>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0</v>
      </c>
      <c r="J308" s="379">
        <f t="shared" si="48"/>
        <v>0</v>
      </c>
      <c r="K308" s="376"/>
      <c r="L308" s="505"/>
      <c r="M308" s="380">
        <f t="shared" si="53"/>
        <v>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22</v>
      </c>
      <c r="G309" s="377"/>
      <c r="H309" s="505">
        <f>+'2010 Existing Rates'!$D$26</f>
        <v>-3.3185</v>
      </c>
      <c r="I309" s="378">
        <f t="shared" si="52"/>
        <v>0</v>
      </c>
      <c r="J309" s="379">
        <f t="shared" si="48"/>
        <v>0</v>
      </c>
      <c r="K309" s="376"/>
      <c r="L309" s="505">
        <f>+'Rate Schedule (Part 1)'!$E$55</f>
        <v>-0.28275737528032935</v>
      </c>
      <c r="M309" s="380">
        <f t="shared" si="53"/>
        <v>0</v>
      </c>
      <c r="N309" s="379">
        <f t="shared" si="49"/>
        <v>0</v>
      </c>
      <c r="O309" s="376"/>
      <c r="P309" s="381">
        <f t="shared" si="50"/>
        <v>0</v>
      </c>
      <c r="Q309" s="382">
        <f t="shared" si="51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0.4</v>
      </c>
      <c r="L314" s="385"/>
      <c r="M314" s="388"/>
      <c r="N314" s="387">
        <f>SUM(N299:N313)</f>
        <v>1.4692</v>
      </c>
      <c r="P314" s="389">
        <f t="shared" si="50"/>
        <v>1.0692</v>
      </c>
      <c r="Q314" s="390">
        <f t="shared" si="51"/>
        <v>2.6729999999999996</v>
      </c>
    </row>
    <row r="315" spans="4:17" ht="12.75">
      <c r="D315" s="391" t="s">
        <v>351</v>
      </c>
      <c r="E315" s="391"/>
      <c r="F315" s="515" t="s">
        <v>22</v>
      </c>
      <c r="G315" s="392"/>
      <c r="H315" s="506">
        <v>1.6545</v>
      </c>
      <c r="I315" s="393">
        <f>+J294</f>
        <v>0</v>
      </c>
      <c r="J315" s="394">
        <f>I315*H315</f>
        <v>0</v>
      </c>
      <c r="K315" s="391"/>
      <c r="L315" s="506">
        <f>+'[7]E1.1 Adj Network to Fcst Whsl'!$S$28</f>
        <v>1.5378762071810521</v>
      </c>
      <c r="M315" s="395">
        <f>+J294</f>
        <v>0</v>
      </c>
      <c r="N315" s="394">
        <f>M315*L315</f>
        <v>0</v>
      </c>
      <c r="O315" s="391"/>
      <c r="P315" s="396">
        <f t="shared" si="50"/>
        <v>0</v>
      </c>
      <c r="Q315" s="397">
        <f t="shared" si="51"/>
      </c>
    </row>
    <row r="316" spans="4:17" ht="26.25" thickBot="1">
      <c r="D316" s="398" t="s">
        <v>352</v>
      </c>
      <c r="E316" s="391"/>
      <c r="F316" s="515" t="s">
        <v>22</v>
      </c>
      <c r="G316" s="392"/>
      <c r="H316" s="506">
        <v>1.3312</v>
      </c>
      <c r="I316" s="393">
        <f>I315</f>
        <v>0</v>
      </c>
      <c r="J316" s="394">
        <f>I316*H316</f>
        <v>0</v>
      </c>
      <c r="K316" s="391"/>
      <c r="L316" s="506">
        <f>+'[7]E1.2 Adj Conn to Fcst Whsl'!$S$28</f>
        <v>1.3145157096390492</v>
      </c>
      <c r="M316" s="395">
        <f>M315</f>
        <v>0</v>
      </c>
      <c r="N316" s="394">
        <f>M316*L316</f>
        <v>0</v>
      </c>
      <c r="O316" s="391"/>
      <c r="P316" s="396">
        <f t="shared" si="50"/>
        <v>0</v>
      </c>
      <c r="Q316" s="397">
        <f t="shared" si="51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0.4</v>
      </c>
      <c r="K317" s="403"/>
      <c r="L317" s="404"/>
      <c r="M317" s="405"/>
      <c r="N317" s="402">
        <f>SUM(N314:N316)</f>
        <v>1.4692</v>
      </c>
      <c r="O317" s="403"/>
      <c r="P317" s="406">
        <f t="shared" si="50"/>
        <v>1.0692</v>
      </c>
      <c r="Q317" s="407">
        <f t="shared" si="51"/>
        <v>2.6729999999999996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+$H294*(1+$H330)</f>
        <v>0</v>
      </c>
      <c r="J318" s="379">
        <f aca="true" t="shared" si="54" ref="J318:J325">I318*H318</f>
        <v>0</v>
      </c>
      <c r="K318" s="376"/>
      <c r="L318" s="505">
        <v>0.0052</v>
      </c>
      <c r="M318" s="380">
        <f>+M323</f>
        <v>0</v>
      </c>
      <c r="N318" s="379">
        <f aca="true" t="shared" si="55" ref="N318:N325">M318*L318</f>
        <v>0</v>
      </c>
      <c r="O318" s="376"/>
      <c r="P318" s="381">
        <f t="shared" si="50"/>
        <v>0</v>
      </c>
      <c r="Q318" s="382">
        <f t="shared" si="51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+I318</f>
        <v>0</v>
      </c>
      <c r="J319" s="379">
        <f t="shared" si="54"/>
        <v>0</v>
      </c>
      <c r="K319" s="376"/>
      <c r="L319" s="505">
        <v>0.0013</v>
      </c>
      <c r="M319" s="380">
        <f>+M318</f>
        <v>0</v>
      </c>
      <c r="N319" s="379">
        <f t="shared" si="55"/>
        <v>0</v>
      </c>
      <c r="O319" s="376"/>
      <c r="P319" s="381">
        <f t="shared" si="50"/>
        <v>0</v>
      </c>
      <c r="Q319" s="382">
        <f t="shared" si="51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+I318</f>
        <v>0</v>
      </c>
      <c r="J320" s="379">
        <f t="shared" si="54"/>
        <v>0</v>
      </c>
      <c r="K320" s="376"/>
      <c r="L320" s="508">
        <v>0.000373</v>
      </c>
      <c r="M320" s="380">
        <f>+M318</f>
        <v>0</v>
      </c>
      <c r="N320" s="379">
        <f t="shared" si="55"/>
        <v>0</v>
      </c>
      <c r="O320" s="376"/>
      <c r="P320" s="381">
        <f t="shared" si="50"/>
        <v>0</v>
      </c>
      <c r="Q320" s="382">
        <f t="shared" si="51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54"/>
        <v>0</v>
      </c>
      <c r="K322" s="376"/>
      <c r="L322" s="505">
        <v>0.007</v>
      </c>
      <c r="M322" s="380">
        <f>+$H294</f>
        <v>0</v>
      </c>
      <c r="N322" s="379">
        <f t="shared" si="55"/>
        <v>0</v>
      </c>
      <c r="O322" s="376"/>
      <c r="P322" s="381">
        <f t="shared" si="50"/>
        <v>0</v>
      </c>
      <c r="Q322" s="382">
        <f t="shared" si="51"/>
      </c>
    </row>
    <row r="323" spans="4:17" ht="12.75">
      <c r="D323" s="376" t="s">
        <v>359</v>
      </c>
      <c r="E323" s="376"/>
      <c r="F323" s="514" t="s">
        <v>53</v>
      </c>
      <c r="G323" s="377"/>
      <c r="H323" s="505">
        <f>+'Other Electriciy Rates'!$J$15</f>
        <v>0.065</v>
      </c>
      <c r="I323" s="378">
        <f>+$H294*(1+$H330)</f>
        <v>0</v>
      </c>
      <c r="J323" s="379">
        <f t="shared" si="54"/>
        <v>0</v>
      </c>
      <c r="K323" s="376"/>
      <c r="L323" s="505">
        <f>+'Other Electriciy Rates'!$J$30</f>
        <v>0.065</v>
      </c>
      <c r="M323" s="378">
        <f>+$H294*(1+$L330)</f>
        <v>0</v>
      </c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/>
      <c r="E324" s="376"/>
      <c r="F324" s="514"/>
      <c r="G324" s="377"/>
      <c r="H324" s="505"/>
      <c r="I324" s="509"/>
      <c r="J324" s="379">
        <f t="shared" si="54"/>
        <v>0</v>
      </c>
      <c r="K324" s="376"/>
      <c r="L324" s="505"/>
      <c r="M324" s="509"/>
      <c r="N324" s="379">
        <f t="shared" si="55"/>
        <v>0</v>
      </c>
      <c r="O324" s="376"/>
      <c r="P324" s="381">
        <f t="shared" si="50"/>
        <v>0</v>
      </c>
      <c r="Q324" s="382">
        <f t="shared" si="51"/>
      </c>
    </row>
    <row r="325" spans="4:17" ht="13.5" thickBot="1">
      <c r="D325" s="501"/>
      <c r="E325" s="376"/>
      <c r="F325" s="514"/>
      <c r="G325" s="377"/>
      <c r="H325" s="505"/>
      <c r="I325" s="509"/>
      <c r="J325" s="379">
        <f t="shared" si="54"/>
        <v>0</v>
      </c>
      <c r="K325" s="376"/>
      <c r="L325" s="505"/>
      <c r="M325" s="509"/>
      <c r="N325" s="379">
        <f t="shared" si="55"/>
        <v>0</v>
      </c>
      <c r="O325" s="376"/>
      <c r="P325" s="381">
        <f t="shared" si="50"/>
        <v>0</v>
      </c>
      <c r="Q325" s="382">
        <f t="shared" si="51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0.65</v>
      </c>
      <c r="K326" s="403"/>
      <c r="L326" s="411"/>
      <c r="M326" s="412"/>
      <c r="N326" s="402">
        <f>SUM(N317:N325)</f>
        <v>1.7192</v>
      </c>
      <c r="O326" s="403"/>
      <c r="P326" s="406">
        <f>N326-J326</f>
        <v>1.0692</v>
      </c>
      <c r="Q326" s="407">
        <f>IF((J326)=0,"",(P326/J326))</f>
        <v>1.6449230769230767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0.0845</v>
      </c>
      <c r="K327" s="376"/>
      <c r="L327" s="511">
        <v>0.13</v>
      </c>
      <c r="M327" s="415"/>
      <c r="N327" s="414">
        <f>N326*L327</f>
        <v>0.22349600000000003</v>
      </c>
      <c r="O327" s="376"/>
      <c r="P327" s="381">
        <f>N327-J327</f>
        <v>0.138996</v>
      </c>
      <c r="Q327" s="382">
        <f>IF((J327)=0,"",(P327/J327))</f>
        <v>1.644923076923077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0.73</v>
      </c>
      <c r="K328" s="403"/>
      <c r="L328" s="404"/>
      <c r="M328" s="405"/>
      <c r="N328" s="402">
        <f>ROUND(SUM(N326:N327),2)</f>
        <v>1.94</v>
      </c>
      <c r="O328" s="403"/>
      <c r="P328" s="406">
        <f>N328-J328</f>
        <v>1.21</v>
      </c>
      <c r="Q328" s="407">
        <f>IF((J328)=0,"",(P328/J328))</f>
        <v>1.6575342465753424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F17:F31 F111:F125 F33:F34 F64:F78 F36:F43 F158:F172 F174:F175 F127:F128 F177:F184 F205:F219 F221:F222 F224:F231 F252:F266 F130:F137 F268:F269 F80:F81 F271:F278 F83:F90 F299:F313 F315:F316 F318:F325">
      <formula1>$B$10:$B$13</formula1>
    </dataValidation>
    <dataValidation type="list" allowBlank="1" showInputMessage="1" showErrorMessage="1" sqref="G17:G31 G111:G125 G33:G34 G64:G78 G36:G43 G158:G172 G174:G175 G127:G128 G177:G184 G205:G219 G221:G222 G224:G231 G252:G266 G130:G137 G268:G269 G80:G81 G271:G278 G83:G90 G299:G313 G315:G316 G318:G325">
      <formula1>$B$10:$B$15</formula1>
    </dataValidation>
  </dataValidation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2.7109375" style="0" bestFit="1" customWidth="1"/>
    <col min="4" max="4" width="13.421875" style="0" bestFit="1" customWidth="1"/>
    <col min="5" max="5" width="13.8515625" style="0" customWidth="1"/>
    <col min="6" max="10" width="10.140625" style="0" customWidth="1"/>
  </cols>
  <sheetData>
    <row r="1" spans="1:3" ht="12.75">
      <c r="A1" s="617" t="str">
        <f>+'Revenue Input'!A1</f>
        <v>MILTON HYDRO DISTRIBUTION INC.</v>
      </c>
      <c r="B1" s="617"/>
      <c r="C1" s="617"/>
    </row>
    <row r="2" spans="1:3" ht="12.75">
      <c r="A2" s="419"/>
      <c r="B2" s="419"/>
      <c r="C2" s="419"/>
    </row>
    <row r="3" spans="1:3" ht="12.75">
      <c r="A3" s="419"/>
      <c r="B3" s="419"/>
      <c r="C3" s="419"/>
    </row>
    <row r="4" spans="1:3" ht="27" customHeight="1">
      <c r="A4" s="618" t="s">
        <v>206</v>
      </c>
      <c r="B4" s="619"/>
      <c r="C4" s="620"/>
    </row>
    <row r="5" spans="1:3" ht="18.75" customHeight="1">
      <c r="A5" s="448" t="s">
        <v>29</v>
      </c>
      <c r="B5" s="448"/>
      <c r="C5" s="449"/>
    </row>
    <row r="6" spans="1:10" ht="39" thickBot="1">
      <c r="A6" s="450" t="s">
        <v>23</v>
      </c>
      <c r="B6" s="451" t="s">
        <v>172</v>
      </c>
      <c r="C6" s="450" t="s">
        <v>207</v>
      </c>
      <c r="E6" s="16"/>
      <c r="F6" s="16"/>
      <c r="G6" s="16"/>
      <c r="H6" s="16"/>
      <c r="I6" s="16"/>
      <c r="J6" s="16"/>
    </row>
    <row r="7" spans="1:10" ht="15" customHeight="1">
      <c r="A7" s="258" t="s">
        <v>200</v>
      </c>
      <c r="B7" s="68" t="s">
        <v>173</v>
      </c>
      <c r="C7" s="526">
        <f>+(('[2]Summary'!$L$12+'[2]Summary'!$M$12)/2)</f>
        <v>27082</v>
      </c>
      <c r="E7" s="64"/>
      <c r="F7" s="16"/>
      <c r="G7" s="16"/>
      <c r="H7" s="16"/>
      <c r="I7" s="16"/>
      <c r="J7" s="16"/>
    </row>
    <row r="8" spans="1:10" ht="15" customHeight="1" thickBot="1">
      <c r="A8" s="70"/>
      <c r="B8" s="71" t="s">
        <v>15</v>
      </c>
      <c r="C8" s="527">
        <f>+'[2]Summary'!$M$13</f>
        <v>258520605.95410493</v>
      </c>
      <c r="E8" s="16"/>
      <c r="F8" s="16"/>
      <c r="G8" s="16"/>
      <c r="H8" s="16"/>
      <c r="I8" s="16"/>
      <c r="J8" s="16"/>
    </row>
    <row r="9" spans="1:10" ht="15" customHeight="1">
      <c r="A9" s="258" t="s">
        <v>201</v>
      </c>
      <c r="B9" s="68" t="s">
        <v>173</v>
      </c>
      <c r="C9" s="528">
        <f>+('[2]Summary'!$L$16+'[2]Summary'!$M$16)/2</f>
        <v>2286.4971098632504</v>
      </c>
      <c r="E9" s="64"/>
      <c r="F9" s="16"/>
      <c r="G9" s="16"/>
      <c r="H9" s="16"/>
      <c r="I9" s="16"/>
      <c r="J9" s="16"/>
    </row>
    <row r="10" spans="1:10" ht="15" customHeight="1" thickBot="1">
      <c r="A10" s="70"/>
      <c r="B10" s="71" t="s">
        <v>15</v>
      </c>
      <c r="C10" s="261">
        <f>+'[2]Summary'!$M$17</f>
        <v>75044766.85043971</v>
      </c>
      <c r="E10" s="16"/>
      <c r="F10" s="16"/>
      <c r="G10" s="16"/>
      <c r="H10" s="16"/>
      <c r="I10" s="16"/>
      <c r="J10" s="16"/>
    </row>
    <row r="11" spans="1:10" ht="15" customHeight="1">
      <c r="A11" s="258" t="s">
        <v>241</v>
      </c>
      <c r="B11" s="68" t="s">
        <v>173</v>
      </c>
      <c r="C11" s="529">
        <f>+('[2]Summary'!$L$20+'[2]Summary'!$M$20)/2</f>
        <v>292.87060291081275</v>
      </c>
      <c r="E11" s="16"/>
      <c r="F11" s="16"/>
      <c r="G11" s="16"/>
      <c r="H11" s="16"/>
      <c r="I11" s="16"/>
      <c r="J11" s="16"/>
    </row>
    <row r="12" spans="1:10" ht="15" customHeight="1">
      <c r="A12" s="69"/>
      <c r="B12" s="67" t="s">
        <v>16</v>
      </c>
      <c r="C12" s="260">
        <f>+'[2]Summary'!$M$22</f>
        <v>507928.9578826085</v>
      </c>
      <c r="E12" s="16"/>
      <c r="F12" s="16"/>
      <c r="G12" s="16"/>
      <c r="H12" s="16"/>
      <c r="I12" s="16"/>
      <c r="J12" s="16"/>
    </row>
    <row r="13" spans="1:3" ht="15" customHeight="1" thickBot="1">
      <c r="A13" s="70"/>
      <c r="B13" s="71" t="s">
        <v>15</v>
      </c>
      <c r="C13" s="261">
        <f>+'[2]Summary'!$M$21</f>
        <v>187300109.05913255</v>
      </c>
    </row>
    <row r="14" spans="1:10" ht="15" customHeight="1">
      <c r="A14" s="258" t="s">
        <v>242</v>
      </c>
      <c r="B14" s="68" t="s">
        <v>173</v>
      </c>
      <c r="C14" s="529">
        <f>+('[2]Summary'!$L$25+'[2]Summary'!$M$25)/2</f>
        <v>11.24895354226702</v>
      </c>
      <c r="E14" s="16"/>
      <c r="F14" s="16"/>
      <c r="G14" s="16"/>
      <c r="H14" s="16"/>
      <c r="I14" s="16"/>
      <c r="J14" s="16"/>
    </row>
    <row r="15" spans="1:10" ht="15" customHeight="1">
      <c r="A15" s="69"/>
      <c r="B15" s="67" t="s">
        <v>16</v>
      </c>
      <c r="C15" s="260">
        <f>+'[2]Summary'!$M$27</f>
        <v>193245.89552474002</v>
      </c>
      <c r="E15" s="16"/>
      <c r="F15" s="16"/>
      <c r="G15" s="16"/>
      <c r="H15" s="16"/>
      <c r="I15" s="16"/>
      <c r="J15" s="16"/>
    </row>
    <row r="16" spans="1:3" ht="15" customHeight="1" thickBot="1">
      <c r="A16" s="70"/>
      <c r="B16" s="71" t="s">
        <v>15</v>
      </c>
      <c r="C16" s="261">
        <f>+'[2]Summary'!$M$26</f>
        <v>94342583.94811662</v>
      </c>
    </row>
    <row r="17" spans="1:10" ht="15" customHeight="1">
      <c r="A17" s="258" t="s">
        <v>202</v>
      </c>
      <c r="B17" s="255" t="s">
        <v>173</v>
      </c>
      <c r="C17" s="530">
        <f>+('[2]Summary'!$L$30+'[2]Summary'!$M$30)/2</f>
        <v>2</v>
      </c>
      <c r="E17" s="16"/>
      <c r="F17" s="16"/>
      <c r="G17" s="16"/>
      <c r="H17" s="16"/>
      <c r="I17" s="16"/>
      <c r="J17" s="16"/>
    </row>
    <row r="18" spans="1:10" ht="15" customHeight="1">
      <c r="A18" s="69"/>
      <c r="B18" s="256" t="s">
        <v>16</v>
      </c>
      <c r="C18" s="531">
        <f>+'[2]Summary'!$M$32</f>
        <v>173520.87863219183</v>
      </c>
      <c r="F18" s="16"/>
      <c r="G18" s="16"/>
      <c r="H18" s="16"/>
      <c r="I18" s="16"/>
      <c r="J18" s="16"/>
    </row>
    <row r="19" spans="1:3" ht="15" customHeight="1" thickBot="1">
      <c r="A19" s="70"/>
      <c r="B19" s="257" t="s">
        <v>15</v>
      </c>
      <c r="C19" s="532">
        <f>+'[2]Summary'!$M$31</f>
        <v>78821751.02614906</v>
      </c>
    </row>
    <row r="20" spans="1:3" ht="15" customHeight="1">
      <c r="A20" s="258" t="s">
        <v>203</v>
      </c>
      <c r="B20" s="255" t="s">
        <v>174</v>
      </c>
      <c r="C20" s="530">
        <f>+('[2]Summary'!$L$40+'[2]Summary'!$M$40)/2</f>
        <v>272.31901607798045</v>
      </c>
    </row>
    <row r="21" spans="1:3" ht="15" customHeight="1">
      <c r="A21" s="69"/>
      <c r="B21" s="256" t="s">
        <v>16</v>
      </c>
      <c r="C21" s="531">
        <f>+'[2]Summary'!$M$42</f>
        <v>465.2233502043091</v>
      </c>
    </row>
    <row r="22" spans="1:3" ht="15" customHeight="1" thickBot="1">
      <c r="A22" s="70"/>
      <c r="B22" s="71" t="s">
        <v>15</v>
      </c>
      <c r="C22" s="261">
        <f>+'[2]Summary'!$M$41</f>
        <v>167188.12026241363</v>
      </c>
    </row>
    <row r="23" spans="1:4" ht="15" customHeight="1">
      <c r="A23" s="258" t="s">
        <v>204</v>
      </c>
      <c r="B23" s="68" t="s">
        <v>174</v>
      </c>
      <c r="C23" s="529">
        <f>+('[2]Summary'!$L$35+'[2]Summary'!$M$35)/2</f>
        <v>2864.573962684278</v>
      </c>
      <c r="D23" s="302"/>
    </row>
    <row r="24" spans="1:3" ht="15" customHeight="1">
      <c r="A24" s="69"/>
      <c r="B24" s="67" t="s">
        <v>16</v>
      </c>
      <c r="C24" s="260">
        <f>+'[2]Summary'!$M$37</f>
        <v>17809.64893515205</v>
      </c>
    </row>
    <row r="25" spans="1:3" ht="15" customHeight="1" thickBot="1">
      <c r="A25" s="70"/>
      <c r="B25" s="71" t="s">
        <v>15</v>
      </c>
      <c r="C25" s="261">
        <f>+'[2]Summary'!$M$36</f>
        <v>6320786.875695491</v>
      </c>
    </row>
    <row r="26" spans="1:3" ht="15" customHeight="1">
      <c r="A26" s="258" t="s">
        <v>266</v>
      </c>
      <c r="B26" s="68" t="s">
        <v>174</v>
      </c>
      <c r="C26" s="529">
        <f>+('[2]Summary'!$L$45+'[2]Summary'!$M$45)/2</f>
        <v>201.42773496766182</v>
      </c>
    </row>
    <row r="27" spans="1:3" ht="15" customHeight="1" thickBot="1">
      <c r="A27" s="70"/>
      <c r="B27" s="71" t="s">
        <v>15</v>
      </c>
      <c r="C27" s="260">
        <f>+'[2]Summary'!$M$46</f>
        <v>1519815.0354853482</v>
      </c>
    </row>
    <row r="28" spans="1:3" ht="15" customHeight="1">
      <c r="A28" s="258" t="s">
        <v>208</v>
      </c>
      <c r="B28" s="68" t="s">
        <v>209</v>
      </c>
      <c r="C28" s="254">
        <f>C7+C9+C11+C14+C17+C20+C23+C26</f>
        <v>33012.937380046256</v>
      </c>
    </row>
    <row r="29" spans="1:3" ht="15" customHeight="1">
      <c r="A29" s="259"/>
      <c r="B29" s="67" t="s">
        <v>16</v>
      </c>
      <c r="C29" s="260">
        <f>C12+C15+C18+C21+C24</f>
        <v>892970.6043248967</v>
      </c>
    </row>
    <row r="30" spans="1:3" ht="15" customHeight="1" thickBot="1">
      <c r="A30" s="70"/>
      <c r="B30" s="71" t="s">
        <v>15</v>
      </c>
      <c r="C30" s="261">
        <f>C8+C10+C13+C16+C19+C22+C25+C27</f>
        <v>702037606.8693861</v>
      </c>
    </row>
    <row r="31" ht="12.75">
      <c r="E31" s="3"/>
    </row>
    <row r="32" ht="12.75">
      <c r="C32" s="22"/>
    </row>
    <row r="33" ht="12.75">
      <c r="C33" s="22"/>
    </row>
    <row r="34" ht="12.75">
      <c r="C34" s="22"/>
    </row>
  </sheetData>
  <sheetProtection/>
  <mergeCells count="2">
    <mergeCell ref="A4:C4"/>
    <mergeCell ref="A1:C1"/>
  </mergeCells>
  <printOptions/>
  <pageMargins left="0.748031496062992" right="0.748031496062992" top="0.984251968503937" bottom="0.984251968503937" header="0.511811023622047" footer="0.511811023622047"/>
  <pageSetup fitToHeight="1" fitToWidth="1" horizontalDpi="355" verticalDpi="3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62" customWidth="1"/>
    <col min="2" max="2" width="0.9921875" style="362" customWidth="1"/>
    <col min="3" max="3" width="1.28515625" style="362" customWidth="1"/>
    <col min="4" max="4" width="26.57421875" style="362" customWidth="1"/>
    <col min="5" max="5" width="1.28515625" style="362" customWidth="1"/>
    <col min="6" max="6" width="11.28125" style="362" customWidth="1"/>
    <col min="7" max="7" width="1.28515625" style="362" customWidth="1"/>
    <col min="8" max="8" width="12.28125" style="362" customWidth="1"/>
    <col min="9" max="9" width="8.57421875" style="362" customWidth="1"/>
    <col min="10" max="10" width="15.421875" style="362" bestFit="1" customWidth="1"/>
    <col min="11" max="11" width="2.8515625" style="362" customWidth="1"/>
    <col min="12" max="12" width="12.140625" style="362" customWidth="1"/>
    <col min="13" max="13" width="8.57421875" style="362" customWidth="1"/>
    <col min="14" max="14" width="15.421875" style="362" bestFit="1" customWidth="1"/>
    <col min="15" max="15" width="2.8515625" style="362" customWidth="1"/>
    <col min="16" max="16" width="13.00390625" style="362" bestFit="1" customWidth="1"/>
    <col min="17" max="17" width="12.421875" style="362" bestFit="1" customWidth="1"/>
    <col min="18" max="18" width="3.8515625" style="362" customWidth="1"/>
    <col min="19" max="16384" width="9.140625" style="362" customWidth="1"/>
  </cols>
  <sheetData>
    <row r="1" spans="3:18" s="355" customFormat="1" ht="15" customHeight="1"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32" t="s">
        <v>324</v>
      </c>
      <c r="N1" s="357"/>
      <c r="O1" s="357" t="s">
        <v>325</v>
      </c>
      <c r="P1" s="357"/>
      <c r="Q1" s="418"/>
      <c r="R1"/>
    </row>
    <row r="2" spans="3:18" s="355" customFormat="1" ht="15" customHeight="1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2" t="s">
        <v>326</v>
      </c>
      <c r="N2"/>
      <c r="O2" t="s">
        <v>380</v>
      </c>
      <c r="P2"/>
      <c r="R2"/>
    </row>
    <row r="3" spans="3:18" s="355" customFormat="1" ht="15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/>
      <c r="O3"/>
      <c r="P3"/>
      <c r="R3"/>
    </row>
    <row r="4" spans="3:18" s="355" customFormat="1" ht="15" customHeight="1">
      <c r="C4" s="358"/>
      <c r="D4" s="358"/>
      <c r="E4" s="358"/>
      <c r="F4" s="358"/>
      <c r="G4" s="358"/>
      <c r="H4" s="358"/>
      <c r="I4" s="358"/>
      <c r="J4" s="358"/>
      <c r="K4" s="360"/>
      <c r="L4" s="360"/>
      <c r="M4" s="2"/>
      <c r="N4"/>
      <c r="O4"/>
      <c r="P4"/>
      <c r="R4"/>
    </row>
    <row r="5" spans="5:18" s="355" customFormat="1" ht="15" customHeight="1">
      <c r="E5" s="361"/>
      <c r="F5" s="361"/>
      <c r="G5" s="361"/>
      <c r="M5" s="2" t="s">
        <v>327</v>
      </c>
      <c r="N5"/>
      <c r="O5" t="s">
        <v>328</v>
      </c>
      <c r="P5"/>
      <c r="R5"/>
    </row>
    <row r="6" spans="13:18" s="355" customFormat="1" ht="9" customHeight="1">
      <c r="M6" s="2"/>
      <c r="N6"/>
      <c r="O6"/>
      <c r="P6"/>
      <c r="R6"/>
    </row>
    <row r="7" spans="13:18" s="355" customFormat="1" ht="9" customHeight="1">
      <c r="M7" s="2"/>
      <c r="N7"/>
      <c r="O7"/>
      <c r="P7"/>
      <c r="R7"/>
    </row>
    <row r="8" spans="13:18" s="355" customFormat="1" ht="15" customHeight="1">
      <c r="M8" s="2" t="s">
        <v>329</v>
      </c>
      <c r="N8"/>
      <c r="O8"/>
      <c r="P8"/>
      <c r="R8"/>
    </row>
    <row r="9" spans="13:18" ht="7.5" customHeight="1">
      <c r="M9"/>
      <c r="N9"/>
      <c r="O9"/>
      <c r="P9"/>
      <c r="R9"/>
    </row>
    <row r="10" spans="2:17" ht="15.75">
      <c r="B10" s="363" t="s">
        <v>330</v>
      </c>
      <c r="D10" s="364" t="s">
        <v>331</v>
      </c>
      <c r="F10" s="726" t="s">
        <v>279</v>
      </c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2:17" ht="7.5" customHeight="1">
      <c r="B11" s="363"/>
      <c r="D11" s="365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2:15" ht="12.75">
      <c r="B12" s="363" t="s">
        <v>53</v>
      </c>
      <c r="F12" s="367" t="s">
        <v>66</v>
      </c>
      <c r="G12" s="367"/>
      <c r="H12" s="516">
        <v>630</v>
      </c>
      <c r="I12" s="367" t="s">
        <v>332</v>
      </c>
      <c r="J12" s="504"/>
      <c r="L12" s="367" t="s">
        <v>16</v>
      </c>
      <c r="M12" s="504">
        <v>1</v>
      </c>
      <c r="O12" s="367" t="s">
        <v>134</v>
      </c>
    </row>
    <row r="13" ht="10.5" customHeight="1">
      <c r="B13" s="363" t="s">
        <v>22</v>
      </c>
    </row>
    <row r="14" spans="2:17" ht="12.75">
      <c r="B14" s="368"/>
      <c r="F14" s="369"/>
      <c r="G14" s="369"/>
      <c r="H14" s="727" t="s">
        <v>333</v>
      </c>
      <c r="I14" s="728"/>
      <c r="J14" s="729"/>
      <c r="L14" s="727" t="s">
        <v>334</v>
      </c>
      <c r="M14" s="728"/>
      <c r="N14" s="729"/>
      <c r="P14" s="727" t="s">
        <v>335</v>
      </c>
      <c r="Q14" s="729"/>
    </row>
    <row r="15" spans="2:17" ht="12.75">
      <c r="B15" s="368"/>
      <c r="F15" s="730" t="s">
        <v>336</v>
      </c>
      <c r="G15" s="370"/>
      <c r="H15" s="371" t="s">
        <v>337</v>
      </c>
      <c r="I15" s="371" t="s">
        <v>63</v>
      </c>
      <c r="J15" s="372" t="s">
        <v>338</v>
      </c>
      <c r="L15" s="371" t="s">
        <v>337</v>
      </c>
      <c r="M15" s="373" t="s">
        <v>63</v>
      </c>
      <c r="N15" s="372" t="s">
        <v>338</v>
      </c>
      <c r="P15" s="732" t="s">
        <v>339</v>
      </c>
      <c r="Q15" s="734" t="s">
        <v>340</v>
      </c>
    </row>
    <row r="16" spans="2:17" ht="12.75">
      <c r="B16" s="368"/>
      <c r="F16" s="731"/>
      <c r="G16" s="370"/>
      <c r="H16" s="374" t="s">
        <v>341</v>
      </c>
      <c r="I16" s="374"/>
      <c r="J16" s="375" t="s">
        <v>341</v>
      </c>
      <c r="L16" s="374" t="s">
        <v>341</v>
      </c>
      <c r="M16" s="375"/>
      <c r="N16" s="375" t="s">
        <v>341</v>
      </c>
      <c r="P16" s="733"/>
      <c r="Q16" s="735"/>
    </row>
    <row r="17" spans="4:17" ht="12.75">
      <c r="D17" s="376" t="s">
        <v>67</v>
      </c>
      <c r="E17" s="376"/>
      <c r="F17" s="514" t="s">
        <v>330</v>
      </c>
      <c r="G17" s="377"/>
      <c r="H17" s="505">
        <f>+'2010 Existing Rates'!$B$15</f>
        <v>7.38</v>
      </c>
      <c r="I17" s="378">
        <f>+M$12</f>
        <v>1</v>
      </c>
      <c r="J17" s="379">
        <f aca="true" t="shared" si="0" ref="J17:J31">I17*H17</f>
        <v>7.38</v>
      </c>
      <c r="K17" s="376"/>
      <c r="L17" s="505">
        <f>+'Rate Schedule (Part 1)'!$E$65</f>
        <v>8.2702</v>
      </c>
      <c r="M17" s="380">
        <f>+M$12</f>
        <v>1</v>
      </c>
      <c r="N17" s="379">
        <f aca="true" t="shared" si="1" ref="N17:N31">M17*L17</f>
        <v>8.2702</v>
      </c>
      <c r="O17" s="376"/>
      <c r="P17" s="381">
        <f aca="true" t="shared" si="2" ref="P17:P46">N17-J17</f>
        <v>0.890200000000001</v>
      </c>
      <c r="Q17" s="382">
        <f aca="true" t="shared" si="3" ref="Q17:Q46">IF((J17)=0,"",(P17/J17))</f>
        <v>0.12062330623306247</v>
      </c>
    </row>
    <row r="18" spans="4:17" ht="12.75">
      <c r="D18" s="376" t="s">
        <v>226</v>
      </c>
      <c r="E18" s="376"/>
      <c r="F18" s="514" t="s">
        <v>330</v>
      </c>
      <c r="G18" s="377"/>
      <c r="H18" s="505"/>
      <c r="I18" s="378">
        <v>1</v>
      </c>
      <c r="J18" s="379">
        <f t="shared" si="0"/>
        <v>0</v>
      </c>
      <c r="K18" s="376"/>
      <c r="L18" s="505"/>
      <c r="M18" s="380">
        <v>1</v>
      </c>
      <c r="N18" s="379">
        <f t="shared" si="1"/>
        <v>0</v>
      </c>
      <c r="O18" s="376"/>
      <c r="P18" s="381">
        <f t="shared" si="2"/>
        <v>0</v>
      </c>
      <c r="Q18" s="382">
        <f t="shared" si="3"/>
      </c>
    </row>
    <row r="19" spans="4:17" ht="12.75">
      <c r="D19" s="376" t="s">
        <v>342</v>
      </c>
      <c r="E19" s="376"/>
      <c r="F19" s="514"/>
      <c r="G19" s="377"/>
      <c r="H19" s="505"/>
      <c r="I19" s="378">
        <v>1</v>
      </c>
      <c r="J19" s="379">
        <f t="shared" si="0"/>
        <v>0</v>
      </c>
      <c r="K19" s="376"/>
      <c r="L19" s="505"/>
      <c r="M19" s="380">
        <v>1</v>
      </c>
      <c r="N19" s="379">
        <f t="shared" si="1"/>
        <v>0</v>
      </c>
      <c r="O19" s="376"/>
      <c r="P19" s="381">
        <f t="shared" si="2"/>
        <v>0</v>
      </c>
      <c r="Q19" s="382">
        <f t="shared" si="3"/>
      </c>
    </row>
    <row r="20" spans="4:17" ht="12.75">
      <c r="D20" s="376" t="s">
        <v>343</v>
      </c>
      <c r="E20" s="376"/>
      <c r="F20" s="514"/>
      <c r="G20" s="377"/>
      <c r="H20" s="505"/>
      <c r="I20" s="378">
        <v>1</v>
      </c>
      <c r="J20" s="379">
        <f t="shared" si="0"/>
        <v>0</v>
      </c>
      <c r="K20" s="376"/>
      <c r="L20" s="505"/>
      <c r="M20" s="380">
        <v>1</v>
      </c>
      <c r="N20" s="379">
        <f t="shared" si="1"/>
        <v>0</v>
      </c>
      <c r="O20" s="376"/>
      <c r="P20" s="381">
        <f t="shared" si="2"/>
        <v>0</v>
      </c>
      <c r="Q20" s="382">
        <f t="shared" si="3"/>
      </c>
    </row>
    <row r="21" spans="4:17" ht="12.75">
      <c r="D21" s="376" t="s">
        <v>85</v>
      </c>
      <c r="E21" s="376"/>
      <c r="F21" s="514" t="s">
        <v>53</v>
      </c>
      <c r="G21" s="377"/>
      <c r="H21" s="505">
        <f>+'2010 Existing Rates'!$B$65</f>
        <v>0.0156</v>
      </c>
      <c r="I21" s="378">
        <f>+H12</f>
        <v>630</v>
      </c>
      <c r="J21" s="379">
        <f t="shared" si="0"/>
        <v>9.828</v>
      </c>
      <c r="K21" s="376"/>
      <c r="L21" s="505">
        <f>+'Rate Schedule (Part 1)'!$E$66</f>
        <v>0.0175</v>
      </c>
      <c r="M21" s="380">
        <f>+H12</f>
        <v>630</v>
      </c>
      <c r="N21" s="379">
        <f t="shared" si="1"/>
        <v>11.025</v>
      </c>
      <c r="O21" s="376"/>
      <c r="P21" s="381">
        <f t="shared" si="2"/>
        <v>1.197000000000001</v>
      </c>
      <c r="Q21" s="382">
        <f t="shared" si="3"/>
        <v>0.1217948717948719</v>
      </c>
    </row>
    <row r="22" spans="4:17" ht="12.75">
      <c r="D22" s="376" t="s">
        <v>344</v>
      </c>
      <c r="E22" s="376"/>
      <c r="F22" s="514" t="s">
        <v>53</v>
      </c>
      <c r="G22" s="377"/>
      <c r="H22" s="505">
        <f>+'2010 Existing Rates'!$B$40</f>
        <v>0.0002</v>
      </c>
      <c r="I22" s="378">
        <f aca="true" t="shared" si="4" ref="I22:I27">I21</f>
        <v>630</v>
      </c>
      <c r="J22" s="379">
        <f t="shared" si="0"/>
        <v>0.126</v>
      </c>
      <c r="K22" s="376"/>
      <c r="L22" s="505">
        <f>+'Rate Schedule (Part 1)'!$E$67</f>
        <v>0.0002</v>
      </c>
      <c r="M22" s="380">
        <f aca="true" t="shared" si="5" ref="M22:M27">M21</f>
        <v>630</v>
      </c>
      <c r="N22" s="379">
        <f t="shared" si="1"/>
        <v>0.126</v>
      </c>
      <c r="O22" s="376"/>
      <c r="P22" s="381">
        <f t="shared" si="2"/>
        <v>0</v>
      </c>
      <c r="Q22" s="382">
        <f t="shared" si="3"/>
        <v>0</v>
      </c>
    </row>
    <row r="23" spans="4:17" ht="12.75">
      <c r="D23" s="376" t="s">
        <v>345</v>
      </c>
      <c r="E23" s="376"/>
      <c r="F23" s="514"/>
      <c r="G23" s="377"/>
      <c r="H23" s="505"/>
      <c r="I23" s="378">
        <f t="shared" si="4"/>
        <v>630</v>
      </c>
      <c r="J23" s="379">
        <f t="shared" si="0"/>
        <v>0</v>
      </c>
      <c r="K23" s="376"/>
      <c r="L23" s="505"/>
      <c r="M23" s="380">
        <f t="shared" si="5"/>
        <v>630</v>
      </c>
      <c r="N23" s="379">
        <f t="shared" si="1"/>
        <v>0</v>
      </c>
      <c r="O23" s="376"/>
      <c r="P23" s="381">
        <f t="shared" si="2"/>
        <v>0</v>
      </c>
      <c r="Q23" s="382">
        <f t="shared" si="3"/>
      </c>
    </row>
    <row r="24" spans="4:17" ht="12.75">
      <c r="D24" s="376" t="s">
        <v>346</v>
      </c>
      <c r="E24" s="376"/>
      <c r="F24" s="514"/>
      <c r="G24" s="377"/>
      <c r="H24" s="505"/>
      <c r="I24" s="378">
        <f t="shared" si="4"/>
        <v>630</v>
      </c>
      <c r="J24" s="379">
        <f t="shared" si="0"/>
        <v>0</v>
      </c>
      <c r="K24" s="376"/>
      <c r="L24" s="505"/>
      <c r="M24" s="380">
        <f t="shared" si="5"/>
        <v>630</v>
      </c>
      <c r="N24" s="379">
        <f t="shared" si="1"/>
        <v>0</v>
      </c>
      <c r="O24" s="376"/>
      <c r="P24" s="381">
        <f t="shared" si="2"/>
        <v>0</v>
      </c>
      <c r="Q24" s="382">
        <f t="shared" si="3"/>
      </c>
    </row>
    <row r="25" spans="4:17" ht="12.75">
      <c r="D25" s="376" t="s">
        <v>347</v>
      </c>
      <c r="E25" s="376"/>
      <c r="F25" s="514"/>
      <c r="G25" s="377"/>
      <c r="H25" s="505"/>
      <c r="I25" s="378">
        <f t="shared" si="4"/>
        <v>630</v>
      </c>
      <c r="J25" s="379">
        <f t="shared" si="0"/>
        <v>0</v>
      </c>
      <c r="K25" s="376"/>
      <c r="L25" s="505"/>
      <c r="M25" s="380">
        <f t="shared" si="5"/>
        <v>630</v>
      </c>
      <c r="N25" s="379">
        <f t="shared" si="1"/>
        <v>0</v>
      </c>
      <c r="O25" s="376"/>
      <c r="P25" s="381">
        <f t="shared" si="2"/>
        <v>0</v>
      </c>
      <c r="Q25" s="382">
        <f t="shared" si="3"/>
      </c>
    </row>
    <row r="26" spans="4:17" ht="12.75">
      <c r="D26" s="376" t="s">
        <v>348</v>
      </c>
      <c r="E26" s="376"/>
      <c r="F26" s="514"/>
      <c r="G26" s="377"/>
      <c r="H26" s="505"/>
      <c r="I26" s="378">
        <f t="shared" si="4"/>
        <v>630</v>
      </c>
      <c r="J26" s="379">
        <f t="shared" si="0"/>
        <v>0</v>
      </c>
      <c r="K26" s="376"/>
      <c r="L26" s="505"/>
      <c r="M26" s="380">
        <f t="shared" si="5"/>
        <v>630</v>
      </c>
      <c r="N26" s="379">
        <f t="shared" si="1"/>
        <v>0</v>
      </c>
      <c r="O26" s="376"/>
      <c r="P26" s="381">
        <f t="shared" si="2"/>
        <v>0</v>
      </c>
      <c r="Q26" s="382">
        <f t="shared" si="3"/>
      </c>
    </row>
    <row r="27" spans="4:17" ht="25.5">
      <c r="D27" s="383" t="s">
        <v>349</v>
      </c>
      <c r="E27" s="376"/>
      <c r="F27" s="514" t="s">
        <v>53</v>
      </c>
      <c r="G27" s="377"/>
      <c r="H27" s="505">
        <f>+'2010 Existing Rates'!$B$28</f>
        <v>-0.0041</v>
      </c>
      <c r="I27" s="378">
        <f t="shared" si="4"/>
        <v>630</v>
      </c>
      <c r="J27" s="379">
        <f t="shared" si="0"/>
        <v>-2.583</v>
      </c>
      <c r="K27" s="376"/>
      <c r="L27" s="505">
        <f>+'Rate Schedule (Part 1)'!$E$69</f>
        <v>-0.0006837836880171018</v>
      </c>
      <c r="M27" s="380">
        <f t="shared" si="5"/>
        <v>630</v>
      </c>
      <c r="N27" s="379">
        <f t="shared" si="1"/>
        <v>-0.43078372345077415</v>
      </c>
      <c r="O27" s="376"/>
      <c r="P27" s="381">
        <f t="shared" si="2"/>
        <v>2.152216276549226</v>
      </c>
      <c r="Q27" s="382">
        <f t="shared" si="3"/>
        <v>-0.8332234907275361</v>
      </c>
    </row>
    <row r="28" spans="4:17" ht="12.75">
      <c r="D28" s="501"/>
      <c r="E28" s="376"/>
      <c r="F28" s="514"/>
      <c r="G28" s="377"/>
      <c r="H28" s="505"/>
      <c r="I28" s="507"/>
      <c r="J28" s="379">
        <f t="shared" si="0"/>
        <v>0</v>
      </c>
      <c r="K28" s="376"/>
      <c r="L28" s="505"/>
      <c r="M28" s="510"/>
      <c r="N28" s="379">
        <f t="shared" si="1"/>
        <v>0</v>
      </c>
      <c r="O28" s="376"/>
      <c r="P28" s="381">
        <f t="shared" si="2"/>
        <v>0</v>
      </c>
      <c r="Q28" s="382">
        <f t="shared" si="3"/>
      </c>
    </row>
    <row r="29" spans="4:17" ht="12.75">
      <c r="D29" s="501"/>
      <c r="E29" s="376"/>
      <c r="F29" s="514"/>
      <c r="G29" s="377"/>
      <c r="H29" s="505"/>
      <c r="I29" s="507"/>
      <c r="J29" s="379">
        <f t="shared" si="0"/>
        <v>0</v>
      </c>
      <c r="K29" s="376"/>
      <c r="L29" s="505"/>
      <c r="M29" s="510"/>
      <c r="N29" s="379">
        <f t="shared" si="1"/>
        <v>0</v>
      </c>
      <c r="O29" s="376"/>
      <c r="P29" s="381">
        <f t="shared" si="2"/>
        <v>0</v>
      </c>
      <c r="Q29" s="382">
        <f t="shared" si="3"/>
      </c>
    </row>
    <row r="30" spans="4:17" ht="12.75">
      <c r="D30" s="501"/>
      <c r="E30" s="376"/>
      <c r="F30" s="514"/>
      <c r="G30" s="377"/>
      <c r="H30" s="505"/>
      <c r="I30" s="507"/>
      <c r="J30" s="379">
        <f t="shared" si="0"/>
        <v>0</v>
      </c>
      <c r="K30" s="376"/>
      <c r="L30" s="505"/>
      <c r="M30" s="510"/>
      <c r="N30" s="379">
        <f t="shared" si="1"/>
        <v>0</v>
      </c>
      <c r="O30" s="376"/>
      <c r="P30" s="381">
        <f t="shared" si="2"/>
        <v>0</v>
      </c>
      <c r="Q30" s="382">
        <f t="shared" si="3"/>
      </c>
    </row>
    <row r="31" spans="4:17" ht="13.5" thickBot="1">
      <c r="D31" s="501"/>
      <c r="E31" s="376"/>
      <c r="F31" s="514"/>
      <c r="G31" s="377"/>
      <c r="H31" s="505"/>
      <c r="I31" s="507"/>
      <c r="J31" s="379">
        <f t="shared" si="0"/>
        <v>0</v>
      </c>
      <c r="K31" s="376"/>
      <c r="L31" s="505"/>
      <c r="M31" s="510"/>
      <c r="N31" s="379">
        <f t="shared" si="1"/>
        <v>0</v>
      </c>
      <c r="O31" s="376"/>
      <c r="P31" s="381">
        <f t="shared" si="2"/>
        <v>0</v>
      </c>
      <c r="Q31" s="382">
        <f t="shared" si="3"/>
      </c>
    </row>
    <row r="32" spans="4:17" ht="13.5" thickBot="1">
      <c r="D32" s="367" t="s">
        <v>350</v>
      </c>
      <c r="G32" s="384"/>
      <c r="H32" s="385"/>
      <c r="I32" s="386"/>
      <c r="J32" s="387">
        <f>SUM(J17:J31)</f>
        <v>14.751</v>
      </c>
      <c r="L32" s="385"/>
      <c r="M32" s="388"/>
      <c r="N32" s="387">
        <f>SUM(N17:N31)</f>
        <v>18.99041627654923</v>
      </c>
      <c r="P32" s="389">
        <f t="shared" si="2"/>
        <v>4.23941627654923</v>
      </c>
      <c r="Q32" s="390">
        <f t="shared" si="3"/>
        <v>0.28739856799872754</v>
      </c>
    </row>
    <row r="33" spans="4:17" ht="12.75">
      <c r="D33" s="391" t="s">
        <v>351</v>
      </c>
      <c r="E33" s="391"/>
      <c r="F33" s="515" t="s">
        <v>53</v>
      </c>
      <c r="G33" s="392"/>
      <c r="H33" s="506">
        <v>0.0054</v>
      </c>
      <c r="I33" s="393">
        <f>+I41</f>
        <v>652.1129999999999</v>
      </c>
      <c r="J33" s="394">
        <f>I33*H33</f>
        <v>3.5214102</v>
      </c>
      <c r="K33" s="391"/>
      <c r="L33" s="506">
        <f>+'[7]E1.1 Adj Network to Fcst Whsl'!$S$29</f>
        <v>0.005019360241026099</v>
      </c>
      <c r="M33" s="393">
        <f>+M41</f>
        <v>652.8004861938388</v>
      </c>
      <c r="N33" s="394">
        <f>M33*L33</f>
        <v>3.276640805723861</v>
      </c>
      <c r="O33" s="391"/>
      <c r="P33" s="396">
        <f t="shared" si="2"/>
        <v>-0.24476939427613909</v>
      </c>
      <c r="Q33" s="397">
        <f t="shared" si="3"/>
        <v>-0.0695089127293773</v>
      </c>
    </row>
    <row r="34" spans="4:17" ht="26.25" thickBot="1">
      <c r="D34" s="398" t="s">
        <v>352</v>
      </c>
      <c r="E34" s="391"/>
      <c r="F34" s="515" t="s">
        <v>53</v>
      </c>
      <c r="G34" s="392"/>
      <c r="H34" s="506">
        <v>0.0042</v>
      </c>
      <c r="I34" s="393">
        <f>I33</f>
        <v>652.1129999999999</v>
      </c>
      <c r="J34" s="394">
        <f>I34*H34</f>
        <v>2.7388745999999995</v>
      </c>
      <c r="K34" s="391"/>
      <c r="L34" s="506">
        <f>+'[7]E1.2 Adj Conn to Fcst Whsl'!$S$29</f>
        <v>0.004147360261781856</v>
      </c>
      <c r="M34" s="393">
        <f>M33</f>
        <v>652.8004861938388</v>
      </c>
      <c r="N34" s="394">
        <f>M34*L34</f>
        <v>2.707398795312202</v>
      </c>
      <c r="O34" s="391"/>
      <c r="P34" s="396">
        <f t="shared" si="2"/>
        <v>-0.03147580468779765</v>
      </c>
      <c r="Q34" s="397">
        <f t="shared" si="3"/>
        <v>-0.011492240166014776</v>
      </c>
    </row>
    <row r="35" spans="4:17" ht="26.25" thickBot="1">
      <c r="D35" s="399" t="s">
        <v>353</v>
      </c>
      <c r="E35" s="376"/>
      <c r="F35" s="376"/>
      <c r="G35" s="377"/>
      <c r="H35" s="400"/>
      <c r="I35" s="401"/>
      <c r="J35" s="402">
        <f>SUM(J32:J34)</f>
        <v>21.0112848</v>
      </c>
      <c r="K35" s="403"/>
      <c r="L35" s="404"/>
      <c r="M35" s="405"/>
      <c r="N35" s="402">
        <f>SUM(N32:N34)</f>
        <v>24.974455877585292</v>
      </c>
      <c r="O35" s="403"/>
      <c r="P35" s="406">
        <f t="shared" si="2"/>
        <v>3.9631710775852937</v>
      </c>
      <c r="Q35" s="407">
        <f t="shared" si="3"/>
        <v>0.1886210726906759</v>
      </c>
    </row>
    <row r="36" spans="4:17" ht="25.5">
      <c r="D36" s="383" t="s">
        <v>354</v>
      </c>
      <c r="E36" s="376"/>
      <c r="F36" s="514" t="s">
        <v>53</v>
      </c>
      <c r="G36" s="377"/>
      <c r="H36" s="505">
        <v>0.0052</v>
      </c>
      <c r="I36" s="378">
        <f>+$H12*(1+$H48)</f>
        <v>652.1129999999999</v>
      </c>
      <c r="J36" s="379">
        <f aca="true" t="shared" si="6" ref="J36:J43">I36*H36</f>
        <v>3.3909875999999994</v>
      </c>
      <c r="K36" s="376"/>
      <c r="L36" s="505">
        <v>0.0052</v>
      </c>
      <c r="M36" s="380">
        <f>+M41</f>
        <v>652.8004861938388</v>
      </c>
      <c r="N36" s="379">
        <f aca="true" t="shared" si="7" ref="N36:N43">M36*L36</f>
        <v>3.3945625282079614</v>
      </c>
      <c r="O36" s="376"/>
      <c r="P36" s="381">
        <f t="shared" si="2"/>
        <v>0.0035749282079620137</v>
      </c>
      <c r="Q36" s="382">
        <f t="shared" si="3"/>
        <v>0.001054243963605769</v>
      </c>
    </row>
    <row r="37" spans="4:17" ht="25.5">
      <c r="D37" s="383" t="s">
        <v>355</v>
      </c>
      <c r="E37" s="376"/>
      <c r="F37" s="514" t="s">
        <v>53</v>
      </c>
      <c r="G37" s="377"/>
      <c r="H37" s="505">
        <v>0.0013</v>
      </c>
      <c r="I37" s="378">
        <f>+I36</f>
        <v>652.1129999999999</v>
      </c>
      <c r="J37" s="379">
        <f t="shared" si="6"/>
        <v>0.8477468999999999</v>
      </c>
      <c r="K37" s="376"/>
      <c r="L37" s="505">
        <v>0.0013</v>
      </c>
      <c r="M37" s="380">
        <f>+M36</f>
        <v>652.8004861938388</v>
      </c>
      <c r="N37" s="379">
        <f t="shared" si="7"/>
        <v>0.8486406320519904</v>
      </c>
      <c r="O37" s="376"/>
      <c r="P37" s="381">
        <f t="shared" si="2"/>
        <v>0.0008937320519905034</v>
      </c>
      <c r="Q37" s="382">
        <f t="shared" si="3"/>
        <v>0.001054243963605769</v>
      </c>
    </row>
    <row r="38" spans="4:17" ht="12.75">
      <c r="D38" s="383" t="s">
        <v>356</v>
      </c>
      <c r="E38" s="376"/>
      <c r="F38" s="514" t="s">
        <v>53</v>
      </c>
      <c r="G38" s="377"/>
      <c r="H38" s="508">
        <v>0.000373</v>
      </c>
      <c r="I38" s="378">
        <f>+I36</f>
        <v>652.1129999999999</v>
      </c>
      <c r="J38" s="379">
        <f t="shared" si="6"/>
        <v>0.243238149</v>
      </c>
      <c r="K38" s="376"/>
      <c r="L38" s="508">
        <v>0.000373</v>
      </c>
      <c r="M38" s="380">
        <f>+M36</f>
        <v>652.8004861938388</v>
      </c>
      <c r="N38" s="379">
        <f t="shared" si="7"/>
        <v>0.24349458135030186</v>
      </c>
      <c r="O38" s="376"/>
      <c r="P38" s="381">
        <f t="shared" si="2"/>
        <v>0.0002564323503018717</v>
      </c>
      <c r="Q38" s="382">
        <f t="shared" si="3"/>
        <v>0.0010542439636056914</v>
      </c>
    </row>
    <row r="39" spans="4:17" ht="12.75">
      <c r="D39" s="376" t="s">
        <v>357</v>
      </c>
      <c r="E39" s="376"/>
      <c r="F39" s="514" t="s">
        <v>330</v>
      </c>
      <c r="G39" s="377"/>
      <c r="H39" s="505">
        <v>0.25</v>
      </c>
      <c r="I39" s="378">
        <v>1</v>
      </c>
      <c r="J39" s="379">
        <f t="shared" si="6"/>
        <v>0.25</v>
      </c>
      <c r="K39" s="376"/>
      <c r="L39" s="505">
        <v>0.25</v>
      </c>
      <c r="M39" s="380">
        <v>1</v>
      </c>
      <c r="N39" s="379">
        <f t="shared" si="7"/>
        <v>0.25</v>
      </c>
      <c r="O39" s="376"/>
      <c r="P39" s="381">
        <f t="shared" si="2"/>
        <v>0</v>
      </c>
      <c r="Q39" s="382">
        <f t="shared" si="3"/>
        <v>0</v>
      </c>
    </row>
    <row r="40" spans="4:17" ht="12.75">
      <c r="D40" s="376" t="s">
        <v>358</v>
      </c>
      <c r="E40" s="376"/>
      <c r="F40" s="514" t="s">
        <v>53</v>
      </c>
      <c r="G40" s="377"/>
      <c r="H40" s="505">
        <v>0.007</v>
      </c>
      <c r="I40" s="378">
        <f>+$H12</f>
        <v>630</v>
      </c>
      <c r="J40" s="379">
        <f t="shared" si="6"/>
        <v>4.41</v>
      </c>
      <c r="K40" s="376"/>
      <c r="L40" s="505">
        <v>0.007</v>
      </c>
      <c r="M40" s="380">
        <f>+$H12</f>
        <v>630</v>
      </c>
      <c r="N40" s="379">
        <f t="shared" si="7"/>
        <v>4.41</v>
      </c>
      <c r="O40" s="376"/>
      <c r="P40" s="381">
        <f t="shared" si="2"/>
        <v>0</v>
      </c>
      <c r="Q40" s="382">
        <f t="shared" si="3"/>
        <v>0</v>
      </c>
    </row>
    <row r="41" spans="4:17" ht="12.75">
      <c r="D41" s="376" t="s">
        <v>359</v>
      </c>
      <c r="E41" s="376"/>
      <c r="F41" s="514" t="s">
        <v>53</v>
      </c>
      <c r="G41" s="377"/>
      <c r="H41" s="505">
        <f>+'Other Electriciy Rates'!$J$17</f>
        <v>0.065</v>
      </c>
      <c r="I41" s="378">
        <f>+$H12*(1+$H48)</f>
        <v>652.1129999999999</v>
      </c>
      <c r="J41" s="379">
        <f t="shared" si="6"/>
        <v>42.387344999999996</v>
      </c>
      <c r="K41" s="376"/>
      <c r="L41" s="505">
        <f>+'Other Electriciy Rates'!$J$32</f>
        <v>0.065</v>
      </c>
      <c r="M41" s="378">
        <f>+$H12*(1+$L48)</f>
        <v>652.8004861938388</v>
      </c>
      <c r="N41" s="379">
        <f t="shared" si="7"/>
        <v>42.43203160259952</v>
      </c>
      <c r="O41" s="376"/>
      <c r="P41" s="381">
        <f t="shared" si="2"/>
        <v>0.04468660259952628</v>
      </c>
      <c r="Q41" s="382">
        <f t="shared" si="3"/>
        <v>0.0010542439636057953</v>
      </c>
    </row>
    <row r="42" spans="4:17" ht="12.75">
      <c r="D42" s="502"/>
      <c r="E42" s="376"/>
      <c r="F42" s="514"/>
      <c r="G42" s="377"/>
      <c r="H42" s="505"/>
      <c r="I42" s="509"/>
      <c r="J42" s="379">
        <f t="shared" si="6"/>
        <v>0</v>
      </c>
      <c r="K42" s="376"/>
      <c r="L42" s="505"/>
      <c r="M42" s="509"/>
      <c r="N42" s="379">
        <f t="shared" si="7"/>
        <v>0</v>
      </c>
      <c r="O42" s="376"/>
      <c r="P42" s="381">
        <f t="shared" si="2"/>
        <v>0</v>
      </c>
      <c r="Q42" s="382">
        <f t="shared" si="3"/>
      </c>
    </row>
    <row r="43" spans="4:17" ht="13.5" thickBot="1">
      <c r="D43" s="501"/>
      <c r="E43" s="376"/>
      <c r="F43" s="514"/>
      <c r="G43" s="377"/>
      <c r="H43" s="505"/>
      <c r="I43" s="509"/>
      <c r="J43" s="379">
        <f t="shared" si="6"/>
        <v>0</v>
      </c>
      <c r="K43" s="376"/>
      <c r="L43" s="505"/>
      <c r="M43" s="509"/>
      <c r="N43" s="379">
        <f t="shared" si="7"/>
        <v>0</v>
      </c>
      <c r="O43" s="376"/>
      <c r="P43" s="381">
        <f t="shared" si="2"/>
        <v>0</v>
      </c>
      <c r="Q43" s="382">
        <f t="shared" si="3"/>
      </c>
    </row>
    <row r="44" spans="4:17" ht="13.5" thickBot="1">
      <c r="D44" s="408" t="s">
        <v>360</v>
      </c>
      <c r="E44" s="376"/>
      <c r="F44" s="376"/>
      <c r="G44" s="376"/>
      <c r="H44" s="409"/>
      <c r="I44" s="410"/>
      <c r="J44" s="402">
        <f>SUM(J35:J43)</f>
        <v>72.54060244899999</v>
      </c>
      <c r="K44" s="403"/>
      <c r="L44" s="411"/>
      <c r="M44" s="412"/>
      <c r="N44" s="402">
        <f>SUM(N35:N43)</f>
        <v>76.55318522179508</v>
      </c>
      <c r="O44" s="403"/>
      <c r="P44" s="406">
        <f t="shared" si="2"/>
        <v>4.012582772795085</v>
      </c>
      <c r="Q44" s="407">
        <f t="shared" si="3"/>
        <v>0.05531499101646074</v>
      </c>
    </row>
    <row r="45" spans="4:17" ht="13.5" thickBot="1">
      <c r="D45" s="377" t="s">
        <v>361</v>
      </c>
      <c r="E45" s="376"/>
      <c r="F45" s="376"/>
      <c r="G45" s="376"/>
      <c r="H45" s="511">
        <v>0.13</v>
      </c>
      <c r="I45" s="413"/>
      <c r="J45" s="414">
        <f>J44*H45</f>
        <v>9.430278318369998</v>
      </c>
      <c r="K45" s="376"/>
      <c r="L45" s="511">
        <v>0.13</v>
      </c>
      <c r="M45" s="415"/>
      <c r="N45" s="414">
        <f>N44*L45</f>
        <v>9.95191407883336</v>
      </c>
      <c r="O45" s="376"/>
      <c r="P45" s="381">
        <f t="shared" si="2"/>
        <v>0.5216357604633615</v>
      </c>
      <c r="Q45" s="382">
        <f t="shared" si="3"/>
        <v>0.05531499101646079</v>
      </c>
    </row>
    <row r="46" spans="4:17" ht="26.25" thickBot="1">
      <c r="D46" s="399" t="s">
        <v>362</v>
      </c>
      <c r="E46" s="376"/>
      <c r="F46" s="376"/>
      <c r="G46" s="376"/>
      <c r="H46" s="400"/>
      <c r="I46" s="401"/>
      <c r="J46" s="402">
        <f>ROUND(SUM(J44:J45),2)</f>
        <v>81.97</v>
      </c>
      <c r="K46" s="403"/>
      <c r="L46" s="404"/>
      <c r="M46" s="405"/>
      <c r="N46" s="402">
        <f>ROUND(SUM(N44:N45),2)</f>
        <v>86.51</v>
      </c>
      <c r="O46" s="403"/>
      <c r="P46" s="406">
        <f t="shared" si="2"/>
        <v>4.540000000000006</v>
      </c>
      <c r="Q46" s="407">
        <f t="shared" si="3"/>
        <v>0.05538611687202643</v>
      </c>
    </row>
    <row r="47" ht="10.5" customHeight="1"/>
    <row r="48" spans="4:12" ht="12.75">
      <c r="D48" s="367" t="s">
        <v>363</v>
      </c>
      <c r="H48" s="512">
        <v>0.0351</v>
      </c>
      <c r="L48" s="513">
        <f>-(1-'[8]Ex4 Total Loss Factors'!$G$20)</f>
        <v>0.03619124792672812</v>
      </c>
    </row>
    <row r="49" ht="10.5" customHeight="1"/>
    <row r="50" ht="12.75">
      <c r="B50" s="367" t="s">
        <v>364</v>
      </c>
    </row>
    <row r="51" spans="2:17" ht="12.75"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9"/>
    </row>
    <row r="52" spans="2:17" ht="12.75"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2:17" ht="12.75"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2:17" ht="12.75"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2:17" ht="12.75"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</row>
    <row r="57" spans="2:17" ht="15.75">
      <c r="B57" s="363" t="s">
        <v>330</v>
      </c>
      <c r="D57" s="364" t="s">
        <v>331</v>
      </c>
      <c r="F57" s="726" t="str">
        <f>+F10</f>
        <v>Unmetered &amp; Scattered</v>
      </c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</row>
    <row r="58" spans="2:17" ht="7.5" customHeight="1">
      <c r="B58" s="363"/>
      <c r="D58" s="365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</row>
    <row r="59" spans="2:15" ht="12.75">
      <c r="B59" s="363" t="s">
        <v>53</v>
      </c>
      <c r="F59" s="367" t="s">
        <v>66</v>
      </c>
      <c r="G59" s="367"/>
      <c r="H59" s="516"/>
      <c r="I59" s="367" t="s">
        <v>332</v>
      </c>
      <c r="J59" s="504"/>
      <c r="L59" s="367" t="s">
        <v>16</v>
      </c>
      <c r="M59" s="504"/>
      <c r="O59" s="367" t="s">
        <v>134</v>
      </c>
    </row>
    <row r="60" ht="10.5" customHeight="1">
      <c r="B60" s="363" t="s">
        <v>22</v>
      </c>
    </row>
    <row r="61" spans="2:17" ht="12.75">
      <c r="B61" s="368"/>
      <c r="F61" s="369"/>
      <c r="G61" s="369"/>
      <c r="H61" s="727" t="s">
        <v>333</v>
      </c>
      <c r="I61" s="728"/>
      <c r="J61" s="729"/>
      <c r="L61" s="727" t="s">
        <v>334</v>
      </c>
      <c r="M61" s="728"/>
      <c r="N61" s="729"/>
      <c r="P61" s="727" t="s">
        <v>335</v>
      </c>
      <c r="Q61" s="729"/>
    </row>
    <row r="62" spans="2:17" ht="12.75">
      <c r="B62" s="368"/>
      <c r="F62" s="730" t="s">
        <v>336</v>
      </c>
      <c r="G62" s="370"/>
      <c r="H62" s="371" t="s">
        <v>337</v>
      </c>
      <c r="I62" s="371" t="s">
        <v>63</v>
      </c>
      <c r="J62" s="372" t="s">
        <v>338</v>
      </c>
      <c r="L62" s="371" t="s">
        <v>337</v>
      </c>
      <c r="M62" s="373" t="s">
        <v>63</v>
      </c>
      <c r="N62" s="372" t="s">
        <v>338</v>
      </c>
      <c r="P62" s="732" t="s">
        <v>339</v>
      </c>
      <c r="Q62" s="734" t="s">
        <v>340</v>
      </c>
    </row>
    <row r="63" spans="2:17" ht="12.75">
      <c r="B63" s="368"/>
      <c r="F63" s="731"/>
      <c r="G63" s="370"/>
      <c r="H63" s="374" t="s">
        <v>341</v>
      </c>
      <c r="I63" s="374"/>
      <c r="J63" s="375" t="s">
        <v>341</v>
      </c>
      <c r="L63" s="374" t="s">
        <v>341</v>
      </c>
      <c r="M63" s="375"/>
      <c r="N63" s="375" t="s">
        <v>341</v>
      </c>
      <c r="P63" s="733"/>
      <c r="Q63" s="735"/>
    </row>
    <row r="64" spans="4:17" ht="12.75">
      <c r="D64" s="376" t="s">
        <v>67</v>
      </c>
      <c r="E64" s="376"/>
      <c r="F64" s="514" t="s">
        <v>330</v>
      </c>
      <c r="G64" s="377"/>
      <c r="H64" s="505">
        <f>+'2010 Existing Rates'!$B$15</f>
        <v>7.38</v>
      </c>
      <c r="I64" s="378">
        <f>+M$12</f>
        <v>1</v>
      </c>
      <c r="J64" s="379">
        <f aca="true" t="shared" si="8" ref="J64:J78">I64*H64</f>
        <v>7.38</v>
      </c>
      <c r="K64" s="376"/>
      <c r="L64" s="505">
        <f>+'Rate Schedule (Part 1)'!$E$65</f>
        <v>8.2702</v>
      </c>
      <c r="M64" s="380">
        <f>+M$12</f>
        <v>1</v>
      </c>
      <c r="N64" s="379">
        <f aca="true" t="shared" si="9" ref="N64:N78">M64*L64</f>
        <v>8.2702</v>
      </c>
      <c r="O64" s="376"/>
      <c r="P64" s="381">
        <f aca="true" t="shared" si="10" ref="P64:P90">N64-J64</f>
        <v>0.890200000000001</v>
      </c>
      <c r="Q64" s="382">
        <f aca="true" t="shared" si="11" ref="Q64:Q90">IF((J64)=0,"",(P64/J64))</f>
        <v>0.12062330623306247</v>
      </c>
    </row>
    <row r="65" spans="4:17" ht="12.75">
      <c r="D65" s="376" t="s">
        <v>226</v>
      </c>
      <c r="E65" s="376"/>
      <c r="F65" s="514" t="s">
        <v>330</v>
      </c>
      <c r="G65" s="377"/>
      <c r="H65" s="505"/>
      <c r="I65" s="378">
        <v>1</v>
      </c>
      <c r="J65" s="379">
        <f t="shared" si="8"/>
        <v>0</v>
      </c>
      <c r="K65" s="376"/>
      <c r="L65" s="505"/>
      <c r="M65" s="380">
        <v>1</v>
      </c>
      <c r="N65" s="379">
        <f t="shared" si="9"/>
        <v>0</v>
      </c>
      <c r="O65" s="376"/>
      <c r="P65" s="381">
        <f t="shared" si="10"/>
        <v>0</v>
      </c>
      <c r="Q65" s="382">
        <f t="shared" si="11"/>
      </c>
    </row>
    <row r="66" spans="4:17" ht="12.75">
      <c r="D66" s="376" t="s">
        <v>342</v>
      </c>
      <c r="E66" s="376"/>
      <c r="F66" s="514"/>
      <c r="G66" s="377"/>
      <c r="H66" s="505"/>
      <c r="I66" s="378">
        <v>1</v>
      </c>
      <c r="J66" s="379">
        <f t="shared" si="8"/>
        <v>0</v>
      </c>
      <c r="K66" s="376"/>
      <c r="L66" s="505"/>
      <c r="M66" s="380">
        <v>1</v>
      </c>
      <c r="N66" s="379">
        <f t="shared" si="9"/>
        <v>0</v>
      </c>
      <c r="O66" s="376"/>
      <c r="P66" s="381">
        <f t="shared" si="10"/>
        <v>0</v>
      </c>
      <c r="Q66" s="382">
        <f t="shared" si="11"/>
      </c>
    </row>
    <row r="67" spans="4:17" ht="12.75">
      <c r="D67" s="376" t="s">
        <v>343</v>
      </c>
      <c r="E67" s="376"/>
      <c r="F67" s="514"/>
      <c r="G67" s="377"/>
      <c r="H67" s="505"/>
      <c r="I67" s="378">
        <v>1</v>
      </c>
      <c r="J67" s="379">
        <f t="shared" si="8"/>
        <v>0</v>
      </c>
      <c r="K67" s="376"/>
      <c r="L67" s="505"/>
      <c r="M67" s="380">
        <v>1</v>
      </c>
      <c r="N67" s="379">
        <f t="shared" si="9"/>
        <v>0</v>
      </c>
      <c r="O67" s="376"/>
      <c r="P67" s="381">
        <f t="shared" si="10"/>
        <v>0</v>
      </c>
      <c r="Q67" s="382">
        <f t="shared" si="11"/>
      </c>
    </row>
    <row r="68" spans="4:17" ht="12.75">
      <c r="D68" s="376" t="s">
        <v>85</v>
      </c>
      <c r="E68" s="376"/>
      <c r="F68" s="514" t="s">
        <v>53</v>
      </c>
      <c r="G68" s="377"/>
      <c r="H68" s="505">
        <f>+'2010 Existing Rates'!$B$65</f>
        <v>0.0156</v>
      </c>
      <c r="I68" s="378">
        <f>+H59</f>
        <v>0</v>
      </c>
      <c r="J68" s="379">
        <f t="shared" si="8"/>
        <v>0</v>
      </c>
      <c r="K68" s="376"/>
      <c r="L68" s="505">
        <f>+'Rate Schedule (Part 1)'!$E$66</f>
        <v>0.0175</v>
      </c>
      <c r="M68" s="380">
        <f>+H59</f>
        <v>0</v>
      </c>
      <c r="N68" s="379">
        <f t="shared" si="9"/>
        <v>0</v>
      </c>
      <c r="O68" s="376"/>
      <c r="P68" s="381">
        <f t="shared" si="10"/>
        <v>0</v>
      </c>
      <c r="Q68" s="382">
        <f t="shared" si="11"/>
      </c>
    </row>
    <row r="69" spans="4:17" ht="12.75">
      <c r="D69" s="376" t="s">
        <v>344</v>
      </c>
      <c r="E69" s="376"/>
      <c r="F69" s="514" t="s">
        <v>53</v>
      </c>
      <c r="G69" s="377"/>
      <c r="H69" s="505">
        <f>+'2010 Existing Rates'!$B$40</f>
        <v>0.0002</v>
      </c>
      <c r="I69" s="378">
        <f aca="true" t="shared" si="12" ref="I69:I74">I68</f>
        <v>0</v>
      </c>
      <c r="J69" s="379">
        <f t="shared" si="8"/>
        <v>0</v>
      </c>
      <c r="K69" s="376"/>
      <c r="L69" s="505">
        <f>+'Rate Schedule (Part 1)'!$E$67</f>
        <v>0.0002</v>
      </c>
      <c r="M69" s="380">
        <f aca="true" t="shared" si="13" ref="M69:M74">M68</f>
        <v>0</v>
      </c>
      <c r="N69" s="379">
        <f t="shared" si="9"/>
        <v>0</v>
      </c>
      <c r="O69" s="376"/>
      <c r="P69" s="381">
        <f t="shared" si="10"/>
        <v>0</v>
      </c>
      <c r="Q69" s="382">
        <f t="shared" si="11"/>
      </c>
    </row>
    <row r="70" spans="4:17" ht="12.75">
      <c r="D70" s="376" t="s">
        <v>345</v>
      </c>
      <c r="E70" s="376"/>
      <c r="F70" s="514"/>
      <c r="G70" s="377"/>
      <c r="H70" s="505"/>
      <c r="I70" s="378">
        <f t="shared" si="12"/>
        <v>0</v>
      </c>
      <c r="J70" s="379">
        <f t="shared" si="8"/>
        <v>0</v>
      </c>
      <c r="K70" s="376"/>
      <c r="L70" s="505"/>
      <c r="M70" s="380">
        <f t="shared" si="13"/>
        <v>0</v>
      </c>
      <c r="N70" s="379">
        <f t="shared" si="9"/>
        <v>0</v>
      </c>
      <c r="O70" s="376"/>
      <c r="P70" s="381">
        <f t="shared" si="10"/>
        <v>0</v>
      </c>
      <c r="Q70" s="382">
        <f t="shared" si="11"/>
      </c>
    </row>
    <row r="71" spans="4:17" ht="12.75">
      <c r="D71" s="376" t="s">
        <v>346</v>
      </c>
      <c r="E71" s="376"/>
      <c r="F71" s="514"/>
      <c r="G71" s="377"/>
      <c r="H71" s="505"/>
      <c r="I71" s="378">
        <f t="shared" si="12"/>
        <v>0</v>
      </c>
      <c r="J71" s="379">
        <f t="shared" si="8"/>
        <v>0</v>
      </c>
      <c r="K71" s="376"/>
      <c r="L71" s="505"/>
      <c r="M71" s="380">
        <f t="shared" si="13"/>
        <v>0</v>
      </c>
      <c r="N71" s="379">
        <f t="shared" si="9"/>
        <v>0</v>
      </c>
      <c r="O71" s="376"/>
      <c r="P71" s="381">
        <f t="shared" si="10"/>
        <v>0</v>
      </c>
      <c r="Q71" s="382">
        <f t="shared" si="11"/>
      </c>
    </row>
    <row r="72" spans="4:17" ht="12.75">
      <c r="D72" s="376" t="s">
        <v>347</v>
      </c>
      <c r="E72" s="376"/>
      <c r="F72" s="514"/>
      <c r="G72" s="377"/>
      <c r="H72" s="505"/>
      <c r="I72" s="378">
        <f t="shared" si="12"/>
        <v>0</v>
      </c>
      <c r="J72" s="379">
        <f t="shared" si="8"/>
        <v>0</v>
      </c>
      <c r="K72" s="376"/>
      <c r="L72" s="505"/>
      <c r="M72" s="380">
        <f t="shared" si="13"/>
        <v>0</v>
      </c>
      <c r="N72" s="379">
        <f t="shared" si="9"/>
        <v>0</v>
      </c>
      <c r="O72" s="376"/>
      <c r="P72" s="381">
        <f t="shared" si="10"/>
        <v>0</v>
      </c>
      <c r="Q72" s="382">
        <f t="shared" si="11"/>
      </c>
    </row>
    <row r="73" spans="4:17" ht="12.75">
      <c r="D73" s="376" t="s">
        <v>348</v>
      </c>
      <c r="E73" s="376"/>
      <c r="F73" s="514"/>
      <c r="G73" s="377"/>
      <c r="H73" s="505"/>
      <c r="I73" s="378">
        <f t="shared" si="12"/>
        <v>0</v>
      </c>
      <c r="J73" s="379">
        <f t="shared" si="8"/>
        <v>0</v>
      </c>
      <c r="K73" s="376"/>
      <c r="L73" s="505"/>
      <c r="M73" s="380">
        <f t="shared" si="13"/>
        <v>0</v>
      </c>
      <c r="N73" s="379">
        <f t="shared" si="9"/>
        <v>0</v>
      </c>
      <c r="O73" s="376"/>
      <c r="P73" s="381">
        <f t="shared" si="10"/>
        <v>0</v>
      </c>
      <c r="Q73" s="382">
        <f t="shared" si="11"/>
      </c>
    </row>
    <row r="74" spans="4:17" ht="25.5">
      <c r="D74" s="383" t="s">
        <v>349</v>
      </c>
      <c r="E74" s="376"/>
      <c r="F74" s="514" t="s">
        <v>53</v>
      </c>
      <c r="G74" s="377"/>
      <c r="H74" s="505">
        <f>+'2010 Existing Rates'!$B$28</f>
        <v>-0.0041</v>
      </c>
      <c r="I74" s="378">
        <f t="shared" si="12"/>
        <v>0</v>
      </c>
      <c r="J74" s="379">
        <f t="shared" si="8"/>
        <v>0</v>
      </c>
      <c r="K74" s="376"/>
      <c r="L74" s="505">
        <f>+'Rate Schedule (Part 1)'!$E$69</f>
        <v>-0.0006837836880171018</v>
      </c>
      <c r="M74" s="380">
        <f t="shared" si="13"/>
        <v>0</v>
      </c>
      <c r="N74" s="379">
        <f t="shared" si="9"/>
        <v>0</v>
      </c>
      <c r="O74" s="376"/>
      <c r="P74" s="381">
        <f t="shared" si="10"/>
        <v>0</v>
      </c>
      <c r="Q74" s="382">
        <f t="shared" si="11"/>
      </c>
    </row>
    <row r="75" spans="4:17" ht="12.75">
      <c r="D75" s="501"/>
      <c r="E75" s="376"/>
      <c r="F75" s="514"/>
      <c r="G75" s="377"/>
      <c r="H75" s="505"/>
      <c r="I75" s="507"/>
      <c r="J75" s="379">
        <f t="shared" si="8"/>
        <v>0</v>
      </c>
      <c r="K75" s="376"/>
      <c r="L75" s="505"/>
      <c r="M75" s="510"/>
      <c r="N75" s="379">
        <f t="shared" si="9"/>
        <v>0</v>
      </c>
      <c r="O75" s="376"/>
      <c r="P75" s="381">
        <f t="shared" si="10"/>
        <v>0</v>
      </c>
      <c r="Q75" s="382">
        <f t="shared" si="11"/>
      </c>
    </row>
    <row r="76" spans="4:17" ht="12.75">
      <c r="D76" s="501"/>
      <c r="E76" s="376"/>
      <c r="F76" s="514"/>
      <c r="G76" s="377"/>
      <c r="H76" s="505"/>
      <c r="I76" s="507"/>
      <c r="J76" s="379">
        <f t="shared" si="8"/>
        <v>0</v>
      </c>
      <c r="K76" s="376"/>
      <c r="L76" s="505"/>
      <c r="M76" s="510"/>
      <c r="N76" s="379">
        <f t="shared" si="9"/>
        <v>0</v>
      </c>
      <c r="O76" s="376"/>
      <c r="P76" s="381">
        <f t="shared" si="10"/>
        <v>0</v>
      </c>
      <c r="Q76" s="382">
        <f t="shared" si="11"/>
      </c>
    </row>
    <row r="77" spans="4:17" ht="12.75">
      <c r="D77" s="501"/>
      <c r="E77" s="376"/>
      <c r="F77" s="514"/>
      <c r="G77" s="377"/>
      <c r="H77" s="505"/>
      <c r="I77" s="507"/>
      <c r="J77" s="379">
        <f t="shared" si="8"/>
        <v>0</v>
      </c>
      <c r="K77" s="376"/>
      <c r="L77" s="505"/>
      <c r="M77" s="510"/>
      <c r="N77" s="379">
        <f t="shared" si="9"/>
        <v>0</v>
      </c>
      <c r="O77" s="376"/>
      <c r="P77" s="381">
        <f t="shared" si="10"/>
        <v>0</v>
      </c>
      <c r="Q77" s="382">
        <f t="shared" si="11"/>
      </c>
    </row>
    <row r="78" spans="4:17" ht="13.5" thickBot="1">
      <c r="D78" s="501"/>
      <c r="E78" s="376"/>
      <c r="F78" s="514"/>
      <c r="G78" s="377"/>
      <c r="H78" s="505"/>
      <c r="I78" s="507"/>
      <c r="J78" s="379">
        <f t="shared" si="8"/>
        <v>0</v>
      </c>
      <c r="K78" s="376"/>
      <c r="L78" s="505"/>
      <c r="M78" s="510"/>
      <c r="N78" s="379">
        <f t="shared" si="9"/>
        <v>0</v>
      </c>
      <c r="O78" s="376"/>
      <c r="P78" s="381">
        <f t="shared" si="10"/>
        <v>0</v>
      </c>
      <c r="Q78" s="382">
        <f t="shared" si="11"/>
      </c>
    </row>
    <row r="79" spans="4:17" ht="13.5" thickBot="1">
      <c r="D79" s="367" t="s">
        <v>350</v>
      </c>
      <c r="G79" s="384"/>
      <c r="H79" s="385"/>
      <c r="I79" s="386"/>
      <c r="J79" s="387">
        <f>SUM(J64:J78)</f>
        <v>7.38</v>
      </c>
      <c r="L79" s="385"/>
      <c r="M79" s="388"/>
      <c r="N79" s="387">
        <f>SUM(N64:N78)</f>
        <v>8.2702</v>
      </c>
      <c r="P79" s="389">
        <f t="shared" si="10"/>
        <v>0.890200000000001</v>
      </c>
      <c r="Q79" s="390">
        <f t="shared" si="11"/>
        <v>0.12062330623306247</v>
      </c>
    </row>
    <row r="80" spans="4:17" ht="12.75">
      <c r="D80" s="391" t="s">
        <v>351</v>
      </c>
      <c r="E80" s="391"/>
      <c r="F80" s="515" t="s">
        <v>53</v>
      </c>
      <c r="G80" s="392"/>
      <c r="H80" s="506">
        <v>0.0054</v>
      </c>
      <c r="I80" s="393">
        <f>+I88</f>
        <v>0</v>
      </c>
      <c r="J80" s="394">
        <f>I80*H80</f>
        <v>0</v>
      </c>
      <c r="K80" s="391"/>
      <c r="L80" s="506">
        <f>+'[7]E1.1 Adj Network to Fcst Whsl'!$S$29</f>
        <v>0.005019360241026099</v>
      </c>
      <c r="M80" s="395">
        <f>+J59</f>
        <v>0</v>
      </c>
      <c r="N80" s="394">
        <f>M80*L80</f>
        <v>0</v>
      </c>
      <c r="O80" s="391"/>
      <c r="P80" s="396">
        <f t="shared" si="10"/>
        <v>0</v>
      </c>
      <c r="Q80" s="397">
        <f t="shared" si="11"/>
      </c>
    </row>
    <row r="81" spans="4:17" ht="26.25" thickBot="1">
      <c r="D81" s="398" t="s">
        <v>352</v>
      </c>
      <c r="E81" s="391"/>
      <c r="F81" s="515" t="s">
        <v>53</v>
      </c>
      <c r="G81" s="392"/>
      <c r="H81" s="506">
        <v>0.0042</v>
      </c>
      <c r="I81" s="393">
        <f>I80</f>
        <v>0</v>
      </c>
      <c r="J81" s="394">
        <f>I81*H81</f>
        <v>0</v>
      </c>
      <c r="K81" s="391"/>
      <c r="L81" s="506">
        <f>+'[7]E1.2 Adj Conn to Fcst Whsl'!$S$29</f>
        <v>0.004147360261781856</v>
      </c>
      <c r="M81" s="395">
        <f>M80</f>
        <v>0</v>
      </c>
      <c r="N81" s="394">
        <f>M81*L81</f>
        <v>0</v>
      </c>
      <c r="O81" s="391"/>
      <c r="P81" s="396">
        <f t="shared" si="10"/>
        <v>0</v>
      </c>
      <c r="Q81" s="397">
        <f t="shared" si="11"/>
      </c>
    </row>
    <row r="82" spans="4:17" ht="26.25" thickBot="1">
      <c r="D82" s="399" t="s">
        <v>353</v>
      </c>
      <c r="E82" s="376"/>
      <c r="F82" s="376"/>
      <c r="G82" s="377"/>
      <c r="H82" s="400"/>
      <c r="I82" s="401"/>
      <c r="J82" s="402">
        <f>SUM(J79:J81)</f>
        <v>7.38</v>
      </c>
      <c r="K82" s="403"/>
      <c r="L82" s="404"/>
      <c r="M82" s="405"/>
      <c r="N82" s="402">
        <f>SUM(N79:N81)</f>
        <v>8.2702</v>
      </c>
      <c r="O82" s="403"/>
      <c r="P82" s="406">
        <f t="shared" si="10"/>
        <v>0.890200000000001</v>
      </c>
      <c r="Q82" s="407">
        <f t="shared" si="11"/>
        <v>0.12062330623306247</v>
      </c>
    </row>
    <row r="83" spans="4:17" ht="25.5">
      <c r="D83" s="383" t="s">
        <v>354</v>
      </c>
      <c r="E83" s="376"/>
      <c r="F83" s="514" t="s">
        <v>53</v>
      </c>
      <c r="G83" s="377"/>
      <c r="H83" s="505">
        <v>0.0052</v>
      </c>
      <c r="I83" s="378">
        <f>+$H59*(1+$H95)</f>
        <v>0</v>
      </c>
      <c r="J83" s="379">
        <f aca="true" t="shared" si="14" ref="J83:J90">I83*H83</f>
        <v>0</v>
      </c>
      <c r="K83" s="376"/>
      <c r="L83" s="505">
        <v>0.0052</v>
      </c>
      <c r="M83" s="380">
        <f>+M88</f>
        <v>0</v>
      </c>
      <c r="N83" s="379">
        <f aca="true" t="shared" si="15" ref="N83:N90">M83*L83</f>
        <v>0</v>
      </c>
      <c r="O83" s="376"/>
      <c r="P83" s="381">
        <f t="shared" si="10"/>
        <v>0</v>
      </c>
      <c r="Q83" s="382">
        <f t="shared" si="11"/>
      </c>
    </row>
    <row r="84" spans="4:17" ht="25.5">
      <c r="D84" s="383" t="s">
        <v>355</v>
      </c>
      <c r="E84" s="376"/>
      <c r="F84" s="514" t="s">
        <v>53</v>
      </c>
      <c r="G84" s="377"/>
      <c r="H84" s="505">
        <v>0.0013</v>
      </c>
      <c r="I84" s="378">
        <f>+I83</f>
        <v>0</v>
      </c>
      <c r="J84" s="379">
        <f t="shared" si="14"/>
        <v>0</v>
      </c>
      <c r="K84" s="376"/>
      <c r="L84" s="505">
        <v>0.0013</v>
      </c>
      <c r="M84" s="380">
        <f>+M83</f>
        <v>0</v>
      </c>
      <c r="N84" s="379">
        <f t="shared" si="15"/>
        <v>0</v>
      </c>
      <c r="O84" s="376"/>
      <c r="P84" s="381">
        <f t="shared" si="10"/>
        <v>0</v>
      </c>
      <c r="Q84" s="382">
        <f t="shared" si="11"/>
      </c>
    </row>
    <row r="85" spans="4:17" ht="12.75">
      <c r="D85" s="383" t="s">
        <v>356</v>
      </c>
      <c r="E85" s="376"/>
      <c r="F85" s="514" t="s">
        <v>53</v>
      </c>
      <c r="G85" s="377"/>
      <c r="H85" s="508">
        <v>0.000373</v>
      </c>
      <c r="I85" s="378">
        <f>+I83</f>
        <v>0</v>
      </c>
      <c r="J85" s="379">
        <f t="shared" si="14"/>
        <v>0</v>
      </c>
      <c r="K85" s="376"/>
      <c r="L85" s="508">
        <v>0.000373</v>
      </c>
      <c r="M85" s="380">
        <f>+M83</f>
        <v>0</v>
      </c>
      <c r="N85" s="379">
        <f t="shared" si="15"/>
        <v>0</v>
      </c>
      <c r="O85" s="376"/>
      <c r="P85" s="381">
        <f t="shared" si="10"/>
        <v>0</v>
      </c>
      <c r="Q85" s="382">
        <f t="shared" si="11"/>
      </c>
    </row>
    <row r="86" spans="4:17" ht="12.75">
      <c r="D86" s="376" t="s">
        <v>357</v>
      </c>
      <c r="E86" s="376"/>
      <c r="F86" s="514" t="s">
        <v>330</v>
      </c>
      <c r="G86" s="377"/>
      <c r="H86" s="505">
        <v>0.25</v>
      </c>
      <c r="I86" s="378">
        <v>1</v>
      </c>
      <c r="J86" s="379">
        <f t="shared" si="14"/>
        <v>0.25</v>
      </c>
      <c r="K86" s="376"/>
      <c r="L86" s="505">
        <v>0.25</v>
      </c>
      <c r="M86" s="380">
        <v>1</v>
      </c>
      <c r="N86" s="379">
        <f t="shared" si="15"/>
        <v>0.25</v>
      </c>
      <c r="O86" s="376"/>
      <c r="P86" s="381">
        <f t="shared" si="10"/>
        <v>0</v>
      </c>
      <c r="Q86" s="382">
        <f t="shared" si="11"/>
        <v>0</v>
      </c>
    </row>
    <row r="87" spans="4:17" ht="12.75">
      <c r="D87" s="376" t="s">
        <v>358</v>
      </c>
      <c r="E87" s="376"/>
      <c r="F87" s="514" t="s">
        <v>53</v>
      </c>
      <c r="G87" s="377"/>
      <c r="H87" s="505">
        <v>0.007</v>
      </c>
      <c r="I87" s="378">
        <f>+$H59</f>
        <v>0</v>
      </c>
      <c r="J87" s="379">
        <f t="shared" si="14"/>
        <v>0</v>
      </c>
      <c r="K87" s="376"/>
      <c r="L87" s="505">
        <v>0.007</v>
      </c>
      <c r="M87" s="380">
        <f>+$H59</f>
        <v>0</v>
      </c>
      <c r="N87" s="379">
        <f t="shared" si="15"/>
        <v>0</v>
      </c>
      <c r="O87" s="376"/>
      <c r="P87" s="381">
        <f t="shared" si="10"/>
        <v>0</v>
      </c>
      <c r="Q87" s="382">
        <f t="shared" si="11"/>
      </c>
    </row>
    <row r="88" spans="4:17" ht="12.75">
      <c r="D88" s="376" t="s">
        <v>359</v>
      </c>
      <c r="E88" s="376"/>
      <c r="F88" s="514" t="s">
        <v>53</v>
      </c>
      <c r="G88" s="377"/>
      <c r="H88" s="505">
        <f>+'Other Electriciy Rates'!$J$17</f>
        <v>0.065</v>
      </c>
      <c r="I88" s="378">
        <f>+$H59*(1+$H95)</f>
        <v>0</v>
      </c>
      <c r="J88" s="379">
        <f t="shared" si="14"/>
        <v>0</v>
      </c>
      <c r="K88" s="376"/>
      <c r="L88" s="505">
        <f>+'Other Electriciy Rates'!$J$32</f>
        <v>0.065</v>
      </c>
      <c r="M88" s="378">
        <f>+$H59*(1+$L95)</f>
        <v>0</v>
      </c>
      <c r="N88" s="379">
        <f t="shared" si="15"/>
        <v>0</v>
      </c>
      <c r="O88" s="376"/>
      <c r="P88" s="381">
        <f t="shared" si="10"/>
        <v>0</v>
      </c>
      <c r="Q88" s="382">
        <f t="shared" si="11"/>
      </c>
    </row>
    <row r="89" spans="4:17" ht="12.75">
      <c r="D89" s="502"/>
      <c r="E89" s="376"/>
      <c r="F89" s="514"/>
      <c r="G89" s="377"/>
      <c r="H89" s="505"/>
      <c r="I89" s="509"/>
      <c r="J89" s="379">
        <f t="shared" si="14"/>
        <v>0</v>
      </c>
      <c r="K89" s="376"/>
      <c r="L89" s="505"/>
      <c r="M89" s="509"/>
      <c r="N89" s="379">
        <f t="shared" si="15"/>
        <v>0</v>
      </c>
      <c r="O89" s="376"/>
      <c r="P89" s="381">
        <f t="shared" si="10"/>
        <v>0</v>
      </c>
      <c r="Q89" s="382">
        <f t="shared" si="11"/>
      </c>
    </row>
    <row r="90" spans="4:17" ht="13.5" thickBot="1">
      <c r="D90" s="501"/>
      <c r="E90" s="376"/>
      <c r="F90" s="514"/>
      <c r="G90" s="377"/>
      <c r="H90" s="505"/>
      <c r="I90" s="509"/>
      <c r="J90" s="379">
        <f t="shared" si="14"/>
        <v>0</v>
      </c>
      <c r="K90" s="376"/>
      <c r="L90" s="505"/>
      <c r="M90" s="509"/>
      <c r="N90" s="379">
        <f t="shared" si="15"/>
        <v>0</v>
      </c>
      <c r="O90" s="376"/>
      <c r="P90" s="381">
        <f t="shared" si="10"/>
        <v>0</v>
      </c>
      <c r="Q90" s="382">
        <f t="shared" si="11"/>
      </c>
    </row>
    <row r="91" spans="4:17" ht="13.5" thickBot="1">
      <c r="D91" s="408" t="s">
        <v>360</v>
      </c>
      <c r="E91" s="376"/>
      <c r="F91" s="376"/>
      <c r="G91" s="376"/>
      <c r="H91" s="409"/>
      <c r="I91" s="410"/>
      <c r="J91" s="402">
        <f>SUM(J82:J90)</f>
        <v>7.63</v>
      </c>
      <c r="K91" s="403"/>
      <c r="L91" s="411"/>
      <c r="M91" s="412"/>
      <c r="N91" s="402">
        <f>SUM(N82:N90)</f>
        <v>8.5202</v>
      </c>
      <c r="O91" s="403"/>
      <c r="P91" s="406">
        <f>N91-J91</f>
        <v>0.890200000000001</v>
      </c>
      <c r="Q91" s="407">
        <f>IF((J91)=0,"",(P91/J91))</f>
        <v>0.11667103538663184</v>
      </c>
    </row>
    <row r="92" spans="4:17" ht="13.5" thickBot="1">
      <c r="D92" s="377" t="s">
        <v>361</v>
      </c>
      <c r="E92" s="376"/>
      <c r="F92" s="376"/>
      <c r="G92" s="376"/>
      <c r="H92" s="511">
        <v>0.13</v>
      </c>
      <c r="I92" s="413"/>
      <c r="J92" s="414">
        <f>J91*H92</f>
        <v>0.9919</v>
      </c>
      <c r="K92" s="376"/>
      <c r="L92" s="511">
        <v>0.13</v>
      </c>
      <c r="M92" s="415"/>
      <c r="N92" s="414">
        <f>N91*L92</f>
        <v>1.1076260000000002</v>
      </c>
      <c r="O92" s="376"/>
      <c r="P92" s="381">
        <f>N92-J92</f>
        <v>0.11572600000000022</v>
      </c>
      <c r="Q92" s="382">
        <f>IF((J92)=0,"",(P92/J92))</f>
        <v>0.11667103538663194</v>
      </c>
    </row>
    <row r="93" spans="4:17" ht="26.25" thickBot="1">
      <c r="D93" s="399" t="s">
        <v>362</v>
      </c>
      <c r="E93" s="376"/>
      <c r="F93" s="376"/>
      <c r="G93" s="376"/>
      <c r="H93" s="400"/>
      <c r="I93" s="401"/>
      <c r="J93" s="402">
        <f>ROUND(SUM(J91:J92),2)</f>
        <v>8.62</v>
      </c>
      <c r="K93" s="403"/>
      <c r="L93" s="404"/>
      <c r="M93" s="405"/>
      <c r="N93" s="402">
        <f>ROUND(SUM(N91:N92),2)</f>
        <v>9.63</v>
      </c>
      <c r="O93" s="403"/>
      <c r="P93" s="406">
        <f>N93-J93</f>
        <v>1.0100000000000016</v>
      </c>
      <c r="Q93" s="407">
        <f>IF((J93)=0,"",(P93/J93))</f>
        <v>0.11716937354988419</v>
      </c>
    </row>
    <row r="94" ht="10.5" customHeight="1"/>
    <row r="95" spans="4:12" ht="12.75">
      <c r="D95" s="367" t="s">
        <v>363</v>
      </c>
      <c r="H95" s="512">
        <v>0.0351</v>
      </c>
      <c r="L95" s="513">
        <f>-(1-'[8]Ex4 Total Loss Factors'!$G$20)</f>
        <v>0.03619124792672812</v>
      </c>
    </row>
    <row r="96" ht="10.5" customHeight="1"/>
    <row r="97" ht="12.75">
      <c r="B97" s="367" t="s">
        <v>364</v>
      </c>
    </row>
    <row r="98" spans="2:17" ht="12.75">
      <c r="B98" s="717"/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9"/>
    </row>
    <row r="99" spans="2:17" ht="12.75"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2"/>
    </row>
    <row r="100" spans="2:17" ht="12.75"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2"/>
    </row>
    <row r="101" spans="2:17" ht="12.75">
      <c r="B101" s="720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1"/>
      <c r="Q101" s="722"/>
    </row>
    <row r="102" spans="2:17" ht="12.75">
      <c r="B102" s="72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5"/>
    </row>
    <row r="104" spans="2:17" ht="15.75">
      <c r="B104" s="363" t="s">
        <v>330</v>
      </c>
      <c r="D104" s="364" t="s">
        <v>331</v>
      </c>
      <c r="F104" s="726" t="str">
        <f>+F10</f>
        <v>Unmetered &amp; Scattered</v>
      </c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</row>
    <row r="105" spans="2:17" ht="7.5" customHeight="1">
      <c r="B105" s="363"/>
      <c r="D105" s="365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</row>
    <row r="106" spans="2:15" ht="12.75">
      <c r="B106" s="363" t="s">
        <v>53</v>
      </c>
      <c r="F106" s="367" t="s">
        <v>66</v>
      </c>
      <c r="G106" s="367"/>
      <c r="H106" s="516"/>
      <c r="I106" s="367" t="s">
        <v>332</v>
      </c>
      <c r="J106" s="504"/>
      <c r="L106" s="367" t="s">
        <v>16</v>
      </c>
      <c r="M106" s="504"/>
      <c r="O106" s="367" t="s">
        <v>134</v>
      </c>
    </row>
    <row r="107" ht="10.5" customHeight="1">
      <c r="B107" s="363" t="s">
        <v>22</v>
      </c>
    </row>
    <row r="108" spans="2:17" ht="12.75">
      <c r="B108" s="368"/>
      <c r="F108" s="369"/>
      <c r="G108" s="369"/>
      <c r="H108" s="727" t="s">
        <v>333</v>
      </c>
      <c r="I108" s="728"/>
      <c r="J108" s="729"/>
      <c r="L108" s="727" t="s">
        <v>334</v>
      </c>
      <c r="M108" s="728"/>
      <c r="N108" s="729"/>
      <c r="P108" s="727" t="s">
        <v>335</v>
      </c>
      <c r="Q108" s="729"/>
    </row>
    <row r="109" spans="2:17" ht="12.75">
      <c r="B109" s="368"/>
      <c r="F109" s="730" t="s">
        <v>336</v>
      </c>
      <c r="G109" s="370"/>
      <c r="H109" s="371" t="s">
        <v>337</v>
      </c>
      <c r="I109" s="371" t="s">
        <v>63</v>
      </c>
      <c r="J109" s="372" t="s">
        <v>338</v>
      </c>
      <c r="L109" s="371" t="s">
        <v>337</v>
      </c>
      <c r="M109" s="373" t="s">
        <v>63</v>
      </c>
      <c r="N109" s="372" t="s">
        <v>338</v>
      </c>
      <c r="P109" s="732" t="s">
        <v>339</v>
      </c>
      <c r="Q109" s="734" t="s">
        <v>340</v>
      </c>
    </row>
    <row r="110" spans="2:17" ht="12.75">
      <c r="B110" s="368"/>
      <c r="F110" s="731"/>
      <c r="G110" s="370"/>
      <c r="H110" s="374" t="s">
        <v>341</v>
      </c>
      <c r="I110" s="374"/>
      <c r="J110" s="375" t="s">
        <v>341</v>
      </c>
      <c r="L110" s="374" t="s">
        <v>341</v>
      </c>
      <c r="M110" s="375"/>
      <c r="N110" s="375" t="s">
        <v>341</v>
      </c>
      <c r="P110" s="733"/>
      <c r="Q110" s="735"/>
    </row>
    <row r="111" spans="4:17" ht="12.75">
      <c r="D111" s="376" t="s">
        <v>67</v>
      </c>
      <c r="E111" s="376"/>
      <c r="F111" s="514" t="s">
        <v>330</v>
      </c>
      <c r="G111" s="377"/>
      <c r="H111" s="505">
        <f>+'2010 Existing Rates'!$B$15</f>
        <v>7.38</v>
      </c>
      <c r="I111" s="378">
        <f>+M$12</f>
        <v>1</v>
      </c>
      <c r="J111" s="379">
        <f aca="true" t="shared" si="16" ref="J111:J125">I111*H111</f>
        <v>7.38</v>
      </c>
      <c r="K111" s="376"/>
      <c r="L111" s="505">
        <f>+'Rate Schedule (Part 1)'!$E$65</f>
        <v>8.2702</v>
      </c>
      <c r="M111" s="380">
        <f>+M$12</f>
        <v>1</v>
      </c>
      <c r="N111" s="379">
        <f aca="true" t="shared" si="17" ref="N111:N125">M111*L111</f>
        <v>8.2702</v>
      </c>
      <c r="O111" s="376"/>
      <c r="P111" s="381">
        <f aca="true" t="shared" si="18" ref="P111:P137">N111-J111</f>
        <v>0.890200000000001</v>
      </c>
      <c r="Q111" s="382">
        <f aca="true" t="shared" si="19" ref="Q111:Q137">IF((J111)=0,"",(P111/J111))</f>
        <v>0.12062330623306247</v>
      </c>
    </row>
    <row r="112" spans="4:17" ht="12.75">
      <c r="D112" s="376" t="s">
        <v>226</v>
      </c>
      <c r="E112" s="376"/>
      <c r="F112" s="514" t="s">
        <v>330</v>
      </c>
      <c r="G112" s="377"/>
      <c r="H112" s="505"/>
      <c r="I112" s="378">
        <v>1</v>
      </c>
      <c r="J112" s="379">
        <f t="shared" si="16"/>
        <v>0</v>
      </c>
      <c r="K112" s="376"/>
      <c r="L112" s="505"/>
      <c r="M112" s="380">
        <v>1</v>
      </c>
      <c r="N112" s="379">
        <f t="shared" si="17"/>
        <v>0</v>
      </c>
      <c r="O112" s="376"/>
      <c r="P112" s="381">
        <f t="shared" si="18"/>
        <v>0</v>
      </c>
      <c r="Q112" s="382">
        <f t="shared" si="19"/>
      </c>
    </row>
    <row r="113" spans="4:17" ht="12.75">
      <c r="D113" s="376" t="s">
        <v>342</v>
      </c>
      <c r="E113" s="376"/>
      <c r="F113" s="514"/>
      <c r="G113" s="377"/>
      <c r="H113" s="505"/>
      <c r="I113" s="378">
        <v>1</v>
      </c>
      <c r="J113" s="379">
        <f t="shared" si="16"/>
        <v>0</v>
      </c>
      <c r="K113" s="376"/>
      <c r="L113" s="505"/>
      <c r="M113" s="380">
        <v>1</v>
      </c>
      <c r="N113" s="379">
        <f t="shared" si="17"/>
        <v>0</v>
      </c>
      <c r="O113" s="376"/>
      <c r="P113" s="381">
        <f t="shared" si="18"/>
        <v>0</v>
      </c>
      <c r="Q113" s="382">
        <f t="shared" si="19"/>
      </c>
    </row>
    <row r="114" spans="4:17" ht="12.75">
      <c r="D114" s="376" t="s">
        <v>343</v>
      </c>
      <c r="E114" s="376"/>
      <c r="F114" s="514"/>
      <c r="G114" s="377"/>
      <c r="H114" s="505"/>
      <c r="I114" s="378">
        <v>1</v>
      </c>
      <c r="J114" s="379">
        <f t="shared" si="16"/>
        <v>0</v>
      </c>
      <c r="K114" s="376"/>
      <c r="L114" s="505"/>
      <c r="M114" s="380">
        <v>1</v>
      </c>
      <c r="N114" s="379">
        <f t="shared" si="17"/>
        <v>0</v>
      </c>
      <c r="O114" s="376"/>
      <c r="P114" s="381">
        <f t="shared" si="18"/>
        <v>0</v>
      </c>
      <c r="Q114" s="382">
        <f t="shared" si="19"/>
      </c>
    </row>
    <row r="115" spans="4:17" ht="12.75">
      <c r="D115" s="376" t="s">
        <v>85</v>
      </c>
      <c r="E115" s="376"/>
      <c r="F115" s="514" t="s">
        <v>53</v>
      </c>
      <c r="G115" s="377"/>
      <c r="H115" s="505">
        <f>+'2010 Existing Rates'!$B$65</f>
        <v>0.0156</v>
      </c>
      <c r="I115" s="378">
        <f>+H106</f>
        <v>0</v>
      </c>
      <c r="J115" s="379">
        <f t="shared" si="16"/>
        <v>0</v>
      </c>
      <c r="K115" s="376"/>
      <c r="L115" s="505">
        <f>+'Rate Schedule (Part 1)'!$E$66</f>
        <v>0.0175</v>
      </c>
      <c r="M115" s="380">
        <f>+H106</f>
        <v>0</v>
      </c>
      <c r="N115" s="379">
        <f t="shared" si="17"/>
        <v>0</v>
      </c>
      <c r="O115" s="376"/>
      <c r="P115" s="381">
        <f t="shared" si="18"/>
        <v>0</v>
      </c>
      <c r="Q115" s="382">
        <f t="shared" si="19"/>
      </c>
    </row>
    <row r="116" spans="4:17" ht="12.75">
      <c r="D116" s="376" t="s">
        <v>344</v>
      </c>
      <c r="E116" s="376"/>
      <c r="F116" s="514" t="s">
        <v>53</v>
      </c>
      <c r="G116" s="377"/>
      <c r="H116" s="505">
        <f>+'2010 Existing Rates'!$B$40</f>
        <v>0.0002</v>
      </c>
      <c r="I116" s="378">
        <f aca="true" t="shared" si="20" ref="I116:I121">I115</f>
        <v>0</v>
      </c>
      <c r="J116" s="379">
        <f t="shared" si="16"/>
        <v>0</v>
      </c>
      <c r="K116" s="376"/>
      <c r="L116" s="505">
        <f>+'Rate Schedule (Part 1)'!$E$67</f>
        <v>0.0002</v>
      </c>
      <c r="M116" s="380">
        <f aca="true" t="shared" si="21" ref="M116:M121">M115</f>
        <v>0</v>
      </c>
      <c r="N116" s="379">
        <f t="shared" si="17"/>
        <v>0</v>
      </c>
      <c r="O116" s="376"/>
      <c r="P116" s="381">
        <f t="shared" si="18"/>
        <v>0</v>
      </c>
      <c r="Q116" s="382">
        <f t="shared" si="19"/>
      </c>
    </row>
    <row r="117" spans="4:17" ht="12.75">
      <c r="D117" s="376" t="s">
        <v>345</v>
      </c>
      <c r="E117" s="376"/>
      <c r="F117" s="514"/>
      <c r="G117" s="377"/>
      <c r="H117" s="505"/>
      <c r="I117" s="378">
        <f t="shared" si="20"/>
        <v>0</v>
      </c>
      <c r="J117" s="379">
        <f t="shared" si="16"/>
        <v>0</v>
      </c>
      <c r="K117" s="376"/>
      <c r="L117" s="505"/>
      <c r="M117" s="380">
        <f t="shared" si="21"/>
        <v>0</v>
      </c>
      <c r="N117" s="379">
        <f t="shared" si="17"/>
        <v>0</v>
      </c>
      <c r="O117" s="376"/>
      <c r="P117" s="381">
        <f t="shared" si="18"/>
        <v>0</v>
      </c>
      <c r="Q117" s="382">
        <f t="shared" si="19"/>
      </c>
    </row>
    <row r="118" spans="4:17" ht="12.75">
      <c r="D118" s="376" t="s">
        <v>346</v>
      </c>
      <c r="E118" s="376"/>
      <c r="F118" s="514"/>
      <c r="G118" s="377"/>
      <c r="H118" s="505"/>
      <c r="I118" s="378">
        <f t="shared" si="20"/>
        <v>0</v>
      </c>
      <c r="J118" s="379">
        <f t="shared" si="16"/>
        <v>0</v>
      </c>
      <c r="K118" s="376"/>
      <c r="L118" s="505"/>
      <c r="M118" s="380">
        <f t="shared" si="21"/>
        <v>0</v>
      </c>
      <c r="N118" s="379">
        <f t="shared" si="17"/>
        <v>0</v>
      </c>
      <c r="O118" s="376"/>
      <c r="P118" s="381">
        <f t="shared" si="18"/>
        <v>0</v>
      </c>
      <c r="Q118" s="382">
        <f t="shared" si="19"/>
      </c>
    </row>
    <row r="119" spans="4:17" ht="12.75">
      <c r="D119" s="376" t="s">
        <v>347</v>
      </c>
      <c r="E119" s="376"/>
      <c r="F119" s="514"/>
      <c r="G119" s="377"/>
      <c r="H119" s="505"/>
      <c r="I119" s="378">
        <f t="shared" si="20"/>
        <v>0</v>
      </c>
      <c r="J119" s="379">
        <f t="shared" si="16"/>
        <v>0</v>
      </c>
      <c r="K119" s="376"/>
      <c r="L119" s="505"/>
      <c r="M119" s="380">
        <f t="shared" si="21"/>
        <v>0</v>
      </c>
      <c r="N119" s="379">
        <f t="shared" si="17"/>
        <v>0</v>
      </c>
      <c r="O119" s="376"/>
      <c r="P119" s="381">
        <f t="shared" si="18"/>
        <v>0</v>
      </c>
      <c r="Q119" s="382">
        <f t="shared" si="19"/>
      </c>
    </row>
    <row r="120" spans="4:17" ht="12.75">
      <c r="D120" s="376" t="s">
        <v>348</v>
      </c>
      <c r="E120" s="376"/>
      <c r="F120" s="514"/>
      <c r="G120" s="377"/>
      <c r="H120" s="505"/>
      <c r="I120" s="378">
        <f t="shared" si="20"/>
        <v>0</v>
      </c>
      <c r="J120" s="379">
        <f t="shared" si="16"/>
        <v>0</v>
      </c>
      <c r="K120" s="376"/>
      <c r="L120" s="505"/>
      <c r="M120" s="380">
        <f t="shared" si="21"/>
        <v>0</v>
      </c>
      <c r="N120" s="379">
        <f t="shared" si="17"/>
        <v>0</v>
      </c>
      <c r="O120" s="376"/>
      <c r="P120" s="381">
        <f t="shared" si="18"/>
        <v>0</v>
      </c>
      <c r="Q120" s="382">
        <f t="shared" si="19"/>
      </c>
    </row>
    <row r="121" spans="4:17" ht="25.5">
      <c r="D121" s="383" t="s">
        <v>349</v>
      </c>
      <c r="E121" s="376"/>
      <c r="F121" s="514" t="s">
        <v>53</v>
      </c>
      <c r="G121" s="377"/>
      <c r="H121" s="505">
        <f>+'2010 Existing Rates'!$B$28</f>
        <v>-0.0041</v>
      </c>
      <c r="I121" s="378">
        <f t="shared" si="20"/>
        <v>0</v>
      </c>
      <c r="J121" s="379">
        <f t="shared" si="16"/>
        <v>0</v>
      </c>
      <c r="K121" s="376"/>
      <c r="L121" s="505">
        <f>+'Rate Schedule (Part 1)'!$E$69</f>
        <v>-0.0006837836880171018</v>
      </c>
      <c r="M121" s="380">
        <f t="shared" si="21"/>
        <v>0</v>
      </c>
      <c r="N121" s="379">
        <f t="shared" si="17"/>
        <v>0</v>
      </c>
      <c r="O121" s="376"/>
      <c r="P121" s="381">
        <f t="shared" si="18"/>
        <v>0</v>
      </c>
      <c r="Q121" s="382">
        <f t="shared" si="19"/>
      </c>
    </row>
    <row r="122" spans="4:17" ht="12.75">
      <c r="D122" s="501"/>
      <c r="E122" s="376"/>
      <c r="F122" s="514"/>
      <c r="G122" s="377"/>
      <c r="H122" s="505"/>
      <c r="I122" s="507"/>
      <c r="J122" s="379">
        <f t="shared" si="16"/>
        <v>0</v>
      </c>
      <c r="K122" s="376"/>
      <c r="L122" s="505"/>
      <c r="M122" s="510"/>
      <c r="N122" s="379">
        <f t="shared" si="17"/>
        <v>0</v>
      </c>
      <c r="O122" s="376"/>
      <c r="P122" s="381">
        <f t="shared" si="18"/>
        <v>0</v>
      </c>
      <c r="Q122" s="382">
        <f t="shared" si="19"/>
      </c>
    </row>
    <row r="123" spans="4:17" ht="12.75">
      <c r="D123" s="501"/>
      <c r="E123" s="376"/>
      <c r="F123" s="514"/>
      <c r="G123" s="377"/>
      <c r="H123" s="505"/>
      <c r="I123" s="507"/>
      <c r="J123" s="379">
        <f t="shared" si="16"/>
        <v>0</v>
      </c>
      <c r="K123" s="376"/>
      <c r="L123" s="505"/>
      <c r="M123" s="510"/>
      <c r="N123" s="379">
        <f t="shared" si="17"/>
        <v>0</v>
      </c>
      <c r="O123" s="376"/>
      <c r="P123" s="381">
        <f t="shared" si="18"/>
        <v>0</v>
      </c>
      <c r="Q123" s="382">
        <f t="shared" si="19"/>
      </c>
    </row>
    <row r="124" spans="4:17" ht="12.75">
      <c r="D124" s="501"/>
      <c r="E124" s="376"/>
      <c r="F124" s="514"/>
      <c r="G124" s="377"/>
      <c r="H124" s="505"/>
      <c r="I124" s="507"/>
      <c r="J124" s="379">
        <f t="shared" si="16"/>
        <v>0</v>
      </c>
      <c r="K124" s="376"/>
      <c r="L124" s="505"/>
      <c r="M124" s="510"/>
      <c r="N124" s="379">
        <f t="shared" si="17"/>
        <v>0</v>
      </c>
      <c r="O124" s="376"/>
      <c r="P124" s="381">
        <f t="shared" si="18"/>
        <v>0</v>
      </c>
      <c r="Q124" s="382">
        <f t="shared" si="19"/>
      </c>
    </row>
    <row r="125" spans="4:17" ht="13.5" thickBot="1">
      <c r="D125" s="501"/>
      <c r="E125" s="376"/>
      <c r="F125" s="514"/>
      <c r="G125" s="377"/>
      <c r="H125" s="505"/>
      <c r="I125" s="507"/>
      <c r="J125" s="379">
        <f t="shared" si="16"/>
        <v>0</v>
      </c>
      <c r="K125" s="376"/>
      <c r="L125" s="505"/>
      <c r="M125" s="510"/>
      <c r="N125" s="379">
        <f t="shared" si="17"/>
        <v>0</v>
      </c>
      <c r="O125" s="376"/>
      <c r="P125" s="381">
        <f t="shared" si="18"/>
        <v>0</v>
      </c>
      <c r="Q125" s="382">
        <f t="shared" si="19"/>
      </c>
    </row>
    <row r="126" spans="4:17" ht="13.5" thickBot="1">
      <c r="D126" s="367" t="s">
        <v>350</v>
      </c>
      <c r="G126" s="384"/>
      <c r="H126" s="385"/>
      <c r="I126" s="386"/>
      <c r="J126" s="387">
        <f>SUM(J111:J125)</f>
        <v>7.38</v>
      </c>
      <c r="L126" s="385"/>
      <c r="M126" s="388"/>
      <c r="N126" s="387">
        <f>SUM(N111:N125)</f>
        <v>8.2702</v>
      </c>
      <c r="P126" s="389">
        <f t="shared" si="18"/>
        <v>0.890200000000001</v>
      </c>
      <c r="Q126" s="390">
        <f t="shared" si="19"/>
        <v>0.12062330623306247</v>
      </c>
    </row>
    <row r="127" spans="4:17" ht="12.75">
      <c r="D127" s="391" t="s">
        <v>351</v>
      </c>
      <c r="E127" s="391"/>
      <c r="F127" s="515" t="s">
        <v>53</v>
      </c>
      <c r="G127" s="392"/>
      <c r="H127" s="506">
        <v>0.0054</v>
      </c>
      <c r="I127" s="393">
        <f>+I135</f>
        <v>0</v>
      </c>
      <c r="J127" s="394">
        <f>I127*H127</f>
        <v>0</v>
      </c>
      <c r="K127" s="391"/>
      <c r="L127" s="506">
        <f>+'[7]E1.1 Adj Network to Fcst Whsl'!$S$29</f>
        <v>0.005019360241026099</v>
      </c>
      <c r="M127" s="395">
        <f>+J106</f>
        <v>0</v>
      </c>
      <c r="N127" s="394">
        <f>M127*L127</f>
        <v>0</v>
      </c>
      <c r="O127" s="391"/>
      <c r="P127" s="396">
        <f t="shared" si="18"/>
        <v>0</v>
      </c>
      <c r="Q127" s="397">
        <f t="shared" si="19"/>
      </c>
    </row>
    <row r="128" spans="4:17" ht="26.25" thickBot="1">
      <c r="D128" s="398" t="s">
        <v>352</v>
      </c>
      <c r="E128" s="391"/>
      <c r="F128" s="515" t="s">
        <v>53</v>
      </c>
      <c r="G128" s="392"/>
      <c r="H128" s="506">
        <v>0.0042</v>
      </c>
      <c r="I128" s="393">
        <f>I127</f>
        <v>0</v>
      </c>
      <c r="J128" s="394">
        <f>I128*H128</f>
        <v>0</v>
      </c>
      <c r="K128" s="391"/>
      <c r="L128" s="506">
        <f>+'[7]E1.2 Adj Conn to Fcst Whsl'!$S$29</f>
        <v>0.004147360261781856</v>
      </c>
      <c r="M128" s="395">
        <f>M127</f>
        <v>0</v>
      </c>
      <c r="N128" s="394">
        <f>M128*L128</f>
        <v>0</v>
      </c>
      <c r="O128" s="391"/>
      <c r="P128" s="396">
        <f t="shared" si="18"/>
        <v>0</v>
      </c>
      <c r="Q128" s="397">
        <f t="shared" si="19"/>
      </c>
    </row>
    <row r="129" spans="4:17" ht="26.25" thickBot="1">
      <c r="D129" s="399" t="s">
        <v>353</v>
      </c>
      <c r="E129" s="376"/>
      <c r="F129" s="376"/>
      <c r="G129" s="377"/>
      <c r="H129" s="400"/>
      <c r="I129" s="401"/>
      <c r="J129" s="402">
        <f>SUM(J126:J128)</f>
        <v>7.38</v>
      </c>
      <c r="K129" s="403"/>
      <c r="L129" s="404"/>
      <c r="M129" s="405"/>
      <c r="N129" s="402">
        <f>SUM(N126:N128)</f>
        <v>8.2702</v>
      </c>
      <c r="O129" s="403"/>
      <c r="P129" s="406">
        <f t="shared" si="18"/>
        <v>0.890200000000001</v>
      </c>
      <c r="Q129" s="407">
        <f t="shared" si="19"/>
        <v>0.12062330623306247</v>
      </c>
    </row>
    <row r="130" spans="4:17" ht="25.5">
      <c r="D130" s="383" t="s">
        <v>354</v>
      </c>
      <c r="E130" s="376"/>
      <c r="F130" s="514" t="s">
        <v>53</v>
      </c>
      <c r="G130" s="377"/>
      <c r="H130" s="505">
        <v>0.0052</v>
      </c>
      <c r="I130" s="378">
        <f>+$H106*(1+$H142)</f>
        <v>0</v>
      </c>
      <c r="J130" s="379">
        <f aca="true" t="shared" si="22" ref="J130:J137">I130*H130</f>
        <v>0</v>
      </c>
      <c r="K130" s="376"/>
      <c r="L130" s="505">
        <v>0.0052</v>
      </c>
      <c r="M130" s="380">
        <f>+M135</f>
        <v>0</v>
      </c>
      <c r="N130" s="379">
        <f aca="true" t="shared" si="23" ref="N130:N137">M130*L130</f>
        <v>0</v>
      </c>
      <c r="O130" s="376"/>
      <c r="P130" s="381">
        <f t="shared" si="18"/>
        <v>0</v>
      </c>
      <c r="Q130" s="382">
        <f t="shared" si="19"/>
      </c>
    </row>
    <row r="131" spans="4:17" ht="25.5">
      <c r="D131" s="383" t="s">
        <v>355</v>
      </c>
      <c r="E131" s="376"/>
      <c r="F131" s="514" t="s">
        <v>53</v>
      </c>
      <c r="G131" s="377"/>
      <c r="H131" s="505">
        <v>0.0013</v>
      </c>
      <c r="I131" s="378">
        <f>+I130</f>
        <v>0</v>
      </c>
      <c r="J131" s="379">
        <f t="shared" si="22"/>
        <v>0</v>
      </c>
      <c r="K131" s="376"/>
      <c r="L131" s="505">
        <v>0.0013</v>
      </c>
      <c r="M131" s="380">
        <f>+M130</f>
        <v>0</v>
      </c>
      <c r="N131" s="379">
        <f t="shared" si="23"/>
        <v>0</v>
      </c>
      <c r="O131" s="376"/>
      <c r="P131" s="381">
        <f t="shared" si="18"/>
        <v>0</v>
      </c>
      <c r="Q131" s="382">
        <f t="shared" si="19"/>
      </c>
    </row>
    <row r="132" spans="4:17" ht="12.75">
      <c r="D132" s="383" t="s">
        <v>356</v>
      </c>
      <c r="E132" s="376"/>
      <c r="F132" s="514" t="s">
        <v>53</v>
      </c>
      <c r="G132" s="377"/>
      <c r="H132" s="508">
        <v>0.000373</v>
      </c>
      <c r="I132" s="378">
        <f>+I130</f>
        <v>0</v>
      </c>
      <c r="J132" s="379">
        <f t="shared" si="22"/>
        <v>0</v>
      </c>
      <c r="K132" s="376"/>
      <c r="L132" s="508">
        <v>0.000373</v>
      </c>
      <c r="M132" s="380">
        <f>+M130</f>
        <v>0</v>
      </c>
      <c r="N132" s="379">
        <f t="shared" si="23"/>
        <v>0</v>
      </c>
      <c r="O132" s="376"/>
      <c r="P132" s="381">
        <f t="shared" si="18"/>
        <v>0</v>
      </c>
      <c r="Q132" s="382">
        <f t="shared" si="19"/>
      </c>
    </row>
    <row r="133" spans="4:17" ht="12.75">
      <c r="D133" s="376" t="s">
        <v>357</v>
      </c>
      <c r="E133" s="376"/>
      <c r="F133" s="514" t="s">
        <v>330</v>
      </c>
      <c r="G133" s="377"/>
      <c r="H133" s="505">
        <v>0.25</v>
      </c>
      <c r="I133" s="378">
        <v>1</v>
      </c>
      <c r="J133" s="379">
        <f t="shared" si="22"/>
        <v>0.25</v>
      </c>
      <c r="K133" s="376"/>
      <c r="L133" s="505">
        <v>0.25</v>
      </c>
      <c r="M133" s="380">
        <v>1</v>
      </c>
      <c r="N133" s="379">
        <f t="shared" si="23"/>
        <v>0.25</v>
      </c>
      <c r="O133" s="376"/>
      <c r="P133" s="381">
        <f t="shared" si="18"/>
        <v>0</v>
      </c>
      <c r="Q133" s="382">
        <f t="shared" si="19"/>
        <v>0</v>
      </c>
    </row>
    <row r="134" spans="4:17" ht="12.75">
      <c r="D134" s="376" t="s">
        <v>358</v>
      </c>
      <c r="E134" s="376"/>
      <c r="F134" s="514" t="s">
        <v>53</v>
      </c>
      <c r="G134" s="377"/>
      <c r="H134" s="505">
        <v>0.007</v>
      </c>
      <c r="I134" s="378">
        <f>+$H106</f>
        <v>0</v>
      </c>
      <c r="J134" s="379">
        <f t="shared" si="22"/>
        <v>0</v>
      </c>
      <c r="K134" s="376"/>
      <c r="L134" s="505">
        <v>0.007</v>
      </c>
      <c r="M134" s="380">
        <f>+$H106</f>
        <v>0</v>
      </c>
      <c r="N134" s="379">
        <f t="shared" si="23"/>
        <v>0</v>
      </c>
      <c r="O134" s="376"/>
      <c r="P134" s="381">
        <f t="shared" si="18"/>
        <v>0</v>
      </c>
      <c r="Q134" s="382">
        <f t="shared" si="19"/>
      </c>
    </row>
    <row r="135" spans="4:17" ht="12.75">
      <c r="D135" s="376" t="s">
        <v>359</v>
      </c>
      <c r="E135" s="376"/>
      <c r="F135" s="514" t="s">
        <v>53</v>
      </c>
      <c r="G135" s="377"/>
      <c r="H135" s="505">
        <f>+'Other Electriciy Rates'!$J$17</f>
        <v>0.065</v>
      </c>
      <c r="I135" s="378">
        <f>+$H106*(1+$H142)</f>
        <v>0</v>
      </c>
      <c r="J135" s="379">
        <f t="shared" si="22"/>
        <v>0</v>
      </c>
      <c r="K135" s="376"/>
      <c r="L135" s="505">
        <f>+'Other Electriciy Rates'!$J$32</f>
        <v>0.065</v>
      </c>
      <c r="M135" s="378">
        <f>+$H106*(1+$L142)</f>
        <v>0</v>
      </c>
      <c r="N135" s="379">
        <f t="shared" si="23"/>
        <v>0</v>
      </c>
      <c r="O135" s="376"/>
      <c r="P135" s="381">
        <f t="shared" si="18"/>
        <v>0</v>
      </c>
      <c r="Q135" s="382">
        <f t="shared" si="19"/>
      </c>
    </row>
    <row r="136" spans="4:17" ht="12.75">
      <c r="D136" s="502"/>
      <c r="E136" s="376"/>
      <c r="F136" s="514"/>
      <c r="G136" s="377"/>
      <c r="H136" s="505"/>
      <c r="I136" s="509"/>
      <c r="J136" s="379">
        <f t="shared" si="22"/>
        <v>0</v>
      </c>
      <c r="K136" s="376"/>
      <c r="L136" s="505"/>
      <c r="M136" s="509"/>
      <c r="N136" s="379">
        <f t="shared" si="23"/>
        <v>0</v>
      </c>
      <c r="O136" s="376"/>
      <c r="P136" s="381">
        <f t="shared" si="18"/>
        <v>0</v>
      </c>
      <c r="Q136" s="382">
        <f t="shared" si="19"/>
      </c>
    </row>
    <row r="137" spans="4:17" ht="13.5" thickBot="1">
      <c r="D137" s="501"/>
      <c r="E137" s="376"/>
      <c r="F137" s="514"/>
      <c r="G137" s="377"/>
      <c r="H137" s="505"/>
      <c r="I137" s="509"/>
      <c r="J137" s="379">
        <f t="shared" si="22"/>
        <v>0</v>
      </c>
      <c r="K137" s="376"/>
      <c r="L137" s="505"/>
      <c r="M137" s="509"/>
      <c r="N137" s="379">
        <f t="shared" si="23"/>
        <v>0</v>
      </c>
      <c r="O137" s="376"/>
      <c r="P137" s="381">
        <f t="shared" si="18"/>
        <v>0</v>
      </c>
      <c r="Q137" s="382">
        <f t="shared" si="19"/>
      </c>
    </row>
    <row r="138" spans="4:17" ht="13.5" thickBot="1">
      <c r="D138" s="408" t="s">
        <v>360</v>
      </c>
      <c r="E138" s="376"/>
      <c r="F138" s="376"/>
      <c r="G138" s="376"/>
      <c r="H138" s="409"/>
      <c r="I138" s="410"/>
      <c r="J138" s="402">
        <f>SUM(J129:J137)</f>
        <v>7.63</v>
      </c>
      <c r="K138" s="403"/>
      <c r="L138" s="411"/>
      <c r="M138" s="412"/>
      <c r="N138" s="402">
        <f>SUM(N129:N137)</f>
        <v>8.5202</v>
      </c>
      <c r="O138" s="403"/>
      <c r="P138" s="406">
        <f>N138-J138</f>
        <v>0.890200000000001</v>
      </c>
      <c r="Q138" s="407">
        <f>IF((J138)=0,"",(P138/J138))</f>
        <v>0.11667103538663184</v>
      </c>
    </row>
    <row r="139" spans="4:17" ht="13.5" thickBot="1">
      <c r="D139" s="377" t="s">
        <v>361</v>
      </c>
      <c r="E139" s="376"/>
      <c r="F139" s="376"/>
      <c r="G139" s="376"/>
      <c r="H139" s="511">
        <v>0.13</v>
      </c>
      <c r="I139" s="413"/>
      <c r="J139" s="414">
        <f>J138*H139</f>
        <v>0.9919</v>
      </c>
      <c r="K139" s="376"/>
      <c r="L139" s="511">
        <v>0.13</v>
      </c>
      <c r="M139" s="415"/>
      <c r="N139" s="414">
        <f>N138*L139</f>
        <v>1.1076260000000002</v>
      </c>
      <c r="O139" s="376"/>
      <c r="P139" s="381">
        <f>N139-J139</f>
        <v>0.11572600000000022</v>
      </c>
      <c r="Q139" s="382">
        <f>IF((J139)=0,"",(P139/J139))</f>
        <v>0.11667103538663194</v>
      </c>
    </row>
    <row r="140" spans="4:17" ht="26.25" thickBot="1">
      <c r="D140" s="399" t="s">
        <v>362</v>
      </c>
      <c r="E140" s="376"/>
      <c r="F140" s="376"/>
      <c r="G140" s="376"/>
      <c r="H140" s="400"/>
      <c r="I140" s="401"/>
      <c r="J140" s="402">
        <f>ROUND(SUM(J138:J139),2)</f>
        <v>8.62</v>
      </c>
      <c r="K140" s="403"/>
      <c r="L140" s="404"/>
      <c r="M140" s="405"/>
      <c r="N140" s="402">
        <f>ROUND(SUM(N138:N139),2)</f>
        <v>9.63</v>
      </c>
      <c r="O140" s="403"/>
      <c r="P140" s="406">
        <f>N140-J140</f>
        <v>1.0100000000000016</v>
      </c>
      <c r="Q140" s="407">
        <f>IF((J140)=0,"",(P140/J140))</f>
        <v>0.11716937354988419</v>
      </c>
    </row>
    <row r="141" ht="10.5" customHeight="1"/>
    <row r="142" spans="4:12" ht="12.75">
      <c r="D142" s="367" t="s">
        <v>363</v>
      </c>
      <c r="H142" s="512">
        <v>0.0351</v>
      </c>
      <c r="L142" s="513">
        <f>-(1-'[8]Ex4 Total Loss Factors'!$G$20)</f>
        <v>0.03619124792672812</v>
      </c>
    </row>
    <row r="143" ht="10.5" customHeight="1"/>
    <row r="144" ht="12.75">
      <c r="B144" s="367" t="s">
        <v>364</v>
      </c>
    </row>
    <row r="145" spans="2:17" ht="12.75">
      <c r="B145" s="717"/>
      <c r="C145" s="718"/>
      <c r="D145" s="718"/>
      <c r="E145" s="718"/>
      <c r="F145" s="718"/>
      <c r="G145" s="718"/>
      <c r="H145" s="718"/>
      <c r="I145" s="718"/>
      <c r="J145" s="718"/>
      <c r="K145" s="718"/>
      <c r="L145" s="718"/>
      <c r="M145" s="718"/>
      <c r="N145" s="718"/>
      <c r="O145" s="718"/>
      <c r="P145" s="718"/>
      <c r="Q145" s="719"/>
    </row>
    <row r="146" spans="2:17" ht="12.75">
      <c r="B146" s="720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  <c r="P146" s="721"/>
      <c r="Q146" s="722"/>
    </row>
    <row r="147" spans="2:17" ht="12.75">
      <c r="B147" s="720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2"/>
    </row>
    <row r="148" spans="2:17" ht="12.75">
      <c r="B148" s="720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2"/>
    </row>
    <row r="149" spans="2:17" ht="12.75">
      <c r="B149" s="723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5"/>
    </row>
    <row r="151" spans="2:17" ht="15.75">
      <c r="B151" s="363" t="s">
        <v>330</v>
      </c>
      <c r="D151" s="364" t="s">
        <v>331</v>
      </c>
      <c r="F151" s="726" t="str">
        <f>+F10</f>
        <v>Unmetered &amp; Scattered</v>
      </c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</row>
    <row r="152" spans="2:17" ht="7.5" customHeight="1">
      <c r="B152" s="363"/>
      <c r="D152" s="365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</row>
    <row r="153" spans="2:15" ht="12.75">
      <c r="B153" s="363" t="s">
        <v>53</v>
      </c>
      <c r="F153" s="367" t="s">
        <v>66</v>
      </c>
      <c r="G153" s="367"/>
      <c r="H153" s="516"/>
      <c r="I153" s="367" t="s">
        <v>332</v>
      </c>
      <c r="J153" s="504"/>
      <c r="L153" s="367" t="s">
        <v>16</v>
      </c>
      <c r="M153" s="504"/>
      <c r="O153" s="367" t="s">
        <v>134</v>
      </c>
    </row>
    <row r="154" ht="10.5" customHeight="1">
      <c r="B154" s="363" t="s">
        <v>22</v>
      </c>
    </row>
    <row r="155" spans="2:17" ht="12.75">
      <c r="B155" s="368"/>
      <c r="F155" s="369"/>
      <c r="G155" s="369"/>
      <c r="H155" s="727" t="s">
        <v>333</v>
      </c>
      <c r="I155" s="728"/>
      <c r="J155" s="729"/>
      <c r="L155" s="727" t="s">
        <v>334</v>
      </c>
      <c r="M155" s="728"/>
      <c r="N155" s="729"/>
      <c r="P155" s="727" t="s">
        <v>335</v>
      </c>
      <c r="Q155" s="729"/>
    </row>
    <row r="156" spans="2:17" ht="12.75">
      <c r="B156" s="368"/>
      <c r="F156" s="730" t="s">
        <v>336</v>
      </c>
      <c r="G156" s="370"/>
      <c r="H156" s="371" t="s">
        <v>337</v>
      </c>
      <c r="I156" s="371" t="s">
        <v>63</v>
      </c>
      <c r="J156" s="372" t="s">
        <v>338</v>
      </c>
      <c r="L156" s="371" t="s">
        <v>337</v>
      </c>
      <c r="M156" s="373" t="s">
        <v>63</v>
      </c>
      <c r="N156" s="372" t="s">
        <v>338</v>
      </c>
      <c r="P156" s="732" t="s">
        <v>339</v>
      </c>
      <c r="Q156" s="734" t="s">
        <v>340</v>
      </c>
    </row>
    <row r="157" spans="2:17" ht="12.75">
      <c r="B157" s="368"/>
      <c r="F157" s="731"/>
      <c r="G157" s="370"/>
      <c r="H157" s="374" t="s">
        <v>341</v>
      </c>
      <c r="I157" s="374"/>
      <c r="J157" s="375" t="s">
        <v>341</v>
      </c>
      <c r="L157" s="374" t="s">
        <v>341</v>
      </c>
      <c r="M157" s="375"/>
      <c r="N157" s="375" t="s">
        <v>341</v>
      </c>
      <c r="P157" s="733"/>
      <c r="Q157" s="735"/>
    </row>
    <row r="158" spans="4:17" ht="12.75">
      <c r="D158" s="376" t="s">
        <v>67</v>
      </c>
      <c r="E158" s="376"/>
      <c r="F158" s="514" t="s">
        <v>330</v>
      </c>
      <c r="G158" s="377"/>
      <c r="H158" s="505">
        <f>+'2010 Existing Rates'!$B$15</f>
        <v>7.38</v>
      </c>
      <c r="I158" s="378">
        <f>+M$12</f>
        <v>1</v>
      </c>
      <c r="J158" s="379">
        <f aca="true" t="shared" si="24" ref="J158:J172">I158*H158</f>
        <v>7.38</v>
      </c>
      <c r="K158" s="376"/>
      <c r="L158" s="505">
        <f>+'Rate Schedule (Part 1)'!$E$65</f>
        <v>8.2702</v>
      </c>
      <c r="M158" s="380">
        <f>+M$12</f>
        <v>1</v>
      </c>
      <c r="N158" s="379">
        <f aca="true" t="shared" si="25" ref="N158:N172">M158*L158</f>
        <v>8.2702</v>
      </c>
      <c r="O158" s="376"/>
      <c r="P158" s="381">
        <f aca="true" t="shared" si="26" ref="P158:P184">N158-J158</f>
        <v>0.890200000000001</v>
      </c>
      <c r="Q158" s="382">
        <f aca="true" t="shared" si="27" ref="Q158:Q184">IF((J158)=0,"",(P158/J158))</f>
        <v>0.12062330623306247</v>
      </c>
    </row>
    <row r="159" spans="4:17" ht="12.75">
      <c r="D159" s="376" t="s">
        <v>226</v>
      </c>
      <c r="E159" s="376"/>
      <c r="F159" s="514" t="s">
        <v>330</v>
      </c>
      <c r="G159" s="377"/>
      <c r="H159" s="505"/>
      <c r="I159" s="378">
        <v>1</v>
      </c>
      <c r="J159" s="379">
        <f t="shared" si="24"/>
        <v>0</v>
      </c>
      <c r="K159" s="376"/>
      <c r="L159" s="505"/>
      <c r="M159" s="380">
        <v>1</v>
      </c>
      <c r="N159" s="379">
        <f t="shared" si="25"/>
        <v>0</v>
      </c>
      <c r="O159" s="376"/>
      <c r="P159" s="381">
        <f t="shared" si="26"/>
        <v>0</v>
      </c>
      <c r="Q159" s="382">
        <f t="shared" si="27"/>
      </c>
    </row>
    <row r="160" spans="4:17" ht="12.75">
      <c r="D160" s="376" t="s">
        <v>342</v>
      </c>
      <c r="E160" s="376"/>
      <c r="F160" s="514"/>
      <c r="G160" s="377"/>
      <c r="H160" s="505"/>
      <c r="I160" s="378">
        <v>1</v>
      </c>
      <c r="J160" s="379">
        <f t="shared" si="24"/>
        <v>0</v>
      </c>
      <c r="K160" s="376"/>
      <c r="L160" s="505"/>
      <c r="M160" s="380">
        <v>1</v>
      </c>
      <c r="N160" s="379">
        <f t="shared" si="25"/>
        <v>0</v>
      </c>
      <c r="O160" s="376"/>
      <c r="P160" s="381">
        <f t="shared" si="26"/>
        <v>0</v>
      </c>
      <c r="Q160" s="382">
        <f t="shared" si="27"/>
      </c>
    </row>
    <row r="161" spans="4:17" ht="12.75">
      <c r="D161" s="376" t="s">
        <v>343</v>
      </c>
      <c r="E161" s="376"/>
      <c r="F161" s="514"/>
      <c r="G161" s="377"/>
      <c r="H161" s="505"/>
      <c r="I161" s="378">
        <v>1</v>
      </c>
      <c r="J161" s="379">
        <f t="shared" si="24"/>
        <v>0</v>
      </c>
      <c r="K161" s="376"/>
      <c r="L161" s="505"/>
      <c r="M161" s="380">
        <v>1</v>
      </c>
      <c r="N161" s="379">
        <f t="shared" si="25"/>
        <v>0</v>
      </c>
      <c r="O161" s="376"/>
      <c r="P161" s="381">
        <f t="shared" si="26"/>
        <v>0</v>
      </c>
      <c r="Q161" s="382">
        <f t="shared" si="27"/>
      </c>
    </row>
    <row r="162" spans="4:17" ht="12.75">
      <c r="D162" s="376" t="s">
        <v>85</v>
      </c>
      <c r="E162" s="376"/>
      <c r="F162" s="514" t="s">
        <v>53</v>
      </c>
      <c r="G162" s="377"/>
      <c r="H162" s="505">
        <f>+'2010 Existing Rates'!$B$65</f>
        <v>0.0156</v>
      </c>
      <c r="I162" s="378">
        <f>+H153</f>
        <v>0</v>
      </c>
      <c r="J162" s="379">
        <f t="shared" si="24"/>
        <v>0</v>
      </c>
      <c r="K162" s="376"/>
      <c r="L162" s="505">
        <f>+'Rate Schedule (Part 1)'!$E$66</f>
        <v>0.0175</v>
      </c>
      <c r="M162" s="380">
        <f>+H153</f>
        <v>0</v>
      </c>
      <c r="N162" s="379">
        <f t="shared" si="25"/>
        <v>0</v>
      </c>
      <c r="O162" s="376"/>
      <c r="P162" s="381">
        <f t="shared" si="26"/>
        <v>0</v>
      </c>
      <c r="Q162" s="382">
        <f t="shared" si="27"/>
      </c>
    </row>
    <row r="163" spans="4:17" ht="12.75">
      <c r="D163" s="376" t="s">
        <v>344</v>
      </c>
      <c r="E163" s="376"/>
      <c r="F163" s="514" t="s">
        <v>53</v>
      </c>
      <c r="G163" s="377"/>
      <c r="H163" s="505">
        <f>+'2010 Existing Rates'!$B$40</f>
        <v>0.0002</v>
      </c>
      <c r="I163" s="378">
        <f aca="true" t="shared" si="28" ref="I163:I168">I162</f>
        <v>0</v>
      </c>
      <c r="J163" s="379">
        <f t="shared" si="24"/>
        <v>0</v>
      </c>
      <c r="K163" s="376"/>
      <c r="L163" s="505">
        <f>+'Rate Schedule (Part 1)'!$E$67</f>
        <v>0.0002</v>
      </c>
      <c r="M163" s="380">
        <f aca="true" t="shared" si="29" ref="M163:M168">M162</f>
        <v>0</v>
      </c>
      <c r="N163" s="379">
        <f t="shared" si="25"/>
        <v>0</v>
      </c>
      <c r="O163" s="376"/>
      <c r="P163" s="381">
        <f t="shared" si="26"/>
        <v>0</v>
      </c>
      <c r="Q163" s="382">
        <f t="shared" si="27"/>
      </c>
    </row>
    <row r="164" spans="4:17" ht="12.75">
      <c r="D164" s="376" t="s">
        <v>345</v>
      </c>
      <c r="E164" s="376"/>
      <c r="F164" s="514"/>
      <c r="G164" s="377"/>
      <c r="H164" s="505"/>
      <c r="I164" s="378">
        <f t="shared" si="28"/>
        <v>0</v>
      </c>
      <c r="J164" s="379">
        <f t="shared" si="24"/>
        <v>0</v>
      </c>
      <c r="K164" s="376"/>
      <c r="L164" s="505"/>
      <c r="M164" s="380">
        <f t="shared" si="29"/>
        <v>0</v>
      </c>
      <c r="N164" s="379">
        <f t="shared" si="25"/>
        <v>0</v>
      </c>
      <c r="O164" s="376"/>
      <c r="P164" s="381">
        <f t="shared" si="26"/>
        <v>0</v>
      </c>
      <c r="Q164" s="382">
        <f t="shared" si="27"/>
      </c>
    </row>
    <row r="165" spans="4:17" ht="12.75">
      <c r="D165" s="376" t="s">
        <v>346</v>
      </c>
      <c r="E165" s="376"/>
      <c r="F165" s="514"/>
      <c r="G165" s="377"/>
      <c r="H165" s="505"/>
      <c r="I165" s="378">
        <f t="shared" si="28"/>
        <v>0</v>
      </c>
      <c r="J165" s="379">
        <f t="shared" si="24"/>
        <v>0</v>
      </c>
      <c r="K165" s="376"/>
      <c r="L165" s="505"/>
      <c r="M165" s="380">
        <f t="shared" si="29"/>
        <v>0</v>
      </c>
      <c r="N165" s="379">
        <f t="shared" si="25"/>
        <v>0</v>
      </c>
      <c r="O165" s="376"/>
      <c r="P165" s="381">
        <f t="shared" si="26"/>
        <v>0</v>
      </c>
      <c r="Q165" s="382">
        <f t="shared" si="27"/>
      </c>
    </row>
    <row r="166" spans="4:17" ht="12.75">
      <c r="D166" s="376" t="s">
        <v>347</v>
      </c>
      <c r="E166" s="376"/>
      <c r="F166" s="514"/>
      <c r="G166" s="377"/>
      <c r="H166" s="505"/>
      <c r="I166" s="378">
        <f t="shared" si="28"/>
        <v>0</v>
      </c>
      <c r="J166" s="379">
        <f t="shared" si="24"/>
        <v>0</v>
      </c>
      <c r="K166" s="376"/>
      <c r="L166" s="505"/>
      <c r="M166" s="380">
        <f t="shared" si="29"/>
        <v>0</v>
      </c>
      <c r="N166" s="379">
        <f t="shared" si="25"/>
        <v>0</v>
      </c>
      <c r="O166" s="376"/>
      <c r="P166" s="381">
        <f t="shared" si="26"/>
        <v>0</v>
      </c>
      <c r="Q166" s="382">
        <f t="shared" si="27"/>
      </c>
    </row>
    <row r="167" spans="4:17" ht="12.75">
      <c r="D167" s="376" t="s">
        <v>348</v>
      </c>
      <c r="E167" s="376"/>
      <c r="F167" s="514"/>
      <c r="G167" s="377"/>
      <c r="H167" s="505"/>
      <c r="I167" s="378">
        <f t="shared" si="28"/>
        <v>0</v>
      </c>
      <c r="J167" s="379">
        <f t="shared" si="24"/>
        <v>0</v>
      </c>
      <c r="K167" s="376"/>
      <c r="L167" s="505"/>
      <c r="M167" s="380">
        <f t="shared" si="29"/>
        <v>0</v>
      </c>
      <c r="N167" s="379">
        <f t="shared" si="25"/>
        <v>0</v>
      </c>
      <c r="O167" s="376"/>
      <c r="P167" s="381">
        <f t="shared" si="26"/>
        <v>0</v>
      </c>
      <c r="Q167" s="382">
        <f t="shared" si="27"/>
      </c>
    </row>
    <row r="168" spans="4:17" ht="25.5">
      <c r="D168" s="383" t="s">
        <v>349</v>
      </c>
      <c r="E168" s="376"/>
      <c r="F168" s="514" t="s">
        <v>53</v>
      </c>
      <c r="G168" s="377"/>
      <c r="H168" s="505">
        <f>+'2010 Existing Rates'!$B$28</f>
        <v>-0.0041</v>
      </c>
      <c r="I168" s="378">
        <f t="shared" si="28"/>
        <v>0</v>
      </c>
      <c r="J168" s="379">
        <f t="shared" si="24"/>
        <v>0</v>
      </c>
      <c r="K168" s="376"/>
      <c r="L168" s="505">
        <f>+'Rate Schedule (Part 1)'!$E$69</f>
        <v>-0.0006837836880171018</v>
      </c>
      <c r="M168" s="380">
        <f t="shared" si="29"/>
        <v>0</v>
      </c>
      <c r="N168" s="379">
        <f t="shared" si="25"/>
        <v>0</v>
      </c>
      <c r="O168" s="376"/>
      <c r="P168" s="381">
        <f t="shared" si="26"/>
        <v>0</v>
      </c>
      <c r="Q168" s="382">
        <f t="shared" si="27"/>
      </c>
    </row>
    <row r="169" spans="4:17" ht="12.75">
      <c r="D169" s="501"/>
      <c r="E169" s="376"/>
      <c r="F169" s="514"/>
      <c r="G169" s="377"/>
      <c r="H169" s="505"/>
      <c r="I169" s="507"/>
      <c r="J169" s="379">
        <f t="shared" si="24"/>
        <v>0</v>
      </c>
      <c r="K169" s="376"/>
      <c r="L169" s="505"/>
      <c r="M169" s="510"/>
      <c r="N169" s="379">
        <f t="shared" si="25"/>
        <v>0</v>
      </c>
      <c r="O169" s="376"/>
      <c r="P169" s="381">
        <f t="shared" si="26"/>
        <v>0</v>
      </c>
      <c r="Q169" s="382">
        <f t="shared" si="27"/>
      </c>
    </row>
    <row r="170" spans="4:17" ht="12.75">
      <c r="D170" s="501"/>
      <c r="E170" s="376"/>
      <c r="F170" s="514"/>
      <c r="G170" s="377"/>
      <c r="H170" s="505"/>
      <c r="I170" s="507"/>
      <c r="J170" s="379">
        <f t="shared" si="24"/>
        <v>0</v>
      </c>
      <c r="K170" s="376"/>
      <c r="L170" s="505"/>
      <c r="M170" s="510"/>
      <c r="N170" s="379">
        <f t="shared" si="25"/>
        <v>0</v>
      </c>
      <c r="O170" s="376"/>
      <c r="P170" s="381">
        <f t="shared" si="26"/>
        <v>0</v>
      </c>
      <c r="Q170" s="382">
        <f t="shared" si="27"/>
      </c>
    </row>
    <row r="171" spans="4:17" ht="12.75">
      <c r="D171" s="501"/>
      <c r="E171" s="376"/>
      <c r="F171" s="514"/>
      <c r="G171" s="377"/>
      <c r="H171" s="505"/>
      <c r="I171" s="507"/>
      <c r="J171" s="379">
        <f t="shared" si="24"/>
        <v>0</v>
      </c>
      <c r="K171" s="376"/>
      <c r="L171" s="505"/>
      <c r="M171" s="510"/>
      <c r="N171" s="379">
        <f t="shared" si="25"/>
        <v>0</v>
      </c>
      <c r="O171" s="376"/>
      <c r="P171" s="381">
        <f t="shared" si="26"/>
        <v>0</v>
      </c>
      <c r="Q171" s="382">
        <f t="shared" si="27"/>
      </c>
    </row>
    <row r="172" spans="4:17" ht="13.5" thickBot="1">
      <c r="D172" s="501"/>
      <c r="E172" s="376"/>
      <c r="F172" s="514"/>
      <c r="G172" s="377"/>
      <c r="H172" s="505"/>
      <c r="I172" s="507"/>
      <c r="J172" s="379">
        <f t="shared" si="24"/>
        <v>0</v>
      </c>
      <c r="K172" s="376"/>
      <c r="L172" s="505"/>
      <c r="M172" s="510"/>
      <c r="N172" s="379">
        <f t="shared" si="25"/>
        <v>0</v>
      </c>
      <c r="O172" s="376"/>
      <c r="P172" s="381">
        <f t="shared" si="26"/>
        <v>0</v>
      </c>
      <c r="Q172" s="382">
        <f t="shared" si="27"/>
      </c>
    </row>
    <row r="173" spans="4:17" ht="13.5" thickBot="1">
      <c r="D173" s="367" t="s">
        <v>350</v>
      </c>
      <c r="G173" s="384"/>
      <c r="H173" s="385"/>
      <c r="I173" s="386"/>
      <c r="J173" s="387">
        <f>SUM(J158:J172)</f>
        <v>7.38</v>
      </c>
      <c r="L173" s="385"/>
      <c r="M173" s="388"/>
      <c r="N173" s="387">
        <f>SUM(N158:N172)</f>
        <v>8.2702</v>
      </c>
      <c r="P173" s="389">
        <f t="shared" si="26"/>
        <v>0.890200000000001</v>
      </c>
      <c r="Q173" s="390">
        <f t="shared" si="27"/>
        <v>0.12062330623306247</v>
      </c>
    </row>
    <row r="174" spans="4:17" ht="12.75">
      <c r="D174" s="391" t="s">
        <v>351</v>
      </c>
      <c r="E174" s="391"/>
      <c r="F174" s="515" t="s">
        <v>53</v>
      </c>
      <c r="G174" s="392"/>
      <c r="H174" s="506">
        <v>0.0054</v>
      </c>
      <c r="I174" s="393">
        <f>+I182</f>
        <v>0</v>
      </c>
      <c r="J174" s="394">
        <f>I174*H174</f>
        <v>0</v>
      </c>
      <c r="K174" s="391"/>
      <c r="L174" s="506">
        <f>+'[7]E1.1 Adj Network to Fcst Whsl'!$S$29</f>
        <v>0.005019360241026099</v>
      </c>
      <c r="M174" s="395">
        <f>+J153</f>
        <v>0</v>
      </c>
      <c r="N174" s="394">
        <f>M174*L174</f>
        <v>0</v>
      </c>
      <c r="O174" s="391"/>
      <c r="P174" s="396">
        <f t="shared" si="26"/>
        <v>0</v>
      </c>
      <c r="Q174" s="397">
        <f t="shared" si="27"/>
      </c>
    </row>
    <row r="175" spans="4:17" ht="26.25" thickBot="1">
      <c r="D175" s="398" t="s">
        <v>352</v>
      </c>
      <c r="E175" s="391"/>
      <c r="F175" s="515" t="s">
        <v>53</v>
      </c>
      <c r="G175" s="392"/>
      <c r="H175" s="506">
        <v>0.0042</v>
      </c>
      <c r="I175" s="393">
        <f>I174</f>
        <v>0</v>
      </c>
      <c r="J175" s="394">
        <f>I175*H175</f>
        <v>0</v>
      </c>
      <c r="K175" s="391"/>
      <c r="L175" s="506">
        <f>+'[7]E1.2 Adj Conn to Fcst Whsl'!$S$29</f>
        <v>0.004147360261781856</v>
      </c>
      <c r="M175" s="395">
        <f>M174</f>
        <v>0</v>
      </c>
      <c r="N175" s="394">
        <f>M175*L175</f>
        <v>0</v>
      </c>
      <c r="O175" s="391"/>
      <c r="P175" s="396">
        <f t="shared" si="26"/>
        <v>0</v>
      </c>
      <c r="Q175" s="397">
        <f t="shared" si="27"/>
      </c>
    </row>
    <row r="176" spans="4:17" ht="26.25" thickBot="1">
      <c r="D176" s="399" t="s">
        <v>353</v>
      </c>
      <c r="E176" s="376"/>
      <c r="F176" s="376"/>
      <c r="G176" s="377"/>
      <c r="H176" s="400"/>
      <c r="I176" s="401"/>
      <c r="J176" s="402">
        <f>SUM(J173:J175)</f>
        <v>7.38</v>
      </c>
      <c r="K176" s="403"/>
      <c r="L176" s="404"/>
      <c r="M176" s="405"/>
      <c r="N176" s="402">
        <f>SUM(N173:N175)</f>
        <v>8.2702</v>
      </c>
      <c r="O176" s="403"/>
      <c r="P176" s="406">
        <f t="shared" si="26"/>
        <v>0.890200000000001</v>
      </c>
      <c r="Q176" s="407">
        <f t="shared" si="27"/>
        <v>0.12062330623306247</v>
      </c>
    </row>
    <row r="177" spans="4:17" ht="25.5">
      <c r="D177" s="383" t="s">
        <v>354</v>
      </c>
      <c r="E177" s="376"/>
      <c r="F177" s="514" t="s">
        <v>53</v>
      </c>
      <c r="G177" s="377"/>
      <c r="H177" s="505">
        <v>0.0052</v>
      </c>
      <c r="I177" s="378">
        <f>+$H153*(1+$H189)</f>
        <v>0</v>
      </c>
      <c r="J177" s="379">
        <f aca="true" t="shared" si="30" ref="J177:J184">I177*H177</f>
        <v>0</v>
      </c>
      <c r="K177" s="376"/>
      <c r="L177" s="505">
        <v>0.0052</v>
      </c>
      <c r="M177" s="380">
        <f>+M182</f>
        <v>0</v>
      </c>
      <c r="N177" s="379">
        <f aca="true" t="shared" si="31" ref="N177:N184">M177*L177</f>
        <v>0</v>
      </c>
      <c r="O177" s="376"/>
      <c r="P177" s="381">
        <f t="shared" si="26"/>
        <v>0</v>
      </c>
      <c r="Q177" s="382">
        <f t="shared" si="27"/>
      </c>
    </row>
    <row r="178" spans="4:17" ht="25.5">
      <c r="D178" s="383" t="s">
        <v>355</v>
      </c>
      <c r="E178" s="376"/>
      <c r="F178" s="514" t="s">
        <v>53</v>
      </c>
      <c r="G178" s="377"/>
      <c r="H178" s="505">
        <v>0.0013</v>
      </c>
      <c r="I178" s="378">
        <f>+I177</f>
        <v>0</v>
      </c>
      <c r="J178" s="379">
        <f t="shared" si="30"/>
        <v>0</v>
      </c>
      <c r="K178" s="376"/>
      <c r="L178" s="505">
        <v>0.0013</v>
      </c>
      <c r="M178" s="380">
        <f>+M177</f>
        <v>0</v>
      </c>
      <c r="N178" s="379">
        <f t="shared" si="31"/>
        <v>0</v>
      </c>
      <c r="O178" s="376"/>
      <c r="P178" s="381">
        <f t="shared" si="26"/>
        <v>0</v>
      </c>
      <c r="Q178" s="382">
        <f t="shared" si="27"/>
      </c>
    </row>
    <row r="179" spans="4:17" ht="12.75">
      <c r="D179" s="383" t="s">
        <v>356</v>
      </c>
      <c r="E179" s="376"/>
      <c r="F179" s="514" t="s">
        <v>53</v>
      </c>
      <c r="G179" s="377"/>
      <c r="H179" s="508">
        <v>0.000373</v>
      </c>
      <c r="I179" s="378">
        <f>+I177</f>
        <v>0</v>
      </c>
      <c r="J179" s="379">
        <f t="shared" si="30"/>
        <v>0</v>
      </c>
      <c r="K179" s="376"/>
      <c r="L179" s="508">
        <v>0.000373</v>
      </c>
      <c r="M179" s="380">
        <f>+M177</f>
        <v>0</v>
      </c>
      <c r="N179" s="379">
        <f t="shared" si="31"/>
        <v>0</v>
      </c>
      <c r="O179" s="376"/>
      <c r="P179" s="381">
        <f t="shared" si="26"/>
        <v>0</v>
      </c>
      <c r="Q179" s="382">
        <f t="shared" si="27"/>
      </c>
    </row>
    <row r="180" spans="4:17" ht="12.75">
      <c r="D180" s="376" t="s">
        <v>357</v>
      </c>
      <c r="E180" s="376"/>
      <c r="F180" s="514" t="s">
        <v>330</v>
      </c>
      <c r="G180" s="377"/>
      <c r="H180" s="505">
        <v>0.25</v>
      </c>
      <c r="I180" s="378">
        <v>1</v>
      </c>
      <c r="J180" s="379">
        <f t="shared" si="30"/>
        <v>0.25</v>
      </c>
      <c r="K180" s="376"/>
      <c r="L180" s="505">
        <v>0.25</v>
      </c>
      <c r="M180" s="380">
        <v>1</v>
      </c>
      <c r="N180" s="379">
        <f t="shared" si="31"/>
        <v>0.25</v>
      </c>
      <c r="O180" s="376"/>
      <c r="P180" s="381">
        <f t="shared" si="26"/>
        <v>0</v>
      </c>
      <c r="Q180" s="382">
        <f t="shared" si="27"/>
        <v>0</v>
      </c>
    </row>
    <row r="181" spans="4:17" ht="12.75">
      <c r="D181" s="376" t="s">
        <v>358</v>
      </c>
      <c r="E181" s="376"/>
      <c r="F181" s="514" t="s">
        <v>53</v>
      </c>
      <c r="G181" s="377"/>
      <c r="H181" s="505">
        <v>0.007</v>
      </c>
      <c r="I181" s="378">
        <f>+$H153</f>
        <v>0</v>
      </c>
      <c r="J181" s="379">
        <f t="shared" si="30"/>
        <v>0</v>
      </c>
      <c r="K181" s="376"/>
      <c r="L181" s="505">
        <v>0.007</v>
      </c>
      <c r="M181" s="380">
        <f>+$H153</f>
        <v>0</v>
      </c>
      <c r="N181" s="379">
        <f t="shared" si="31"/>
        <v>0</v>
      </c>
      <c r="O181" s="376"/>
      <c r="P181" s="381">
        <f t="shared" si="26"/>
        <v>0</v>
      </c>
      <c r="Q181" s="382">
        <f t="shared" si="27"/>
      </c>
    </row>
    <row r="182" spans="4:17" ht="12.75">
      <c r="D182" s="376" t="s">
        <v>359</v>
      </c>
      <c r="E182" s="376"/>
      <c r="F182" s="514" t="s">
        <v>53</v>
      </c>
      <c r="G182" s="377"/>
      <c r="H182" s="505">
        <f>+'Other Electriciy Rates'!$J$17</f>
        <v>0.065</v>
      </c>
      <c r="I182" s="378">
        <f>+$H153*(1+$H189)</f>
        <v>0</v>
      </c>
      <c r="J182" s="379">
        <f t="shared" si="30"/>
        <v>0</v>
      </c>
      <c r="K182" s="376"/>
      <c r="L182" s="505">
        <f>+'Other Electriciy Rates'!$J$32</f>
        <v>0.065</v>
      </c>
      <c r="M182" s="378">
        <f>+$H153*(1+$L189)</f>
        <v>0</v>
      </c>
      <c r="N182" s="379">
        <f t="shared" si="31"/>
        <v>0</v>
      </c>
      <c r="O182" s="376"/>
      <c r="P182" s="381">
        <f t="shared" si="26"/>
        <v>0</v>
      </c>
      <c r="Q182" s="382">
        <f t="shared" si="27"/>
      </c>
    </row>
    <row r="183" spans="4:17" ht="12.75">
      <c r="D183" s="502"/>
      <c r="E183" s="376"/>
      <c r="F183" s="514"/>
      <c r="G183" s="377"/>
      <c r="H183" s="505"/>
      <c r="I183" s="509"/>
      <c r="J183" s="379">
        <f t="shared" si="30"/>
        <v>0</v>
      </c>
      <c r="K183" s="376"/>
      <c r="L183" s="505"/>
      <c r="M183" s="509"/>
      <c r="N183" s="379">
        <f t="shared" si="31"/>
        <v>0</v>
      </c>
      <c r="O183" s="376"/>
      <c r="P183" s="381">
        <f t="shared" si="26"/>
        <v>0</v>
      </c>
      <c r="Q183" s="382">
        <f t="shared" si="27"/>
      </c>
    </row>
    <row r="184" spans="4:17" ht="13.5" thickBot="1">
      <c r="D184" s="501"/>
      <c r="E184" s="376"/>
      <c r="F184" s="514"/>
      <c r="G184" s="377"/>
      <c r="H184" s="505"/>
      <c r="I184" s="509"/>
      <c r="J184" s="379">
        <f t="shared" si="30"/>
        <v>0</v>
      </c>
      <c r="K184" s="376"/>
      <c r="L184" s="505"/>
      <c r="M184" s="509"/>
      <c r="N184" s="379">
        <f t="shared" si="31"/>
        <v>0</v>
      </c>
      <c r="O184" s="376"/>
      <c r="P184" s="381">
        <f t="shared" si="26"/>
        <v>0</v>
      </c>
      <c r="Q184" s="382">
        <f t="shared" si="27"/>
      </c>
    </row>
    <row r="185" spans="4:17" ht="13.5" thickBot="1">
      <c r="D185" s="408" t="s">
        <v>360</v>
      </c>
      <c r="E185" s="376"/>
      <c r="F185" s="376"/>
      <c r="G185" s="376"/>
      <c r="H185" s="409"/>
      <c r="I185" s="410"/>
      <c r="J185" s="402">
        <f>SUM(J176:J184)</f>
        <v>7.63</v>
      </c>
      <c r="K185" s="403"/>
      <c r="L185" s="411"/>
      <c r="M185" s="412"/>
      <c r="N185" s="402">
        <f>SUM(N176:N184)</f>
        <v>8.5202</v>
      </c>
      <c r="O185" s="403"/>
      <c r="P185" s="406">
        <f>N185-J185</f>
        <v>0.890200000000001</v>
      </c>
      <c r="Q185" s="407">
        <f>IF((J185)=0,"",(P185/J185))</f>
        <v>0.11667103538663184</v>
      </c>
    </row>
    <row r="186" spans="4:17" ht="13.5" thickBot="1">
      <c r="D186" s="377" t="s">
        <v>361</v>
      </c>
      <c r="E186" s="376"/>
      <c r="F186" s="376"/>
      <c r="G186" s="376"/>
      <c r="H186" s="511">
        <v>0.13</v>
      </c>
      <c r="I186" s="413"/>
      <c r="J186" s="414">
        <f>J185*H186</f>
        <v>0.9919</v>
      </c>
      <c r="K186" s="376"/>
      <c r="L186" s="511">
        <v>0.13</v>
      </c>
      <c r="M186" s="415"/>
      <c r="N186" s="414">
        <f>N185*L186</f>
        <v>1.1076260000000002</v>
      </c>
      <c r="O186" s="376"/>
      <c r="P186" s="381">
        <f>N186-J186</f>
        <v>0.11572600000000022</v>
      </c>
      <c r="Q186" s="382">
        <f>IF((J186)=0,"",(P186/J186))</f>
        <v>0.11667103538663194</v>
      </c>
    </row>
    <row r="187" spans="4:17" ht="26.25" thickBot="1">
      <c r="D187" s="399" t="s">
        <v>362</v>
      </c>
      <c r="E187" s="376"/>
      <c r="F187" s="376"/>
      <c r="G187" s="376"/>
      <c r="H187" s="400"/>
      <c r="I187" s="401"/>
      <c r="J187" s="402">
        <f>ROUND(SUM(J185:J186),2)</f>
        <v>8.62</v>
      </c>
      <c r="K187" s="403"/>
      <c r="L187" s="404"/>
      <c r="M187" s="405"/>
      <c r="N187" s="402">
        <f>ROUND(SUM(N185:N186),2)</f>
        <v>9.63</v>
      </c>
      <c r="O187" s="403"/>
      <c r="P187" s="406">
        <f>N187-J187</f>
        <v>1.0100000000000016</v>
      </c>
      <c r="Q187" s="407">
        <f>IF((J187)=0,"",(P187/J187))</f>
        <v>0.11716937354988419</v>
      </c>
    </row>
    <row r="188" ht="10.5" customHeight="1"/>
    <row r="189" spans="4:12" ht="12.75">
      <c r="D189" s="367" t="s">
        <v>363</v>
      </c>
      <c r="H189" s="512">
        <v>0.0351</v>
      </c>
      <c r="L189" s="513">
        <f>-(1-'[8]Ex4 Total Loss Factors'!$G$20)</f>
        <v>0.03619124792672812</v>
      </c>
    </row>
    <row r="190" ht="10.5" customHeight="1"/>
    <row r="191" ht="12.75">
      <c r="B191" s="367" t="s">
        <v>364</v>
      </c>
    </row>
    <row r="192" spans="2:17" ht="12.75">
      <c r="B192" s="717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9"/>
    </row>
    <row r="193" spans="2:17" ht="12.75">
      <c r="B193" s="720"/>
      <c r="C193" s="721"/>
      <c r="D193" s="721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2"/>
    </row>
    <row r="194" spans="2:17" ht="12.75">
      <c r="B194" s="720"/>
      <c r="C194" s="721"/>
      <c r="D194" s="721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2"/>
    </row>
    <row r="195" spans="2:17" ht="12.75">
      <c r="B195" s="720"/>
      <c r="C195" s="721"/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2"/>
    </row>
    <row r="196" spans="2:17" ht="12.75">
      <c r="B196" s="723"/>
      <c r="C196" s="724"/>
      <c r="D196" s="724"/>
      <c r="E196" s="724"/>
      <c r="F196" s="724"/>
      <c r="G196" s="724"/>
      <c r="H196" s="724"/>
      <c r="I196" s="724"/>
      <c r="J196" s="724"/>
      <c r="K196" s="724"/>
      <c r="L196" s="724"/>
      <c r="M196" s="724"/>
      <c r="N196" s="724"/>
      <c r="O196" s="724"/>
      <c r="P196" s="724"/>
      <c r="Q196" s="725"/>
    </row>
    <row r="198" spans="2:17" ht="15.75">
      <c r="B198" s="363" t="s">
        <v>330</v>
      </c>
      <c r="D198" s="364" t="s">
        <v>331</v>
      </c>
      <c r="F198" s="726" t="str">
        <f>+F10</f>
        <v>Unmetered &amp; Scattered</v>
      </c>
      <c r="G198" s="726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</row>
    <row r="199" spans="2:17" ht="7.5" customHeight="1">
      <c r="B199" s="363"/>
      <c r="D199" s="365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</row>
    <row r="200" spans="2:15" ht="12.75">
      <c r="B200" s="363" t="s">
        <v>53</v>
      </c>
      <c r="F200" s="367" t="s">
        <v>66</v>
      </c>
      <c r="G200" s="367"/>
      <c r="H200" s="516"/>
      <c r="I200" s="367" t="s">
        <v>332</v>
      </c>
      <c r="J200" s="504"/>
      <c r="L200" s="367" t="s">
        <v>16</v>
      </c>
      <c r="M200" s="504"/>
      <c r="O200" s="367" t="s">
        <v>134</v>
      </c>
    </row>
    <row r="201" ht="10.5" customHeight="1">
      <c r="B201" s="363" t="s">
        <v>22</v>
      </c>
    </row>
    <row r="202" spans="2:17" ht="12.75">
      <c r="B202" s="368"/>
      <c r="F202" s="369"/>
      <c r="G202" s="369"/>
      <c r="H202" s="727" t="s">
        <v>333</v>
      </c>
      <c r="I202" s="728"/>
      <c r="J202" s="729"/>
      <c r="L202" s="727" t="s">
        <v>334</v>
      </c>
      <c r="M202" s="728"/>
      <c r="N202" s="729"/>
      <c r="P202" s="727" t="s">
        <v>335</v>
      </c>
      <c r="Q202" s="729"/>
    </row>
    <row r="203" spans="2:17" ht="12.75">
      <c r="B203" s="368"/>
      <c r="F203" s="730" t="s">
        <v>336</v>
      </c>
      <c r="G203" s="370"/>
      <c r="H203" s="371" t="s">
        <v>337</v>
      </c>
      <c r="I203" s="371" t="s">
        <v>63</v>
      </c>
      <c r="J203" s="372" t="s">
        <v>338</v>
      </c>
      <c r="L203" s="371" t="s">
        <v>337</v>
      </c>
      <c r="M203" s="373" t="s">
        <v>63</v>
      </c>
      <c r="N203" s="372" t="s">
        <v>338</v>
      </c>
      <c r="P203" s="732" t="s">
        <v>339</v>
      </c>
      <c r="Q203" s="734" t="s">
        <v>340</v>
      </c>
    </row>
    <row r="204" spans="2:17" ht="12.75">
      <c r="B204" s="368"/>
      <c r="F204" s="731"/>
      <c r="G204" s="370"/>
      <c r="H204" s="374" t="s">
        <v>341</v>
      </c>
      <c r="I204" s="374"/>
      <c r="J204" s="375" t="s">
        <v>341</v>
      </c>
      <c r="L204" s="374" t="s">
        <v>341</v>
      </c>
      <c r="M204" s="375"/>
      <c r="N204" s="375" t="s">
        <v>341</v>
      </c>
      <c r="P204" s="733"/>
      <c r="Q204" s="735"/>
    </row>
    <row r="205" spans="4:17" ht="12.75">
      <c r="D205" s="376" t="s">
        <v>67</v>
      </c>
      <c r="E205" s="376"/>
      <c r="F205" s="514" t="s">
        <v>330</v>
      </c>
      <c r="G205" s="377"/>
      <c r="H205" s="505">
        <f>+'2010 Existing Rates'!$B$15</f>
        <v>7.38</v>
      </c>
      <c r="I205" s="378">
        <f>+M$12</f>
        <v>1</v>
      </c>
      <c r="J205" s="379">
        <f aca="true" t="shared" si="32" ref="J205:J219">I205*H205</f>
        <v>7.38</v>
      </c>
      <c r="K205" s="376"/>
      <c r="L205" s="505">
        <f>+'Rate Schedule (Part 1)'!$E$65</f>
        <v>8.2702</v>
      </c>
      <c r="M205" s="380">
        <f>+M$12</f>
        <v>1</v>
      </c>
      <c r="N205" s="379">
        <f aca="true" t="shared" si="33" ref="N205:N219">M205*L205</f>
        <v>8.2702</v>
      </c>
      <c r="O205" s="376"/>
      <c r="P205" s="381">
        <f aca="true" t="shared" si="34" ref="P205:P231">N205-J205</f>
        <v>0.890200000000001</v>
      </c>
      <c r="Q205" s="382">
        <f aca="true" t="shared" si="35" ref="Q205:Q231">IF((J205)=0,"",(P205/J205))</f>
        <v>0.12062330623306247</v>
      </c>
    </row>
    <row r="206" spans="4:17" ht="12.75">
      <c r="D206" s="376" t="s">
        <v>226</v>
      </c>
      <c r="E206" s="376"/>
      <c r="F206" s="514" t="s">
        <v>330</v>
      </c>
      <c r="G206" s="377"/>
      <c r="H206" s="505"/>
      <c r="I206" s="378">
        <v>1</v>
      </c>
      <c r="J206" s="379">
        <f t="shared" si="32"/>
        <v>0</v>
      </c>
      <c r="K206" s="376"/>
      <c r="L206" s="505"/>
      <c r="M206" s="380">
        <v>1</v>
      </c>
      <c r="N206" s="379">
        <f t="shared" si="33"/>
        <v>0</v>
      </c>
      <c r="O206" s="376"/>
      <c r="P206" s="381">
        <f t="shared" si="34"/>
        <v>0</v>
      </c>
      <c r="Q206" s="382">
        <f t="shared" si="35"/>
      </c>
    </row>
    <row r="207" spans="4:17" ht="12.75">
      <c r="D207" s="376" t="s">
        <v>342</v>
      </c>
      <c r="E207" s="376"/>
      <c r="F207" s="514"/>
      <c r="G207" s="377"/>
      <c r="H207" s="505"/>
      <c r="I207" s="378">
        <v>1</v>
      </c>
      <c r="J207" s="379">
        <f t="shared" si="32"/>
        <v>0</v>
      </c>
      <c r="K207" s="376"/>
      <c r="L207" s="505"/>
      <c r="M207" s="380">
        <v>1</v>
      </c>
      <c r="N207" s="379">
        <f t="shared" si="33"/>
        <v>0</v>
      </c>
      <c r="O207" s="376"/>
      <c r="P207" s="381">
        <f t="shared" si="34"/>
        <v>0</v>
      </c>
      <c r="Q207" s="382">
        <f t="shared" si="35"/>
      </c>
    </row>
    <row r="208" spans="4:17" ht="12.75">
      <c r="D208" s="376" t="s">
        <v>343</v>
      </c>
      <c r="E208" s="376"/>
      <c r="F208" s="514"/>
      <c r="G208" s="377"/>
      <c r="H208" s="505"/>
      <c r="I208" s="378">
        <v>1</v>
      </c>
      <c r="J208" s="379">
        <f t="shared" si="32"/>
        <v>0</v>
      </c>
      <c r="K208" s="376"/>
      <c r="L208" s="505"/>
      <c r="M208" s="380">
        <v>1</v>
      </c>
      <c r="N208" s="379">
        <f t="shared" si="33"/>
        <v>0</v>
      </c>
      <c r="O208" s="376"/>
      <c r="P208" s="381">
        <f t="shared" si="34"/>
        <v>0</v>
      </c>
      <c r="Q208" s="382">
        <f t="shared" si="35"/>
      </c>
    </row>
    <row r="209" spans="4:17" ht="12.75">
      <c r="D209" s="376" t="s">
        <v>85</v>
      </c>
      <c r="E209" s="376"/>
      <c r="F209" s="514" t="s">
        <v>53</v>
      </c>
      <c r="G209" s="377"/>
      <c r="H209" s="505">
        <f>+'2010 Existing Rates'!$B$65</f>
        <v>0.0156</v>
      </c>
      <c r="I209" s="378">
        <f>+H200</f>
        <v>0</v>
      </c>
      <c r="J209" s="379">
        <f t="shared" si="32"/>
        <v>0</v>
      </c>
      <c r="K209" s="376"/>
      <c r="L209" s="505">
        <f>+'Rate Schedule (Part 1)'!$E$66</f>
        <v>0.0175</v>
      </c>
      <c r="M209" s="380">
        <f>+H200</f>
        <v>0</v>
      </c>
      <c r="N209" s="379">
        <f t="shared" si="33"/>
        <v>0</v>
      </c>
      <c r="O209" s="376"/>
      <c r="P209" s="381">
        <f t="shared" si="34"/>
        <v>0</v>
      </c>
      <c r="Q209" s="382">
        <f t="shared" si="35"/>
      </c>
    </row>
    <row r="210" spans="4:17" ht="12.75">
      <c r="D210" s="376" t="s">
        <v>344</v>
      </c>
      <c r="E210" s="376"/>
      <c r="F210" s="514" t="s">
        <v>53</v>
      </c>
      <c r="G210" s="377"/>
      <c r="H210" s="505">
        <f>+'2010 Existing Rates'!$B$40</f>
        <v>0.0002</v>
      </c>
      <c r="I210" s="378">
        <f aca="true" t="shared" si="36" ref="I210:I215">I209</f>
        <v>0</v>
      </c>
      <c r="J210" s="379">
        <f t="shared" si="32"/>
        <v>0</v>
      </c>
      <c r="K210" s="376"/>
      <c r="L210" s="505">
        <f>+'Rate Schedule (Part 1)'!$E$67</f>
        <v>0.0002</v>
      </c>
      <c r="M210" s="380">
        <f aca="true" t="shared" si="37" ref="M210:M215">M209</f>
        <v>0</v>
      </c>
      <c r="N210" s="379">
        <f t="shared" si="33"/>
        <v>0</v>
      </c>
      <c r="O210" s="376"/>
      <c r="P210" s="381">
        <f t="shared" si="34"/>
        <v>0</v>
      </c>
      <c r="Q210" s="382">
        <f t="shared" si="35"/>
      </c>
    </row>
    <row r="211" spans="4:17" ht="12.75">
      <c r="D211" s="376" t="s">
        <v>345</v>
      </c>
      <c r="E211" s="376"/>
      <c r="F211" s="514"/>
      <c r="G211" s="377"/>
      <c r="H211" s="505"/>
      <c r="I211" s="378">
        <f t="shared" si="36"/>
        <v>0</v>
      </c>
      <c r="J211" s="379">
        <f t="shared" si="32"/>
        <v>0</v>
      </c>
      <c r="K211" s="376"/>
      <c r="L211" s="505"/>
      <c r="M211" s="380">
        <f t="shared" si="37"/>
        <v>0</v>
      </c>
      <c r="N211" s="379">
        <f t="shared" si="33"/>
        <v>0</v>
      </c>
      <c r="O211" s="376"/>
      <c r="P211" s="381">
        <f t="shared" si="34"/>
        <v>0</v>
      </c>
      <c r="Q211" s="382">
        <f t="shared" si="35"/>
      </c>
    </row>
    <row r="212" spans="4:17" ht="12.75">
      <c r="D212" s="376" t="s">
        <v>346</v>
      </c>
      <c r="E212" s="376"/>
      <c r="F212" s="514"/>
      <c r="G212" s="377"/>
      <c r="H212" s="505"/>
      <c r="I212" s="378">
        <f t="shared" si="36"/>
        <v>0</v>
      </c>
      <c r="J212" s="379">
        <f t="shared" si="32"/>
        <v>0</v>
      </c>
      <c r="K212" s="376"/>
      <c r="L212" s="505"/>
      <c r="M212" s="380">
        <f t="shared" si="37"/>
        <v>0</v>
      </c>
      <c r="N212" s="379">
        <f t="shared" si="33"/>
        <v>0</v>
      </c>
      <c r="O212" s="376"/>
      <c r="P212" s="381">
        <f t="shared" si="34"/>
        <v>0</v>
      </c>
      <c r="Q212" s="382">
        <f t="shared" si="35"/>
      </c>
    </row>
    <row r="213" spans="4:17" ht="12.75">
      <c r="D213" s="376" t="s">
        <v>347</v>
      </c>
      <c r="E213" s="376"/>
      <c r="F213" s="514"/>
      <c r="G213" s="377"/>
      <c r="H213" s="505"/>
      <c r="I213" s="378">
        <f t="shared" si="36"/>
        <v>0</v>
      </c>
      <c r="J213" s="379">
        <f t="shared" si="32"/>
        <v>0</v>
      </c>
      <c r="K213" s="376"/>
      <c r="L213" s="505"/>
      <c r="M213" s="380">
        <f t="shared" si="37"/>
        <v>0</v>
      </c>
      <c r="N213" s="379">
        <f t="shared" si="33"/>
        <v>0</v>
      </c>
      <c r="O213" s="376"/>
      <c r="P213" s="381">
        <f t="shared" si="34"/>
        <v>0</v>
      </c>
      <c r="Q213" s="382">
        <f t="shared" si="35"/>
      </c>
    </row>
    <row r="214" spans="4:17" ht="12.75">
      <c r="D214" s="376" t="s">
        <v>348</v>
      </c>
      <c r="E214" s="376"/>
      <c r="F214" s="514"/>
      <c r="G214" s="377"/>
      <c r="H214" s="505"/>
      <c r="I214" s="378">
        <f t="shared" si="36"/>
        <v>0</v>
      </c>
      <c r="J214" s="379">
        <f t="shared" si="32"/>
        <v>0</v>
      </c>
      <c r="K214" s="376"/>
      <c r="L214" s="505"/>
      <c r="M214" s="380">
        <f t="shared" si="37"/>
        <v>0</v>
      </c>
      <c r="N214" s="379">
        <f t="shared" si="33"/>
        <v>0</v>
      </c>
      <c r="O214" s="376"/>
      <c r="P214" s="381">
        <f t="shared" si="34"/>
        <v>0</v>
      </c>
      <c r="Q214" s="382">
        <f t="shared" si="35"/>
      </c>
    </row>
    <row r="215" spans="4:17" ht="25.5">
      <c r="D215" s="383" t="s">
        <v>349</v>
      </c>
      <c r="E215" s="376"/>
      <c r="F215" s="514" t="s">
        <v>53</v>
      </c>
      <c r="G215" s="377"/>
      <c r="H215" s="505">
        <f>+'2010 Existing Rates'!$B$28</f>
        <v>-0.0041</v>
      </c>
      <c r="I215" s="378">
        <f t="shared" si="36"/>
        <v>0</v>
      </c>
      <c r="J215" s="379">
        <f t="shared" si="32"/>
        <v>0</v>
      </c>
      <c r="K215" s="376"/>
      <c r="L215" s="505">
        <f>+'Rate Schedule (Part 1)'!$E$69</f>
        <v>-0.0006837836880171018</v>
      </c>
      <c r="M215" s="380">
        <f t="shared" si="37"/>
        <v>0</v>
      </c>
      <c r="N215" s="379">
        <f t="shared" si="33"/>
        <v>0</v>
      </c>
      <c r="O215" s="376"/>
      <c r="P215" s="381">
        <f t="shared" si="34"/>
        <v>0</v>
      </c>
      <c r="Q215" s="382">
        <f t="shared" si="35"/>
      </c>
    </row>
    <row r="216" spans="4:17" ht="12.75">
      <c r="D216" s="501"/>
      <c r="E216" s="376"/>
      <c r="F216" s="514"/>
      <c r="G216" s="377"/>
      <c r="H216" s="505"/>
      <c r="I216" s="507"/>
      <c r="J216" s="379">
        <f t="shared" si="32"/>
        <v>0</v>
      </c>
      <c r="K216" s="376"/>
      <c r="L216" s="505"/>
      <c r="M216" s="510"/>
      <c r="N216" s="379">
        <f t="shared" si="33"/>
        <v>0</v>
      </c>
      <c r="O216" s="376"/>
      <c r="P216" s="381">
        <f t="shared" si="34"/>
        <v>0</v>
      </c>
      <c r="Q216" s="382">
        <f t="shared" si="35"/>
      </c>
    </row>
    <row r="217" spans="4:17" ht="12.75">
      <c r="D217" s="501"/>
      <c r="E217" s="376"/>
      <c r="F217" s="514"/>
      <c r="G217" s="377"/>
      <c r="H217" s="505"/>
      <c r="I217" s="507"/>
      <c r="J217" s="379">
        <f t="shared" si="32"/>
        <v>0</v>
      </c>
      <c r="K217" s="376"/>
      <c r="L217" s="505"/>
      <c r="M217" s="510"/>
      <c r="N217" s="379">
        <f t="shared" si="33"/>
        <v>0</v>
      </c>
      <c r="O217" s="376"/>
      <c r="P217" s="381">
        <f t="shared" si="34"/>
        <v>0</v>
      </c>
      <c r="Q217" s="382">
        <f t="shared" si="35"/>
      </c>
    </row>
    <row r="218" spans="4:17" ht="12.75">
      <c r="D218" s="501"/>
      <c r="E218" s="376"/>
      <c r="F218" s="514"/>
      <c r="G218" s="377"/>
      <c r="H218" s="505"/>
      <c r="I218" s="507"/>
      <c r="J218" s="379">
        <f t="shared" si="32"/>
        <v>0</v>
      </c>
      <c r="K218" s="376"/>
      <c r="L218" s="505"/>
      <c r="M218" s="510"/>
      <c r="N218" s="379">
        <f t="shared" si="33"/>
        <v>0</v>
      </c>
      <c r="O218" s="376"/>
      <c r="P218" s="381">
        <f t="shared" si="34"/>
        <v>0</v>
      </c>
      <c r="Q218" s="382">
        <f t="shared" si="35"/>
      </c>
    </row>
    <row r="219" spans="4:17" ht="13.5" thickBot="1">
      <c r="D219" s="501"/>
      <c r="E219" s="376"/>
      <c r="F219" s="514"/>
      <c r="G219" s="377"/>
      <c r="H219" s="505"/>
      <c r="I219" s="507"/>
      <c r="J219" s="379">
        <f t="shared" si="32"/>
        <v>0</v>
      </c>
      <c r="K219" s="376"/>
      <c r="L219" s="505"/>
      <c r="M219" s="510"/>
      <c r="N219" s="379">
        <f t="shared" si="33"/>
        <v>0</v>
      </c>
      <c r="O219" s="376"/>
      <c r="P219" s="381">
        <f t="shared" si="34"/>
        <v>0</v>
      </c>
      <c r="Q219" s="382">
        <f t="shared" si="35"/>
      </c>
    </row>
    <row r="220" spans="4:17" ht="13.5" thickBot="1">
      <c r="D220" s="367" t="s">
        <v>350</v>
      </c>
      <c r="G220" s="384"/>
      <c r="H220" s="385"/>
      <c r="I220" s="386"/>
      <c r="J220" s="387">
        <f>SUM(J205:J219)</f>
        <v>7.38</v>
      </c>
      <c r="L220" s="385"/>
      <c r="M220" s="388"/>
      <c r="N220" s="387">
        <f>SUM(N205:N219)</f>
        <v>8.2702</v>
      </c>
      <c r="P220" s="389">
        <f t="shared" si="34"/>
        <v>0.890200000000001</v>
      </c>
      <c r="Q220" s="390">
        <f t="shared" si="35"/>
        <v>0.12062330623306247</v>
      </c>
    </row>
    <row r="221" spans="4:17" ht="12.75">
      <c r="D221" s="391" t="s">
        <v>351</v>
      </c>
      <c r="E221" s="391"/>
      <c r="F221" s="515" t="s">
        <v>53</v>
      </c>
      <c r="G221" s="392"/>
      <c r="H221" s="506">
        <v>0.0054</v>
      </c>
      <c r="I221" s="393">
        <f>+I229</f>
        <v>0</v>
      </c>
      <c r="J221" s="394">
        <f>I221*H221</f>
        <v>0</v>
      </c>
      <c r="K221" s="391"/>
      <c r="L221" s="506">
        <f>+'[7]E1.1 Adj Network to Fcst Whsl'!$S$29</f>
        <v>0.005019360241026099</v>
      </c>
      <c r="M221" s="395">
        <f>+J200</f>
        <v>0</v>
      </c>
      <c r="N221" s="394">
        <f>M221*L221</f>
        <v>0</v>
      </c>
      <c r="O221" s="391"/>
      <c r="P221" s="396">
        <f t="shared" si="34"/>
        <v>0</v>
      </c>
      <c r="Q221" s="397">
        <f t="shared" si="35"/>
      </c>
    </row>
    <row r="222" spans="4:17" ht="26.25" thickBot="1">
      <c r="D222" s="398" t="s">
        <v>352</v>
      </c>
      <c r="E222" s="391"/>
      <c r="F222" s="515" t="s">
        <v>53</v>
      </c>
      <c r="G222" s="392"/>
      <c r="H222" s="506">
        <v>0.0042</v>
      </c>
      <c r="I222" s="393">
        <f>I221</f>
        <v>0</v>
      </c>
      <c r="J222" s="394">
        <f>I222*H222</f>
        <v>0</v>
      </c>
      <c r="K222" s="391"/>
      <c r="L222" s="506">
        <f>+'[7]E1.2 Adj Conn to Fcst Whsl'!$S$29</f>
        <v>0.004147360261781856</v>
      </c>
      <c r="M222" s="395">
        <f>M221</f>
        <v>0</v>
      </c>
      <c r="N222" s="394">
        <f>M222*L222</f>
        <v>0</v>
      </c>
      <c r="O222" s="391"/>
      <c r="P222" s="396">
        <f t="shared" si="34"/>
        <v>0</v>
      </c>
      <c r="Q222" s="397">
        <f t="shared" si="35"/>
      </c>
    </row>
    <row r="223" spans="4:17" ht="26.25" thickBot="1">
      <c r="D223" s="399" t="s">
        <v>353</v>
      </c>
      <c r="E223" s="376"/>
      <c r="F223" s="376"/>
      <c r="G223" s="377"/>
      <c r="H223" s="400"/>
      <c r="I223" s="401"/>
      <c r="J223" s="402">
        <f>SUM(J220:J222)</f>
        <v>7.38</v>
      </c>
      <c r="K223" s="403"/>
      <c r="L223" s="404"/>
      <c r="M223" s="405"/>
      <c r="N223" s="402">
        <f>SUM(N220:N222)</f>
        <v>8.2702</v>
      </c>
      <c r="O223" s="403"/>
      <c r="P223" s="406">
        <f t="shared" si="34"/>
        <v>0.890200000000001</v>
      </c>
      <c r="Q223" s="407">
        <f t="shared" si="35"/>
        <v>0.12062330623306247</v>
      </c>
    </row>
    <row r="224" spans="4:17" ht="25.5">
      <c r="D224" s="383" t="s">
        <v>354</v>
      </c>
      <c r="E224" s="376"/>
      <c r="F224" s="514" t="s">
        <v>53</v>
      </c>
      <c r="G224" s="377"/>
      <c r="H224" s="505">
        <v>0.0052</v>
      </c>
      <c r="I224" s="378">
        <f>+$H200*(1+$H236)</f>
        <v>0</v>
      </c>
      <c r="J224" s="379">
        <f aca="true" t="shared" si="38" ref="J224:J231">I224*H224</f>
        <v>0</v>
      </c>
      <c r="K224" s="376"/>
      <c r="L224" s="505">
        <v>0.0052</v>
      </c>
      <c r="M224" s="380">
        <f>+M229</f>
        <v>0</v>
      </c>
      <c r="N224" s="379">
        <f aca="true" t="shared" si="39" ref="N224:N231">M224*L224</f>
        <v>0</v>
      </c>
      <c r="O224" s="376"/>
      <c r="P224" s="381">
        <f t="shared" si="34"/>
        <v>0</v>
      </c>
      <c r="Q224" s="382">
        <f t="shared" si="35"/>
      </c>
    </row>
    <row r="225" spans="4:17" ht="25.5">
      <c r="D225" s="383" t="s">
        <v>355</v>
      </c>
      <c r="E225" s="376"/>
      <c r="F225" s="514" t="s">
        <v>53</v>
      </c>
      <c r="G225" s="377"/>
      <c r="H225" s="505">
        <v>0.0013</v>
      </c>
      <c r="I225" s="378">
        <f>+I224</f>
        <v>0</v>
      </c>
      <c r="J225" s="379">
        <f t="shared" si="38"/>
        <v>0</v>
      </c>
      <c r="K225" s="376"/>
      <c r="L225" s="505">
        <v>0.0013</v>
      </c>
      <c r="M225" s="380">
        <f>+M224</f>
        <v>0</v>
      </c>
      <c r="N225" s="379">
        <f t="shared" si="39"/>
        <v>0</v>
      </c>
      <c r="O225" s="376"/>
      <c r="P225" s="381">
        <f t="shared" si="34"/>
        <v>0</v>
      </c>
      <c r="Q225" s="382">
        <f t="shared" si="35"/>
      </c>
    </row>
    <row r="226" spans="4:17" ht="12.75">
      <c r="D226" s="383" t="s">
        <v>356</v>
      </c>
      <c r="E226" s="376"/>
      <c r="F226" s="514" t="s">
        <v>53</v>
      </c>
      <c r="G226" s="377"/>
      <c r="H226" s="508">
        <v>0.000373</v>
      </c>
      <c r="I226" s="378">
        <f>+I224</f>
        <v>0</v>
      </c>
      <c r="J226" s="379">
        <f t="shared" si="38"/>
        <v>0</v>
      </c>
      <c r="K226" s="376"/>
      <c r="L226" s="508">
        <v>0.000373</v>
      </c>
      <c r="M226" s="380">
        <f>+M224</f>
        <v>0</v>
      </c>
      <c r="N226" s="379">
        <f t="shared" si="39"/>
        <v>0</v>
      </c>
      <c r="O226" s="376"/>
      <c r="P226" s="381">
        <f t="shared" si="34"/>
        <v>0</v>
      </c>
      <c r="Q226" s="382">
        <f t="shared" si="35"/>
      </c>
    </row>
    <row r="227" spans="4:17" ht="12.75">
      <c r="D227" s="376" t="s">
        <v>357</v>
      </c>
      <c r="E227" s="376"/>
      <c r="F227" s="514" t="s">
        <v>330</v>
      </c>
      <c r="G227" s="377"/>
      <c r="H227" s="505">
        <v>0.25</v>
      </c>
      <c r="I227" s="378">
        <v>1</v>
      </c>
      <c r="J227" s="379">
        <f t="shared" si="38"/>
        <v>0.25</v>
      </c>
      <c r="K227" s="376"/>
      <c r="L227" s="505">
        <v>0.25</v>
      </c>
      <c r="M227" s="380">
        <v>1</v>
      </c>
      <c r="N227" s="379">
        <f t="shared" si="39"/>
        <v>0.25</v>
      </c>
      <c r="O227" s="376"/>
      <c r="P227" s="381">
        <f t="shared" si="34"/>
        <v>0</v>
      </c>
      <c r="Q227" s="382">
        <f t="shared" si="35"/>
        <v>0</v>
      </c>
    </row>
    <row r="228" spans="4:17" ht="12.75">
      <c r="D228" s="376" t="s">
        <v>358</v>
      </c>
      <c r="E228" s="376"/>
      <c r="F228" s="514" t="s">
        <v>53</v>
      </c>
      <c r="G228" s="377"/>
      <c r="H228" s="505">
        <v>0.007</v>
      </c>
      <c r="I228" s="378">
        <f>+$H200</f>
        <v>0</v>
      </c>
      <c r="J228" s="379">
        <f t="shared" si="38"/>
        <v>0</v>
      </c>
      <c r="K228" s="376"/>
      <c r="L228" s="505">
        <v>0.007</v>
      </c>
      <c r="M228" s="380">
        <f>+$H200</f>
        <v>0</v>
      </c>
      <c r="N228" s="379">
        <f t="shared" si="39"/>
        <v>0</v>
      </c>
      <c r="O228" s="376"/>
      <c r="P228" s="381">
        <f t="shared" si="34"/>
        <v>0</v>
      </c>
      <c r="Q228" s="382">
        <f t="shared" si="35"/>
      </c>
    </row>
    <row r="229" spans="4:17" ht="12.75">
      <c r="D229" s="376" t="s">
        <v>359</v>
      </c>
      <c r="E229" s="376"/>
      <c r="F229" s="514" t="s">
        <v>53</v>
      </c>
      <c r="G229" s="377"/>
      <c r="H229" s="505">
        <f>+'Other Electriciy Rates'!$J$17</f>
        <v>0.065</v>
      </c>
      <c r="I229" s="378">
        <f>+$H200*(1+$H236)</f>
        <v>0</v>
      </c>
      <c r="J229" s="379">
        <f t="shared" si="38"/>
        <v>0</v>
      </c>
      <c r="K229" s="376"/>
      <c r="L229" s="505">
        <f>+'Other Electriciy Rates'!$J$32</f>
        <v>0.065</v>
      </c>
      <c r="M229" s="378">
        <f>+$H200*(1+$L236)</f>
        <v>0</v>
      </c>
      <c r="N229" s="379">
        <f t="shared" si="39"/>
        <v>0</v>
      </c>
      <c r="O229" s="376"/>
      <c r="P229" s="381">
        <f t="shared" si="34"/>
        <v>0</v>
      </c>
      <c r="Q229" s="382">
        <f t="shared" si="35"/>
      </c>
    </row>
    <row r="230" spans="4:17" ht="12.75">
      <c r="D230" s="502"/>
      <c r="E230" s="376"/>
      <c r="F230" s="514"/>
      <c r="G230" s="377"/>
      <c r="H230" s="505"/>
      <c r="I230" s="509"/>
      <c r="J230" s="379">
        <f t="shared" si="38"/>
        <v>0</v>
      </c>
      <c r="K230" s="376"/>
      <c r="L230" s="505"/>
      <c r="M230" s="509"/>
      <c r="N230" s="379">
        <f t="shared" si="39"/>
        <v>0</v>
      </c>
      <c r="O230" s="376"/>
      <c r="P230" s="381">
        <f t="shared" si="34"/>
        <v>0</v>
      </c>
      <c r="Q230" s="382">
        <f t="shared" si="35"/>
      </c>
    </row>
    <row r="231" spans="4:17" ht="13.5" thickBot="1">
      <c r="D231" s="501"/>
      <c r="E231" s="376"/>
      <c r="F231" s="514"/>
      <c r="G231" s="377"/>
      <c r="H231" s="505"/>
      <c r="I231" s="509"/>
      <c r="J231" s="379">
        <f t="shared" si="38"/>
        <v>0</v>
      </c>
      <c r="K231" s="376"/>
      <c r="L231" s="505"/>
      <c r="M231" s="509"/>
      <c r="N231" s="379">
        <f t="shared" si="39"/>
        <v>0</v>
      </c>
      <c r="O231" s="376"/>
      <c r="P231" s="381">
        <f t="shared" si="34"/>
        <v>0</v>
      </c>
      <c r="Q231" s="382">
        <f t="shared" si="35"/>
      </c>
    </row>
    <row r="232" spans="4:17" ht="13.5" thickBot="1">
      <c r="D232" s="408" t="s">
        <v>360</v>
      </c>
      <c r="E232" s="376"/>
      <c r="F232" s="376"/>
      <c r="G232" s="376"/>
      <c r="H232" s="409"/>
      <c r="I232" s="410"/>
      <c r="J232" s="402">
        <f>SUM(J223:J231)</f>
        <v>7.63</v>
      </c>
      <c r="K232" s="403"/>
      <c r="L232" s="411"/>
      <c r="M232" s="412"/>
      <c r="N232" s="402">
        <f>SUM(N223:N231)</f>
        <v>8.5202</v>
      </c>
      <c r="O232" s="403"/>
      <c r="P232" s="406">
        <f>N232-J232</f>
        <v>0.890200000000001</v>
      </c>
      <c r="Q232" s="407">
        <f>IF((J232)=0,"",(P232/J232))</f>
        <v>0.11667103538663184</v>
      </c>
    </row>
    <row r="233" spans="4:17" ht="13.5" thickBot="1">
      <c r="D233" s="377" t="s">
        <v>361</v>
      </c>
      <c r="E233" s="376"/>
      <c r="F233" s="376"/>
      <c r="G233" s="376"/>
      <c r="H233" s="511">
        <v>0.13</v>
      </c>
      <c r="I233" s="413"/>
      <c r="J233" s="414">
        <f>J232*H233</f>
        <v>0.9919</v>
      </c>
      <c r="K233" s="376"/>
      <c r="L233" s="511">
        <v>0.13</v>
      </c>
      <c r="M233" s="415"/>
      <c r="N233" s="414">
        <f>N232*L233</f>
        <v>1.1076260000000002</v>
      </c>
      <c r="O233" s="376"/>
      <c r="P233" s="381">
        <f>N233-J233</f>
        <v>0.11572600000000022</v>
      </c>
      <c r="Q233" s="382">
        <f>IF((J233)=0,"",(P233/J233))</f>
        <v>0.11667103538663194</v>
      </c>
    </row>
    <row r="234" spans="4:17" ht="26.25" thickBot="1">
      <c r="D234" s="399" t="s">
        <v>362</v>
      </c>
      <c r="E234" s="376"/>
      <c r="F234" s="376"/>
      <c r="G234" s="376"/>
      <c r="H234" s="400"/>
      <c r="I234" s="401"/>
      <c r="J234" s="402">
        <f>ROUND(SUM(J232:J233),2)</f>
        <v>8.62</v>
      </c>
      <c r="K234" s="403"/>
      <c r="L234" s="404"/>
      <c r="M234" s="405"/>
      <c r="N234" s="402">
        <f>ROUND(SUM(N232:N233),2)</f>
        <v>9.63</v>
      </c>
      <c r="O234" s="403"/>
      <c r="P234" s="406">
        <f>N234-J234</f>
        <v>1.0100000000000016</v>
      </c>
      <c r="Q234" s="407">
        <f>IF((J234)=0,"",(P234/J234))</f>
        <v>0.11716937354988419</v>
      </c>
    </row>
    <row r="235" ht="10.5" customHeight="1"/>
    <row r="236" spans="4:12" ht="12.75">
      <c r="D236" s="367" t="s">
        <v>363</v>
      </c>
      <c r="H236" s="512">
        <v>0.0351</v>
      </c>
      <c r="L236" s="513">
        <f>-(1-'[8]Ex4 Total Loss Factors'!$G$20)</f>
        <v>0.03619124792672812</v>
      </c>
    </row>
    <row r="237" ht="10.5" customHeight="1"/>
    <row r="238" ht="12.75">
      <c r="B238" s="367" t="s">
        <v>364</v>
      </c>
    </row>
    <row r="239" spans="2:17" ht="12.75">
      <c r="B239" s="717"/>
      <c r="C239" s="718"/>
      <c r="D239" s="718"/>
      <c r="E239" s="718"/>
      <c r="F239" s="718"/>
      <c r="G239" s="718"/>
      <c r="H239" s="718"/>
      <c r="I239" s="718"/>
      <c r="J239" s="718"/>
      <c r="K239" s="718"/>
      <c r="L239" s="718"/>
      <c r="M239" s="718"/>
      <c r="N239" s="718"/>
      <c r="O239" s="718"/>
      <c r="P239" s="718"/>
      <c r="Q239" s="719"/>
    </row>
    <row r="240" spans="2:17" ht="12.75">
      <c r="B240" s="720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2"/>
    </row>
    <row r="241" spans="2:17" ht="12.75">
      <c r="B241" s="720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2"/>
    </row>
    <row r="242" spans="2:17" ht="12.75">
      <c r="B242" s="720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2"/>
    </row>
    <row r="243" spans="2:17" ht="12.75">
      <c r="B243" s="723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5"/>
    </row>
    <row r="245" spans="2:17" ht="15.75">
      <c r="B245" s="363" t="s">
        <v>330</v>
      </c>
      <c r="D245" s="364" t="s">
        <v>331</v>
      </c>
      <c r="F245" s="726" t="str">
        <f>+F10</f>
        <v>Unmetered &amp; Scattered</v>
      </c>
      <c r="G245" s="726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</row>
    <row r="246" spans="2:17" ht="7.5" customHeight="1">
      <c r="B246" s="363"/>
      <c r="D246" s="365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</row>
    <row r="247" spans="2:15" ht="12.75">
      <c r="B247" s="363" t="s">
        <v>53</v>
      </c>
      <c r="F247" s="367" t="s">
        <v>66</v>
      </c>
      <c r="G247" s="367"/>
      <c r="H247" s="516"/>
      <c r="I247" s="367" t="s">
        <v>332</v>
      </c>
      <c r="J247" s="504"/>
      <c r="L247" s="367" t="s">
        <v>16</v>
      </c>
      <c r="M247" s="504"/>
      <c r="O247" s="367" t="s">
        <v>134</v>
      </c>
    </row>
    <row r="248" ht="10.5" customHeight="1">
      <c r="B248" s="363" t="s">
        <v>22</v>
      </c>
    </row>
    <row r="249" spans="2:17" ht="12.75">
      <c r="B249" s="368"/>
      <c r="F249" s="369"/>
      <c r="G249" s="369"/>
      <c r="H249" s="727" t="s">
        <v>333</v>
      </c>
      <c r="I249" s="728"/>
      <c r="J249" s="729"/>
      <c r="L249" s="727" t="s">
        <v>334</v>
      </c>
      <c r="M249" s="728"/>
      <c r="N249" s="729"/>
      <c r="P249" s="727" t="s">
        <v>335</v>
      </c>
      <c r="Q249" s="729"/>
    </row>
    <row r="250" spans="2:17" ht="12.75">
      <c r="B250" s="368"/>
      <c r="F250" s="730" t="s">
        <v>336</v>
      </c>
      <c r="G250" s="370"/>
      <c r="H250" s="371" t="s">
        <v>337</v>
      </c>
      <c r="I250" s="371" t="s">
        <v>63</v>
      </c>
      <c r="J250" s="372" t="s">
        <v>338</v>
      </c>
      <c r="L250" s="371" t="s">
        <v>337</v>
      </c>
      <c r="M250" s="373" t="s">
        <v>63</v>
      </c>
      <c r="N250" s="372" t="s">
        <v>338</v>
      </c>
      <c r="P250" s="732" t="s">
        <v>339</v>
      </c>
      <c r="Q250" s="734" t="s">
        <v>340</v>
      </c>
    </row>
    <row r="251" spans="2:17" ht="12.75">
      <c r="B251" s="368"/>
      <c r="F251" s="731"/>
      <c r="G251" s="370"/>
      <c r="H251" s="374" t="s">
        <v>341</v>
      </c>
      <c r="I251" s="374"/>
      <c r="J251" s="375" t="s">
        <v>341</v>
      </c>
      <c r="L251" s="374" t="s">
        <v>341</v>
      </c>
      <c r="M251" s="375"/>
      <c r="N251" s="375" t="s">
        <v>341</v>
      </c>
      <c r="P251" s="733"/>
      <c r="Q251" s="735"/>
    </row>
    <row r="252" spans="4:17" ht="12.75">
      <c r="D252" s="376" t="s">
        <v>67</v>
      </c>
      <c r="E252" s="376"/>
      <c r="F252" s="514" t="s">
        <v>330</v>
      </c>
      <c r="G252" s="377"/>
      <c r="H252" s="505">
        <f>+'2010 Existing Rates'!$B$15</f>
        <v>7.38</v>
      </c>
      <c r="I252" s="378">
        <f>+M$12</f>
        <v>1</v>
      </c>
      <c r="J252" s="379">
        <f aca="true" t="shared" si="40" ref="J252:J266">I252*H252</f>
        <v>7.38</v>
      </c>
      <c r="K252" s="376"/>
      <c r="L252" s="505">
        <f>+'Rate Schedule (Part 1)'!$E$65</f>
        <v>8.2702</v>
      </c>
      <c r="M252" s="380">
        <f>+M$12</f>
        <v>1</v>
      </c>
      <c r="N252" s="379">
        <f aca="true" t="shared" si="41" ref="N252:N266">M252*L252</f>
        <v>8.2702</v>
      </c>
      <c r="O252" s="376"/>
      <c r="P252" s="381">
        <f aca="true" t="shared" si="42" ref="P252:P278">N252-J252</f>
        <v>0.890200000000001</v>
      </c>
      <c r="Q252" s="382">
        <f aca="true" t="shared" si="43" ref="Q252:Q278">IF((J252)=0,"",(P252/J252))</f>
        <v>0.12062330623306247</v>
      </c>
    </row>
    <row r="253" spans="4:17" ht="12.75">
      <c r="D253" s="376" t="s">
        <v>226</v>
      </c>
      <c r="E253" s="376"/>
      <c r="F253" s="514" t="s">
        <v>330</v>
      </c>
      <c r="G253" s="377"/>
      <c r="H253" s="505"/>
      <c r="I253" s="378">
        <v>1</v>
      </c>
      <c r="J253" s="379">
        <f t="shared" si="40"/>
        <v>0</v>
      </c>
      <c r="K253" s="376"/>
      <c r="L253" s="505"/>
      <c r="M253" s="380">
        <v>1</v>
      </c>
      <c r="N253" s="379">
        <f t="shared" si="41"/>
        <v>0</v>
      </c>
      <c r="O253" s="376"/>
      <c r="P253" s="381">
        <f t="shared" si="42"/>
        <v>0</v>
      </c>
      <c r="Q253" s="382">
        <f t="shared" si="43"/>
      </c>
    </row>
    <row r="254" spans="4:17" ht="12.75">
      <c r="D254" s="376" t="s">
        <v>342</v>
      </c>
      <c r="E254" s="376"/>
      <c r="F254" s="514"/>
      <c r="G254" s="377"/>
      <c r="H254" s="505"/>
      <c r="I254" s="378">
        <v>1</v>
      </c>
      <c r="J254" s="379">
        <f t="shared" si="40"/>
        <v>0</v>
      </c>
      <c r="K254" s="376"/>
      <c r="L254" s="505"/>
      <c r="M254" s="380">
        <v>1</v>
      </c>
      <c r="N254" s="379">
        <f t="shared" si="41"/>
        <v>0</v>
      </c>
      <c r="O254" s="376"/>
      <c r="P254" s="381">
        <f t="shared" si="42"/>
        <v>0</v>
      </c>
      <c r="Q254" s="382">
        <f t="shared" si="43"/>
      </c>
    </row>
    <row r="255" spans="4:17" ht="12.75">
      <c r="D255" s="376" t="s">
        <v>343</v>
      </c>
      <c r="E255" s="376"/>
      <c r="F255" s="514"/>
      <c r="G255" s="377"/>
      <c r="H255" s="505"/>
      <c r="I255" s="378">
        <v>1</v>
      </c>
      <c r="J255" s="379">
        <f t="shared" si="40"/>
        <v>0</v>
      </c>
      <c r="K255" s="376"/>
      <c r="L255" s="505"/>
      <c r="M255" s="380">
        <v>1</v>
      </c>
      <c r="N255" s="379">
        <f t="shared" si="41"/>
        <v>0</v>
      </c>
      <c r="O255" s="376"/>
      <c r="P255" s="381">
        <f t="shared" si="42"/>
        <v>0</v>
      </c>
      <c r="Q255" s="382">
        <f t="shared" si="43"/>
      </c>
    </row>
    <row r="256" spans="4:17" ht="12.75">
      <c r="D256" s="376" t="s">
        <v>85</v>
      </c>
      <c r="E256" s="376"/>
      <c r="F256" s="514" t="s">
        <v>53</v>
      </c>
      <c r="G256" s="377"/>
      <c r="H256" s="505">
        <f>+'2010 Existing Rates'!$B$65</f>
        <v>0.0156</v>
      </c>
      <c r="I256" s="378">
        <f>+H247</f>
        <v>0</v>
      </c>
      <c r="J256" s="379">
        <f t="shared" si="40"/>
        <v>0</v>
      </c>
      <c r="K256" s="376"/>
      <c r="L256" s="505">
        <f>+'Rate Schedule (Part 1)'!$E$66</f>
        <v>0.0175</v>
      </c>
      <c r="M256" s="380">
        <f>+H247</f>
        <v>0</v>
      </c>
      <c r="N256" s="379">
        <f t="shared" si="41"/>
        <v>0</v>
      </c>
      <c r="O256" s="376"/>
      <c r="P256" s="381">
        <f t="shared" si="42"/>
        <v>0</v>
      </c>
      <c r="Q256" s="382">
        <f t="shared" si="43"/>
      </c>
    </row>
    <row r="257" spans="4:17" ht="12.75">
      <c r="D257" s="376" t="s">
        <v>344</v>
      </c>
      <c r="E257" s="376"/>
      <c r="F257" s="514" t="s">
        <v>53</v>
      </c>
      <c r="G257" s="377"/>
      <c r="H257" s="505">
        <f>+'2010 Existing Rates'!$B$40</f>
        <v>0.0002</v>
      </c>
      <c r="I257" s="378">
        <f aca="true" t="shared" si="44" ref="I257:I262">I256</f>
        <v>0</v>
      </c>
      <c r="J257" s="379">
        <f t="shared" si="40"/>
        <v>0</v>
      </c>
      <c r="K257" s="376"/>
      <c r="L257" s="505">
        <f>+'Rate Schedule (Part 1)'!$E$67</f>
        <v>0.0002</v>
      </c>
      <c r="M257" s="380">
        <f aca="true" t="shared" si="45" ref="M257:M262">M256</f>
        <v>0</v>
      </c>
      <c r="N257" s="379">
        <f t="shared" si="41"/>
        <v>0</v>
      </c>
      <c r="O257" s="376"/>
      <c r="P257" s="381">
        <f t="shared" si="42"/>
        <v>0</v>
      </c>
      <c r="Q257" s="382">
        <f t="shared" si="43"/>
      </c>
    </row>
    <row r="258" spans="4:17" ht="12.75">
      <c r="D258" s="376" t="s">
        <v>345</v>
      </c>
      <c r="E258" s="376"/>
      <c r="F258" s="514"/>
      <c r="G258" s="377"/>
      <c r="H258" s="505"/>
      <c r="I258" s="378">
        <f t="shared" si="44"/>
        <v>0</v>
      </c>
      <c r="J258" s="379">
        <f t="shared" si="40"/>
        <v>0</v>
      </c>
      <c r="K258" s="376"/>
      <c r="L258" s="505"/>
      <c r="M258" s="380">
        <f t="shared" si="45"/>
        <v>0</v>
      </c>
      <c r="N258" s="379">
        <f t="shared" si="41"/>
        <v>0</v>
      </c>
      <c r="O258" s="376"/>
      <c r="P258" s="381">
        <f t="shared" si="42"/>
        <v>0</v>
      </c>
      <c r="Q258" s="382">
        <f t="shared" si="43"/>
      </c>
    </row>
    <row r="259" spans="4:17" ht="12.75">
      <c r="D259" s="376" t="s">
        <v>346</v>
      </c>
      <c r="E259" s="376"/>
      <c r="F259" s="514"/>
      <c r="G259" s="377"/>
      <c r="H259" s="505"/>
      <c r="I259" s="378">
        <f t="shared" si="44"/>
        <v>0</v>
      </c>
      <c r="J259" s="379">
        <f t="shared" si="40"/>
        <v>0</v>
      </c>
      <c r="K259" s="376"/>
      <c r="L259" s="505"/>
      <c r="M259" s="380">
        <f t="shared" si="45"/>
        <v>0</v>
      </c>
      <c r="N259" s="379">
        <f t="shared" si="41"/>
        <v>0</v>
      </c>
      <c r="O259" s="376"/>
      <c r="P259" s="381">
        <f t="shared" si="42"/>
        <v>0</v>
      </c>
      <c r="Q259" s="382">
        <f t="shared" si="43"/>
      </c>
    </row>
    <row r="260" spans="4:17" ht="12.75">
      <c r="D260" s="376" t="s">
        <v>347</v>
      </c>
      <c r="E260" s="376"/>
      <c r="F260" s="514"/>
      <c r="G260" s="377"/>
      <c r="H260" s="505"/>
      <c r="I260" s="378">
        <f t="shared" si="44"/>
        <v>0</v>
      </c>
      <c r="J260" s="379">
        <f t="shared" si="40"/>
        <v>0</v>
      </c>
      <c r="K260" s="376"/>
      <c r="L260" s="505"/>
      <c r="M260" s="380">
        <f t="shared" si="45"/>
        <v>0</v>
      </c>
      <c r="N260" s="379">
        <f t="shared" si="41"/>
        <v>0</v>
      </c>
      <c r="O260" s="376"/>
      <c r="P260" s="381">
        <f t="shared" si="42"/>
        <v>0</v>
      </c>
      <c r="Q260" s="382">
        <f t="shared" si="43"/>
      </c>
    </row>
    <row r="261" spans="4:17" ht="12.75">
      <c r="D261" s="376" t="s">
        <v>348</v>
      </c>
      <c r="E261" s="376"/>
      <c r="F261" s="514"/>
      <c r="G261" s="377"/>
      <c r="H261" s="505"/>
      <c r="I261" s="378">
        <f t="shared" si="44"/>
        <v>0</v>
      </c>
      <c r="J261" s="379">
        <f t="shared" si="40"/>
        <v>0</v>
      </c>
      <c r="K261" s="376"/>
      <c r="L261" s="505"/>
      <c r="M261" s="380">
        <f t="shared" si="45"/>
        <v>0</v>
      </c>
      <c r="N261" s="379">
        <f t="shared" si="41"/>
        <v>0</v>
      </c>
      <c r="O261" s="376"/>
      <c r="P261" s="381">
        <f t="shared" si="42"/>
        <v>0</v>
      </c>
      <c r="Q261" s="382">
        <f t="shared" si="43"/>
      </c>
    </row>
    <row r="262" spans="4:17" ht="25.5">
      <c r="D262" s="383" t="s">
        <v>349</v>
      </c>
      <c r="E262" s="376"/>
      <c r="F262" s="514" t="s">
        <v>53</v>
      </c>
      <c r="G262" s="377"/>
      <c r="H262" s="505">
        <f>+'2010 Existing Rates'!$B$28</f>
        <v>-0.0041</v>
      </c>
      <c r="I262" s="378">
        <f t="shared" si="44"/>
        <v>0</v>
      </c>
      <c r="J262" s="379">
        <f t="shared" si="40"/>
        <v>0</v>
      </c>
      <c r="K262" s="376"/>
      <c r="L262" s="505">
        <f>+'Rate Schedule (Part 1)'!$E$69</f>
        <v>-0.0006837836880171018</v>
      </c>
      <c r="M262" s="380">
        <f t="shared" si="45"/>
        <v>0</v>
      </c>
      <c r="N262" s="379">
        <f t="shared" si="41"/>
        <v>0</v>
      </c>
      <c r="O262" s="376"/>
      <c r="P262" s="381">
        <f t="shared" si="42"/>
        <v>0</v>
      </c>
      <c r="Q262" s="382">
        <f t="shared" si="43"/>
      </c>
    </row>
    <row r="263" spans="4:17" ht="12.75">
      <c r="D263" s="501"/>
      <c r="E263" s="376"/>
      <c r="F263" s="514"/>
      <c r="G263" s="377"/>
      <c r="H263" s="505"/>
      <c r="I263" s="507"/>
      <c r="J263" s="379">
        <f t="shared" si="40"/>
        <v>0</v>
      </c>
      <c r="K263" s="376"/>
      <c r="L263" s="505"/>
      <c r="M263" s="510"/>
      <c r="N263" s="379">
        <f t="shared" si="41"/>
        <v>0</v>
      </c>
      <c r="O263" s="376"/>
      <c r="P263" s="381">
        <f t="shared" si="42"/>
        <v>0</v>
      </c>
      <c r="Q263" s="382">
        <f t="shared" si="43"/>
      </c>
    </row>
    <row r="264" spans="4:17" ht="12.75">
      <c r="D264" s="501"/>
      <c r="E264" s="376"/>
      <c r="F264" s="514"/>
      <c r="G264" s="377"/>
      <c r="H264" s="505"/>
      <c r="I264" s="507"/>
      <c r="J264" s="379">
        <f t="shared" si="40"/>
        <v>0</v>
      </c>
      <c r="K264" s="376"/>
      <c r="L264" s="505"/>
      <c r="M264" s="510"/>
      <c r="N264" s="379">
        <f t="shared" si="41"/>
        <v>0</v>
      </c>
      <c r="O264" s="376"/>
      <c r="P264" s="381">
        <f t="shared" si="42"/>
        <v>0</v>
      </c>
      <c r="Q264" s="382">
        <f t="shared" si="43"/>
      </c>
    </row>
    <row r="265" spans="4:17" ht="12.75">
      <c r="D265" s="501"/>
      <c r="E265" s="376"/>
      <c r="F265" s="514"/>
      <c r="G265" s="377"/>
      <c r="H265" s="505"/>
      <c r="I265" s="507"/>
      <c r="J265" s="379">
        <f t="shared" si="40"/>
        <v>0</v>
      </c>
      <c r="K265" s="376"/>
      <c r="L265" s="505"/>
      <c r="M265" s="510"/>
      <c r="N265" s="379">
        <f t="shared" si="41"/>
        <v>0</v>
      </c>
      <c r="O265" s="376"/>
      <c r="P265" s="381">
        <f t="shared" si="42"/>
        <v>0</v>
      </c>
      <c r="Q265" s="382">
        <f t="shared" si="43"/>
      </c>
    </row>
    <row r="266" spans="4:17" ht="13.5" thickBot="1">
      <c r="D266" s="501"/>
      <c r="E266" s="376"/>
      <c r="F266" s="514"/>
      <c r="G266" s="377"/>
      <c r="H266" s="505"/>
      <c r="I266" s="507"/>
      <c r="J266" s="379">
        <f t="shared" si="40"/>
        <v>0</v>
      </c>
      <c r="K266" s="376"/>
      <c r="L266" s="505"/>
      <c r="M266" s="510"/>
      <c r="N266" s="379">
        <f t="shared" si="41"/>
        <v>0</v>
      </c>
      <c r="O266" s="376"/>
      <c r="P266" s="381">
        <f t="shared" si="42"/>
        <v>0</v>
      </c>
      <c r="Q266" s="382">
        <f t="shared" si="43"/>
      </c>
    </row>
    <row r="267" spans="4:17" ht="13.5" thickBot="1">
      <c r="D267" s="367" t="s">
        <v>350</v>
      </c>
      <c r="G267" s="384"/>
      <c r="H267" s="385"/>
      <c r="I267" s="386"/>
      <c r="J267" s="387">
        <f>SUM(J252:J266)</f>
        <v>7.38</v>
      </c>
      <c r="L267" s="385"/>
      <c r="M267" s="388"/>
      <c r="N267" s="387">
        <f>SUM(N252:N266)</f>
        <v>8.2702</v>
      </c>
      <c r="P267" s="389">
        <f t="shared" si="42"/>
        <v>0.890200000000001</v>
      </c>
      <c r="Q267" s="390">
        <f t="shared" si="43"/>
        <v>0.12062330623306247</v>
      </c>
    </row>
    <row r="268" spans="4:17" ht="12.75">
      <c r="D268" s="391" t="s">
        <v>351</v>
      </c>
      <c r="E268" s="391"/>
      <c r="F268" s="515" t="s">
        <v>53</v>
      </c>
      <c r="G268" s="392"/>
      <c r="H268" s="506">
        <v>0.0054</v>
      </c>
      <c r="I268" s="393">
        <f>+I276</f>
        <v>0</v>
      </c>
      <c r="J268" s="394">
        <f>I268*H268</f>
        <v>0</v>
      </c>
      <c r="K268" s="391"/>
      <c r="L268" s="506">
        <f>+'[7]E1.1 Adj Network to Fcst Whsl'!$S$29</f>
        <v>0.005019360241026099</v>
      </c>
      <c r="M268" s="395">
        <f>+J247</f>
        <v>0</v>
      </c>
      <c r="N268" s="394">
        <f>M268*L268</f>
        <v>0</v>
      </c>
      <c r="O268" s="391"/>
      <c r="P268" s="396">
        <f t="shared" si="42"/>
        <v>0</v>
      </c>
      <c r="Q268" s="397">
        <f t="shared" si="43"/>
      </c>
    </row>
    <row r="269" spans="4:17" ht="26.25" thickBot="1">
      <c r="D269" s="398" t="s">
        <v>352</v>
      </c>
      <c r="E269" s="391"/>
      <c r="F269" s="515" t="s">
        <v>53</v>
      </c>
      <c r="G269" s="392"/>
      <c r="H269" s="506">
        <v>0.0042</v>
      </c>
      <c r="I269" s="393">
        <f>I268</f>
        <v>0</v>
      </c>
      <c r="J269" s="394">
        <f>I269*H269</f>
        <v>0</v>
      </c>
      <c r="K269" s="391"/>
      <c r="L269" s="506">
        <f>+'[7]E1.2 Adj Conn to Fcst Whsl'!$S$29</f>
        <v>0.004147360261781856</v>
      </c>
      <c r="M269" s="395">
        <f>M268</f>
        <v>0</v>
      </c>
      <c r="N269" s="394">
        <f>M269*L269</f>
        <v>0</v>
      </c>
      <c r="O269" s="391"/>
      <c r="P269" s="396">
        <f t="shared" si="42"/>
        <v>0</v>
      </c>
      <c r="Q269" s="397">
        <f t="shared" si="43"/>
      </c>
    </row>
    <row r="270" spans="4:17" ht="26.25" thickBot="1">
      <c r="D270" s="399" t="s">
        <v>353</v>
      </c>
      <c r="E270" s="376"/>
      <c r="F270" s="376"/>
      <c r="G270" s="377"/>
      <c r="H270" s="400"/>
      <c r="I270" s="401"/>
      <c r="J270" s="402">
        <f>SUM(J267:J269)</f>
        <v>7.38</v>
      </c>
      <c r="K270" s="403"/>
      <c r="L270" s="404"/>
      <c r="M270" s="405"/>
      <c r="N270" s="402">
        <f>SUM(N267:N269)</f>
        <v>8.2702</v>
      </c>
      <c r="O270" s="403"/>
      <c r="P270" s="406">
        <f t="shared" si="42"/>
        <v>0.890200000000001</v>
      </c>
      <c r="Q270" s="407">
        <f t="shared" si="43"/>
        <v>0.12062330623306247</v>
      </c>
    </row>
    <row r="271" spans="4:17" ht="25.5">
      <c r="D271" s="383" t="s">
        <v>354</v>
      </c>
      <c r="E271" s="376"/>
      <c r="F271" s="514" t="s">
        <v>53</v>
      </c>
      <c r="G271" s="377"/>
      <c r="H271" s="505">
        <v>0.0052</v>
      </c>
      <c r="I271" s="378">
        <f>+$H247*(1+$H283)</f>
        <v>0</v>
      </c>
      <c r="J271" s="379">
        <f aca="true" t="shared" si="46" ref="J271:J278">I271*H271</f>
        <v>0</v>
      </c>
      <c r="K271" s="376"/>
      <c r="L271" s="505">
        <v>0.0052</v>
      </c>
      <c r="M271" s="380">
        <f>+M276</f>
        <v>0</v>
      </c>
      <c r="N271" s="379">
        <f aca="true" t="shared" si="47" ref="N271:N278">M271*L271</f>
        <v>0</v>
      </c>
      <c r="O271" s="376"/>
      <c r="P271" s="381">
        <f t="shared" si="42"/>
        <v>0</v>
      </c>
      <c r="Q271" s="382">
        <f t="shared" si="43"/>
      </c>
    </row>
    <row r="272" spans="4:17" ht="25.5">
      <c r="D272" s="383" t="s">
        <v>355</v>
      </c>
      <c r="E272" s="376"/>
      <c r="F272" s="514" t="s">
        <v>53</v>
      </c>
      <c r="G272" s="377"/>
      <c r="H272" s="505">
        <v>0.0013</v>
      </c>
      <c r="I272" s="378">
        <f>+I271</f>
        <v>0</v>
      </c>
      <c r="J272" s="379">
        <f t="shared" si="46"/>
        <v>0</v>
      </c>
      <c r="K272" s="376"/>
      <c r="L272" s="505">
        <v>0.0013</v>
      </c>
      <c r="M272" s="380">
        <f>+M271</f>
        <v>0</v>
      </c>
      <c r="N272" s="379">
        <f t="shared" si="47"/>
        <v>0</v>
      </c>
      <c r="O272" s="376"/>
      <c r="P272" s="381">
        <f t="shared" si="42"/>
        <v>0</v>
      </c>
      <c r="Q272" s="382">
        <f t="shared" si="43"/>
      </c>
    </row>
    <row r="273" spans="4:17" ht="12.75">
      <c r="D273" s="383" t="s">
        <v>356</v>
      </c>
      <c r="E273" s="376"/>
      <c r="F273" s="514" t="s">
        <v>53</v>
      </c>
      <c r="G273" s="377"/>
      <c r="H273" s="508">
        <v>0.000373</v>
      </c>
      <c r="I273" s="378">
        <f>+I271</f>
        <v>0</v>
      </c>
      <c r="J273" s="379">
        <f t="shared" si="46"/>
        <v>0</v>
      </c>
      <c r="K273" s="376"/>
      <c r="L273" s="508">
        <v>0.000373</v>
      </c>
      <c r="M273" s="380">
        <f>+M271</f>
        <v>0</v>
      </c>
      <c r="N273" s="379">
        <f t="shared" si="47"/>
        <v>0</v>
      </c>
      <c r="O273" s="376"/>
      <c r="P273" s="381">
        <f t="shared" si="42"/>
        <v>0</v>
      </c>
      <c r="Q273" s="382">
        <f t="shared" si="43"/>
      </c>
    </row>
    <row r="274" spans="4:17" ht="12.75">
      <c r="D274" s="376" t="s">
        <v>357</v>
      </c>
      <c r="E274" s="376"/>
      <c r="F274" s="514" t="s">
        <v>330</v>
      </c>
      <c r="G274" s="377"/>
      <c r="H274" s="505">
        <v>0.25</v>
      </c>
      <c r="I274" s="378">
        <v>1</v>
      </c>
      <c r="J274" s="379">
        <f t="shared" si="46"/>
        <v>0.25</v>
      </c>
      <c r="K274" s="376"/>
      <c r="L274" s="505">
        <v>0.25</v>
      </c>
      <c r="M274" s="380">
        <v>1</v>
      </c>
      <c r="N274" s="379">
        <f t="shared" si="47"/>
        <v>0.25</v>
      </c>
      <c r="O274" s="376"/>
      <c r="P274" s="381">
        <f t="shared" si="42"/>
        <v>0</v>
      </c>
      <c r="Q274" s="382">
        <f t="shared" si="43"/>
        <v>0</v>
      </c>
    </row>
    <row r="275" spans="4:17" ht="12.75">
      <c r="D275" s="376" t="s">
        <v>358</v>
      </c>
      <c r="E275" s="376"/>
      <c r="F275" s="514" t="s">
        <v>53</v>
      </c>
      <c r="G275" s="377"/>
      <c r="H275" s="505">
        <v>0.007</v>
      </c>
      <c r="I275" s="378">
        <f>+$H247</f>
        <v>0</v>
      </c>
      <c r="J275" s="379">
        <f t="shared" si="46"/>
        <v>0</v>
      </c>
      <c r="K275" s="376"/>
      <c r="L275" s="505">
        <v>0.007</v>
      </c>
      <c r="M275" s="380">
        <f>+$H247</f>
        <v>0</v>
      </c>
      <c r="N275" s="379">
        <f t="shared" si="47"/>
        <v>0</v>
      </c>
      <c r="O275" s="376"/>
      <c r="P275" s="381">
        <f t="shared" si="42"/>
        <v>0</v>
      </c>
      <c r="Q275" s="382">
        <f t="shared" si="43"/>
      </c>
    </row>
    <row r="276" spans="4:17" ht="12.75">
      <c r="D276" s="376" t="s">
        <v>359</v>
      </c>
      <c r="E276" s="376"/>
      <c r="F276" s="514" t="s">
        <v>53</v>
      </c>
      <c r="G276" s="377"/>
      <c r="H276" s="505">
        <f>+'Other Electriciy Rates'!$J$17</f>
        <v>0.065</v>
      </c>
      <c r="I276" s="378">
        <f>+$H247*(1+$H283)</f>
        <v>0</v>
      </c>
      <c r="J276" s="379">
        <f t="shared" si="46"/>
        <v>0</v>
      </c>
      <c r="K276" s="376"/>
      <c r="L276" s="505">
        <f>+'Other Electriciy Rates'!$J$32</f>
        <v>0.065</v>
      </c>
      <c r="M276" s="378">
        <f>+$H247*(1+$L283)</f>
        <v>0</v>
      </c>
      <c r="N276" s="379">
        <f t="shared" si="47"/>
        <v>0</v>
      </c>
      <c r="O276" s="376"/>
      <c r="P276" s="381">
        <f t="shared" si="42"/>
        <v>0</v>
      </c>
      <c r="Q276" s="382">
        <f t="shared" si="43"/>
      </c>
    </row>
    <row r="277" spans="4:17" ht="12.75">
      <c r="D277" s="502"/>
      <c r="E277" s="376"/>
      <c r="F277" s="514"/>
      <c r="G277" s="377"/>
      <c r="H277" s="505"/>
      <c r="I277" s="509"/>
      <c r="J277" s="379">
        <f t="shared" si="46"/>
        <v>0</v>
      </c>
      <c r="K277" s="376"/>
      <c r="L277" s="505"/>
      <c r="M277" s="509"/>
      <c r="N277" s="379">
        <f t="shared" si="47"/>
        <v>0</v>
      </c>
      <c r="O277" s="376"/>
      <c r="P277" s="381">
        <f t="shared" si="42"/>
        <v>0</v>
      </c>
      <c r="Q277" s="382">
        <f t="shared" si="43"/>
      </c>
    </row>
    <row r="278" spans="4:17" ht="13.5" thickBot="1">
      <c r="D278" s="501"/>
      <c r="E278" s="376"/>
      <c r="F278" s="514"/>
      <c r="G278" s="377"/>
      <c r="H278" s="505"/>
      <c r="I278" s="509"/>
      <c r="J278" s="379">
        <f t="shared" si="46"/>
        <v>0</v>
      </c>
      <c r="K278" s="376"/>
      <c r="L278" s="505"/>
      <c r="M278" s="509"/>
      <c r="N278" s="379">
        <f t="shared" si="47"/>
        <v>0</v>
      </c>
      <c r="O278" s="376"/>
      <c r="P278" s="381">
        <f t="shared" si="42"/>
        <v>0</v>
      </c>
      <c r="Q278" s="382">
        <f t="shared" si="43"/>
      </c>
    </row>
    <row r="279" spans="4:17" ht="13.5" thickBot="1">
      <c r="D279" s="408" t="s">
        <v>360</v>
      </c>
      <c r="E279" s="376"/>
      <c r="F279" s="376"/>
      <c r="G279" s="376"/>
      <c r="H279" s="409"/>
      <c r="I279" s="410"/>
      <c r="J279" s="402">
        <f>SUM(J270:J278)</f>
        <v>7.63</v>
      </c>
      <c r="K279" s="403"/>
      <c r="L279" s="411"/>
      <c r="M279" s="412"/>
      <c r="N279" s="402">
        <f>SUM(N270:N278)</f>
        <v>8.5202</v>
      </c>
      <c r="O279" s="403"/>
      <c r="P279" s="406">
        <f>N279-J279</f>
        <v>0.890200000000001</v>
      </c>
      <c r="Q279" s="407">
        <f>IF((J279)=0,"",(P279/J279))</f>
        <v>0.11667103538663184</v>
      </c>
    </row>
    <row r="280" spans="4:17" ht="13.5" thickBot="1">
      <c r="D280" s="377" t="s">
        <v>361</v>
      </c>
      <c r="E280" s="376"/>
      <c r="F280" s="376"/>
      <c r="G280" s="376"/>
      <c r="H280" s="511">
        <v>0.13</v>
      </c>
      <c r="I280" s="413"/>
      <c r="J280" s="414">
        <f>J279*H280</f>
        <v>0.9919</v>
      </c>
      <c r="K280" s="376"/>
      <c r="L280" s="511">
        <v>0.13</v>
      </c>
      <c r="M280" s="415"/>
      <c r="N280" s="414">
        <f>N279*L280</f>
        <v>1.1076260000000002</v>
      </c>
      <c r="O280" s="376"/>
      <c r="P280" s="381">
        <f>N280-J280</f>
        <v>0.11572600000000022</v>
      </c>
      <c r="Q280" s="382">
        <f>IF((J280)=0,"",(P280/J280))</f>
        <v>0.11667103538663194</v>
      </c>
    </row>
    <row r="281" spans="4:17" ht="26.25" thickBot="1">
      <c r="D281" s="399" t="s">
        <v>362</v>
      </c>
      <c r="E281" s="376"/>
      <c r="F281" s="376"/>
      <c r="G281" s="376"/>
      <c r="H281" s="400"/>
      <c r="I281" s="401"/>
      <c r="J281" s="402">
        <f>ROUND(SUM(J279:J280),2)</f>
        <v>8.62</v>
      </c>
      <c r="K281" s="403"/>
      <c r="L281" s="404"/>
      <c r="M281" s="405"/>
      <c r="N281" s="402">
        <f>ROUND(SUM(N279:N280),2)</f>
        <v>9.63</v>
      </c>
      <c r="O281" s="403"/>
      <c r="P281" s="406">
        <f>N281-J281</f>
        <v>1.0100000000000016</v>
      </c>
      <c r="Q281" s="407">
        <f>IF((J281)=0,"",(P281/J281))</f>
        <v>0.11716937354988419</v>
      </c>
    </row>
    <row r="282" ht="10.5" customHeight="1"/>
    <row r="283" spans="4:12" ht="12.75">
      <c r="D283" s="367" t="s">
        <v>363</v>
      </c>
      <c r="H283" s="512">
        <v>0.0351</v>
      </c>
      <c r="L283" s="513">
        <f>-(1-'[8]Ex4 Total Loss Factors'!$G$20)</f>
        <v>0.03619124792672812</v>
      </c>
    </row>
    <row r="284" ht="10.5" customHeight="1"/>
    <row r="285" ht="12.75">
      <c r="B285" s="367" t="s">
        <v>364</v>
      </c>
    </row>
    <row r="286" spans="2:17" ht="12.75">
      <c r="B286" s="717"/>
      <c r="C286" s="718"/>
      <c r="D286" s="718"/>
      <c r="E286" s="718"/>
      <c r="F286" s="718"/>
      <c r="G286" s="718"/>
      <c r="H286" s="718"/>
      <c r="I286" s="718"/>
      <c r="J286" s="718"/>
      <c r="K286" s="718"/>
      <c r="L286" s="718"/>
      <c r="M286" s="718"/>
      <c r="N286" s="718"/>
      <c r="O286" s="718"/>
      <c r="P286" s="718"/>
      <c r="Q286" s="719"/>
    </row>
    <row r="287" spans="2:17" ht="12.75">
      <c r="B287" s="720"/>
      <c r="C287" s="721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2"/>
    </row>
    <row r="288" spans="2:17" ht="12.75">
      <c r="B288" s="720"/>
      <c r="C288" s="721"/>
      <c r="D288" s="721"/>
      <c r="E288" s="721"/>
      <c r="F288" s="721"/>
      <c r="G288" s="721"/>
      <c r="H288" s="721"/>
      <c r="I288" s="721"/>
      <c r="J288" s="721"/>
      <c r="K288" s="721"/>
      <c r="L288" s="721"/>
      <c r="M288" s="721"/>
      <c r="N288" s="721"/>
      <c r="O288" s="721"/>
      <c r="P288" s="721"/>
      <c r="Q288" s="722"/>
    </row>
    <row r="289" spans="2:17" ht="12.75">
      <c r="B289" s="720"/>
      <c r="C289" s="721"/>
      <c r="D289" s="721"/>
      <c r="E289" s="721"/>
      <c r="F289" s="721"/>
      <c r="G289" s="721"/>
      <c r="H289" s="721"/>
      <c r="I289" s="721"/>
      <c r="J289" s="721"/>
      <c r="K289" s="721"/>
      <c r="L289" s="721"/>
      <c r="M289" s="721"/>
      <c r="N289" s="721"/>
      <c r="O289" s="721"/>
      <c r="P289" s="721"/>
      <c r="Q289" s="722"/>
    </row>
    <row r="290" spans="2:17" ht="12.75">
      <c r="B290" s="723"/>
      <c r="C290" s="724"/>
      <c r="D290" s="724"/>
      <c r="E290" s="724"/>
      <c r="F290" s="724"/>
      <c r="G290" s="724"/>
      <c r="H290" s="724"/>
      <c r="I290" s="724"/>
      <c r="J290" s="724"/>
      <c r="K290" s="724"/>
      <c r="L290" s="724"/>
      <c r="M290" s="724"/>
      <c r="N290" s="724"/>
      <c r="O290" s="724"/>
      <c r="P290" s="724"/>
      <c r="Q290" s="725"/>
    </row>
    <row r="292" spans="2:17" ht="15.75">
      <c r="B292" s="363" t="s">
        <v>330</v>
      </c>
      <c r="D292" s="364" t="s">
        <v>331</v>
      </c>
      <c r="F292" s="726" t="str">
        <f>+F10</f>
        <v>Unmetered &amp; Scattered</v>
      </c>
      <c r="G292" s="726"/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</row>
    <row r="293" spans="2:17" ht="7.5" customHeight="1">
      <c r="B293" s="363"/>
      <c r="D293" s="365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</row>
    <row r="294" spans="2:15" ht="12.75">
      <c r="B294" s="363" t="s">
        <v>53</v>
      </c>
      <c r="F294" s="367" t="s">
        <v>66</v>
      </c>
      <c r="G294" s="367"/>
      <c r="H294" s="516"/>
      <c r="I294" s="367" t="s">
        <v>332</v>
      </c>
      <c r="J294" s="504"/>
      <c r="L294" s="367" t="s">
        <v>16</v>
      </c>
      <c r="M294" s="504"/>
      <c r="O294" s="367" t="s">
        <v>134</v>
      </c>
    </row>
    <row r="295" ht="10.5" customHeight="1">
      <c r="B295" s="363" t="s">
        <v>22</v>
      </c>
    </row>
    <row r="296" spans="2:17" ht="12.75">
      <c r="B296" s="368"/>
      <c r="F296" s="369"/>
      <c r="G296" s="369"/>
      <c r="H296" s="727" t="s">
        <v>333</v>
      </c>
      <c r="I296" s="728"/>
      <c r="J296" s="729"/>
      <c r="L296" s="727" t="s">
        <v>334</v>
      </c>
      <c r="M296" s="728"/>
      <c r="N296" s="729"/>
      <c r="P296" s="727" t="s">
        <v>335</v>
      </c>
      <c r="Q296" s="729"/>
    </row>
    <row r="297" spans="2:17" ht="12.75">
      <c r="B297" s="368"/>
      <c r="F297" s="730" t="s">
        <v>336</v>
      </c>
      <c r="G297" s="370"/>
      <c r="H297" s="371" t="s">
        <v>337</v>
      </c>
      <c r="I297" s="371" t="s">
        <v>63</v>
      </c>
      <c r="J297" s="372" t="s">
        <v>338</v>
      </c>
      <c r="L297" s="371" t="s">
        <v>337</v>
      </c>
      <c r="M297" s="373" t="s">
        <v>63</v>
      </c>
      <c r="N297" s="372" t="s">
        <v>338</v>
      </c>
      <c r="P297" s="732" t="s">
        <v>339</v>
      </c>
      <c r="Q297" s="734" t="s">
        <v>340</v>
      </c>
    </row>
    <row r="298" spans="2:17" ht="12.75">
      <c r="B298" s="368"/>
      <c r="F298" s="731"/>
      <c r="G298" s="370"/>
      <c r="H298" s="374" t="s">
        <v>341</v>
      </c>
      <c r="I298" s="374"/>
      <c r="J298" s="375" t="s">
        <v>341</v>
      </c>
      <c r="L298" s="374" t="s">
        <v>341</v>
      </c>
      <c r="M298" s="375"/>
      <c r="N298" s="375" t="s">
        <v>341</v>
      </c>
      <c r="P298" s="733"/>
      <c r="Q298" s="735"/>
    </row>
    <row r="299" spans="4:17" ht="12.75">
      <c r="D299" s="376" t="s">
        <v>67</v>
      </c>
      <c r="E299" s="376"/>
      <c r="F299" s="514" t="s">
        <v>330</v>
      </c>
      <c r="G299" s="377"/>
      <c r="H299" s="505">
        <f>+'2010 Existing Rates'!$B$15</f>
        <v>7.38</v>
      </c>
      <c r="I299" s="378">
        <f>+M$12</f>
        <v>1</v>
      </c>
      <c r="J299" s="379">
        <f aca="true" t="shared" si="48" ref="J299:J313">I299*H299</f>
        <v>7.38</v>
      </c>
      <c r="K299" s="376"/>
      <c r="L299" s="505">
        <f>+'Rate Schedule (Part 1)'!$E$65</f>
        <v>8.2702</v>
      </c>
      <c r="M299" s="380">
        <f>+M$12</f>
        <v>1</v>
      </c>
      <c r="N299" s="379">
        <f aca="true" t="shared" si="49" ref="N299:N313">M299*L299</f>
        <v>8.2702</v>
      </c>
      <c r="O299" s="376"/>
      <c r="P299" s="381">
        <f aca="true" t="shared" si="50" ref="P299:P325">N299-J299</f>
        <v>0.890200000000001</v>
      </c>
      <c r="Q299" s="382">
        <f aca="true" t="shared" si="51" ref="Q299:Q325">IF((J299)=0,"",(P299/J299))</f>
        <v>0.12062330623306247</v>
      </c>
    </row>
    <row r="300" spans="4:17" ht="12.75">
      <c r="D300" s="376" t="s">
        <v>226</v>
      </c>
      <c r="E300" s="376"/>
      <c r="F300" s="514" t="s">
        <v>330</v>
      </c>
      <c r="G300" s="377"/>
      <c r="H300" s="505"/>
      <c r="I300" s="378">
        <v>1</v>
      </c>
      <c r="J300" s="379">
        <f t="shared" si="48"/>
        <v>0</v>
      </c>
      <c r="K300" s="376"/>
      <c r="L300" s="505"/>
      <c r="M300" s="380">
        <v>1</v>
      </c>
      <c r="N300" s="379">
        <f t="shared" si="49"/>
        <v>0</v>
      </c>
      <c r="O300" s="376"/>
      <c r="P300" s="381">
        <f t="shared" si="50"/>
        <v>0</v>
      </c>
      <c r="Q300" s="382">
        <f t="shared" si="51"/>
      </c>
    </row>
    <row r="301" spans="4:17" ht="12.75">
      <c r="D301" s="376" t="s">
        <v>342</v>
      </c>
      <c r="E301" s="376"/>
      <c r="F301" s="514"/>
      <c r="G301" s="377"/>
      <c r="H301" s="505"/>
      <c r="I301" s="378">
        <v>1</v>
      </c>
      <c r="J301" s="379">
        <f t="shared" si="48"/>
        <v>0</v>
      </c>
      <c r="K301" s="376"/>
      <c r="L301" s="505"/>
      <c r="M301" s="380">
        <v>1</v>
      </c>
      <c r="N301" s="379">
        <f t="shared" si="49"/>
        <v>0</v>
      </c>
      <c r="O301" s="376"/>
      <c r="P301" s="381">
        <f t="shared" si="50"/>
        <v>0</v>
      </c>
      <c r="Q301" s="382">
        <f t="shared" si="51"/>
      </c>
    </row>
    <row r="302" spans="4:17" ht="12.75">
      <c r="D302" s="376" t="s">
        <v>343</v>
      </c>
      <c r="E302" s="376"/>
      <c r="F302" s="514"/>
      <c r="G302" s="377"/>
      <c r="H302" s="505"/>
      <c r="I302" s="378">
        <v>1</v>
      </c>
      <c r="J302" s="379">
        <f t="shared" si="48"/>
        <v>0</v>
      </c>
      <c r="K302" s="376"/>
      <c r="L302" s="505"/>
      <c r="M302" s="380">
        <v>1</v>
      </c>
      <c r="N302" s="379">
        <f t="shared" si="49"/>
        <v>0</v>
      </c>
      <c r="O302" s="376"/>
      <c r="P302" s="381">
        <f t="shared" si="50"/>
        <v>0</v>
      </c>
      <c r="Q302" s="382">
        <f t="shared" si="51"/>
      </c>
    </row>
    <row r="303" spans="4:17" ht="12.75">
      <c r="D303" s="376" t="s">
        <v>85</v>
      </c>
      <c r="E303" s="376"/>
      <c r="F303" s="514" t="s">
        <v>53</v>
      </c>
      <c r="G303" s="377"/>
      <c r="H303" s="505">
        <f>+'2010 Existing Rates'!$B$65</f>
        <v>0.0156</v>
      </c>
      <c r="I303" s="378">
        <f>+H294</f>
        <v>0</v>
      </c>
      <c r="J303" s="379">
        <f t="shared" si="48"/>
        <v>0</v>
      </c>
      <c r="K303" s="376"/>
      <c r="L303" s="505">
        <f>+'Rate Schedule (Part 1)'!$E$66</f>
        <v>0.0175</v>
      </c>
      <c r="M303" s="380">
        <f>+H294</f>
        <v>0</v>
      </c>
      <c r="N303" s="379">
        <f t="shared" si="49"/>
        <v>0</v>
      </c>
      <c r="O303" s="376"/>
      <c r="P303" s="381">
        <f t="shared" si="50"/>
        <v>0</v>
      </c>
      <c r="Q303" s="382">
        <f t="shared" si="51"/>
      </c>
    </row>
    <row r="304" spans="4:17" ht="12.75">
      <c r="D304" s="376" t="s">
        <v>344</v>
      </c>
      <c r="E304" s="376"/>
      <c r="F304" s="514" t="s">
        <v>53</v>
      </c>
      <c r="G304" s="377"/>
      <c r="H304" s="505">
        <f>+'2010 Existing Rates'!$B$40</f>
        <v>0.0002</v>
      </c>
      <c r="I304" s="378">
        <f aca="true" t="shared" si="52" ref="I304:I309">I303</f>
        <v>0</v>
      </c>
      <c r="J304" s="379">
        <f t="shared" si="48"/>
        <v>0</v>
      </c>
      <c r="K304" s="376"/>
      <c r="L304" s="505">
        <f>+'Rate Schedule (Part 1)'!$E$67</f>
        <v>0.0002</v>
      </c>
      <c r="M304" s="380">
        <f aca="true" t="shared" si="53" ref="M304:M309">M303</f>
        <v>0</v>
      </c>
      <c r="N304" s="379">
        <f t="shared" si="49"/>
        <v>0</v>
      </c>
      <c r="O304" s="376"/>
      <c r="P304" s="381">
        <f t="shared" si="50"/>
        <v>0</v>
      </c>
      <c r="Q304" s="382">
        <f t="shared" si="51"/>
      </c>
    </row>
    <row r="305" spans="4:17" ht="12.75">
      <c r="D305" s="376" t="s">
        <v>345</v>
      </c>
      <c r="E305" s="376"/>
      <c r="F305" s="514"/>
      <c r="G305" s="377"/>
      <c r="H305" s="505"/>
      <c r="I305" s="378">
        <f t="shared" si="52"/>
        <v>0</v>
      </c>
      <c r="J305" s="379">
        <f t="shared" si="48"/>
        <v>0</v>
      </c>
      <c r="K305" s="376"/>
      <c r="L305" s="505"/>
      <c r="M305" s="380">
        <f t="shared" si="53"/>
        <v>0</v>
      </c>
      <c r="N305" s="379">
        <f t="shared" si="49"/>
        <v>0</v>
      </c>
      <c r="O305" s="376"/>
      <c r="P305" s="381">
        <f t="shared" si="50"/>
        <v>0</v>
      </c>
      <c r="Q305" s="382">
        <f t="shared" si="51"/>
      </c>
    </row>
    <row r="306" spans="4:17" ht="12.75">
      <c r="D306" s="376" t="s">
        <v>346</v>
      </c>
      <c r="E306" s="376"/>
      <c r="F306" s="514"/>
      <c r="G306" s="377"/>
      <c r="H306" s="505"/>
      <c r="I306" s="378">
        <f t="shared" si="52"/>
        <v>0</v>
      </c>
      <c r="J306" s="379">
        <f t="shared" si="48"/>
        <v>0</v>
      </c>
      <c r="K306" s="376"/>
      <c r="L306" s="505"/>
      <c r="M306" s="380">
        <f t="shared" si="53"/>
        <v>0</v>
      </c>
      <c r="N306" s="379">
        <f t="shared" si="49"/>
        <v>0</v>
      </c>
      <c r="O306" s="376"/>
      <c r="P306" s="381">
        <f t="shared" si="50"/>
        <v>0</v>
      </c>
      <c r="Q306" s="382">
        <f t="shared" si="51"/>
      </c>
    </row>
    <row r="307" spans="4:17" ht="12.75">
      <c r="D307" s="376" t="s">
        <v>347</v>
      </c>
      <c r="E307" s="376"/>
      <c r="F307" s="514"/>
      <c r="G307" s="377"/>
      <c r="H307" s="505"/>
      <c r="I307" s="378">
        <f t="shared" si="52"/>
        <v>0</v>
      </c>
      <c r="J307" s="379">
        <f t="shared" si="48"/>
        <v>0</v>
      </c>
      <c r="K307" s="376"/>
      <c r="L307" s="505"/>
      <c r="M307" s="380">
        <f t="shared" si="53"/>
        <v>0</v>
      </c>
      <c r="N307" s="379">
        <f t="shared" si="49"/>
        <v>0</v>
      </c>
      <c r="O307" s="376"/>
      <c r="P307" s="381">
        <f t="shared" si="50"/>
        <v>0</v>
      </c>
      <c r="Q307" s="382">
        <f t="shared" si="51"/>
      </c>
    </row>
    <row r="308" spans="4:17" ht="12.75">
      <c r="D308" s="376" t="s">
        <v>348</v>
      </c>
      <c r="E308" s="376"/>
      <c r="F308" s="514"/>
      <c r="G308" s="377"/>
      <c r="H308" s="505"/>
      <c r="I308" s="378">
        <f t="shared" si="52"/>
        <v>0</v>
      </c>
      <c r="J308" s="379">
        <f t="shared" si="48"/>
        <v>0</v>
      </c>
      <c r="K308" s="376"/>
      <c r="L308" s="505"/>
      <c r="M308" s="380">
        <f t="shared" si="53"/>
        <v>0</v>
      </c>
      <c r="N308" s="379">
        <f t="shared" si="49"/>
        <v>0</v>
      </c>
      <c r="O308" s="376"/>
      <c r="P308" s="381">
        <f t="shared" si="50"/>
        <v>0</v>
      </c>
      <c r="Q308" s="382">
        <f t="shared" si="51"/>
      </c>
    </row>
    <row r="309" spans="4:17" ht="25.5">
      <c r="D309" s="383" t="s">
        <v>349</v>
      </c>
      <c r="E309" s="376"/>
      <c r="F309" s="514" t="s">
        <v>53</v>
      </c>
      <c r="G309" s="377"/>
      <c r="H309" s="505">
        <f>+'2010 Existing Rates'!$B$28</f>
        <v>-0.0041</v>
      </c>
      <c r="I309" s="378">
        <f t="shared" si="52"/>
        <v>0</v>
      </c>
      <c r="J309" s="379">
        <f t="shared" si="48"/>
        <v>0</v>
      </c>
      <c r="K309" s="376"/>
      <c r="L309" s="505">
        <f>+'Rate Schedule (Part 1)'!$E$69</f>
        <v>-0.0006837836880171018</v>
      </c>
      <c r="M309" s="380">
        <f t="shared" si="53"/>
        <v>0</v>
      </c>
      <c r="N309" s="379">
        <f t="shared" si="49"/>
        <v>0</v>
      </c>
      <c r="O309" s="376"/>
      <c r="P309" s="381">
        <f t="shared" si="50"/>
        <v>0</v>
      </c>
      <c r="Q309" s="382">
        <f t="shared" si="51"/>
      </c>
    </row>
    <row r="310" spans="4:17" ht="12.75">
      <c r="D310" s="501"/>
      <c r="E310" s="376"/>
      <c r="F310" s="514"/>
      <c r="G310" s="377"/>
      <c r="H310" s="505"/>
      <c r="I310" s="507"/>
      <c r="J310" s="379">
        <f t="shared" si="48"/>
        <v>0</v>
      </c>
      <c r="K310" s="376"/>
      <c r="L310" s="505"/>
      <c r="M310" s="510"/>
      <c r="N310" s="379">
        <f t="shared" si="49"/>
        <v>0</v>
      </c>
      <c r="O310" s="376"/>
      <c r="P310" s="381">
        <f t="shared" si="50"/>
        <v>0</v>
      </c>
      <c r="Q310" s="382">
        <f t="shared" si="51"/>
      </c>
    </row>
    <row r="311" spans="4:17" ht="12.75">
      <c r="D311" s="501"/>
      <c r="E311" s="376"/>
      <c r="F311" s="514"/>
      <c r="G311" s="377"/>
      <c r="H311" s="505"/>
      <c r="I311" s="507"/>
      <c r="J311" s="379">
        <f t="shared" si="48"/>
        <v>0</v>
      </c>
      <c r="K311" s="376"/>
      <c r="L311" s="505"/>
      <c r="M311" s="510"/>
      <c r="N311" s="379">
        <f t="shared" si="49"/>
        <v>0</v>
      </c>
      <c r="O311" s="376"/>
      <c r="P311" s="381">
        <f t="shared" si="50"/>
        <v>0</v>
      </c>
      <c r="Q311" s="382">
        <f t="shared" si="51"/>
      </c>
    </row>
    <row r="312" spans="4:17" ht="12.75">
      <c r="D312" s="501"/>
      <c r="E312" s="376"/>
      <c r="F312" s="514"/>
      <c r="G312" s="377"/>
      <c r="H312" s="505"/>
      <c r="I312" s="507"/>
      <c r="J312" s="379">
        <f t="shared" si="48"/>
        <v>0</v>
      </c>
      <c r="K312" s="376"/>
      <c r="L312" s="505"/>
      <c r="M312" s="510"/>
      <c r="N312" s="379">
        <f t="shared" si="49"/>
        <v>0</v>
      </c>
      <c r="O312" s="376"/>
      <c r="P312" s="381">
        <f t="shared" si="50"/>
        <v>0</v>
      </c>
      <c r="Q312" s="382">
        <f t="shared" si="51"/>
      </c>
    </row>
    <row r="313" spans="4:17" ht="13.5" thickBot="1">
      <c r="D313" s="501"/>
      <c r="E313" s="376"/>
      <c r="F313" s="514"/>
      <c r="G313" s="377"/>
      <c r="H313" s="505"/>
      <c r="I313" s="507"/>
      <c r="J313" s="379">
        <f t="shared" si="48"/>
        <v>0</v>
      </c>
      <c r="K313" s="376"/>
      <c r="L313" s="505"/>
      <c r="M313" s="510"/>
      <c r="N313" s="379">
        <f t="shared" si="49"/>
        <v>0</v>
      </c>
      <c r="O313" s="376"/>
      <c r="P313" s="381">
        <f t="shared" si="50"/>
        <v>0</v>
      </c>
      <c r="Q313" s="382">
        <f t="shared" si="51"/>
      </c>
    </row>
    <row r="314" spans="4:17" ht="13.5" thickBot="1">
      <c r="D314" s="367" t="s">
        <v>350</v>
      </c>
      <c r="G314" s="384"/>
      <c r="H314" s="385"/>
      <c r="I314" s="386"/>
      <c r="J314" s="387">
        <f>SUM(J299:J313)</f>
        <v>7.38</v>
      </c>
      <c r="L314" s="385"/>
      <c r="M314" s="388"/>
      <c r="N314" s="387">
        <f>SUM(N299:N313)</f>
        <v>8.2702</v>
      </c>
      <c r="P314" s="389">
        <f t="shared" si="50"/>
        <v>0.890200000000001</v>
      </c>
      <c r="Q314" s="390">
        <f t="shared" si="51"/>
        <v>0.12062330623306247</v>
      </c>
    </row>
    <row r="315" spans="4:17" ht="12.75">
      <c r="D315" s="391" t="s">
        <v>351</v>
      </c>
      <c r="E315" s="391"/>
      <c r="F315" s="515" t="s">
        <v>53</v>
      </c>
      <c r="G315" s="392"/>
      <c r="H315" s="506">
        <v>0.0054</v>
      </c>
      <c r="I315" s="393">
        <f>+I323</f>
        <v>0</v>
      </c>
      <c r="J315" s="394">
        <f>I315*H315</f>
        <v>0</v>
      </c>
      <c r="K315" s="391"/>
      <c r="L315" s="506">
        <f>+'[7]E1.1 Adj Network to Fcst Whsl'!$S$29</f>
        <v>0.005019360241026099</v>
      </c>
      <c r="M315" s="395">
        <f>+J294</f>
        <v>0</v>
      </c>
      <c r="N315" s="394">
        <f>M315*L315</f>
        <v>0</v>
      </c>
      <c r="O315" s="391"/>
      <c r="P315" s="396">
        <f t="shared" si="50"/>
        <v>0</v>
      </c>
      <c r="Q315" s="397">
        <f t="shared" si="51"/>
      </c>
    </row>
    <row r="316" spans="4:17" ht="26.25" thickBot="1">
      <c r="D316" s="398" t="s">
        <v>352</v>
      </c>
      <c r="E316" s="391"/>
      <c r="F316" s="515" t="s">
        <v>53</v>
      </c>
      <c r="G316" s="392"/>
      <c r="H316" s="506">
        <v>0.0042</v>
      </c>
      <c r="I316" s="393">
        <f>I315</f>
        <v>0</v>
      </c>
      <c r="J316" s="394">
        <f>I316*H316</f>
        <v>0</v>
      </c>
      <c r="K316" s="391"/>
      <c r="L316" s="506">
        <f>+'[7]E1.2 Adj Conn to Fcst Whsl'!$S$29</f>
        <v>0.004147360261781856</v>
      </c>
      <c r="M316" s="395">
        <f>M315</f>
        <v>0</v>
      </c>
      <c r="N316" s="394">
        <f>M316*L316</f>
        <v>0</v>
      </c>
      <c r="O316" s="391"/>
      <c r="P316" s="396">
        <f t="shared" si="50"/>
        <v>0</v>
      </c>
      <c r="Q316" s="397">
        <f t="shared" si="51"/>
      </c>
    </row>
    <row r="317" spans="4:17" ht="26.25" thickBot="1">
      <c r="D317" s="399" t="s">
        <v>353</v>
      </c>
      <c r="E317" s="376"/>
      <c r="F317" s="376"/>
      <c r="G317" s="377"/>
      <c r="H317" s="400"/>
      <c r="I317" s="401"/>
      <c r="J317" s="402">
        <f>SUM(J314:J316)</f>
        <v>7.38</v>
      </c>
      <c r="K317" s="403"/>
      <c r="L317" s="404"/>
      <c r="M317" s="405"/>
      <c r="N317" s="402">
        <f>SUM(N314:N316)</f>
        <v>8.2702</v>
      </c>
      <c r="O317" s="403"/>
      <c r="P317" s="406">
        <f t="shared" si="50"/>
        <v>0.890200000000001</v>
      </c>
      <c r="Q317" s="407">
        <f t="shared" si="51"/>
        <v>0.12062330623306247</v>
      </c>
    </row>
    <row r="318" spans="4:17" ht="25.5">
      <c r="D318" s="383" t="s">
        <v>354</v>
      </c>
      <c r="E318" s="376"/>
      <c r="F318" s="514" t="s">
        <v>53</v>
      </c>
      <c r="G318" s="377"/>
      <c r="H318" s="505">
        <v>0.0052</v>
      </c>
      <c r="I318" s="378">
        <f>+$H294*(1+$H330)</f>
        <v>0</v>
      </c>
      <c r="J318" s="379">
        <f aca="true" t="shared" si="54" ref="J318:J325">I318*H318</f>
        <v>0</v>
      </c>
      <c r="K318" s="376"/>
      <c r="L318" s="505">
        <v>0.0052</v>
      </c>
      <c r="M318" s="380">
        <f>+M323</f>
        <v>0</v>
      </c>
      <c r="N318" s="379">
        <f aca="true" t="shared" si="55" ref="N318:N325">M318*L318</f>
        <v>0</v>
      </c>
      <c r="O318" s="376"/>
      <c r="P318" s="381">
        <f t="shared" si="50"/>
        <v>0</v>
      </c>
      <c r="Q318" s="382">
        <f t="shared" si="51"/>
      </c>
    </row>
    <row r="319" spans="4:17" ht="25.5">
      <c r="D319" s="383" t="s">
        <v>355</v>
      </c>
      <c r="E319" s="376"/>
      <c r="F319" s="514" t="s">
        <v>53</v>
      </c>
      <c r="G319" s="377"/>
      <c r="H319" s="505">
        <v>0.0013</v>
      </c>
      <c r="I319" s="378">
        <f>+I318</f>
        <v>0</v>
      </c>
      <c r="J319" s="379">
        <f t="shared" si="54"/>
        <v>0</v>
      </c>
      <c r="K319" s="376"/>
      <c r="L319" s="505">
        <v>0.0013</v>
      </c>
      <c r="M319" s="380">
        <f>+M318</f>
        <v>0</v>
      </c>
      <c r="N319" s="379">
        <f t="shared" si="55"/>
        <v>0</v>
      </c>
      <c r="O319" s="376"/>
      <c r="P319" s="381">
        <f t="shared" si="50"/>
        <v>0</v>
      </c>
      <c r="Q319" s="382">
        <f t="shared" si="51"/>
      </c>
    </row>
    <row r="320" spans="4:17" ht="12.75">
      <c r="D320" s="383" t="s">
        <v>356</v>
      </c>
      <c r="E320" s="376"/>
      <c r="F320" s="514" t="s">
        <v>53</v>
      </c>
      <c r="G320" s="377"/>
      <c r="H320" s="508">
        <v>0.000373</v>
      </c>
      <c r="I320" s="378">
        <f>+I318</f>
        <v>0</v>
      </c>
      <c r="J320" s="379">
        <f t="shared" si="54"/>
        <v>0</v>
      </c>
      <c r="K320" s="376"/>
      <c r="L320" s="508">
        <v>0.000373</v>
      </c>
      <c r="M320" s="380">
        <f>+M318</f>
        <v>0</v>
      </c>
      <c r="N320" s="379">
        <f t="shared" si="55"/>
        <v>0</v>
      </c>
      <c r="O320" s="376"/>
      <c r="P320" s="381">
        <f t="shared" si="50"/>
        <v>0</v>
      </c>
      <c r="Q320" s="382">
        <f t="shared" si="51"/>
      </c>
    </row>
    <row r="321" spans="4:17" ht="12.75">
      <c r="D321" s="376" t="s">
        <v>357</v>
      </c>
      <c r="E321" s="376"/>
      <c r="F321" s="514" t="s">
        <v>330</v>
      </c>
      <c r="G321" s="377"/>
      <c r="H321" s="505">
        <v>0.25</v>
      </c>
      <c r="I321" s="378">
        <v>1</v>
      </c>
      <c r="J321" s="379">
        <f t="shared" si="54"/>
        <v>0.25</v>
      </c>
      <c r="K321" s="376"/>
      <c r="L321" s="505">
        <v>0.25</v>
      </c>
      <c r="M321" s="380">
        <v>1</v>
      </c>
      <c r="N321" s="379">
        <f t="shared" si="55"/>
        <v>0.25</v>
      </c>
      <c r="O321" s="376"/>
      <c r="P321" s="381">
        <f t="shared" si="50"/>
        <v>0</v>
      </c>
      <c r="Q321" s="382">
        <f t="shared" si="51"/>
        <v>0</v>
      </c>
    </row>
    <row r="322" spans="4:17" ht="12.75">
      <c r="D322" s="376" t="s">
        <v>358</v>
      </c>
      <c r="E322" s="376"/>
      <c r="F322" s="514" t="s">
        <v>53</v>
      </c>
      <c r="G322" s="377"/>
      <c r="H322" s="505">
        <v>0.007</v>
      </c>
      <c r="I322" s="378">
        <f>+$H294</f>
        <v>0</v>
      </c>
      <c r="J322" s="379">
        <f t="shared" si="54"/>
        <v>0</v>
      </c>
      <c r="K322" s="376"/>
      <c r="L322" s="505">
        <v>0.007</v>
      </c>
      <c r="M322" s="380">
        <f>+$H294</f>
        <v>0</v>
      </c>
      <c r="N322" s="379">
        <f t="shared" si="55"/>
        <v>0</v>
      </c>
      <c r="O322" s="376"/>
      <c r="P322" s="381">
        <f t="shared" si="50"/>
        <v>0</v>
      </c>
      <c r="Q322" s="382">
        <f t="shared" si="51"/>
      </c>
    </row>
    <row r="323" spans="4:17" ht="12.75">
      <c r="D323" s="376" t="s">
        <v>359</v>
      </c>
      <c r="E323" s="376"/>
      <c r="F323" s="514" t="s">
        <v>53</v>
      </c>
      <c r="G323" s="377"/>
      <c r="H323" s="505">
        <f>+'Other Electriciy Rates'!$J$17</f>
        <v>0.065</v>
      </c>
      <c r="I323" s="378">
        <f>+$H294*(1+$H330)</f>
        <v>0</v>
      </c>
      <c r="J323" s="379">
        <f t="shared" si="54"/>
        <v>0</v>
      </c>
      <c r="K323" s="376"/>
      <c r="L323" s="505">
        <f>+'Other Electriciy Rates'!$J$32</f>
        <v>0.065</v>
      </c>
      <c r="M323" s="378">
        <f>+$H294*(1+$L330)</f>
        <v>0</v>
      </c>
      <c r="N323" s="379">
        <f t="shared" si="55"/>
        <v>0</v>
      </c>
      <c r="O323" s="376"/>
      <c r="P323" s="381">
        <f t="shared" si="50"/>
        <v>0</v>
      </c>
      <c r="Q323" s="382">
        <f t="shared" si="51"/>
      </c>
    </row>
    <row r="324" spans="4:17" ht="12.75">
      <c r="D324" s="502"/>
      <c r="E324" s="376"/>
      <c r="F324" s="514"/>
      <c r="G324" s="377"/>
      <c r="H324" s="505"/>
      <c r="I324" s="509"/>
      <c r="J324" s="379">
        <f t="shared" si="54"/>
        <v>0</v>
      </c>
      <c r="K324" s="376"/>
      <c r="L324" s="505"/>
      <c r="M324" s="509"/>
      <c r="N324" s="379">
        <f t="shared" si="55"/>
        <v>0</v>
      </c>
      <c r="O324" s="376"/>
      <c r="P324" s="381">
        <f t="shared" si="50"/>
        <v>0</v>
      </c>
      <c r="Q324" s="382">
        <f t="shared" si="51"/>
      </c>
    </row>
    <row r="325" spans="4:17" ht="13.5" thickBot="1">
      <c r="D325" s="501"/>
      <c r="E325" s="376"/>
      <c r="F325" s="514"/>
      <c r="G325" s="377"/>
      <c r="H325" s="505"/>
      <c r="I325" s="509"/>
      <c r="J325" s="379">
        <f t="shared" si="54"/>
        <v>0</v>
      </c>
      <c r="K325" s="376"/>
      <c r="L325" s="505"/>
      <c r="M325" s="509"/>
      <c r="N325" s="379">
        <f t="shared" si="55"/>
        <v>0</v>
      </c>
      <c r="O325" s="376"/>
      <c r="P325" s="381">
        <f t="shared" si="50"/>
        <v>0</v>
      </c>
      <c r="Q325" s="382">
        <f t="shared" si="51"/>
      </c>
    </row>
    <row r="326" spans="4:17" ht="13.5" thickBot="1">
      <c r="D326" s="408" t="s">
        <v>360</v>
      </c>
      <c r="E326" s="376"/>
      <c r="F326" s="376"/>
      <c r="G326" s="376"/>
      <c r="H326" s="409"/>
      <c r="I326" s="410"/>
      <c r="J326" s="402">
        <f>SUM(J317:J325)</f>
        <v>7.63</v>
      </c>
      <c r="K326" s="403"/>
      <c r="L326" s="411"/>
      <c r="M326" s="412"/>
      <c r="N326" s="402">
        <f>SUM(N317:N325)</f>
        <v>8.5202</v>
      </c>
      <c r="O326" s="403"/>
      <c r="P326" s="406">
        <f>N326-J326</f>
        <v>0.890200000000001</v>
      </c>
      <c r="Q326" s="407">
        <f>IF((J326)=0,"",(P326/J326))</f>
        <v>0.11667103538663184</v>
      </c>
    </row>
    <row r="327" spans="4:17" ht="13.5" thickBot="1">
      <c r="D327" s="377" t="s">
        <v>361</v>
      </c>
      <c r="E327" s="376"/>
      <c r="F327" s="376"/>
      <c r="G327" s="376"/>
      <c r="H327" s="511">
        <v>0.13</v>
      </c>
      <c r="I327" s="413"/>
      <c r="J327" s="414">
        <f>J326*H327</f>
        <v>0.9919</v>
      </c>
      <c r="K327" s="376"/>
      <c r="L327" s="511">
        <v>0.13</v>
      </c>
      <c r="M327" s="415"/>
      <c r="N327" s="414">
        <f>N326*L327</f>
        <v>1.1076260000000002</v>
      </c>
      <c r="O327" s="376"/>
      <c r="P327" s="381">
        <f>N327-J327</f>
        <v>0.11572600000000022</v>
      </c>
      <c r="Q327" s="382">
        <f>IF((J327)=0,"",(P327/J327))</f>
        <v>0.11667103538663194</v>
      </c>
    </row>
    <row r="328" spans="4:17" ht="26.25" thickBot="1">
      <c r="D328" s="399" t="s">
        <v>362</v>
      </c>
      <c r="E328" s="376"/>
      <c r="F328" s="376"/>
      <c r="G328" s="376"/>
      <c r="H328" s="400"/>
      <c r="I328" s="401"/>
      <c r="J328" s="402">
        <f>ROUND(SUM(J326:J327),2)</f>
        <v>8.62</v>
      </c>
      <c r="K328" s="403"/>
      <c r="L328" s="404"/>
      <c r="M328" s="405"/>
      <c r="N328" s="402">
        <f>ROUND(SUM(N326:N327),2)</f>
        <v>9.63</v>
      </c>
      <c r="O328" s="403"/>
      <c r="P328" s="406">
        <f>N328-J328</f>
        <v>1.0100000000000016</v>
      </c>
      <c r="Q328" s="407">
        <f>IF((J328)=0,"",(P328/J328))</f>
        <v>0.11716937354988419</v>
      </c>
    </row>
    <row r="329" ht="10.5" customHeight="1"/>
    <row r="330" spans="4:12" ht="12.75">
      <c r="D330" s="367" t="s">
        <v>363</v>
      </c>
      <c r="H330" s="512">
        <v>0.0351</v>
      </c>
      <c r="L330" s="513">
        <f>-(1-'[8]Ex4 Total Loss Factors'!$G$20)</f>
        <v>0.03619124792672812</v>
      </c>
    </row>
    <row r="331" ht="10.5" customHeight="1"/>
    <row r="332" ht="12.75">
      <c r="B332" s="367" t="s">
        <v>364</v>
      </c>
    </row>
    <row r="333" spans="2:17" ht="12.75">
      <c r="B333" s="717"/>
      <c r="C333" s="718"/>
      <c r="D333" s="718"/>
      <c r="E333" s="718"/>
      <c r="F333" s="718"/>
      <c r="G333" s="718"/>
      <c r="H333" s="718"/>
      <c r="I333" s="718"/>
      <c r="J333" s="718"/>
      <c r="K333" s="718"/>
      <c r="L333" s="718"/>
      <c r="M333" s="718"/>
      <c r="N333" s="718"/>
      <c r="O333" s="718"/>
      <c r="P333" s="718"/>
      <c r="Q333" s="719"/>
    </row>
    <row r="334" spans="2:17" ht="12.75">
      <c r="B334" s="720"/>
      <c r="C334" s="721"/>
      <c r="D334" s="721"/>
      <c r="E334" s="721"/>
      <c r="F334" s="721"/>
      <c r="G334" s="721"/>
      <c r="H334" s="721"/>
      <c r="I334" s="721"/>
      <c r="J334" s="721"/>
      <c r="K334" s="721"/>
      <c r="L334" s="721"/>
      <c r="M334" s="721"/>
      <c r="N334" s="721"/>
      <c r="O334" s="721"/>
      <c r="P334" s="721"/>
      <c r="Q334" s="722"/>
    </row>
    <row r="335" spans="2:17" ht="12.75">
      <c r="B335" s="720"/>
      <c r="C335" s="721"/>
      <c r="D335" s="721"/>
      <c r="E335" s="721"/>
      <c r="F335" s="721"/>
      <c r="G335" s="721"/>
      <c r="H335" s="721"/>
      <c r="I335" s="721"/>
      <c r="J335" s="721"/>
      <c r="K335" s="721"/>
      <c r="L335" s="721"/>
      <c r="M335" s="721"/>
      <c r="N335" s="721"/>
      <c r="O335" s="721"/>
      <c r="P335" s="721"/>
      <c r="Q335" s="722"/>
    </row>
    <row r="336" spans="2:17" ht="12.75">
      <c r="B336" s="720"/>
      <c r="C336" s="721"/>
      <c r="D336" s="721"/>
      <c r="E336" s="721"/>
      <c r="F336" s="721"/>
      <c r="G336" s="721"/>
      <c r="H336" s="721"/>
      <c r="I336" s="721"/>
      <c r="J336" s="721"/>
      <c r="K336" s="721"/>
      <c r="L336" s="721"/>
      <c r="M336" s="721"/>
      <c r="N336" s="721"/>
      <c r="O336" s="721"/>
      <c r="P336" s="721"/>
      <c r="Q336" s="722"/>
    </row>
    <row r="337" spans="2:17" ht="12.75">
      <c r="B337" s="723"/>
      <c r="C337" s="724"/>
      <c r="D337" s="724"/>
      <c r="E337" s="724"/>
      <c r="F337" s="724"/>
      <c r="G337" s="724"/>
      <c r="H337" s="724"/>
      <c r="I337" s="724"/>
      <c r="J337" s="724"/>
      <c r="K337" s="724"/>
      <c r="L337" s="724"/>
      <c r="M337" s="724"/>
      <c r="N337" s="724"/>
      <c r="O337" s="724"/>
      <c r="P337" s="724"/>
      <c r="Q337" s="725"/>
    </row>
  </sheetData>
  <sheetProtection/>
  <mergeCells count="56">
    <mergeCell ref="B333:Q337"/>
    <mergeCell ref="B286:Q290"/>
    <mergeCell ref="F292:Q292"/>
    <mergeCell ref="H296:J296"/>
    <mergeCell ref="L296:N296"/>
    <mergeCell ref="P296:Q296"/>
    <mergeCell ref="F297:F298"/>
    <mergeCell ref="P297:P298"/>
    <mergeCell ref="Q297:Q298"/>
    <mergeCell ref="B239:Q243"/>
    <mergeCell ref="F245:Q245"/>
    <mergeCell ref="H249:J249"/>
    <mergeCell ref="L249:N249"/>
    <mergeCell ref="P249:Q249"/>
    <mergeCell ref="F250:F251"/>
    <mergeCell ref="P250:P251"/>
    <mergeCell ref="Q250:Q251"/>
    <mergeCell ref="B192:Q196"/>
    <mergeCell ref="F198:Q198"/>
    <mergeCell ref="H202:J202"/>
    <mergeCell ref="L202:N202"/>
    <mergeCell ref="P202:Q202"/>
    <mergeCell ref="F203:F204"/>
    <mergeCell ref="P203:P204"/>
    <mergeCell ref="Q203:Q204"/>
    <mergeCell ref="B145:Q149"/>
    <mergeCell ref="F151:Q151"/>
    <mergeCell ref="H155:J155"/>
    <mergeCell ref="L155:N155"/>
    <mergeCell ref="P155:Q155"/>
    <mergeCell ref="F156:F157"/>
    <mergeCell ref="P156:P157"/>
    <mergeCell ref="Q156:Q157"/>
    <mergeCell ref="B98:Q102"/>
    <mergeCell ref="F104:Q104"/>
    <mergeCell ref="H108:J108"/>
    <mergeCell ref="L108:N108"/>
    <mergeCell ref="P108:Q108"/>
    <mergeCell ref="F109:F110"/>
    <mergeCell ref="P109:P110"/>
    <mergeCell ref="Q109:Q110"/>
    <mergeCell ref="B51:Q55"/>
    <mergeCell ref="F57:Q57"/>
    <mergeCell ref="H61:J61"/>
    <mergeCell ref="L61:N61"/>
    <mergeCell ref="P61:Q61"/>
    <mergeCell ref="F62:F63"/>
    <mergeCell ref="P62:P63"/>
    <mergeCell ref="Q62:Q63"/>
    <mergeCell ref="F10:Q10"/>
    <mergeCell ref="H14:J14"/>
    <mergeCell ref="L14:N14"/>
    <mergeCell ref="P14:Q14"/>
    <mergeCell ref="F15:F16"/>
    <mergeCell ref="P15:P16"/>
    <mergeCell ref="Q15:Q16"/>
  </mergeCells>
  <dataValidations count="2">
    <dataValidation type="list" allowBlank="1" showInputMessage="1" showErrorMessage="1" sqref="G17:G31 G252:G266 G33:G34 G205:G219 G36:G43 G64:G78 G80:G81 G268:G269 G83:G90 G111:G125 G127:G128 G130:G137 G158:G172 G271:G278 G174:G175 G221:G222 G177:G184 G224:G231 G299:G313 G315:G316 G318:G325">
      <formula1>$B$10:$B$15</formula1>
    </dataValidation>
    <dataValidation type="list" allowBlank="1" showInputMessage="1" showErrorMessage="1" sqref="F17:F31 F252:F266 F33:F34 F205:F219 F36:F43 F64:F78 F80:F81 F268:F269 F83:F90 F111:F125 F127:F128 F130:F137 F158:F172 F271:F278 F174:F175 F221:F222 F177:F184 F224:F231 F299:F313 F315:F316 F318:F325">
      <formula1>$B$10:$B$13</formula1>
    </dataValidation>
  </dataValidation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421875" style="0" customWidth="1"/>
    <col min="2" max="2" width="14.57421875" style="0" customWidth="1"/>
    <col min="3" max="3" width="13.421875" style="0" customWidth="1"/>
    <col min="4" max="4" width="16.7109375" style="0" bestFit="1" customWidth="1"/>
    <col min="5" max="5" width="19.421875" style="0" customWidth="1"/>
  </cols>
  <sheetData>
    <row r="1" spans="1:5" ht="12.75">
      <c r="A1" s="648" t="s">
        <v>382</v>
      </c>
      <c r="B1" s="648"/>
      <c r="C1" s="648"/>
      <c r="D1" s="648"/>
      <c r="E1" s="648"/>
    </row>
    <row r="2" spans="1:5" ht="25.5">
      <c r="A2" s="421" t="s">
        <v>23</v>
      </c>
      <c r="B2" s="313" t="s">
        <v>387</v>
      </c>
      <c r="C2" s="313" t="s">
        <v>388</v>
      </c>
      <c r="D2" s="313" t="s">
        <v>384</v>
      </c>
      <c r="E2" s="559" t="s">
        <v>383</v>
      </c>
    </row>
    <row r="3" spans="1:5" ht="15" customHeight="1">
      <c r="A3" s="319" t="s">
        <v>200</v>
      </c>
      <c r="B3" s="336">
        <v>800</v>
      </c>
      <c r="C3" s="336"/>
      <c r="D3" s="580">
        <f>+'Appendix 2-Q Resid'!P187</f>
        <v>2.769999999999996</v>
      </c>
      <c r="E3" s="585">
        <f>+'Appendix 2-Q Resid'!Q187</f>
        <v>0.024598170677559685</v>
      </c>
    </row>
    <row r="4" spans="1:5" ht="15" customHeight="1">
      <c r="A4" s="319" t="s">
        <v>385</v>
      </c>
      <c r="B4" s="336">
        <v>5000</v>
      </c>
      <c r="C4" s="336"/>
      <c r="D4" s="580">
        <f>+'Appendix 2-Q GS&lt;50'!P140</f>
        <v>26.460000000000036</v>
      </c>
      <c r="E4" s="585">
        <f>+'Appendix 2-Q GS&lt;50'!Q140</f>
        <v>0.04037044383076765</v>
      </c>
    </row>
    <row r="5" spans="1:5" ht="15" customHeight="1">
      <c r="A5" s="319" t="s">
        <v>386</v>
      </c>
      <c r="B5" s="336">
        <v>200000</v>
      </c>
      <c r="C5" s="336">
        <v>500</v>
      </c>
      <c r="D5" s="580">
        <f>+'Appendix 2-Q GS&gt;50-999'!P140</f>
        <v>692.3199999999997</v>
      </c>
      <c r="E5" s="585">
        <f>+'Appendix 2-Q GS&gt;50-999'!Q140</f>
        <v>0.02882011613467758</v>
      </c>
    </row>
    <row r="6" spans="1:5" ht="15" customHeight="1">
      <c r="A6" s="319" t="s">
        <v>389</v>
      </c>
      <c r="B6" s="336">
        <v>1600000</v>
      </c>
      <c r="C6" s="336">
        <v>4000</v>
      </c>
      <c r="D6" s="580">
        <f>+'Appendix 2-Q GS&gt;1000-4999 '!P93</f>
        <v>4642.239999999991</v>
      </c>
      <c r="E6" s="585">
        <f>+'Appendix 2-Q GS&gt;1000-4999 '!Q93</f>
        <v>0.02652053135439379</v>
      </c>
    </row>
    <row r="7" spans="1:5" ht="15" customHeight="1">
      <c r="A7" s="319" t="s">
        <v>202</v>
      </c>
      <c r="B7" s="336">
        <v>3100000</v>
      </c>
      <c r="C7" s="336">
        <v>7500</v>
      </c>
      <c r="D7" s="580">
        <f>+'Appendix 2-Q Large User'!P93</f>
        <v>3657.649999999965</v>
      </c>
      <c r="E7" s="585">
        <f>+'Appendix 2-Q Large User'!Q93</f>
        <v>0.010885514175631826</v>
      </c>
    </row>
    <row r="8" spans="1:5" ht="15" customHeight="1">
      <c r="A8" s="319" t="s">
        <v>377</v>
      </c>
      <c r="B8" s="336">
        <f>+'Forecast Data For 2011'!C25/12</f>
        <v>526732.239641291</v>
      </c>
      <c r="C8" s="336">
        <f>+'Forecast Data For 2011'!C24/12</f>
        <v>1484.1374112626709</v>
      </c>
      <c r="D8" s="580">
        <f>+'Appendix 2-Q Streetlighting'!P46</f>
        <v>11440.659999999996</v>
      </c>
      <c r="E8" s="585">
        <f>+'Appendix 2-Q Streetlighting'!Q46</f>
        <v>0.2145306503297749</v>
      </c>
    </row>
    <row r="9" spans="1:5" ht="15" customHeight="1">
      <c r="A9" s="319" t="s">
        <v>390</v>
      </c>
      <c r="B9" s="336">
        <f>+'Appendix 2-Q Sentinel'!H12</f>
        <v>50</v>
      </c>
      <c r="C9" s="336">
        <f>+'Appendix 2-Q Sentinel'!M12</f>
        <v>1</v>
      </c>
      <c r="D9" s="580">
        <f>+'Appendix 2-Q Sentinel'!P46</f>
        <v>13.599999999999998</v>
      </c>
      <c r="E9" s="585">
        <f>+'Appendix 2-Q Sentinel'!Q46</f>
        <v>1.6075650118203306</v>
      </c>
    </row>
    <row r="10" spans="1:5" ht="15" customHeight="1">
      <c r="A10" s="319" t="s">
        <v>279</v>
      </c>
      <c r="B10" s="336">
        <f>+'Appendix 2-Q USL'!H12</f>
        <v>630</v>
      </c>
      <c r="C10" s="264"/>
      <c r="D10" s="580">
        <f>+'Appendix 2-Q USL'!P46</f>
        <v>4.540000000000006</v>
      </c>
      <c r="E10" s="585">
        <f>+'Appendix 2-Q USL'!Q46</f>
        <v>0.05538611687202643</v>
      </c>
    </row>
    <row r="11" ht="15" customHeight="1">
      <c r="B11" s="1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A1" sqref="A1:E1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</cols>
  <sheetData>
    <row r="1" spans="1:5" ht="12.75">
      <c r="A1" s="617" t="str">
        <f>+'Revenue Input'!A1</f>
        <v>MILTON HYDRO DISTRIBUTION INC.</v>
      </c>
      <c r="B1" s="617"/>
      <c r="C1" s="617"/>
      <c r="D1" s="617"/>
      <c r="E1" s="617"/>
    </row>
    <row r="2" spans="1:5" ht="12.75">
      <c r="A2" s="631"/>
      <c r="B2" s="631"/>
      <c r="C2" s="631"/>
      <c r="D2" s="631"/>
      <c r="E2" s="631"/>
    </row>
    <row r="3" spans="1:5" ht="12.75">
      <c r="A3" s="631"/>
      <c r="B3" s="631"/>
      <c r="C3" s="631"/>
      <c r="D3" s="631"/>
      <c r="E3" s="631"/>
    </row>
    <row r="4" spans="1:5" ht="12.75">
      <c r="A4" s="625"/>
      <c r="B4" s="625"/>
      <c r="C4" s="625"/>
      <c r="D4" s="625"/>
      <c r="E4" s="625"/>
    </row>
    <row r="5" spans="1:15" s="8" customFormat="1" ht="15">
      <c r="A5" s="622" t="s">
        <v>264</v>
      </c>
      <c r="B5" s="622"/>
      <c r="C5" s="622"/>
      <c r="D5" s="622"/>
      <c r="E5" s="622"/>
      <c r="K5" s="622"/>
      <c r="L5" s="622"/>
      <c r="M5" s="622"/>
      <c r="N5" s="622"/>
      <c r="O5" s="622"/>
    </row>
    <row r="6" spans="1:5" s="8" customFormat="1" ht="26.25" customHeight="1" thickBot="1">
      <c r="A6" s="312"/>
      <c r="B6" s="621" t="s">
        <v>262</v>
      </c>
      <c r="C6" s="621"/>
      <c r="D6" s="621" t="s">
        <v>263</v>
      </c>
      <c r="E6" s="621"/>
    </row>
    <row r="7" spans="1:5" ht="13.5" thickBot="1">
      <c r="A7" s="310" t="s">
        <v>0</v>
      </c>
      <c r="B7" s="311" t="s">
        <v>24</v>
      </c>
      <c r="C7" s="311" t="s">
        <v>25</v>
      </c>
      <c r="D7" s="311" t="s">
        <v>16</v>
      </c>
      <c r="E7" s="311" t="s">
        <v>15</v>
      </c>
    </row>
    <row r="8" spans="1:9" ht="12.75">
      <c r="A8" s="77" t="str">
        <f>'Forecast Data For 2011'!A7</f>
        <v>Residential</v>
      </c>
      <c r="B8" s="315"/>
      <c r="C8" s="316">
        <v>13.71</v>
      </c>
      <c r="D8" s="315"/>
      <c r="E8" s="315">
        <v>0.0128</v>
      </c>
      <c r="F8" s="56"/>
      <c r="G8" s="8"/>
      <c r="H8" s="8"/>
      <c r="I8" s="8"/>
    </row>
    <row r="9" spans="1:9" ht="12.75">
      <c r="A9" s="78" t="str">
        <f>'Forecast Data For 2011'!A9</f>
        <v>GS &lt; 50 kW</v>
      </c>
      <c r="B9" s="315"/>
      <c r="C9" s="316">
        <v>14.7</v>
      </c>
      <c r="D9" s="315"/>
      <c r="E9" s="315">
        <v>0.0156</v>
      </c>
      <c r="F9" s="8"/>
      <c r="G9" s="8"/>
      <c r="H9" s="8"/>
      <c r="I9" s="8"/>
    </row>
    <row r="10" spans="1:9" ht="12.75">
      <c r="A10" s="78" t="str">
        <f>'Forecast Data For 2011'!A11</f>
        <v>GS &gt;50 to 999 kW</v>
      </c>
      <c r="B10" s="315"/>
      <c r="C10" s="316">
        <v>70.9</v>
      </c>
      <c r="D10" s="315">
        <v>2.3658</v>
      </c>
      <c r="E10" s="315"/>
      <c r="F10" s="8"/>
      <c r="G10" s="8"/>
      <c r="H10" s="8"/>
      <c r="I10" s="8"/>
    </row>
    <row r="11" spans="1:9" ht="12.75">
      <c r="A11" s="78" t="str">
        <f>+'Forecast Data For 2011'!A14</f>
        <v>GS &gt;1000 to 4999 kW</v>
      </c>
      <c r="B11" s="315"/>
      <c r="C11" s="316">
        <v>926.33</v>
      </c>
      <c r="D11" s="315">
        <v>2.9296</v>
      </c>
      <c r="E11" s="315"/>
      <c r="F11" s="8"/>
      <c r="G11" s="8"/>
      <c r="H11" s="8"/>
      <c r="I11" s="8"/>
    </row>
    <row r="12" spans="1:9" ht="12.75">
      <c r="A12" s="78" t="str">
        <f>'Forecast Data For 2011'!A17</f>
        <v>Large Use</v>
      </c>
      <c r="B12" s="315"/>
      <c r="C12" s="316">
        <v>4126.26</v>
      </c>
      <c r="D12" s="315">
        <v>2.4703</v>
      </c>
      <c r="E12" s="315"/>
      <c r="F12" s="8"/>
      <c r="G12" s="8"/>
      <c r="H12" s="8"/>
      <c r="I12" s="8"/>
    </row>
    <row r="13" spans="1:9" ht="12.75">
      <c r="A13" s="78" t="str">
        <f>'Forecast Data For 2011'!A20</f>
        <v>Sentinel Lights</v>
      </c>
      <c r="B13" s="316">
        <v>0.4</v>
      </c>
      <c r="C13" s="316"/>
      <c r="D13" s="315">
        <v>3.0225</v>
      </c>
      <c r="E13" s="315"/>
      <c r="F13" s="8"/>
      <c r="G13" s="8"/>
      <c r="H13" s="8"/>
      <c r="I13" s="8"/>
    </row>
    <row r="14" spans="1:9" ht="12.75">
      <c r="A14" s="78" t="str">
        <f>'Forecast Data For 2011'!A23</f>
        <v>Street Lighting</v>
      </c>
      <c r="B14" s="316">
        <v>0.16</v>
      </c>
      <c r="C14" s="316"/>
      <c r="D14" s="315">
        <v>0.6995</v>
      </c>
      <c r="E14" s="315"/>
      <c r="F14" s="8"/>
      <c r="G14" s="8"/>
      <c r="H14" s="8"/>
      <c r="I14" s="8"/>
    </row>
    <row r="15" spans="1:9" ht="12.75">
      <c r="A15" s="78" t="str">
        <f>'Forecast Data For 2011'!A26</f>
        <v>Unmetered and Scattered</v>
      </c>
      <c r="B15" s="316">
        <v>7.38</v>
      </c>
      <c r="C15" s="316"/>
      <c r="D15" s="315"/>
      <c r="E15" s="315">
        <v>0.0156</v>
      </c>
      <c r="F15" s="8"/>
      <c r="G15" s="8"/>
      <c r="H15" s="8"/>
      <c r="I15" s="8"/>
    </row>
    <row r="16" spans="1:9" ht="12.75">
      <c r="A16" s="78"/>
      <c r="B16" s="315"/>
      <c r="C16" s="316"/>
      <c r="D16" s="315"/>
      <c r="E16" s="315"/>
      <c r="F16" s="8"/>
      <c r="G16" s="8"/>
      <c r="H16" s="8"/>
      <c r="I16" s="8"/>
    </row>
    <row r="17" spans="1:5" s="8" customFormat="1" ht="12.75">
      <c r="A17" s="633"/>
      <c r="B17" s="633"/>
      <c r="C17" s="633"/>
      <c r="D17" s="633"/>
      <c r="E17" s="633"/>
    </row>
    <row r="18" spans="1:5" s="8" customFormat="1" ht="18">
      <c r="A18" s="624" t="s">
        <v>243</v>
      </c>
      <c r="B18" s="624"/>
      <c r="C18" s="624"/>
      <c r="D18" s="624"/>
      <c r="E18" s="624"/>
    </row>
    <row r="19" spans="1:5" s="8" customFormat="1" ht="13.5" thickBot="1">
      <c r="A19" s="625"/>
      <c r="B19" s="625"/>
      <c r="C19" s="625"/>
      <c r="D19" s="625"/>
      <c r="E19" s="625"/>
    </row>
    <row r="20" spans="1:9" ht="51.75" customHeight="1" thickBot="1">
      <c r="A20" s="310" t="s">
        <v>0</v>
      </c>
      <c r="B20" s="626" t="s">
        <v>244</v>
      </c>
      <c r="C20" s="632"/>
      <c r="D20" s="626" t="s">
        <v>245</v>
      </c>
      <c r="E20" s="632"/>
      <c r="F20" s="8"/>
      <c r="G20" s="8"/>
      <c r="H20" s="8"/>
      <c r="I20" s="8"/>
    </row>
    <row r="21" spans="1:5" ht="12.75">
      <c r="A21" s="77" t="str">
        <f>A8</f>
        <v>Residential</v>
      </c>
      <c r="B21" s="630">
        <v>-0.0039</v>
      </c>
      <c r="C21" s="630"/>
      <c r="D21" s="630"/>
      <c r="E21" s="630"/>
    </row>
    <row r="22" spans="1:5" ht="12.75">
      <c r="A22" s="77" t="str">
        <f>A9</f>
        <v>GS &lt; 50 kW</v>
      </c>
      <c r="B22" s="623">
        <v>-0.0037</v>
      </c>
      <c r="C22" s="623"/>
      <c r="D22" s="623"/>
      <c r="E22" s="623"/>
    </row>
    <row r="23" spans="1:5" ht="12.75">
      <c r="A23" s="77" t="str">
        <f>A10</f>
        <v>GS &gt;50 to 999 kW</v>
      </c>
      <c r="B23" s="629"/>
      <c r="C23" s="629"/>
      <c r="D23" s="623">
        <v>-1.1644</v>
      </c>
      <c r="E23" s="623"/>
    </row>
    <row r="24" spans="1:5" ht="12.75">
      <c r="A24" s="77" t="str">
        <f>+A11</f>
        <v>GS &gt;1000 to 4999 kW</v>
      </c>
      <c r="B24" s="629"/>
      <c r="C24" s="629"/>
      <c r="D24" s="623">
        <v>-1.4024</v>
      </c>
      <c r="E24" s="623"/>
    </row>
    <row r="25" spans="1:5" ht="12.75">
      <c r="A25" s="77" t="str">
        <f>A12</f>
        <v>Large Use</v>
      </c>
      <c r="B25" s="623"/>
      <c r="C25" s="623"/>
      <c r="D25" s="623">
        <v>-1.2508</v>
      </c>
      <c r="E25" s="623"/>
    </row>
    <row r="26" spans="1:5" ht="12.75">
      <c r="A26" s="77" t="str">
        <f>A13</f>
        <v>Sentinel Lights</v>
      </c>
      <c r="B26" s="629"/>
      <c r="C26" s="629"/>
      <c r="D26" s="623">
        <v>-3.3185</v>
      </c>
      <c r="E26" s="623"/>
    </row>
    <row r="27" spans="1:5" ht="12.75">
      <c r="A27" s="77" t="str">
        <f>A14</f>
        <v>Street Lighting</v>
      </c>
      <c r="B27" s="629"/>
      <c r="C27" s="629"/>
      <c r="D27" s="623">
        <v>-1.1241</v>
      </c>
      <c r="E27" s="623"/>
    </row>
    <row r="28" spans="1:5" ht="12.75">
      <c r="A28" s="77" t="str">
        <f>A15</f>
        <v>Unmetered and Scattered</v>
      </c>
      <c r="B28" s="623">
        <v>-0.0041</v>
      </c>
      <c r="C28" s="623"/>
      <c r="D28" s="623"/>
      <c r="E28" s="623"/>
    </row>
    <row r="29" spans="1:5" ht="12.75">
      <c r="A29" s="628"/>
      <c r="B29" s="628"/>
      <c r="C29" s="628"/>
      <c r="D29" s="628"/>
      <c r="E29" s="628"/>
    </row>
    <row r="30" spans="1:5" ht="18">
      <c r="A30" s="624" t="s">
        <v>210</v>
      </c>
      <c r="B30" s="624"/>
      <c r="C30" s="624"/>
      <c r="D30" s="624"/>
      <c r="E30" s="624"/>
    </row>
    <row r="31" spans="1:5" ht="13.5" thickBot="1">
      <c r="A31" s="625"/>
      <c r="B31" s="625"/>
      <c r="C31" s="625"/>
      <c r="D31" s="625"/>
      <c r="E31" s="625"/>
    </row>
    <row r="32" spans="1:5" ht="40.5" customHeight="1" thickBot="1">
      <c r="A32" s="310" t="s">
        <v>0</v>
      </c>
      <c r="B32" s="626" t="s">
        <v>170</v>
      </c>
      <c r="C32" s="627"/>
      <c r="D32" s="626" t="s">
        <v>171</v>
      </c>
      <c r="E32" s="627"/>
    </row>
    <row r="33" spans="1:5" ht="12.75">
      <c r="A33" s="78" t="str">
        <f>A21</f>
        <v>Residential</v>
      </c>
      <c r="B33" s="623">
        <v>0.0003</v>
      </c>
      <c r="C33" s="623"/>
      <c r="D33" s="623"/>
      <c r="E33" s="623"/>
    </row>
    <row r="34" spans="1:5" ht="12.75">
      <c r="A34" s="78" t="str">
        <f>A22</f>
        <v>GS &lt; 50 kW</v>
      </c>
      <c r="B34" s="623">
        <v>0.0002</v>
      </c>
      <c r="C34" s="623"/>
      <c r="D34" s="623"/>
      <c r="E34" s="623"/>
    </row>
    <row r="35" spans="1:5" ht="12.75">
      <c r="A35" s="78" t="str">
        <f>A23</f>
        <v>GS &gt;50 to 999 kW</v>
      </c>
      <c r="B35" s="623"/>
      <c r="C35" s="623"/>
      <c r="D35" s="623">
        <v>0.1135</v>
      </c>
      <c r="E35" s="623"/>
    </row>
    <row r="36" spans="1:5" ht="12.75">
      <c r="A36" s="78" t="str">
        <f>+A11</f>
        <v>GS &gt;1000 to 4999 kW</v>
      </c>
      <c r="B36" s="623"/>
      <c r="C36" s="623"/>
      <c r="D36" s="623">
        <v>0.1116</v>
      </c>
      <c r="E36" s="623"/>
    </row>
    <row r="37" spans="1:5" ht="12.75">
      <c r="A37" s="78" t="str">
        <f>A25</f>
        <v>Large Use</v>
      </c>
      <c r="B37" s="623"/>
      <c r="C37" s="623"/>
      <c r="D37" s="623">
        <v>0.1248</v>
      </c>
      <c r="E37" s="623"/>
    </row>
    <row r="38" spans="1:5" ht="12.75">
      <c r="A38" s="78" t="str">
        <f>A26</f>
        <v>Sentinel Lights</v>
      </c>
      <c r="B38" s="623"/>
      <c r="C38" s="623"/>
      <c r="D38" s="623">
        <v>0.0779</v>
      </c>
      <c r="E38" s="623"/>
    </row>
    <row r="39" spans="1:5" ht="12.75">
      <c r="A39" s="78" t="str">
        <f>A27</f>
        <v>Street Lighting</v>
      </c>
      <c r="B39" s="623"/>
      <c r="C39" s="623"/>
      <c r="D39" s="623">
        <v>0.0764</v>
      </c>
      <c r="E39" s="623"/>
    </row>
    <row r="40" spans="1:5" ht="12.75">
      <c r="A40" s="78" t="str">
        <f>A28</f>
        <v>Unmetered and Scattered</v>
      </c>
      <c r="B40" s="623">
        <v>0.0002</v>
      </c>
      <c r="C40" s="623"/>
      <c r="D40" s="623"/>
      <c r="E40" s="623"/>
    </row>
    <row r="42" spans="1:5" ht="18">
      <c r="A42" s="624" t="s">
        <v>211</v>
      </c>
      <c r="B42" s="624"/>
      <c r="C42" s="624"/>
      <c r="D42" s="624"/>
      <c r="E42" s="624"/>
    </row>
    <row r="43" spans="1:5" ht="13.5" thickBot="1">
      <c r="A43" s="625"/>
      <c r="B43" s="625"/>
      <c r="C43" s="625"/>
      <c r="D43" s="625"/>
      <c r="E43" s="625"/>
    </row>
    <row r="44" spans="1:2" ht="13.5" thickBot="1">
      <c r="A44" s="420" t="s">
        <v>0</v>
      </c>
      <c r="B44" s="421" t="s">
        <v>187</v>
      </c>
    </row>
    <row r="45" spans="1:2" ht="12.75">
      <c r="A45" s="78" t="str">
        <f>A33</f>
        <v>Residential</v>
      </c>
      <c r="B45" s="533">
        <v>2.16</v>
      </c>
    </row>
    <row r="46" spans="1:2" ht="12.75">
      <c r="A46" s="78" t="str">
        <f>A34</f>
        <v>GS &lt; 50 kW</v>
      </c>
      <c r="B46" s="533">
        <v>2.16</v>
      </c>
    </row>
    <row r="47" spans="1:2" ht="12.75">
      <c r="A47" s="78" t="str">
        <f>A35</f>
        <v>GS &gt;50 to 999 kW</v>
      </c>
      <c r="B47" s="533">
        <v>2.16</v>
      </c>
    </row>
    <row r="48" spans="1:2" ht="12.75">
      <c r="A48" s="78" t="str">
        <f>+A24</f>
        <v>GS &gt;1000 to 4999 kW</v>
      </c>
      <c r="B48" s="533">
        <v>2.16</v>
      </c>
    </row>
    <row r="49" spans="1:2" ht="12.75">
      <c r="A49" s="78" t="str">
        <f>A37</f>
        <v>Large Use</v>
      </c>
      <c r="B49" s="533">
        <v>2.16</v>
      </c>
    </row>
    <row r="50" spans="1:2" ht="12.75">
      <c r="A50" s="78" t="str">
        <f>A38</f>
        <v>Sentinel Lights</v>
      </c>
      <c r="B50" s="533"/>
    </row>
    <row r="51" spans="1:2" ht="12.75">
      <c r="A51" s="78" t="str">
        <f>A39</f>
        <v>Street Lighting</v>
      </c>
      <c r="B51" s="533"/>
    </row>
    <row r="52" spans="1:2" ht="12.75">
      <c r="A52" s="78" t="str">
        <f>A40</f>
        <v>Unmetered and Scattered</v>
      </c>
      <c r="B52" s="533"/>
    </row>
    <row r="55" spans="1:5" s="8" customFormat="1" ht="18">
      <c r="A55" s="624" t="s">
        <v>212</v>
      </c>
      <c r="B55" s="624"/>
      <c r="C55" s="624"/>
      <c r="D55" s="624"/>
      <c r="E55" s="624"/>
    </row>
    <row r="56" spans="1:5" ht="13.5" thickBot="1">
      <c r="A56" s="625"/>
      <c r="B56" s="625"/>
      <c r="C56" s="625"/>
      <c r="D56" s="625"/>
      <c r="E56" s="625"/>
    </row>
    <row r="57" spans="1:5" ht="13.5" thickBot="1">
      <c r="A57" s="310" t="s">
        <v>0</v>
      </c>
      <c r="B57" s="626" t="s">
        <v>53</v>
      </c>
      <c r="C57" s="627"/>
      <c r="D57" s="626" t="s">
        <v>22</v>
      </c>
      <c r="E57" s="627"/>
    </row>
    <row r="58" spans="1:5" ht="12.75">
      <c r="A58" s="78" t="str">
        <f>A33</f>
        <v>Residential</v>
      </c>
      <c r="B58" s="623">
        <f>E8</f>
        <v>0.0128</v>
      </c>
      <c r="C58" s="623"/>
      <c r="D58" s="623"/>
      <c r="E58" s="623"/>
    </row>
    <row r="59" spans="1:5" ht="12.75">
      <c r="A59" s="78" t="str">
        <f>A34</f>
        <v>GS &lt; 50 kW</v>
      </c>
      <c r="B59" s="623">
        <f>E9</f>
        <v>0.0156</v>
      </c>
      <c r="C59" s="623"/>
      <c r="D59" s="623"/>
      <c r="E59" s="623"/>
    </row>
    <row r="60" spans="1:5" ht="12.75">
      <c r="A60" s="78" t="str">
        <f>A35</f>
        <v>GS &gt;50 to 999 kW</v>
      </c>
      <c r="B60" s="623"/>
      <c r="C60" s="623"/>
      <c r="D60" s="623">
        <f>D10</f>
        <v>2.3658</v>
      </c>
      <c r="E60" s="623"/>
    </row>
    <row r="61" spans="1:5" ht="12.75">
      <c r="A61" s="78" t="str">
        <f>+A11</f>
        <v>GS &gt;1000 to 4999 kW</v>
      </c>
      <c r="B61" s="623"/>
      <c r="C61" s="623"/>
      <c r="D61" s="623">
        <f>D11</f>
        <v>2.9296</v>
      </c>
      <c r="E61" s="623"/>
    </row>
    <row r="62" spans="1:5" ht="12.75">
      <c r="A62" s="78" t="str">
        <f>A37</f>
        <v>Large Use</v>
      </c>
      <c r="B62" s="623"/>
      <c r="C62" s="623"/>
      <c r="D62" s="623">
        <f>D12</f>
        <v>2.4703</v>
      </c>
      <c r="E62" s="623"/>
    </row>
    <row r="63" spans="1:5" ht="12.75">
      <c r="A63" s="78" t="str">
        <f>A38</f>
        <v>Sentinel Lights</v>
      </c>
      <c r="B63" s="623"/>
      <c r="C63" s="623"/>
      <c r="D63" s="623">
        <f>D13</f>
        <v>3.0225</v>
      </c>
      <c r="E63" s="623"/>
    </row>
    <row r="64" spans="1:5" ht="12.75">
      <c r="A64" s="78" t="str">
        <f>A39</f>
        <v>Street Lighting</v>
      </c>
      <c r="B64" s="623"/>
      <c r="C64" s="623"/>
      <c r="D64" s="623">
        <f>D14</f>
        <v>0.6995</v>
      </c>
      <c r="E64" s="623"/>
    </row>
    <row r="65" spans="1:5" ht="12.75">
      <c r="A65" s="78" t="str">
        <f>A40</f>
        <v>Unmetered and Scattered</v>
      </c>
      <c r="B65" s="623">
        <f>E15</f>
        <v>0.0156</v>
      </c>
      <c r="C65" s="623"/>
      <c r="D65" s="623"/>
      <c r="E65" s="623"/>
    </row>
  </sheetData>
  <sheetProtection/>
  <mergeCells count="72">
    <mergeCell ref="A42:E42"/>
    <mergeCell ref="A43:E43"/>
    <mergeCell ref="B38:C38"/>
    <mergeCell ref="B39:C39"/>
    <mergeCell ref="B40:C40"/>
    <mergeCell ref="D38:E38"/>
    <mergeCell ref="D39:E39"/>
    <mergeCell ref="A30:E30"/>
    <mergeCell ref="B32:C32"/>
    <mergeCell ref="D32:E32"/>
    <mergeCell ref="D20:E20"/>
    <mergeCell ref="B20:C20"/>
    <mergeCell ref="A17:E17"/>
    <mergeCell ref="A19:E19"/>
    <mergeCell ref="B28:C28"/>
    <mergeCell ref="B21:C21"/>
    <mergeCell ref="B22:C22"/>
    <mergeCell ref="A1:E1"/>
    <mergeCell ref="A2:E2"/>
    <mergeCell ref="A3:E3"/>
    <mergeCell ref="A4:E4"/>
    <mergeCell ref="B26:C26"/>
    <mergeCell ref="B27:C27"/>
    <mergeCell ref="D26:E26"/>
    <mergeCell ref="D27:E27"/>
    <mergeCell ref="A5:E5"/>
    <mergeCell ref="A18:E18"/>
    <mergeCell ref="B23:C23"/>
    <mergeCell ref="B25:C25"/>
    <mergeCell ref="B24:C24"/>
    <mergeCell ref="D28:E28"/>
    <mergeCell ref="D21:E21"/>
    <mergeCell ref="D22:E22"/>
    <mergeCell ref="D23:E23"/>
    <mergeCell ref="D25:E25"/>
    <mergeCell ref="D24:E24"/>
    <mergeCell ref="D33:E33"/>
    <mergeCell ref="D34:E34"/>
    <mergeCell ref="D35:E35"/>
    <mergeCell ref="B37:C37"/>
    <mergeCell ref="D37:E37"/>
    <mergeCell ref="D36:E36"/>
    <mergeCell ref="B36:C36"/>
    <mergeCell ref="A55:E55"/>
    <mergeCell ref="A56:E56"/>
    <mergeCell ref="B57:C57"/>
    <mergeCell ref="D57:E57"/>
    <mergeCell ref="A29:E29"/>
    <mergeCell ref="A31:E31"/>
    <mergeCell ref="D40:E40"/>
    <mergeCell ref="B33:C33"/>
    <mergeCell ref="B34:C34"/>
    <mergeCell ref="B35:C35"/>
    <mergeCell ref="D59:E59"/>
    <mergeCell ref="B61:C61"/>
    <mergeCell ref="D61:E61"/>
    <mergeCell ref="B65:C65"/>
    <mergeCell ref="D65:E65"/>
    <mergeCell ref="B63:C63"/>
    <mergeCell ref="D63:E63"/>
    <mergeCell ref="B64:C64"/>
    <mergeCell ref="D64:E64"/>
    <mergeCell ref="B6:C6"/>
    <mergeCell ref="D6:E6"/>
    <mergeCell ref="K5:O5"/>
    <mergeCell ref="B62:C62"/>
    <mergeCell ref="D62:E62"/>
    <mergeCell ref="B60:C60"/>
    <mergeCell ref="D60:E60"/>
    <mergeCell ref="B58:C58"/>
    <mergeCell ref="D58:E58"/>
    <mergeCell ref="B59:C59"/>
  </mergeCells>
  <printOptions/>
  <pageMargins left="0.75" right="0.75" top="1" bottom="1" header="0.5" footer="0.5"/>
  <pageSetup fitToHeight="1" fitToWidth="1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11" width="14.7109375" style="0" customWidth="1"/>
    <col min="12" max="12" width="17.57421875" style="0" customWidth="1"/>
    <col min="13" max="13" width="15.00390625" style="0" customWidth="1"/>
    <col min="14" max="14" width="11.7109375" style="0" customWidth="1"/>
  </cols>
  <sheetData>
    <row r="1" spans="1:12" ht="12.75">
      <c r="A1" s="617" t="str">
        <f>+'Revenue Input'!A1</f>
        <v>MILTON HYDRO DISTRIBUTION INC.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1:12" ht="12.7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12.75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12.75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</row>
    <row r="5" spans="1:12" ht="18" customHeight="1">
      <c r="A5" s="624" t="s">
        <v>214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</row>
    <row r="6" spans="1:12" ht="18" customHeight="1">
      <c r="A6" s="624" t="s">
        <v>27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</row>
    <row r="7" spans="1:12" ht="18" customHeight="1">
      <c r="A7" s="624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</row>
    <row r="8" spans="1:11" s="2" customFormat="1" ht="38.25">
      <c r="A8" s="313" t="s">
        <v>23</v>
      </c>
      <c r="B8" s="313" t="s">
        <v>6</v>
      </c>
      <c r="C8" s="313" t="s">
        <v>7</v>
      </c>
      <c r="D8" s="313" t="s">
        <v>9</v>
      </c>
      <c r="E8" s="313" t="s">
        <v>26</v>
      </c>
      <c r="F8" s="313" t="s">
        <v>10</v>
      </c>
      <c r="G8" s="313" t="s">
        <v>11</v>
      </c>
      <c r="H8" s="313" t="s">
        <v>188</v>
      </c>
      <c r="I8" s="313" t="s">
        <v>5</v>
      </c>
      <c r="J8" s="313" t="s">
        <v>189</v>
      </c>
      <c r="K8" s="313" t="s">
        <v>125</v>
      </c>
    </row>
    <row r="9" spans="1:20" ht="18" customHeight="1">
      <c r="A9" s="78" t="str">
        <f>'Cost Allocation Study'!A7</f>
        <v>Residential</v>
      </c>
      <c r="B9" s="84">
        <f>+'Forecast Data For 2011'!$C$8</f>
        <v>258520605.95410493</v>
      </c>
      <c r="C9" s="84"/>
      <c r="D9" s="84">
        <f>+'Forecast Data For 2011'!$C$7*12</f>
        <v>324984</v>
      </c>
      <c r="E9" s="84"/>
      <c r="F9" s="84">
        <f>+D9*'2010 Existing Rates'!$C$8</f>
        <v>4455530.640000001</v>
      </c>
      <c r="G9" s="84">
        <f>+B9*'2010 Existing Rates'!$B$58</f>
        <v>3309063.756212543</v>
      </c>
      <c r="H9" s="84">
        <f aca="true" t="shared" si="0" ref="H9:H16">+F9+G9</f>
        <v>7764594.396212544</v>
      </c>
      <c r="I9" s="84"/>
      <c r="J9" s="84">
        <f>H9-I9</f>
        <v>7764594.396212544</v>
      </c>
      <c r="K9" s="85">
        <f aca="true" t="shared" si="1" ref="K9:K16">+J9/$J$17</f>
        <v>0.6514943326038704</v>
      </c>
      <c r="R9" s="55"/>
      <c r="T9" s="55"/>
    </row>
    <row r="10" spans="1:20" ht="18" customHeight="1">
      <c r="A10" s="78" t="str">
        <f>'Cost Allocation Study'!A8</f>
        <v>GS &lt; 50 kW</v>
      </c>
      <c r="B10" s="84">
        <f>+'Forecast Data For 2011'!$C$10</f>
        <v>75044766.85043971</v>
      </c>
      <c r="C10" s="84"/>
      <c r="D10" s="84">
        <f>+'Forecast Data For 2011'!$C$9*12</f>
        <v>27437.965318359005</v>
      </c>
      <c r="E10" s="84"/>
      <c r="F10" s="84">
        <f>+D10*'2010 Existing Rates'!$C$9</f>
        <v>403338.09017987736</v>
      </c>
      <c r="G10" s="84">
        <f>+B10*'2010 Existing Rates'!$B$59</f>
        <v>1170698.3628668594</v>
      </c>
      <c r="H10" s="84">
        <f t="shared" si="0"/>
        <v>1574036.4530467368</v>
      </c>
      <c r="I10" s="84"/>
      <c r="J10" s="84">
        <f aca="true" t="shared" si="2" ref="J10:J16">H10-I10</f>
        <v>1574036.4530467368</v>
      </c>
      <c r="K10" s="85">
        <f t="shared" si="1"/>
        <v>0.13207075297739432</v>
      </c>
      <c r="R10" s="55"/>
      <c r="T10" s="55"/>
    </row>
    <row r="11" spans="1:20" ht="18" customHeight="1">
      <c r="A11" s="78" t="str">
        <f>'Cost Allocation Study'!A9</f>
        <v>GS &gt;50 to 999 kW</v>
      </c>
      <c r="B11" s="84">
        <f>+'Forecast Data For 2011'!$C$13</f>
        <v>187300109.05913255</v>
      </c>
      <c r="C11" s="84">
        <f>+'Forecast Data For 2011'!$C$12</f>
        <v>507928.9578826085</v>
      </c>
      <c r="D11" s="84">
        <f>+'Forecast Data For 2011'!$C$11*12</f>
        <v>3514.447234929753</v>
      </c>
      <c r="E11" s="84"/>
      <c r="F11" s="84">
        <f>+D11*'2010 Existing Rates'!$C$10</f>
        <v>249174.3089565195</v>
      </c>
      <c r="G11" s="84">
        <f>+C11*'2010 Existing Rates'!$D$60</f>
        <v>1201658.3285586752</v>
      </c>
      <c r="H11" s="84">
        <f t="shared" si="0"/>
        <v>1450832.6375151947</v>
      </c>
      <c r="I11" s="84">
        <f>-'Transformer Allowance'!C12</f>
        <v>41349.21917371997</v>
      </c>
      <c r="J11" s="84">
        <f t="shared" si="2"/>
        <v>1409483.4183414748</v>
      </c>
      <c r="K11" s="85">
        <f t="shared" si="1"/>
        <v>0.11826380260075399</v>
      </c>
      <c r="R11" s="55"/>
      <c r="T11" s="55"/>
    </row>
    <row r="12" spans="1:20" ht="18" customHeight="1">
      <c r="A12" s="78" t="str">
        <f>'Cost Allocation Study'!A10</f>
        <v>GS &gt;1000 to 4999 kW</v>
      </c>
      <c r="B12" s="84">
        <f>+'Forecast Data For 2011'!$C$16</f>
        <v>94342583.94811662</v>
      </c>
      <c r="C12" s="84">
        <f>+'Forecast Data For 2011'!$C$15</f>
        <v>193245.89552474002</v>
      </c>
      <c r="D12" s="84">
        <f>+'Forecast Data For 2011'!C14*12</f>
        <v>134.98744250720426</v>
      </c>
      <c r="E12" s="84"/>
      <c r="F12" s="84">
        <f>+D12*'2010 Existing Rates'!$C$11</f>
        <v>125042.91761769853</v>
      </c>
      <c r="G12" s="84">
        <f>+C12*'2010 Existing Rates'!$D$61</f>
        <v>566133.1755292783</v>
      </c>
      <c r="H12" s="84">
        <f t="shared" si="0"/>
        <v>691176.0931469769</v>
      </c>
      <c r="I12" s="84">
        <f>-'Transformer Allowance'!C13</f>
        <v>111057.50472960008</v>
      </c>
      <c r="J12" s="84">
        <f t="shared" si="2"/>
        <v>580118.5884173769</v>
      </c>
      <c r="K12" s="85">
        <f t="shared" si="1"/>
        <v>0.04867530141386829</v>
      </c>
      <c r="R12" s="55"/>
      <c r="T12" s="55"/>
    </row>
    <row r="13" spans="1:20" ht="18" customHeight="1">
      <c r="A13" s="78" t="str">
        <f>'Cost Allocation Study'!A11</f>
        <v>Large Use</v>
      </c>
      <c r="B13" s="84">
        <f>'Forecast Data For 2011'!C19</f>
        <v>78821751.02614906</v>
      </c>
      <c r="C13" s="84">
        <f>'Forecast Data For 2011'!C18</f>
        <v>173520.87863219183</v>
      </c>
      <c r="D13" s="84">
        <f>'Forecast Data For 2011'!C17*12</f>
        <v>24</v>
      </c>
      <c r="E13" s="84"/>
      <c r="F13" s="84">
        <f>+D13*'2010 Existing Rates'!$C$12</f>
        <v>99030.24</v>
      </c>
      <c r="G13" s="84">
        <f>+C13*'2010 Existing Rates'!$D$62</f>
        <v>428648.62648510345</v>
      </c>
      <c r="H13" s="84">
        <f t="shared" si="0"/>
        <v>527678.8664851035</v>
      </c>
      <c r="I13" s="84">
        <f>-'Transformer Allowance'!C14</f>
        <v>0</v>
      </c>
      <c r="J13" s="84">
        <f t="shared" si="2"/>
        <v>527678.8664851035</v>
      </c>
      <c r="K13" s="85">
        <f t="shared" si="1"/>
        <v>0.04427530575422846</v>
      </c>
      <c r="R13" s="55"/>
      <c r="T13" s="55"/>
    </row>
    <row r="14" spans="1:20" ht="18" customHeight="1">
      <c r="A14" s="78" t="str">
        <f>'Cost Allocation Study'!A12</f>
        <v>Sentinel Lights</v>
      </c>
      <c r="B14" s="84">
        <f>+'Forecast Data For 2011'!$C$22</f>
        <v>167188.12026241363</v>
      </c>
      <c r="C14" s="84">
        <f>+'Forecast Data For 2011'!$C$21</f>
        <v>465.2233502043091</v>
      </c>
      <c r="D14" s="84"/>
      <c r="E14" s="84">
        <f>+'Forecast Data For 2011'!$C$20*12</f>
        <v>3267.8281929357654</v>
      </c>
      <c r="F14" s="84">
        <f>+E14*'2010 Existing Rates'!$B$13</f>
        <v>1307.1312771743062</v>
      </c>
      <c r="G14" s="84">
        <f>+C14*'2010 Existing Rates'!$D$63</f>
        <v>1406.1375759925243</v>
      </c>
      <c r="H14" s="84">
        <f t="shared" si="0"/>
        <v>2713.2688531668305</v>
      </c>
      <c r="I14" s="84"/>
      <c r="J14" s="84">
        <f t="shared" si="2"/>
        <v>2713.2688531668305</v>
      </c>
      <c r="K14" s="85">
        <f t="shared" si="1"/>
        <v>0.0002276589336760515</v>
      </c>
      <c r="R14" s="55"/>
      <c r="T14" s="55"/>
    </row>
    <row r="15" spans="1:20" ht="18" customHeight="1">
      <c r="A15" s="78" t="str">
        <f>'Cost Allocation Study'!A13</f>
        <v>Street Lighting</v>
      </c>
      <c r="B15" s="84">
        <f>+'Forecast Data For 2011'!$C$25</f>
        <v>6320786.875695491</v>
      </c>
      <c r="C15" s="84">
        <f>+'Forecast Data For 2011'!$C$24</f>
        <v>17809.64893515205</v>
      </c>
      <c r="D15" s="84"/>
      <c r="E15" s="84">
        <f>+'Forecast Data For 2011'!$C$23*12</f>
        <v>34374.88755221134</v>
      </c>
      <c r="F15" s="84">
        <f>+E15*'2010 Existing Rates'!$B$14</f>
        <v>5499.982008353814</v>
      </c>
      <c r="G15" s="84">
        <f>+C15*'2010 Existing Rates'!$D$64</f>
        <v>12457.84943013886</v>
      </c>
      <c r="H15" s="84">
        <f t="shared" si="0"/>
        <v>17957.831438492674</v>
      </c>
      <c r="I15" s="84"/>
      <c r="J15" s="84">
        <f t="shared" si="2"/>
        <v>17957.831438492674</v>
      </c>
      <c r="K15" s="85">
        <f t="shared" si="1"/>
        <v>0.0015067658155769727</v>
      </c>
      <c r="R15" s="55"/>
      <c r="T15" s="55"/>
    </row>
    <row r="16" spans="1:11" ht="18" customHeight="1">
      <c r="A16" s="78" t="str">
        <f>'Cost Allocation Study'!A14</f>
        <v>Unmetered and Scattered</v>
      </c>
      <c r="B16" s="84">
        <f>+'Forecast Data For 2011'!$C$27</f>
        <v>1519815.0354853482</v>
      </c>
      <c r="C16" s="84"/>
      <c r="D16" s="84"/>
      <c r="E16" s="84">
        <f>+'Forecast Data For 2011'!$C$26*12</f>
        <v>2417.132819611942</v>
      </c>
      <c r="F16" s="84">
        <f>+E16*'2010 Existing Rates'!$B$15</f>
        <v>17838.44020873613</v>
      </c>
      <c r="G16" s="84">
        <f>+B16*'2010 Existing Rates'!$B$65</f>
        <v>23709.11455357143</v>
      </c>
      <c r="H16" s="84">
        <f t="shared" si="0"/>
        <v>41547.55476230756</v>
      </c>
      <c r="I16" s="84"/>
      <c r="J16" s="84">
        <f t="shared" si="2"/>
        <v>41547.55476230756</v>
      </c>
      <c r="K16" s="85">
        <f t="shared" si="1"/>
        <v>0.003486079900631473</v>
      </c>
    </row>
    <row r="17" spans="1:20" ht="18" customHeight="1" thickBot="1">
      <c r="A17" s="8"/>
      <c r="B17" s="221">
        <f aca="true" t="shared" si="3" ref="B17:K17">SUM(B9:B16)</f>
        <v>702037606.8693861</v>
      </c>
      <c r="C17" s="221">
        <f t="shared" si="3"/>
        <v>892970.6043248967</v>
      </c>
      <c r="D17" s="221">
        <f t="shared" si="3"/>
        <v>356095.399995796</v>
      </c>
      <c r="E17" s="221">
        <f t="shared" si="3"/>
        <v>40059.84856475904</v>
      </c>
      <c r="F17" s="221">
        <f t="shared" si="3"/>
        <v>5356761.75024836</v>
      </c>
      <c r="G17" s="221">
        <f t="shared" si="3"/>
        <v>6713775.351212163</v>
      </c>
      <c r="H17" s="221">
        <f t="shared" si="3"/>
        <v>12070537.101460524</v>
      </c>
      <c r="I17" s="221">
        <f t="shared" si="3"/>
        <v>152406.72390332006</v>
      </c>
      <c r="J17" s="221">
        <f t="shared" si="3"/>
        <v>11918130.377557205</v>
      </c>
      <c r="K17" s="86">
        <f t="shared" si="3"/>
        <v>0.9999999999999999</v>
      </c>
      <c r="Q17" s="296"/>
      <c r="R17" s="297"/>
      <c r="S17" s="296"/>
      <c r="T17" s="297"/>
    </row>
    <row r="18" ht="13.5" thickTop="1"/>
    <row r="19" spans="7:12" ht="12.75">
      <c r="G19" s="22"/>
      <c r="H19" s="22"/>
      <c r="I19" s="22"/>
      <c r="J19" s="22"/>
      <c r="K19" s="22"/>
      <c r="L19" s="22"/>
    </row>
    <row r="20" spans="7:12" ht="13.5" thickBot="1">
      <c r="G20" s="55"/>
      <c r="H20" s="3"/>
      <c r="I20" s="3"/>
      <c r="J20" s="3"/>
      <c r="K20" s="1"/>
      <c r="L20" s="1"/>
    </row>
    <row r="21" spans="1:12" ht="12.75">
      <c r="A21" s="127" t="s">
        <v>253</v>
      </c>
      <c r="B21" s="298"/>
      <c r="C21" s="298"/>
      <c r="D21" s="298"/>
      <c r="E21" s="298"/>
      <c r="F21" s="298"/>
      <c r="G21" s="298"/>
      <c r="H21" s="299"/>
      <c r="I21" s="299"/>
      <c r="J21" s="299"/>
      <c r="K21" s="299"/>
      <c r="L21" s="300"/>
    </row>
    <row r="22" spans="1:12" ht="12.75">
      <c r="A22" s="1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8"/>
    </row>
    <row r="23" spans="1:12" ht="18" customHeight="1">
      <c r="A23" s="634" t="s">
        <v>252</v>
      </c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6"/>
    </row>
    <row r="24" spans="1:12" ht="18" customHeight="1">
      <c r="A24" s="634" t="s">
        <v>27</v>
      </c>
      <c r="B24" s="635"/>
      <c r="C24" s="635"/>
      <c r="D24" s="635"/>
      <c r="E24" s="635"/>
      <c r="F24" s="635"/>
      <c r="G24" s="635"/>
      <c r="H24" s="635"/>
      <c r="I24" s="635"/>
      <c r="J24" s="635"/>
      <c r="K24" s="635"/>
      <c r="L24" s="636"/>
    </row>
    <row r="25" spans="1:12" ht="18" customHeight="1">
      <c r="A25" s="634"/>
      <c r="B25" s="635"/>
      <c r="C25" s="635"/>
      <c r="D25" s="635"/>
      <c r="E25" s="635"/>
      <c r="F25" s="635"/>
      <c r="G25" s="635"/>
      <c r="H25" s="635"/>
      <c r="I25" s="635"/>
      <c r="J25" s="635"/>
      <c r="K25" s="635"/>
      <c r="L25" s="636"/>
    </row>
    <row r="26" spans="1:14" s="2" customFormat="1" ht="38.25">
      <c r="A26" s="435" t="s">
        <v>23</v>
      </c>
      <c r="B26" s="313" t="s">
        <v>6</v>
      </c>
      <c r="C26" s="313" t="s">
        <v>7</v>
      </c>
      <c r="D26" s="313" t="s">
        <v>9</v>
      </c>
      <c r="E26" s="313" t="s">
        <v>26</v>
      </c>
      <c r="F26" s="313" t="s">
        <v>10</v>
      </c>
      <c r="G26" s="313" t="s">
        <v>11</v>
      </c>
      <c r="H26" s="313" t="s">
        <v>188</v>
      </c>
      <c r="I26" s="313" t="s">
        <v>5</v>
      </c>
      <c r="J26" s="313" t="s">
        <v>189</v>
      </c>
      <c r="K26" s="436" t="s">
        <v>125</v>
      </c>
      <c r="L26" s="313" t="s">
        <v>316</v>
      </c>
      <c r="M26" s="313" t="s">
        <v>317</v>
      </c>
      <c r="N26" s="313" t="s">
        <v>125</v>
      </c>
    </row>
    <row r="27" spans="1:16" ht="18" customHeight="1">
      <c r="A27" s="597" t="s">
        <v>200</v>
      </c>
      <c r="B27" s="84">
        <f>+'[2]Summary'!$L$13</f>
        <v>249747032.7319093</v>
      </c>
      <c r="C27" s="84"/>
      <c r="D27" s="84">
        <f>+(('[2]Summary'!$K$12+'[2]Summary'!$L$12)/2)*12</f>
        <v>306984</v>
      </c>
      <c r="E27" s="84"/>
      <c r="F27" s="84">
        <f>+D27*'2010 Existing Rates'!$C$8</f>
        <v>4208750.640000001</v>
      </c>
      <c r="G27" s="84">
        <f>+B27*'2010 Existing Rates'!$B$58</f>
        <v>3196762.018968439</v>
      </c>
      <c r="H27" s="84">
        <f aca="true" t="shared" si="4" ref="H27:H34">+F27+G27</f>
        <v>7405512.658968439</v>
      </c>
      <c r="I27" s="84"/>
      <c r="J27" s="84">
        <f>H27-I27</f>
        <v>7405512.658968439</v>
      </c>
      <c r="K27" s="339">
        <f>+J27/$J$35</f>
        <v>0.6487518781379188</v>
      </c>
      <c r="L27" s="84">
        <f>+'[9]Smart Meter Rider'!$G$12</f>
        <v>1919226.3443273294</v>
      </c>
      <c r="M27" s="84">
        <f>+J27+L27</f>
        <v>9324739.003295768</v>
      </c>
      <c r="N27" s="85">
        <f>+M27/$M$35</f>
        <v>0.6888756709189349</v>
      </c>
      <c r="P27" s="55"/>
    </row>
    <row r="28" spans="1:16" ht="18" customHeight="1">
      <c r="A28" s="597" t="s">
        <v>201</v>
      </c>
      <c r="B28" s="84">
        <f>+'[2]Summary'!$L$17</f>
        <v>73958012.7558797</v>
      </c>
      <c r="C28" s="84"/>
      <c r="D28" s="84">
        <f>+(('[2]Summary'!$K$16+'[2]Summary'!$L$16)/2)*12</f>
        <v>26767.2218109155</v>
      </c>
      <c r="E28" s="84"/>
      <c r="F28" s="84">
        <f>+D28*'2010 Existing Rates'!$C$9</f>
        <v>393478.16062045784</v>
      </c>
      <c r="G28" s="84">
        <f>+B28*'2010 Existing Rates'!$B$59</f>
        <v>1153744.9989917232</v>
      </c>
      <c r="H28" s="84">
        <f t="shared" si="4"/>
        <v>1547223.1596121811</v>
      </c>
      <c r="I28" s="84"/>
      <c r="J28" s="84">
        <f aca="true" t="shared" si="5" ref="J28:J34">H28-I28</f>
        <v>1547223.1596121811</v>
      </c>
      <c r="K28" s="339">
        <f aca="true" t="shared" si="6" ref="K28:K34">+J28/$J$35</f>
        <v>0.13554280127808302</v>
      </c>
      <c r="L28" s="84">
        <f>+'[9]Smart Meter Rider'!$H$12</f>
        <v>177996.42108201547</v>
      </c>
      <c r="M28" s="84">
        <f aca="true" t="shared" si="7" ref="M28:M34">+J28+L28</f>
        <v>1725219.5806941965</v>
      </c>
      <c r="N28" s="85">
        <f aca="true" t="shared" si="8" ref="N28:N34">+M28/$M$35</f>
        <v>0.12745255344017073</v>
      </c>
      <c r="P28" s="55"/>
    </row>
    <row r="29" spans="1:16" ht="18" customHeight="1">
      <c r="A29" s="597" t="s">
        <v>241</v>
      </c>
      <c r="B29" s="84">
        <f>+'[2]Summary'!$L$21</f>
        <v>183863312.91460758</v>
      </c>
      <c r="C29" s="84">
        <f>+'[2]Summary'!$L$22</f>
        <v>498608.89772400813</v>
      </c>
      <c r="D29" s="84">
        <f>+(('[2]Summary'!$K$20+'[2]Summary'!$L$20)/2)*12</f>
        <v>3370.4789210744007</v>
      </c>
      <c r="E29" s="84"/>
      <c r="F29" s="84">
        <f>+D29*'2010 Existing Rates'!$C$10</f>
        <v>238966.955504175</v>
      </c>
      <c r="G29" s="84">
        <f>+C29*'2010 Existing Rates'!$D$60</f>
        <v>1179608.9302354585</v>
      </c>
      <c r="H29" s="84">
        <f t="shared" si="4"/>
        <v>1418575.8857396336</v>
      </c>
      <c r="I29" s="84">
        <f>-'Transformer Allowance'!C25</f>
        <v>40618.258964141736</v>
      </c>
      <c r="J29" s="84">
        <f t="shared" si="5"/>
        <v>1377957.6267754917</v>
      </c>
      <c r="K29" s="339">
        <f t="shared" si="6"/>
        <v>0.1207144784611838</v>
      </c>
      <c r="L29" s="84">
        <f>+'[9]Smart Meter Rider'!$I$12</f>
        <v>22710.847154337658</v>
      </c>
      <c r="M29" s="84">
        <f t="shared" si="7"/>
        <v>1400668.4739298294</v>
      </c>
      <c r="N29" s="85">
        <f t="shared" si="8"/>
        <v>0.1034759722896672</v>
      </c>
      <c r="P29" s="55"/>
    </row>
    <row r="30" spans="1:16" ht="18" customHeight="1">
      <c r="A30" s="597" t="s">
        <v>242</v>
      </c>
      <c r="B30" s="84">
        <f>+'[2]Summary'!$L$26</f>
        <v>104583288.80890228</v>
      </c>
      <c r="C30" s="84">
        <f>+'[2]Summary'!$L$27</f>
        <v>214222.36340180616</v>
      </c>
      <c r="D30" s="84">
        <f>+(('[2]Summary'!$K$25+'[2]Summary'!$L$25)/2)*12</f>
        <v>142.99144250724882</v>
      </c>
      <c r="E30" s="84"/>
      <c r="F30" s="84">
        <f>+D30*'2010 Existing Rates'!$C$11</f>
        <v>132457.2629377398</v>
      </c>
      <c r="G30" s="84">
        <f>+C30*'2010 Existing Rates'!$D$61</f>
        <v>627585.8358219314</v>
      </c>
      <c r="H30" s="84">
        <f t="shared" si="4"/>
        <v>760043.0987596712</v>
      </c>
      <c r="I30" s="84">
        <f>-'Transformer Allowance'!C26</f>
        <v>118073.11612772763</v>
      </c>
      <c r="J30" s="84">
        <f t="shared" si="5"/>
        <v>641969.9826319435</v>
      </c>
      <c r="K30" s="339">
        <f t="shared" si="6"/>
        <v>0.056239081765158246</v>
      </c>
      <c r="L30" s="84">
        <f>+'[9]Smart Meter Rider'!$J$12</f>
        <v>1055.825178947159</v>
      </c>
      <c r="M30" s="84">
        <f t="shared" si="7"/>
        <v>643025.8078108907</v>
      </c>
      <c r="N30" s="85">
        <f t="shared" si="8"/>
        <v>0.04750426093613498</v>
      </c>
      <c r="P30" s="55"/>
    </row>
    <row r="31" spans="1:16" ht="18" customHeight="1">
      <c r="A31" s="597" t="s">
        <v>202</v>
      </c>
      <c r="B31" s="84">
        <f>+'[2]Summary'!$L$31</f>
        <v>69292233.64711687</v>
      </c>
      <c r="C31" s="84">
        <f>+'[2]Summary'!$L$32</f>
        <v>152542.27555596942</v>
      </c>
      <c r="D31" s="84">
        <f>+(('[2]Summary'!$K$30+'[2]Summary'!$L$30)/2)*12</f>
        <v>24</v>
      </c>
      <c r="E31" s="84"/>
      <c r="F31" s="84">
        <f>+D31*'2010 Existing Rates'!$C$12</f>
        <v>99030.24</v>
      </c>
      <c r="G31" s="84">
        <f>+C31*'2010 Existing Rates'!$D$62</f>
        <v>376825.18330591125</v>
      </c>
      <c r="H31" s="84">
        <f t="shared" si="4"/>
        <v>475855.42330591124</v>
      </c>
      <c r="I31" s="84">
        <f>-'Transformer Allowance'!C27</f>
        <v>91525.36533358163</v>
      </c>
      <c r="J31" s="84">
        <f t="shared" si="5"/>
        <v>384330.0579723296</v>
      </c>
      <c r="K31" s="339">
        <f t="shared" si="6"/>
        <v>0.03366881651771229</v>
      </c>
      <c r="L31" s="84">
        <f>+'[9]Smart Meter Rider'!$K$12</f>
        <v>166.3742488946795</v>
      </c>
      <c r="M31" s="84">
        <f t="shared" si="7"/>
        <v>384496.4322212243</v>
      </c>
      <c r="N31" s="85">
        <f t="shared" si="8"/>
        <v>0.028405110064605135</v>
      </c>
      <c r="P31" s="55"/>
    </row>
    <row r="32" spans="1:16" ht="18" customHeight="1">
      <c r="A32" s="597" t="s">
        <v>203</v>
      </c>
      <c r="B32" s="84">
        <f>+'[2]Summary'!$L$41</f>
        <v>169915.25788221895</v>
      </c>
      <c r="C32" s="84">
        <f>+'[2]Summary'!$L$42</f>
        <v>472.8119761064526</v>
      </c>
      <c r="D32" s="84"/>
      <c r="E32" s="84">
        <f>+(('[2]Summary'!$K$40+'[2]Summary'!$L$40)/2)*12</f>
        <v>3321.132322356132</v>
      </c>
      <c r="F32" s="84">
        <f>+E32*'2010 Existing Rates'!$B$13</f>
        <v>1328.452928942453</v>
      </c>
      <c r="G32" s="84">
        <f>+C32*'2010 Existing Rates'!$D$63</f>
        <v>1429.0741977817531</v>
      </c>
      <c r="H32" s="84">
        <f t="shared" si="4"/>
        <v>2757.527126724206</v>
      </c>
      <c r="I32" s="84"/>
      <c r="J32" s="84">
        <f t="shared" si="5"/>
        <v>2757.527126724206</v>
      </c>
      <c r="K32" s="339">
        <f t="shared" si="6"/>
        <v>0.00024157016331773873</v>
      </c>
      <c r="L32" s="84"/>
      <c r="M32" s="84">
        <f t="shared" si="7"/>
        <v>2757.527126724206</v>
      </c>
      <c r="N32" s="85">
        <f t="shared" si="8"/>
        <v>0.0002037154443494774</v>
      </c>
      <c r="P32" s="55"/>
    </row>
    <row r="33" spans="1:16" ht="18" customHeight="1">
      <c r="A33" s="597" t="s">
        <v>204</v>
      </c>
      <c r="B33" s="84">
        <f>+'[2]Summary'!$L$36</f>
        <v>5863007.384719074</v>
      </c>
      <c r="C33" s="84">
        <f>+'[2]Summary'!$L$37</f>
        <v>16519.794968496117</v>
      </c>
      <c r="D33" s="84"/>
      <c r="E33" s="84">
        <f>+(('[2]Summary'!$K$35+'[2]Summary'!$L$35)/2)*12</f>
        <v>33647.70457892545</v>
      </c>
      <c r="F33" s="84">
        <f>+E33*'2010 Existing Rates'!$B$14</f>
        <v>5383.632732628072</v>
      </c>
      <c r="G33" s="84">
        <f>+C33*'2010 Existing Rates'!$D$64</f>
        <v>11555.596580463034</v>
      </c>
      <c r="H33" s="84">
        <f t="shared" si="4"/>
        <v>16939.229313091106</v>
      </c>
      <c r="I33" s="84"/>
      <c r="J33" s="84">
        <f t="shared" si="5"/>
        <v>16939.229313091106</v>
      </c>
      <c r="K33" s="339">
        <f t="shared" si="6"/>
        <v>0.0014839427514539581</v>
      </c>
      <c r="L33" s="84"/>
      <c r="M33" s="84">
        <f t="shared" si="7"/>
        <v>16939.229313091106</v>
      </c>
      <c r="N33" s="85">
        <f t="shared" si="8"/>
        <v>0.0012514047796706143</v>
      </c>
      <c r="P33" s="55"/>
    </row>
    <row r="34" spans="1:14" ht="18" customHeight="1">
      <c r="A34" s="597" t="s">
        <v>205</v>
      </c>
      <c r="B34" s="84">
        <f>+'[2]Summary'!$L$46</f>
        <v>1383738.1881631506</v>
      </c>
      <c r="C34" s="84"/>
      <c r="D34" s="84"/>
      <c r="E34" s="84">
        <f>+(('[2]Summary'!$K$45+'[2]Summary'!$L$45)/2)*12</f>
        <v>2268.1314190409967</v>
      </c>
      <c r="F34" s="84">
        <f>+E34*'2010 Existing Rates'!$B$15</f>
        <v>16738.809872522554</v>
      </c>
      <c r="G34" s="84">
        <f>+B34*'2010 Existing Rates'!$B$65</f>
        <v>21586.315735345146</v>
      </c>
      <c r="H34" s="84">
        <f t="shared" si="4"/>
        <v>38325.125607867696</v>
      </c>
      <c r="I34" s="84"/>
      <c r="J34" s="84">
        <f t="shared" si="5"/>
        <v>38325.125607867696</v>
      </c>
      <c r="K34" s="339">
        <f t="shared" si="6"/>
        <v>0.003357430925172331</v>
      </c>
      <c r="L34" s="84"/>
      <c r="M34" s="84">
        <f t="shared" si="7"/>
        <v>38325.125607867696</v>
      </c>
      <c r="N34" s="85">
        <f t="shared" si="8"/>
        <v>0.0028313121264671283</v>
      </c>
    </row>
    <row r="35" spans="1:16" ht="18" customHeight="1" thickBot="1">
      <c r="A35" s="598"/>
      <c r="B35" s="221">
        <f aca="true" t="shared" si="9" ref="B35:K35">SUM(B27:B34)</f>
        <v>688860541.6891803</v>
      </c>
      <c r="C35" s="221">
        <f t="shared" si="9"/>
        <v>882366.1436263863</v>
      </c>
      <c r="D35" s="221">
        <f t="shared" si="9"/>
        <v>337288.6921744972</v>
      </c>
      <c r="E35" s="221">
        <f t="shared" si="9"/>
        <v>39236.96832032258</v>
      </c>
      <c r="F35" s="221">
        <f t="shared" si="9"/>
        <v>5096134.154596467</v>
      </c>
      <c r="G35" s="221">
        <f t="shared" si="9"/>
        <v>6569097.953837054</v>
      </c>
      <c r="H35" s="221">
        <f t="shared" si="9"/>
        <v>11665232.108433519</v>
      </c>
      <c r="I35" s="221">
        <f t="shared" si="9"/>
        <v>250216.740425451</v>
      </c>
      <c r="J35" s="221">
        <f t="shared" si="9"/>
        <v>11415015.368008066</v>
      </c>
      <c r="K35" s="86">
        <f t="shared" si="9"/>
        <v>1</v>
      </c>
      <c r="L35" s="221">
        <f>SUM(L27:L34)</f>
        <v>2121155.8119915244</v>
      </c>
      <c r="M35" s="221">
        <f>+J35+L35</f>
        <v>13536171.17999959</v>
      </c>
      <c r="N35" s="340">
        <f>SUM(N27:N34)</f>
        <v>1</v>
      </c>
      <c r="O35" s="296"/>
      <c r="P35" s="297"/>
    </row>
    <row r="36" spans="1:14" ht="14.25" thickBot="1" thickTop="1">
      <c r="A36" s="119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120"/>
      <c r="M36" s="120"/>
      <c r="N36" s="341"/>
    </row>
    <row r="38" ht="12.75">
      <c r="L38" s="250"/>
    </row>
    <row r="39" spans="6:12" ht="12.75">
      <c r="F39" s="55"/>
      <c r="G39" s="55"/>
      <c r="L39" s="250"/>
    </row>
    <row r="40" spans="3:7" ht="15">
      <c r="C40" s="593" t="s">
        <v>411</v>
      </c>
      <c r="F40" s="55"/>
      <c r="G40" s="55"/>
    </row>
    <row r="41" spans="6:7" ht="12.75">
      <c r="F41" s="55"/>
      <c r="G41" s="55"/>
    </row>
    <row r="42" spans="1:7" ht="63.75">
      <c r="A42" s="596" t="s">
        <v>0</v>
      </c>
      <c r="B42" s="322" t="s">
        <v>416</v>
      </c>
      <c r="C42" s="588" t="str">
        <f>+F8</f>
        <v>Fixed Distribution Revenue</v>
      </c>
      <c r="D42" s="600" t="s">
        <v>415</v>
      </c>
      <c r="E42" s="588" t="s">
        <v>412</v>
      </c>
      <c r="F42" s="588" t="s">
        <v>413</v>
      </c>
      <c r="G42" s="594"/>
    </row>
    <row r="43" spans="1:7" ht="15" customHeight="1">
      <c r="A43" s="599" t="s">
        <v>200</v>
      </c>
      <c r="B43" s="333">
        <f aca="true" t="shared" si="10" ref="B43:B50">+J9</f>
        <v>7764594.396212544</v>
      </c>
      <c r="C43" s="333">
        <f>+F9</f>
        <v>4455530.640000001</v>
      </c>
      <c r="D43" s="333">
        <f>+G9-I9</f>
        <v>3309063.756212543</v>
      </c>
      <c r="E43" s="334">
        <f>+C43/B43</f>
        <v>0.5738265790384806</v>
      </c>
      <c r="F43" s="595">
        <f>+D43/B43</f>
        <v>0.4261734209615194</v>
      </c>
      <c r="G43" s="334">
        <f aca="true" t="shared" si="11" ref="G43:G50">SUM(E43:F43)</f>
        <v>1</v>
      </c>
    </row>
    <row r="44" spans="1:7" ht="15" customHeight="1">
      <c r="A44" s="599" t="s">
        <v>201</v>
      </c>
      <c r="B44" s="333">
        <f t="shared" si="10"/>
        <v>1574036.4530467368</v>
      </c>
      <c r="C44" s="333">
        <f aca="true" t="shared" si="12" ref="C44:C50">+F10</f>
        <v>403338.09017987736</v>
      </c>
      <c r="D44" s="333">
        <f aca="true" t="shared" si="13" ref="D44:D50">+G10-I10</f>
        <v>1170698.3628668594</v>
      </c>
      <c r="E44" s="334">
        <f aca="true" t="shared" si="14" ref="E44:E50">+C44/B44</f>
        <v>0.25624444046335015</v>
      </c>
      <c r="F44" s="595">
        <f aca="true" t="shared" si="15" ref="F44:F50">+D44/B44</f>
        <v>0.7437555595366498</v>
      </c>
      <c r="G44" s="334">
        <f t="shared" si="11"/>
        <v>1</v>
      </c>
    </row>
    <row r="45" spans="1:7" ht="15" customHeight="1">
      <c r="A45" s="599" t="s">
        <v>241</v>
      </c>
      <c r="B45" s="333">
        <f t="shared" si="10"/>
        <v>1409483.4183414748</v>
      </c>
      <c r="C45" s="333">
        <f t="shared" si="12"/>
        <v>249174.3089565195</v>
      </c>
      <c r="D45" s="333">
        <f t="shared" si="13"/>
        <v>1160309.1093849554</v>
      </c>
      <c r="E45" s="334">
        <f t="shared" si="14"/>
        <v>0.17678413645314142</v>
      </c>
      <c r="F45" s="595">
        <f t="shared" si="15"/>
        <v>0.8232158635468586</v>
      </c>
      <c r="G45" s="334">
        <f t="shared" si="11"/>
        <v>1</v>
      </c>
    </row>
    <row r="46" spans="1:7" ht="15" customHeight="1">
      <c r="A46" s="599" t="s">
        <v>242</v>
      </c>
      <c r="B46" s="333">
        <f t="shared" si="10"/>
        <v>580118.5884173769</v>
      </c>
      <c r="C46" s="333">
        <f t="shared" si="12"/>
        <v>125042.91761769853</v>
      </c>
      <c r="D46" s="333">
        <f t="shared" si="13"/>
        <v>455075.67079967825</v>
      </c>
      <c r="E46" s="334">
        <f t="shared" si="14"/>
        <v>0.21554716589728398</v>
      </c>
      <c r="F46" s="595">
        <f t="shared" si="15"/>
        <v>0.7844528341027159</v>
      </c>
      <c r="G46" s="334">
        <f t="shared" si="11"/>
        <v>0.9999999999999999</v>
      </c>
    </row>
    <row r="47" spans="1:7" ht="15" customHeight="1">
      <c r="A47" s="599" t="s">
        <v>202</v>
      </c>
      <c r="B47" s="333">
        <f t="shared" si="10"/>
        <v>527678.8664851035</v>
      </c>
      <c r="C47" s="333">
        <f t="shared" si="12"/>
        <v>99030.24</v>
      </c>
      <c r="D47" s="333">
        <f t="shared" si="13"/>
        <v>428648.62648510345</v>
      </c>
      <c r="E47" s="334">
        <f t="shared" si="14"/>
        <v>0.18767141587391137</v>
      </c>
      <c r="F47" s="595">
        <f t="shared" si="15"/>
        <v>0.8123285841260885</v>
      </c>
      <c r="G47" s="334">
        <f t="shared" si="11"/>
        <v>0.9999999999999999</v>
      </c>
    </row>
    <row r="48" spans="1:7" ht="15" customHeight="1">
      <c r="A48" s="599" t="s">
        <v>203</v>
      </c>
      <c r="B48" s="333">
        <f t="shared" si="10"/>
        <v>2713.2688531668305</v>
      </c>
      <c r="C48" s="333">
        <f t="shared" si="12"/>
        <v>1307.1312771743062</v>
      </c>
      <c r="D48" s="333">
        <f t="shared" si="13"/>
        <v>1406.1375759925243</v>
      </c>
      <c r="E48" s="334">
        <f t="shared" si="14"/>
        <v>0.48175516246709915</v>
      </c>
      <c r="F48" s="595">
        <f t="shared" si="15"/>
        <v>0.5182448375329008</v>
      </c>
      <c r="G48" s="334">
        <f t="shared" si="11"/>
        <v>1</v>
      </c>
    </row>
    <row r="49" spans="1:7" ht="15" customHeight="1">
      <c r="A49" s="599" t="s">
        <v>204</v>
      </c>
      <c r="B49" s="333">
        <f t="shared" si="10"/>
        <v>17957.831438492674</v>
      </c>
      <c r="C49" s="333">
        <f t="shared" si="12"/>
        <v>5499.982008353814</v>
      </c>
      <c r="D49" s="333">
        <f t="shared" si="13"/>
        <v>12457.84943013886</v>
      </c>
      <c r="E49" s="334">
        <f t="shared" si="14"/>
        <v>0.3062720589171242</v>
      </c>
      <c r="F49" s="595">
        <f t="shared" si="15"/>
        <v>0.6937279410828757</v>
      </c>
      <c r="G49" s="439">
        <f t="shared" si="11"/>
        <v>1</v>
      </c>
    </row>
    <row r="50" spans="1:7" ht="15" customHeight="1">
      <c r="A50" s="599" t="s">
        <v>205</v>
      </c>
      <c r="B50" s="333">
        <f t="shared" si="10"/>
        <v>41547.55476230756</v>
      </c>
      <c r="C50" s="333">
        <f t="shared" si="12"/>
        <v>17838.44020873613</v>
      </c>
      <c r="D50" s="333">
        <f t="shared" si="13"/>
        <v>23709.11455357143</v>
      </c>
      <c r="E50" s="334">
        <f t="shared" si="14"/>
        <v>0.4293499415498545</v>
      </c>
      <c r="F50" s="595">
        <f t="shared" si="15"/>
        <v>0.5706500584501455</v>
      </c>
      <c r="G50" s="439">
        <f t="shared" si="11"/>
        <v>1</v>
      </c>
    </row>
    <row r="51" spans="1:7" ht="15" customHeight="1">
      <c r="A51" s="264"/>
      <c r="B51" s="333">
        <f>SUM(B43:B50)</f>
        <v>11918130.377557205</v>
      </c>
      <c r="C51" s="333">
        <f>SUM(C43:C50)</f>
        <v>5356761.75024836</v>
      </c>
      <c r="D51" s="333">
        <f>SUM(D43:D50)</f>
        <v>6561368.627308843</v>
      </c>
      <c r="E51" s="264"/>
      <c r="F51" s="264"/>
      <c r="G51" s="264"/>
    </row>
    <row r="52" ht="15" customHeight="1">
      <c r="B52" s="250"/>
    </row>
    <row r="53" ht="15" customHeight="1"/>
  </sheetData>
  <sheetProtection/>
  <mergeCells count="10">
    <mergeCell ref="A25:L25"/>
    <mergeCell ref="A7:L7"/>
    <mergeCell ref="A5:L5"/>
    <mergeCell ref="A6:L6"/>
    <mergeCell ref="A1:L1"/>
    <mergeCell ref="A2:L2"/>
    <mergeCell ref="A3:L3"/>
    <mergeCell ref="A4:L4"/>
    <mergeCell ref="A23:L23"/>
    <mergeCell ref="A24:L24"/>
  </mergeCells>
  <printOptions/>
  <pageMargins left="0.75" right="0.75" top="1" bottom="1" header="0.5" footer="0.5"/>
  <pageSetup fitToHeight="1" fitToWidth="1" horizontalDpi="355" verticalDpi="355" orientation="landscape" paperSize="5" scale="74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5.28125" style="0" bestFit="1" customWidth="1"/>
    <col min="2" max="2" width="18.7109375" style="246" customWidth="1"/>
    <col min="3" max="5" width="18.7109375" style="0" customWidth="1"/>
    <col min="6" max="6" width="16.140625" style="0" customWidth="1"/>
    <col min="7" max="8" width="15.7109375" style="0" customWidth="1"/>
    <col min="9" max="9" width="16.710937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3" ht="12.75">
      <c r="A1" s="617" t="str">
        <f>+'Revenue Input'!A1</f>
        <v>MILTON HYDRO DISTRIBUTION INC.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3" ht="12.75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</row>
    <row r="3" spans="1:13" ht="12.75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</row>
    <row r="4" spans="1:13" s="8" customFormat="1" ht="10.5" customHeight="1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</row>
    <row r="5" spans="1:14" ht="36" customHeight="1">
      <c r="A5" s="641" t="s">
        <v>182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N5" s="218"/>
    </row>
    <row r="6" spans="1:13" ht="68.25" customHeight="1">
      <c r="A6" s="317" t="s">
        <v>23</v>
      </c>
      <c r="B6" s="314" t="s">
        <v>312</v>
      </c>
      <c r="C6" s="313" t="s">
        <v>394</v>
      </c>
      <c r="D6" s="313" t="s">
        <v>215</v>
      </c>
      <c r="E6" s="313" t="s">
        <v>310</v>
      </c>
      <c r="F6" s="313" t="s">
        <v>311</v>
      </c>
      <c r="G6" s="313" t="s">
        <v>248</v>
      </c>
      <c r="H6" s="313" t="s">
        <v>195</v>
      </c>
      <c r="I6" s="313" t="s">
        <v>196</v>
      </c>
      <c r="J6" s="313" t="s">
        <v>197</v>
      </c>
      <c r="K6" s="436" t="s">
        <v>198</v>
      </c>
      <c r="L6" s="437" t="s">
        <v>216</v>
      </c>
      <c r="M6" s="438" t="s">
        <v>217</v>
      </c>
    </row>
    <row r="7" spans="1:13" ht="18" customHeight="1">
      <c r="A7" s="78" t="str">
        <f>'2010 Existing Rates'!A8</f>
        <v>Residential</v>
      </c>
      <c r="B7" s="452">
        <f>+'[5]O1 Revenue to cost|RR'!$D$35</f>
        <v>9317732.734378543</v>
      </c>
      <c r="C7" s="220">
        <f>'2011 Test Yr On Existing Rates'!K9*'Cost Allocation Study'!$C$15</f>
        <v>8865654.285972808</v>
      </c>
      <c r="D7" s="452">
        <f>+'[5]O1 Revenue to cost|RR'!$D$19</f>
        <v>951506.2924588042</v>
      </c>
      <c r="E7" s="247">
        <f>C7+D7</f>
        <v>9817160.578431612</v>
      </c>
      <c r="F7" s="248">
        <f>E7/B7</f>
        <v>1.0535997176878007</v>
      </c>
      <c r="G7" s="453">
        <f>+'[5]O1 Revenue to cost|RR'!$D$70</f>
        <v>1.0535997176878007</v>
      </c>
      <c r="H7" s="454">
        <v>1.0357202</v>
      </c>
      <c r="I7" s="106">
        <f aca="true" t="shared" si="0" ref="I7:I14">B7*H7</f>
        <v>9650564.011197092</v>
      </c>
      <c r="J7" s="106">
        <f aca="true" t="shared" si="1" ref="J7:J14">D7</f>
        <v>951506.2924588042</v>
      </c>
      <c r="K7" s="247">
        <f>I7-J7</f>
        <v>8699057.718738288</v>
      </c>
      <c r="L7" s="262">
        <v>0.85</v>
      </c>
      <c r="M7" s="263">
        <v>1.15</v>
      </c>
    </row>
    <row r="8" spans="1:13" ht="18" customHeight="1">
      <c r="A8" s="78" t="str">
        <f>'2010 Existing Rates'!A9</f>
        <v>GS &lt; 50 kW</v>
      </c>
      <c r="B8" s="452">
        <f>+'[5]O1 Revenue to cost|RR'!$E$35</f>
        <v>1984035.2617746547</v>
      </c>
      <c r="C8" s="220">
        <f>'2011 Test Yr On Existing Rates'!K10*'Cost Allocation Study'!$C$15</f>
        <v>1797243.012853088</v>
      </c>
      <c r="D8" s="452">
        <f>+'[5]O1 Revenue to cost|RR'!$E$19</f>
        <v>185595.76591825564</v>
      </c>
      <c r="E8" s="247">
        <f aca="true" t="shared" si="2" ref="E8:E14">C8+D8</f>
        <v>1982838.7787713436</v>
      </c>
      <c r="F8" s="248">
        <f aca="true" t="shared" si="3" ref="F8:F14">E8/B8</f>
        <v>0.9993969446882507</v>
      </c>
      <c r="G8" s="453">
        <f>+'[5]O1 Revenue to cost|RR'!$E$70</f>
        <v>0.9993969446882507</v>
      </c>
      <c r="H8" s="454">
        <f>+G8</f>
        <v>0.9993969446882507</v>
      </c>
      <c r="I8" s="106">
        <f t="shared" si="0"/>
        <v>1982838.7787713436</v>
      </c>
      <c r="J8" s="106">
        <f t="shared" si="1"/>
        <v>185595.76591825564</v>
      </c>
      <c r="K8" s="247">
        <f aca="true" t="shared" si="4" ref="K8:K14">I8-J8</f>
        <v>1797243.012853088</v>
      </c>
      <c r="L8" s="262">
        <v>0.8</v>
      </c>
      <c r="M8" s="263">
        <v>1.2</v>
      </c>
    </row>
    <row r="9" spans="1:13" ht="18" customHeight="1">
      <c r="A9" s="78" t="str">
        <f>'2010 Existing Rates'!A10</f>
        <v>GS &gt;50 to 999 kW</v>
      </c>
      <c r="B9" s="452">
        <f>+'[5]O1 Revenue to cost|RR'!$F$35</f>
        <v>2165182.979200719</v>
      </c>
      <c r="C9" s="220">
        <f>'2011 Test Yr On Existing Rates'!K11*'Cost Allocation Study'!$C$15</f>
        <v>1609355.5015471333</v>
      </c>
      <c r="D9" s="452">
        <f>+'[5]O1 Revenue to cost|RR'!$F$19</f>
        <v>191823.08437234786</v>
      </c>
      <c r="E9" s="247">
        <f t="shared" si="2"/>
        <v>1801178.5859194812</v>
      </c>
      <c r="F9" s="248">
        <f t="shared" si="3"/>
        <v>0.8318828492658803</v>
      </c>
      <c r="G9" s="453">
        <f>+'[5]O1 Revenue to cost|RR'!$F$70</f>
        <v>0.8318828492658803</v>
      </c>
      <c r="H9" s="454">
        <v>0.9</v>
      </c>
      <c r="I9" s="106">
        <f t="shared" si="0"/>
        <v>1948664.6812806472</v>
      </c>
      <c r="J9" s="106">
        <f t="shared" si="1"/>
        <v>191823.08437234786</v>
      </c>
      <c r="K9" s="247">
        <f t="shared" si="4"/>
        <v>1756841.5969082993</v>
      </c>
      <c r="L9" s="262">
        <v>0.8</v>
      </c>
      <c r="M9" s="263">
        <v>1.8</v>
      </c>
    </row>
    <row r="10" spans="1:13" ht="18" customHeight="1">
      <c r="A10" s="78" t="str">
        <f>+'2010 Existing Rates'!A11</f>
        <v>GS &gt;1000 to 4999 kW</v>
      </c>
      <c r="B10" s="452">
        <f>+'[5]O1 Revenue to cost|RR'!$H$35</f>
        <v>622046.7207290027</v>
      </c>
      <c r="C10" s="220">
        <f>'2011 Test Yr On Existing Rates'!K12*'Cost Allocation Study'!$C$15</f>
        <v>662382.4229999387</v>
      </c>
      <c r="D10" s="452">
        <f>+'[5]O1 Revenue to cost|RR'!$H$19</f>
        <v>52972.20796583443</v>
      </c>
      <c r="E10" s="247">
        <f t="shared" si="2"/>
        <v>715354.6309657731</v>
      </c>
      <c r="F10" s="248">
        <f t="shared" si="3"/>
        <v>1.1500014502566929</v>
      </c>
      <c r="G10" s="453">
        <f>+'[5]O1 Revenue to cost|RR'!$H$70</f>
        <v>1.1500014502566929</v>
      </c>
      <c r="H10" s="454">
        <v>1.1</v>
      </c>
      <c r="I10" s="106">
        <f t="shared" si="0"/>
        <v>684251.3928019031</v>
      </c>
      <c r="J10" s="106">
        <f t="shared" si="1"/>
        <v>52972.20796583443</v>
      </c>
      <c r="K10" s="247">
        <f t="shared" si="4"/>
        <v>631279.1848360687</v>
      </c>
      <c r="L10" s="262">
        <v>0.8</v>
      </c>
      <c r="M10" s="263">
        <v>1.8</v>
      </c>
    </row>
    <row r="11" spans="1:13" ht="18" customHeight="1">
      <c r="A11" s="78" t="str">
        <f>'2010 Existing Rates'!A12</f>
        <v>Large Use</v>
      </c>
      <c r="B11" s="452">
        <f>+'[5]O1 Revenue to cost|RR'!$I$35</f>
        <v>524425.4850359296</v>
      </c>
      <c r="C11" s="220">
        <f>'2011 Test Yr On Existing Rates'!K13*'Cost Allocation Study'!$C$15</f>
        <v>602506.475618726</v>
      </c>
      <c r="D11" s="452">
        <f>+'[5]O1 Revenue to cost|RR'!$I$19</f>
        <v>37264.677765510016</v>
      </c>
      <c r="E11" s="247">
        <f t="shared" si="2"/>
        <v>639771.153384236</v>
      </c>
      <c r="F11" s="248">
        <f t="shared" si="3"/>
        <v>1.2199467257782177</v>
      </c>
      <c r="G11" s="453">
        <f>+'[5]O1 Revenue to cost|RR'!$I$70</f>
        <v>1.2199467257782177</v>
      </c>
      <c r="H11" s="454">
        <v>1.1</v>
      </c>
      <c r="I11" s="106">
        <f t="shared" si="0"/>
        <v>576868.0335395226</v>
      </c>
      <c r="J11" s="106">
        <f t="shared" si="1"/>
        <v>37264.677765510016</v>
      </c>
      <c r="K11" s="247">
        <f t="shared" si="4"/>
        <v>539603.3557740125</v>
      </c>
      <c r="L11" s="262">
        <v>0.85</v>
      </c>
      <c r="M11" s="263">
        <v>1.15</v>
      </c>
    </row>
    <row r="12" spans="1:13" ht="18" customHeight="1">
      <c r="A12" s="78" t="str">
        <f>'2010 Existing Rates'!A13</f>
        <v>Sentinel Lights</v>
      </c>
      <c r="B12" s="452">
        <f>+'[5]O1 Revenue to cost|RR'!$K$35</f>
        <v>26739.495665338465</v>
      </c>
      <c r="C12" s="220">
        <f>'2011 Test Yr On Existing Rates'!K14*'Cost Allocation Study'!$C$15</f>
        <v>3098.024495498266</v>
      </c>
      <c r="D12" s="452">
        <f>+'[5]O1 Revenue to cost|RR'!$K$19</f>
        <v>1883.6807336115046</v>
      </c>
      <c r="E12" s="247">
        <f t="shared" si="2"/>
        <v>4981.705229109771</v>
      </c>
      <c r="F12" s="248">
        <f t="shared" si="3"/>
        <v>0.18630513048783462</v>
      </c>
      <c r="G12" s="453">
        <f>+'[5]O1 Revenue to cost|RR'!$K$70</f>
        <v>0.18630513048783462</v>
      </c>
      <c r="H12" s="454">
        <f>(+G12+L12)/2</f>
        <v>0.4431525652439173</v>
      </c>
      <c r="I12" s="106">
        <f t="shared" si="0"/>
        <v>11849.676097423348</v>
      </c>
      <c r="J12" s="106">
        <f t="shared" si="1"/>
        <v>1883.6807336115046</v>
      </c>
      <c r="K12" s="247">
        <f t="shared" si="4"/>
        <v>9965.995363811842</v>
      </c>
      <c r="L12" s="262">
        <v>0.7</v>
      </c>
      <c r="M12" s="263">
        <v>1.2</v>
      </c>
    </row>
    <row r="13" spans="1:13" ht="18" customHeight="1">
      <c r="A13" s="78" t="str">
        <f>'2010 Existing Rates'!A14</f>
        <v>Street Lighting</v>
      </c>
      <c r="B13" s="452">
        <f>+'[5]O1 Revenue to cost|RR'!$J$35</f>
        <v>374778.8988381113</v>
      </c>
      <c r="C13" s="220">
        <f>'2011 Test Yr On Existing Rates'!K15*'Cost Allocation Study'!$C$15</f>
        <v>20504.34538307746</v>
      </c>
      <c r="D13" s="452">
        <f>+'[5]O1 Revenue to cost|RR'!$J$19</f>
        <v>27582.63098455305</v>
      </c>
      <c r="E13" s="247">
        <f t="shared" si="2"/>
        <v>48086.97636763051</v>
      </c>
      <c r="F13" s="248">
        <f t="shared" si="3"/>
        <v>0.12830758753150096</v>
      </c>
      <c r="G13" s="453">
        <f>+'[5]O1 Revenue to cost|RR'!$J$70</f>
        <v>0.12830758753150096</v>
      </c>
      <c r="H13" s="454">
        <f>(+G13+L13)/2</f>
        <v>0.41415379376575046</v>
      </c>
      <c r="I13" s="106">
        <f t="shared" si="0"/>
        <v>155216.1027771542</v>
      </c>
      <c r="J13" s="106">
        <f t="shared" si="1"/>
        <v>27582.63098455305</v>
      </c>
      <c r="K13" s="247">
        <f>I13-J13</f>
        <v>127633.47179260117</v>
      </c>
      <c r="L13" s="262">
        <v>0.7</v>
      </c>
      <c r="M13" s="263">
        <v>1.2</v>
      </c>
    </row>
    <row r="14" spans="1:13" ht="18" customHeight="1">
      <c r="A14" s="78" t="str">
        <f>'2010 Existing Rates'!A15</f>
        <v>Unmetered and Scattered</v>
      </c>
      <c r="B14" s="452">
        <f>+'[5]O1 Revenue to cost|RR'!$L$35</f>
        <v>46890.70747528825</v>
      </c>
      <c r="C14" s="220">
        <f>'2011 Test Yr On Existing Rates'!K16*'Cost Allocation Study'!$C$15</f>
        <v>47439.2142273157</v>
      </c>
      <c r="D14" s="452">
        <f>+'[5]O1 Revenue to cost|RR'!$L$19</f>
        <v>5020.659801083389</v>
      </c>
      <c r="E14" s="247">
        <f t="shared" si="2"/>
        <v>52459.87402839909</v>
      </c>
      <c r="F14" s="248">
        <f t="shared" si="3"/>
        <v>1.1187690877994503</v>
      </c>
      <c r="G14" s="453">
        <f>+'[5]O1 Revenue to cost|RR'!$L$70</f>
        <v>1.1187690877994503</v>
      </c>
      <c r="H14" s="454">
        <v>1.1</v>
      </c>
      <c r="I14" s="106">
        <f t="shared" si="0"/>
        <v>51579.778222817076</v>
      </c>
      <c r="J14" s="106">
        <f t="shared" si="1"/>
        <v>5020.659801083389</v>
      </c>
      <c r="K14" s="247">
        <f t="shared" si="4"/>
        <v>46559.118421733685</v>
      </c>
      <c r="L14" s="262">
        <v>0.8</v>
      </c>
      <c r="M14" s="263">
        <v>1.2</v>
      </c>
    </row>
    <row r="15" spans="1:13" ht="18" customHeight="1" thickBot="1">
      <c r="A15" s="79" t="s">
        <v>1</v>
      </c>
      <c r="B15" s="245">
        <f>SUM(B7:B14)</f>
        <v>15061832.283097588</v>
      </c>
      <c r="C15" s="80">
        <f>'Revenue Input'!B10</f>
        <v>13608183.283097586</v>
      </c>
      <c r="D15" s="80">
        <f>SUM(D7:D14)</f>
        <v>1453649.0000000005</v>
      </c>
      <c r="E15" s="80">
        <f>SUM(E7:E14)</f>
        <v>15061832.283097584</v>
      </c>
      <c r="F15" s="249"/>
      <c r="G15" s="249"/>
      <c r="H15" s="81"/>
      <c r="I15" s="80">
        <f>SUM(I7:I14)</f>
        <v>15061832.454687903</v>
      </c>
      <c r="J15" s="80">
        <f>SUM(J7:J14)</f>
        <v>1453649.0000000005</v>
      </c>
      <c r="K15" s="80">
        <f>SUM(K7:K14)</f>
        <v>13608183.454687903</v>
      </c>
      <c r="L15" s="247"/>
      <c r="M15" s="264"/>
    </row>
    <row r="16" ht="13.5" customHeight="1"/>
    <row r="17" spans="2:11" ht="12.75">
      <c r="B17" s="246">
        <f>'Revenue Input'!B8</f>
        <v>15061832.283097586</v>
      </c>
      <c r="K17" s="246">
        <f>'Revenue Input'!B10</f>
        <v>13608183.283097586</v>
      </c>
    </row>
    <row r="19" spans="2:11" ht="12.75">
      <c r="B19" s="455">
        <f>B15-B17</f>
        <v>0</v>
      </c>
      <c r="K19" s="455">
        <f>K15-K17</f>
        <v>0.17159031704068184</v>
      </c>
    </row>
    <row r="23" spans="2:4" ht="15">
      <c r="B23" s="640" t="s">
        <v>306</v>
      </c>
      <c r="C23" s="640"/>
      <c r="D23" s="640"/>
    </row>
    <row r="24" spans="2:4" ht="15">
      <c r="B24" s="640" t="s">
        <v>305</v>
      </c>
      <c r="C24" s="640"/>
      <c r="D24" s="640"/>
    </row>
    <row r="25" spans="1:4" ht="25.5">
      <c r="A25" s="324" t="s">
        <v>23</v>
      </c>
      <c r="B25" s="325" t="s">
        <v>307</v>
      </c>
      <c r="C25" s="326" t="s">
        <v>308</v>
      </c>
      <c r="D25" s="326" t="s">
        <v>309</v>
      </c>
    </row>
    <row r="26" spans="1:4" ht="12.75">
      <c r="A26" t="str">
        <f>+A7</f>
        <v>Residential</v>
      </c>
      <c r="B26" s="246">
        <f>+I7</f>
        <v>9650564.011197092</v>
      </c>
      <c r="C26" s="246">
        <f>+B26/D26</f>
        <v>9317732.734378543</v>
      </c>
      <c r="D26" s="328">
        <f>+H7</f>
        <v>1.0357202</v>
      </c>
    </row>
    <row r="27" spans="1:4" ht="12.75">
      <c r="A27" t="str">
        <f aca="true" t="shared" si="5" ref="A27:A34">+A8</f>
        <v>GS &lt; 50 kW</v>
      </c>
      <c r="B27" s="246">
        <f aca="true" t="shared" si="6" ref="B27:B33">+I8</f>
        <v>1982838.7787713436</v>
      </c>
      <c r="C27" s="246">
        <f aca="true" t="shared" si="7" ref="C27:C33">+B27/D27</f>
        <v>1984035.2617746547</v>
      </c>
      <c r="D27" s="328">
        <f aca="true" t="shared" si="8" ref="D27:D33">+H8</f>
        <v>0.9993969446882507</v>
      </c>
    </row>
    <row r="28" spans="1:4" ht="12.75">
      <c r="A28" t="str">
        <f t="shared" si="5"/>
        <v>GS &gt;50 to 999 kW</v>
      </c>
      <c r="B28" s="246">
        <f t="shared" si="6"/>
        <v>1948664.6812806472</v>
      </c>
      <c r="C28" s="246">
        <f t="shared" si="7"/>
        <v>2165182.979200719</v>
      </c>
      <c r="D28" s="328">
        <f t="shared" si="8"/>
        <v>0.9</v>
      </c>
    </row>
    <row r="29" spans="1:4" ht="12.75">
      <c r="A29" t="str">
        <f t="shared" si="5"/>
        <v>GS &gt;1000 to 4999 kW</v>
      </c>
      <c r="B29" s="246">
        <f t="shared" si="6"/>
        <v>684251.3928019031</v>
      </c>
      <c r="C29" s="246">
        <f t="shared" si="7"/>
        <v>622046.7207290027</v>
      </c>
      <c r="D29" s="328">
        <f t="shared" si="8"/>
        <v>1.1</v>
      </c>
    </row>
    <row r="30" spans="1:4" ht="12.75">
      <c r="A30" t="str">
        <f t="shared" si="5"/>
        <v>Large Use</v>
      </c>
      <c r="B30" s="246">
        <f t="shared" si="6"/>
        <v>576868.0335395226</v>
      </c>
      <c r="C30" s="246">
        <f t="shared" si="7"/>
        <v>524425.4850359296</v>
      </c>
      <c r="D30" s="328">
        <f t="shared" si="8"/>
        <v>1.1</v>
      </c>
    </row>
    <row r="31" spans="1:4" ht="12.75">
      <c r="A31" t="str">
        <f t="shared" si="5"/>
        <v>Sentinel Lights</v>
      </c>
      <c r="B31" s="246">
        <f t="shared" si="6"/>
        <v>11849.676097423348</v>
      </c>
      <c r="C31" s="246">
        <f t="shared" si="7"/>
        <v>26739.495665338465</v>
      </c>
      <c r="D31" s="328">
        <f t="shared" si="8"/>
        <v>0.4431525652439173</v>
      </c>
    </row>
    <row r="32" spans="1:4" ht="12.75">
      <c r="A32" t="str">
        <f t="shared" si="5"/>
        <v>Street Lighting</v>
      </c>
      <c r="B32" s="246">
        <f t="shared" si="6"/>
        <v>155216.1027771542</v>
      </c>
      <c r="C32" s="246">
        <f t="shared" si="7"/>
        <v>374778.8988381113</v>
      </c>
      <c r="D32" s="328">
        <f t="shared" si="8"/>
        <v>0.41415379376575046</v>
      </c>
    </row>
    <row r="33" spans="1:4" ht="12.75">
      <c r="A33" t="str">
        <f t="shared" si="5"/>
        <v>Unmetered and Scattered</v>
      </c>
      <c r="B33" s="246">
        <f t="shared" si="6"/>
        <v>51579.778222817076</v>
      </c>
      <c r="C33" s="246">
        <f t="shared" si="7"/>
        <v>46890.70747528825</v>
      </c>
      <c r="D33" s="328">
        <f t="shared" si="8"/>
        <v>1.1</v>
      </c>
    </row>
    <row r="34" spans="1:4" ht="12.75">
      <c r="A34" s="2" t="str">
        <f t="shared" si="5"/>
        <v>TOTAL</v>
      </c>
      <c r="B34" s="327">
        <f>SUM(B26:B33)</f>
        <v>15061832.454687903</v>
      </c>
      <c r="C34" s="327">
        <f>SUM(C26:C33)</f>
        <v>15061832.283097588</v>
      </c>
      <c r="D34" s="328">
        <f>SUM(D26:D33)</f>
        <v>7.092423503697917</v>
      </c>
    </row>
    <row r="37" spans="1:5" ht="12.75">
      <c r="A37" s="639" t="s">
        <v>23</v>
      </c>
      <c r="B37" s="637" t="s">
        <v>395</v>
      </c>
      <c r="C37" s="637" t="s">
        <v>396</v>
      </c>
      <c r="D37" s="638" t="s">
        <v>216</v>
      </c>
      <c r="E37" s="638" t="s">
        <v>217</v>
      </c>
    </row>
    <row r="38" spans="1:5" ht="12.75">
      <c r="A38" s="639"/>
      <c r="B38" s="637"/>
      <c r="C38" s="637"/>
      <c r="D38" s="638"/>
      <c r="E38" s="638"/>
    </row>
    <row r="39" spans="1:5" ht="15" customHeight="1">
      <c r="A39" s="264" t="str">
        <f>+A7</f>
        <v>Residential</v>
      </c>
      <c r="B39" s="331">
        <f>+G7</f>
        <v>1.0535997176878007</v>
      </c>
      <c r="C39" s="331">
        <f>+H7</f>
        <v>1.0357202</v>
      </c>
      <c r="D39" s="263">
        <f aca="true" t="shared" si="9" ref="D39:E46">+L7</f>
        <v>0.85</v>
      </c>
      <c r="E39" s="263">
        <f t="shared" si="9"/>
        <v>1.15</v>
      </c>
    </row>
    <row r="40" spans="1:5" ht="15" customHeight="1">
      <c r="A40" s="264" t="str">
        <f aca="true" t="shared" si="10" ref="A40:A47">+A8</f>
        <v>GS &lt; 50 kW</v>
      </c>
      <c r="B40" s="331">
        <f aca="true" t="shared" si="11" ref="B40:B46">+G8</f>
        <v>0.9993969446882507</v>
      </c>
      <c r="C40" s="331">
        <f aca="true" t="shared" si="12" ref="C40:C46">+H8</f>
        <v>0.9993969446882507</v>
      </c>
      <c r="D40" s="263">
        <f t="shared" si="9"/>
        <v>0.8</v>
      </c>
      <c r="E40" s="263">
        <f t="shared" si="9"/>
        <v>1.2</v>
      </c>
    </row>
    <row r="41" spans="1:5" ht="15" customHeight="1">
      <c r="A41" s="264" t="str">
        <f t="shared" si="10"/>
        <v>GS &gt;50 to 999 kW</v>
      </c>
      <c r="B41" s="331">
        <f t="shared" si="11"/>
        <v>0.8318828492658803</v>
      </c>
      <c r="C41" s="331">
        <f t="shared" si="12"/>
        <v>0.9</v>
      </c>
      <c r="D41" s="263">
        <f t="shared" si="9"/>
        <v>0.8</v>
      </c>
      <c r="E41" s="263">
        <f t="shared" si="9"/>
        <v>1.8</v>
      </c>
    </row>
    <row r="42" spans="1:5" ht="15" customHeight="1">
      <c r="A42" s="264" t="str">
        <f t="shared" si="10"/>
        <v>GS &gt;1000 to 4999 kW</v>
      </c>
      <c r="B42" s="331">
        <f t="shared" si="11"/>
        <v>1.1500014502566929</v>
      </c>
      <c r="C42" s="331">
        <f t="shared" si="12"/>
        <v>1.1</v>
      </c>
      <c r="D42" s="263">
        <f t="shared" si="9"/>
        <v>0.8</v>
      </c>
      <c r="E42" s="263">
        <f t="shared" si="9"/>
        <v>1.8</v>
      </c>
    </row>
    <row r="43" spans="1:5" ht="15" customHeight="1">
      <c r="A43" s="264" t="str">
        <f t="shared" si="10"/>
        <v>Large Use</v>
      </c>
      <c r="B43" s="331">
        <f t="shared" si="11"/>
        <v>1.2199467257782177</v>
      </c>
      <c r="C43" s="331">
        <f t="shared" si="12"/>
        <v>1.1</v>
      </c>
      <c r="D43" s="263">
        <f t="shared" si="9"/>
        <v>0.85</v>
      </c>
      <c r="E43" s="263">
        <f t="shared" si="9"/>
        <v>1.15</v>
      </c>
    </row>
    <row r="44" spans="1:5" ht="15" customHeight="1">
      <c r="A44" s="264" t="str">
        <f t="shared" si="10"/>
        <v>Sentinel Lights</v>
      </c>
      <c r="B44" s="331">
        <f t="shared" si="11"/>
        <v>0.18630513048783462</v>
      </c>
      <c r="C44" s="331">
        <f t="shared" si="12"/>
        <v>0.4431525652439173</v>
      </c>
      <c r="D44" s="263">
        <f t="shared" si="9"/>
        <v>0.7</v>
      </c>
      <c r="E44" s="263">
        <f t="shared" si="9"/>
        <v>1.2</v>
      </c>
    </row>
    <row r="45" spans="1:5" ht="15" customHeight="1">
      <c r="A45" s="264" t="str">
        <f t="shared" si="10"/>
        <v>Street Lighting</v>
      </c>
      <c r="B45" s="331">
        <f t="shared" si="11"/>
        <v>0.12830758753150096</v>
      </c>
      <c r="C45" s="331">
        <f t="shared" si="12"/>
        <v>0.41415379376575046</v>
      </c>
      <c r="D45" s="263">
        <f t="shared" si="9"/>
        <v>0.7</v>
      </c>
      <c r="E45" s="263">
        <f t="shared" si="9"/>
        <v>1.2</v>
      </c>
    </row>
    <row r="46" spans="1:5" ht="15" customHeight="1">
      <c r="A46" s="264" t="str">
        <f t="shared" si="10"/>
        <v>Unmetered and Scattered</v>
      </c>
      <c r="B46" s="331">
        <f t="shared" si="11"/>
        <v>1.1187690877994503</v>
      </c>
      <c r="C46" s="331">
        <f t="shared" si="12"/>
        <v>1.1</v>
      </c>
      <c r="D46" s="263">
        <f t="shared" si="9"/>
        <v>0.8</v>
      </c>
      <c r="E46" s="263">
        <f t="shared" si="9"/>
        <v>1.2</v>
      </c>
    </row>
    <row r="47" spans="1:4" ht="15" customHeight="1">
      <c r="A47" t="str">
        <f t="shared" si="10"/>
        <v>TOTAL</v>
      </c>
      <c r="B47" s="329"/>
      <c r="C47" s="330"/>
      <c r="D47" s="330"/>
    </row>
    <row r="48" ht="15" customHeight="1"/>
    <row r="49" ht="15" customHeight="1"/>
    <row r="52" spans="2:5" ht="12.75">
      <c r="B52" s="584"/>
      <c r="C52" s="297"/>
      <c r="D52" s="584"/>
      <c r="E52" s="250"/>
    </row>
    <row r="53" spans="2:5" ht="12.75">
      <c r="B53" s="584"/>
      <c r="C53" s="297"/>
      <c r="D53" s="584"/>
      <c r="E53" s="250"/>
    </row>
    <row r="54" spans="2:5" ht="12.75">
      <c r="B54" s="584"/>
      <c r="C54" s="297"/>
      <c r="D54" s="584"/>
      <c r="E54" s="250"/>
    </row>
    <row r="55" spans="2:5" ht="12.75">
      <c r="B55" s="584"/>
      <c r="C55" s="297"/>
      <c r="D55" s="584"/>
      <c r="E55" s="250"/>
    </row>
    <row r="56" spans="2:5" ht="12.75">
      <c r="B56" s="584"/>
      <c r="C56" s="297"/>
      <c r="D56" s="584"/>
      <c r="E56" s="250"/>
    </row>
    <row r="57" spans="2:5" ht="12.75">
      <c r="B57" s="584"/>
      <c r="C57" s="297"/>
      <c r="D57" s="584"/>
      <c r="E57" s="250"/>
    </row>
    <row r="58" spans="2:5" ht="12.75">
      <c r="B58" s="584"/>
      <c r="C58" s="297"/>
      <c r="D58" s="584"/>
      <c r="E58" s="250"/>
    </row>
    <row r="59" spans="2:5" ht="12.75">
      <c r="B59" s="584"/>
      <c r="C59" s="297"/>
      <c r="D59" s="584"/>
      <c r="E59" s="250"/>
    </row>
    <row r="60" spans="2:4" ht="12.75">
      <c r="B60" s="584"/>
      <c r="D60" s="584"/>
    </row>
    <row r="61" ht="12.75">
      <c r="D61" s="584"/>
    </row>
    <row r="62" ht="12.75">
      <c r="E62" s="584"/>
    </row>
  </sheetData>
  <sheetProtection/>
  <mergeCells count="12">
    <mergeCell ref="A5:K5"/>
    <mergeCell ref="A1:M1"/>
    <mergeCell ref="A2:M2"/>
    <mergeCell ref="A3:M3"/>
    <mergeCell ref="A4:M4"/>
    <mergeCell ref="B23:D23"/>
    <mergeCell ref="B37:B38"/>
    <mergeCell ref="C37:C38"/>
    <mergeCell ref="D37:D38"/>
    <mergeCell ref="E37:E38"/>
    <mergeCell ref="A37:A38"/>
    <mergeCell ref="B24:D24"/>
  </mergeCells>
  <printOptions/>
  <pageMargins left="0.75" right="0.75" top="1" bottom="1" header="0.5" footer="0.5"/>
  <pageSetup fitToHeight="1" fitToWidth="1" horizontalDpi="355" verticalDpi="355" orientation="landscape" paperSize="5" scale="73" r:id="rId1"/>
  <headerFooter alignWithMargins="0">
    <oddFooter>&amp;L&amp;Z&amp;F&amp;A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24.7109375" style="0" bestFit="1" customWidth="1"/>
    <col min="2" max="2" width="18.7109375" style="250" bestFit="1" customWidth="1"/>
    <col min="3" max="3" width="17.57421875" style="0" customWidth="1"/>
    <col min="4" max="4" width="21.00390625" style="0" customWidth="1"/>
    <col min="5" max="5" width="19.28125" style="0" customWidth="1"/>
    <col min="6" max="6" width="15.140625" style="0" customWidth="1"/>
    <col min="7" max="7" width="23.28125" style="0" bestFit="1" customWidth="1"/>
    <col min="8" max="8" width="13.421875" style="0" bestFit="1" customWidth="1"/>
    <col min="9" max="9" width="17.28125" style="0" bestFit="1" customWidth="1"/>
    <col min="10" max="10" width="13.7109375" style="0" bestFit="1" customWidth="1"/>
    <col min="11" max="11" width="13.28125" style="0" bestFit="1" customWidth="1"/>
  </cols>
  <sheetData>
    <row r="1" spans="1:11" ht="12.75">
      <c r="A1" s="643" t="str">
        <f>+'Revenue Input'!A1</f>
        <v>MILTON HYDRO DISTRIBUTION INC.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12.75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12.75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</row>
    <row r="4" spans="1:11" ht="12.75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</row>
    <row r="5" spans="1:11" ht="15.75">
      <c r="A5" s="646" t="s">
        <v>218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</row>
    <row r="6" spans="1:11" ht="12.75">
      <c r="A6" s="648"/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ht="38.25">
      <c r="A7" s="313" t="s">
        <v>0</v>
      </c>
      <c r="B7" s="314" t="s">
        <v>146</v>
      </c>
      <c r="C7" s="313" t="s">
        <v>126</v>
      </c>
      <c r="D7" s="313" t="s">
        <v>2</v>
      </c>
      <c r="E7" s="313" t="s">
        <v>391</v>
      </c>
      <c r="F7" s="313" t="s">
        <v>3</v>
      </c>
      <c r="G7" s="313" t="s">
        <v>4</v>
      </c>
      <c r="H7" s="313" t="s">
        <v>5</v>
      </c>
      <c r="I7" s="313" t="s">
        <v>147</v>
      </c>
      <c r="J7" s="313" t="s">
        <v>41</v>
      </c>
      <c r="K7" s="313" t="s">
        <v>40</v>
      </c>
    </row>
    <row r="8" spans="1:11" ht="18" customHeight="1">
      <c r="A8" s="94" t="str">
        <f>'Cost Allocation Study'!A7</f>
        <v>Residential</v>
      </c>
      <c r="B8" s="106">
        <f>'Cost Allocation Study'!K7</f>
        <v>8699057.718738288</v>
      </c>
      <c r="C8" s="82">
        <f aca="true" t="shared" si="0" ref="C8:C15">+B8/$B$16</f>
        <v>0.6392519433401331</v>
      </c>
      <c r="D8" s="83">
        <f aca="true" t="shared" si="1" ref="D8:D15">E25</f>
        <v>15.359988588982477</v>
      </c>
      <c r="E8" s="95">
        <f>+G8/'Forecast Data For 2011'!C8</f>
        <v>0.014340470746825354</v>
      </c>
      <c r="F8" s="96">
        <f>+D8*'Forecast Data For 2011'!C7*12</f>
        <v>4991750.531601882</v>
      </c>
      <c r="G8" s="96">
        <f aca="true" t="shared" si="2" ref="G8:G15">+B8-F8</f>
        <v>3707307.187136406</v>
      </c>
      <c r="H8" s="97"/>
      <c r="I8" s="232">
        <f>+F8+G8+H8</f>
        <v>8699057.718738288</v>
      </c>
      <c r="J8" s="232">
        <f>+'Allocation Low Voltage Costs'!F8</f>
        <v>51465.0161534396</v>
      </c>
      <c r="K8" s="232">
        <f>+I8+J8</f>
        <v>8750522.734891728</v>
      </c>
    </row>
    <row r="9" spans="1:11" ht="18" customHeight="1">
      <c r="A9" s="94" t="str">
        <f>'Cost Allocation Study'!A8</f>
        <v>GS &lt; 50 kW</v>
      </c>
      <c r="B9" s="106">
        <f>'Cost Allocation Study'!K8</f>
        <v>1797243.012853088</v>
      </c>
      <c r="C9" s="82">
        <f t="shared" si="0"/>
        <v>0.13207075131206827</v>
      </c>
      <c r="D9" s="83">
        <f t="shared" si="1"/>
        <v>16.784536493930833</v>
      </c>
      <c r="E9" s="95">
        <f>+G9/'Forecast Data For 2011'!C10</f>
        <v>0.017812161177232715</v>
      </c>
      <c r="F9" s="96">
        <f>+D9*'Forecast Data For 2011'!C9*12</f>
        <v>460533.5302052052</v>
      </c>
      <c r="G9" s="96">
        <f t="shared" si="2"/>
        <v>1336709.4826478828</v>
      </c>
      <c r="H9" s="97"/>
      <c r="I9" s="232">
        <f aca="true" t="shared" si="3" ref="I9:I15">+F9+G9+H9</f>
        <v>1797243.0128530879</v>
      </c>
      <c r="J9" s="232">
        <f>+'Allocation Low Voltage Costs'!F9</f>
        <v>13350.231398323369</v>
      </c>
      <c r="K9" s="232">
        <f aca="true" t="shared" si="4" ref="K9:K15">+I9+J9</f>
        <v>1810593.2442514112</v>
      </c>
    </row>
    <row r="10" spans="1:11" ht="18" customHeight="1">
      <c r="A10" s="94" t="str">
        <f>'Cost Allocation Study'!A9</f>
        <v>GS &gt;50 to 999 kW</v>
      </c>
      <c r="B10" s="106">
        <f>'Cost Allocation Study'!K9</f>
        <v>1756841.5969082993</v>
      </c>
      <c r="C10" s="82">
        <f t="shared" si="0"/>
        <v>0.12910184542692085</v>
      </c>
      <c r="D10" s="83">
        <f t="shared" si="1"/>
        <v>88.37285178378828</v>
      </c>
      <c r="E10" s="95">
        <f>(+G10+H10)/'Forecast Data For 2011'!C12</f>
        <v>2.9287739326558353</v>
      </c>
      <c r="F10" s="96">
        <f>+D10*'Forecast Data For 2011'!C11*12</f>
        <v>310581.7245943916</v>
      </c>
      <c r="G10" s="96">
        <f t="shared" si="2"/>
        <v>1446259.8723139076</v>
      </c>
      <c r="H10" s="96">
        <f>-'Transformer Allowance'!C12</f>
        <v>41349.21917371997</v>
      </c>
      <c r="I10" s="232">
        <f t="shared" si="3"/>
        <v>1798190.8160820191</v>
      </c>
      <c r="J10" s="232">
        <f>+'Allocation Low Voltage Costs'!F10</f>
        <v>41700.67255821554</v>
      </c>
      <c r="K10" s="232">
        <f t="shared" si="4"/>
        <v>1839891.4886402346</v>
      </c>
    </row>
    <row r="11" spans="1:11" ht="18" customHeight="1">
      <c r="A11" s="94" t="str">
        <f>'Cost Allocation Study'!A10</f>
        <v>GS &gt;1000 to 4999 kW</v>
      </c>
      <c r="B11" s="106">
        <f>'Cost Allocation Study'!K10</f>
        <v>631279.1848360687</v>
      </c>
      <c r="C11" s="82">
        <f t="shared" si="0"/>
        <v>0.046389673312244945</v>
      </c>
      <c r="D11" s="83">
        <f t="shared" si="1"/>
        <v>1008.0229438682809</v>
      </c>
      <c r="E11" s="95">
        <f>(+G11+H11)/'Forecast Data For 2011'!C15</f>
        <v>3.137278795692145</v>
      </c>
      <c r="F11" s="96">
        <f>+D11*'Forecast Data For 2011'!C14*12</f>
        <v>136070.43918136234</v>
      </c>
      <c r="G11" s="96">
        <f t="shared" si="2"/>
        <v>495208.7456547063</v>
      </c>
      <c r="H11" s="96">
        <f>-'Transformer Allowance'!C13</f>
        <v>111057.50472960008</v>
      </c>
      <c r="I11" s="232">
        <f t="shared" si="3"/>
        <v>742336.6895656687</v>
      </c>
      <c r="J11" s="232">
        <f>+'Allocation Low Voltage Costs'!F11</f>
        <v>15605.904947782894</v>
      </c>
      <c r="K11" s="232">
        <f t="shared" si="4"/>
        <v>757942.5945134516</v>
      </c>
    </row>
    <row r="12" spans="1:11" ht="18" customHeight="1">
      <c r="A12" s="94" t="str">
        <f>'Cost Allocation Study'!A11</f>
        <v>Large Use</v>
      </c>
      <c r="B12" s="106">
        <f>'Cost Allocation Study'!K11</f>
        <v>539603.3557740125</v>
      </c>
      <c r="C12" s="82">
        <f t="shared" si="0"/>
        <v>0.039652857236292166</v>
      </c>
      <c r="D12" s="83">
        <f t="shared" si="1"/>
        <v>4219.505241184287</v>
      </c>
      <c r="E12" s="95">
        <f>(+G12+H12)/'Forecast Data For 2011'!C18</f>
        <v>2.5261238499991614</v>
      </c>
      <c r="F12" s="96">
        <f>+D12*'Forecast Data For 2011'!C17*12</f>
        <v>101268.12578842288</v>
      </c>
      <c r="G12" s="96">
        <f t="shared" si="2"/>
        <v>438335.2299855896</v>
      </c>
      <c r="H12" s="96">
        <f>-'Transformer Allowance'!C14</f>
        <v>0</v>
      </c>
      <c r="I12" s="232">
        <f t="shared" si="3"/>
        <v>539603.3557740125</v>
      </c>
      <c r="J12" s="232">
        <f>+'Allocation Low Voltage Costs'!F12</f>
        <v>15671.80918829494</v>
      </c>
      <c r="K12" s="232">
        <f t="shared" si="4"/>
        <v>555275.1649623074</v>
      </c>
    </row>
    <row r="13" spans="1:11" ht="18" customHeight="1">
      <c r="A13" s="94" t="str">
        <f>'Cost Allocation Study'!A12</f>
        <v>Sentinel Lights</v>
      </c>
      <c r="B13" s="106">
        <f>'Cost Allocation Study'!K12</f>
        <v>9965.995363811842</v>
      </c>
      <c r="C13" s="82">
        <f t="shared" si="0"/>
        <v>0.0007323531018667038</v>
      </c>
      <c r="D13" s="83">
        <f t="shared" si="1"/>
        <v>1.469223420624888</v>
      </c>
      <c r="E13" s="95">
        <f>(+G13+H13)/'Forecast Data For 2011'!C21</f>
        <v>11.101819472096807</v>
      </c>
      <c r="F13" s="96">
        <f>+D13*'Forecast Data For 2011'!C20*12</f>
        <v>4801.169715639531</v>
      </c>
      <c r="G13" s="96">
        <f t="shared" si="2"/>
        <v>5164.825648172311</v>
      </c>
      <c r="H13" s="97"/>
      <c r="I13" s="232">
        <f t="shared" si="3"/>
        <v>9965.995363811842</v>
      </c>
      <c r="J13" s="232">
        <f>+'Allocation Low Voltage Costs'!F13</f>
        <v>26.231546994044145</v>
      </c>
      <c r="K13" s="232">
        <f t="shared" si="4"/>
        <v>9992.226910805886</v>
      </c>
    </row>
    <row r="14" spans="1:11" ht="18" customHeight="1">
      <c r="A14" s="94" t="str">
        <f>'Cost Allocation Study'!A13</f>
        <v>Street Lighting</v>
      </c>
      <c r="B14" s="106">
        <f>'Cost Allocation Study'!K13</f>
        <v>127633.47179260117</v>
      </c>
      <c r="C14" s="82">
        <f t="shared" si="0"/>
        <v>0.00937917042473678</v>
      </c>
      <c r="D14" s="83">
        <f t="shared" si="1"/>
        <v>1.1371838273881412</v>
      </c>
      <c r="E14" s="95">
        <f>+G14/'Forecast Data For 2011'!C24</f>
        <v>4.97162554536253</v>
      </c>
      <c r="F14" s="96">
        <f>+D14*'Forecast Data For 2011'!C23*12</f>
        <v>39090.566192660655</v>
      </c>
      <c r="G14" s="96">
        <f t="shared" si="2"/>
        <v>88542.90559994051</v>
      </c>
      <c r="H14" s="97"/>
      <c r="I14" s="232">
        <f t="shared" si="3"/>
        <v>127633.47179260117</v>
      </c>
      <c r="J14" s="232">
        <f>+'Allocation Low Voltage Costs'!F14</f>
        <v>983.5250499716166</v>
      </c>
      <c r="K14" s="232">
        <f t="shared" si="4"/>
        <v>128616.99684257279</v>
      </c>
    </row>
    <row r="15" spans="1:11" ht="18" customHeight="1">
      <c r="A15" s="94" t="str">
        <f>'Cost Allocation Study'!A14</f>
        <v>Unmetered and Scattered</v>
      </c>
      <c r="B15" s="106">
        <f>'Cost Allocation Study'!K14</f>
        <v>46559.118421733685</v>
      </c>
      <c r="C15" s="82">
        <f t="shared" si="0"/>
        <v>0.0034214058457372183</v>
      </c>
      <c r="D15" s="83">
        <f t="shared" si="1"/>
        <v>8.270192937181427</v>
      </c>
      <c r="E15" s="95">
        <f>+G15/'Forecast Data For 2011'!C27</f>
        <v>0.01748170864770058</v>
      </c>
      <c r="F15" s="96">
        <f>+D15*'Forecast Data For 2011'!C26*12</f>
        <v>19990.15477298411</v>
      </c>
      <c r="G15" s="96">
        <f t="shared" si="2"/>
        <v>26568.963648749574</v>
      </c>
      <c r="H15" s="97"/>
      <c r="I15" s="232">
        <f t="shared" si="3"/>
        <v>46559.118421733685</v>
      </c>
      <c r="J15" s="232">
        <f>+'Allocation Low Voltage Costs'!F15</f>
        <v>270.3703836780133</v>
      </c>
      <c r="K15" s="232">
        <f t="shared" si="4"/>
        <v>46829.4888054117</v>
      </c>
    </row>
    <row r="16" spans="1:11" ht="18" customHeight="1" thickBot="1">
      <c r="A16" s="87" t="s">
        <v>1</v>
      </c>
      <c r="B16" s="251">
        <f>SUM(B8:B15)</f>
        <v>13608183.454687903</v>
      </c>
      <c r="C16" s="91">
        <f>SUM(C8:C15)</f>
        <v>1</v>
      </c>
      <c r="D16" s="92"/>
      <c r="E16" s="93"/>
      <c r="F16" s="90">
        <f aca="true" t="shared" si="5" ref="F16:K16">SUM(F8:F15)</f>
        <v>6064086.242052548</v>
      </c>
      <c r="G16" s="90">
        <f t="shared" si="5"/>
        <v>7544097.212635354</v>
      </c>
      <c r="H16" s="90">
        <f t="shared" si="5"/>
        <v>152406.72390332006</v>
      </c>
      <c r="I16" s="90">
        <f t="shared" si="5"/>
        <v>13760590.178591222</v>
      </c>
      <c r="J16" s="90">
        <f t="shared" si="5"/>
        <v>139073.7612267</v>
      </c>
      <c r="K16" s="90">
        <f t="shared" si="5"/>
        <v>13899663.93981792</v>
      </c>
    </row>
    <row r="17" spans="4:9" ht="18" customHeight="1" thickBot="1" thickTop="1">
      <c r="D17" s="647" t="s">
        <v>136</v>
      </c>
      <c r="E17" s="647"/>
      <c r="F17" s="89">
        <f>+F16/I16</f>
        <v>0.44068504063779734</v>
      </c>
      <c r="G17" s="89">
        <f>+G16/I16</f>
        <v>0.5482393643531721</v>
      </c>
      <c r="H17" s="89">
        <f>+H16/I16</f>
        <v>0.011075595009030574</v>
      </c>
      <c r="I17" s="89">
        <f>F17+G17+H17</f>
        <v>1</v>
      </c>
    </row>
    <row r="18" spans="4:10" ht="18" customHeight="1">
      <c r="D18" s="16"/>
      <c r="E18" s="16"/>
      <c r="F18" s="242"/>
      <c r="G18" s="242"/>
      <c r="H18" s="242"/>
      <c r="I18" s="242"/>
      <c r="J18" s="8"/>
    </row>
    <row r="20" spans="4:9" ht="12.75">
      <c r="D20" s="56"/>
      <c r="E20" s="56"/>
      <c r="F20" s="17"/>
      <c r="G20" s="17"/>
      <c r="H20" s="17"/>
      <c r="I20" s="17"/>
    </row>
    <row r="23" spans="1:7" ht="18">
      <c r="A23" s="645" t="s">
        <v>183</v>
      </c>
      <c r="B23" s="645"/>
      <c r="C23" s="645"/>
      <c r="D23" s="645"/>
      <c r="E23" s="645"/>
      <c r="F23" s="645"/>
      <c r="G23" s="645"/>
    </row>
    <row r="24" spans="1:7" ht="63.75">
      <c r="A24" s="313" t="s">
        <v>0</v>
      </c>
      <c r="B24" s="314" t="s">
        <v>184</v>
      </c>
      <c r="C24" s="313" t="s">
        <v>185</v>
      </c>
      <c r="D24" s="313" t="s">
        <v>40</v>
      </c>
      <c r="E24" s="313" t="s">
        <v>186</v>
      </c>
      <c r="F24" s="313" t="s">
        <v>249</v>
      </c>
      <c r="G24" s="313" t="s">
        <v>148</v>
      </c>
    </row>
    <row r="25" spans="1:7" ht="18" customHeight="1">
      <c r="A25" s="94" t="str">
        <f aca="true" t="shared" si="6" ref="A25:A32">A8</f>
        <v>Residential</v>
      </c>
      <c r="B25" s="85">
        <f>('2011 Test Yr On Existing Rates'!G9-'2011 Test Yr On Existing Rates'!I9)/'2011 Test Yr On Existing Rates'!J9</f>
        <v>0.4261734209615194</v>
      </c>
      <c r="C25" s="85">
        <f aca="true" t="shared" si="7" ref="C25:C30">1-B25</f>
        <v>0.5738265790384807</v>
      </c>
      <c r="D25" s="85">
        <f>SUM(B25:C25)</f>
        <v>1</v>
      </c>
      <c r="E25" s="98">
        <f>+B8*C25/'Forecast Data For 2011'!C7/12</f>
        <v>15.359988588982477</v>
      </c>
      <c r="F25" s="98">
        <f>+'2010 Existing Rates'!C8</f>
        <v>13.71</v>
      </c>
      <c r="G25" s="83">
        <f>+'[5]O2 Fixed Charge|Floor|Ceiling'!$D$17</f>
        <v>19.586552832354435</v>
      </c>
    </row>
    <row r="26" spans="1:7" ht="18" customHeight="1">
      <c r="A26" s="94" t="str">
        <f t="shared" si="6"/>
        <v>GS &lt; 50 kW</v>
      </c>
      <c r="B26" s="85">
        <f>('2011 Test Yr On Existing Rates'!G10-'2011 Test Yr On Existing Rates'!I10)/'2011 Test Yr On Existing Rates'!J10</f>
        <v>0.7437555595366498</v>
      </c>
      <c r="C26" s="85">
        <f t="shared" si="7"/>
        <v>0.25624444046335015</v>
      </c>
      <c r="D26" s="85">
        <f aca="true" t="shared" si="8" ref="D26:D32">SUM(B26:C26)</f>
        <v>1</v>
      </c>
      <c r="E26" s="98">
        <f>+B9*C26/'Forecast Data For 2011'!C9/12</f>
        <v>16.784536493930833</v>
      </c>
      <c r="F26" s="98">
        <f>+'2010 Existing Rates'!C9</f>
        <v>14.7</v>
      </c>
      <c r="G26" s="83">
        <f>+'[5]O2 Fixed Charge|Floor|Ceiling'!$E$17</f>
        <v>36.4544635664449</v>
      </c>
    </row>
    <row r="27" spans="1:7" ht="18" customHeight="1">
      <c r="A27" s="94" t="str">
        <f t="shared" si="6"/>
        <v>GS &gt;50 to 999 kW</v>
      </c>
      <c r="B27" s="85">
        <f>('2011 Test Yr On Existing Rates'!G11-'2011 Test Yr On Existing Rates'!I11)/'2011 Test Yr On Existing Rates'!J11</f>
        <v>0.8232158635468586</v>
      </c>
      <c r="C27" s="85">
        <f t="shared" si="7"/>
        <v>0.1767841364531414</v>
      </c>
      <c r="D27" s="85">
        <f t="shared" si="8"/>
        <v>1</v>
      </c>
      <c r="E27" s="98">
        <f>+B10*C27/'Forecast Data For 2011'!C11/12</f>
        <v>88.37285178378828</v>
      </c>
      <c r="F27" s="98">
        <f>+'2010 Existing Rates'!C10</f>
        <v>70.9</v>
      </c>
      <c r="G27" s="83">
        <f>+'[5]O2 Fixed Charge|Floor|Ceiling'!$F$17</f>
        <v>94.3636026795664</v>
      </c>
    </row>
    <row r="28" spans="1:7" ht="18" customHeight="1">
      <c r="A28" s="94" t="str">
        <f t="shared" si="6"/>
        <v>GS &gt;1000 to 4999 kW</v>
      </c>
      <c r="B28" s="85">
        <f>('2011 Test Yr On Existing Rates'!G12-'2011 Test Yr On Existing Rates'!I12)/'2011 Test Yr On Existing Rates'!J12</f>
        <v>0.7844528341027159</v>
      </c>
      <c r="C28" s="85">
        <f t="shared" si="7"/>
        <v>0.21554716589728407</v>
      </c>
      <c r="D28" s="85">
        <f>SUM(B28:C28)</f>
        <v>1</v>
      </c>
      <c r="E28" s="98">
        <f>+B11*C28/'Forecast Data For 2011'!C14/12</f>
        <v>1008.0229438682809</v>
      </c>
      <c r="F28" s="98">
        <f>+'2010 Existing Rates'!C11</f>
        <v>926.33</v>
      </c>
      <c r="G28" s="83">
        <f>+'[5]O2 Fixed Charge|Floor|Ceiling'!$H$17</f>
        <v>513.2445724216122</v>
      </c>
    </row>
    <row r="29" spans="1:7" ht="18" customHeight="1">
      <c r="A29" s="94" t="str">
        <f t="shared" si="6"/>
        <v>Large Use</v>
      </c>
      <c r="B29" s="85">
        <f>('2011 Test Yr On Existing Rates'!G13-'2011 Test Yr On Existing Rates'!I13)/'2011 Test Yr On Existing Rates'!J13</f>
        <v>0.8123285841260885</v>
      </c>
      <c r="C29" s="85">
        <f t="shared" si="7"/>
        <v>0.18767141587391145</v>
      </c>
      <c r="D29" s="85">
        <f t="shared" si="8"/>
        <v>1</v>
      </c>
      <c r="E29" s="98">
        <f>+B12*C29/'Forecast Data For 2011'!C17/12</f>
        <v>4219.505241184287</v>
      </c>
      <c r="F29" s="98">
        <f>+'2010 Existing Rates'!C12</f>
        <v>4126.26</v>
      </c>
      <c r="G29" s="83">
        <f>+'[5]O2 Fixed Charge|Floor|Ceiling'!$I$17</f>
        <v>295.39564406380157</v>
      </c>
    </row>
    <row r="30" spans="1:7" ht="18" customHeight="1">
      <c r="A30" s="94" t="str">
        <f t="shared" si="6"/>
        <v>Sentinel Lights</v>
      </c>
      <c r="B30" s="85">
        <f>('2011 Test Yr On Existing Rates'!G14-'2011 Test Yr On Existing Rates'!I14)/'2011 Test Yr On Existing Rates'!J14</f>
        <v>0.5182448375329008</v>
      </c>
      <c r="C30" s="85">
        <f t="shared" si="7"/>
        <v>0.48175516246709915</v>
      </c>
      <c r="D30" s="85">
        <f t="shared" si="8"/>
        <v>1</v>
      </c>
      <c r="E30" s="98">
        <f>+B13*C30/'Forecast Data For 2011'!C20/12</f>
        <v>1.469223420624888</v>
      </c>
      <c r="F30" s="98">
        <f>+'2010 Existing Rates'!B13</f>
        <v>0.4</v>
      </c>
      <c r="G30" s="83">
        <f>+'[5]O2 Fixed Charge|Floor|Ceiling'!$K$17</f>
        <v>8.108773153047542</v>
      </c>
    </row>
    <row r="31" spans="1:7" ht="18" customHeight="1">
      <c r="A31" s="94" t="str">
        <f t="shared" si="6"/>
        <v>Street Lighting</v>
      </c>
      <c r="B31" s="85">
        <f>('2011 Test Yr On Existing Rates'!G15-'2011 Test Yr On Existing Rates'!I15)/'2011 Test Yr On Existing Rates'!J15</f>
        <v>0.6937279410828757</v>
      </c>
      <c r="C31" s="85">
        <f>'2011 Test Yr On Existing Rates'!F15/'2011 Test Yr On Existing Rates'!H15</f>
        <v>0.3062720589171242</v>
      </c>
      <c r="D31" s="85">
        <f t="shared" si="8"/>
        <v>1</v>
      </c>
      <c r="E31" s="98">
        <f>+B14*C31/'Forecast Data For 2011'!C23/12</f>
        <v>1.1371838273881412</v>
      </c>
      <c r="F31" s="98">
        <f>+'2010 Existing Rates'!B14</f>
        <v>0.16</v>
      </c>
      <c r="G31" s="83">
        <f>+'[5]O2 Fixed Charge|Floor|Ceiling'!$J$17</f>
        <v>8.459794194821308</v>
      </c>
    </row>
    <row r="32" spans="1:7" ht="18" customHeight="1">
      <c r="A32" s="94" t="str">
        <f t="shared" si="6"/>
        <v>Unmetered and Scattered</v>
      </c>
      <c r="B32" s="85">
        <f>('2011 Test Yr On Existing Rates'!G16-'2011 Test Yr On Existing Rates'!I16)/'2011 Test Yr On Existing Rates'!J16</f>
        <v>0.5706500584501455</v>
      </c>
      <c r="C32" s="85">
        <f>'2011 Test Yr On Existing Rates'!F16/'2011 Test Yr On Existing Rates'!H16</f>
        <v>0.4293499415498545</v>
      </c>
      <c r="D32" s="85">
        <f t="shared" si="8"/>
        <v>1</v>
      </c>
      <c r="E32" s="98">
        <f>+B15*C32/'Forecast Data For 2011'!C26/12</f>
        <v>8.270192937181427</v>
      </c>
      <c r="F32" s="98">
        <f>+'2010 Existing Rates'!B15</f>
        <v>7.38</v>
      </c>
      <c r="G32" s="83">
        <f>+'[5]O2 Fixed Charge|Floor|Ceiling'!$L$17</f>
        <v>13.097397686797999</v>
      </c>
    </row>
    <row r="33" spans="1:7" ht="18" customHeight="1">
      <c r="A33" s="94"/>
      <c r="B33" s="252"/>
      <c r="C33" s="85"/>
      <c r="D33" s="85"/>
      <c r="E33" s="98"/>
      <c r="F33" s="98"/>
      <c r="G33" s="83"/>
    </row>
    <row r="34" spans="1:7" ht="18" customHeight="1" thickBot="1">
      <c r="A34" s="100" t="s">
        <v>1</v>
      </c>
      <c r="B34" s="253"/>
      <c r="C34" s="101"/>
      <c r="D34" s="101"/>
      <c r="E34" s="101"/>
      <c r="F34" s="101"/>
      <c r="G34" s="101"/>
    </row>
    <row r="35" ht="13.5" thickTop="1">
      <c r="F35" s="1"/>
    </row>
    <row r="36" spans="3:6" ht="12.75">
      <c r="C36" s="10"/>
      <c r="F36" s="66"/>
    </row>
    <row r="37" ht="12.75">
      <c r="F37" s="66"/>
    </row>
    <row r="38" spans="1:6" ht="15">
      <c r="A38" s="650" t="s">
        <v>260</v>
      </c>
      <c r="B38" s="650"/>
      <c r="C38" s="650"/>
      <c r="D38" s="650"/>
      <c r="E38" s="650"/>
      <c r="F38" s="66"/>
    </row>
    <row r="39" spans="1:6" ht="39.75" customHeight="1">
      <c r="A39" s="313" t="s">
        <v>0</v>
      </c>
      <c r="B39" s="314" t="s">
        <v>257</v>
      </c>
      <c r="C39" s="314" t="s">
        <v>258</v>
      </c>
      <c r="D39" s="314" t="s">
        <v>259</v>
      </c>
      <c r="E39" s="314" t="s">
        <v>261</v>
      </c>
      <c r="F39" s="66"/>
    </row>
    <row r="40" spans="1:6" ht="15" customHeight="1">
      <c r="A40" s="94" t="str">
        <f>+A8</f>
        <v>Residential</v>
      </c>
      <c r="B40" s="106">
        <f>+I8</f>
        <v>8699057.718738288</v>
      </c>
      <c r="C40" s="106"/>
      <c r="D40" s="106">
        <f>+F8+G8</f>
        <v>8699057.718738288</v>
      </c>
      <c r="E40" s="308">
        <f>+C8</f>
        <v>0.6392519433401331</v>
      </c>
      <c r="F40" s="66"/>
    </row>
    <row r="41" spans="1:6" ht="15" customHeight="1">
      <c r="A41" s="94" t="str">
        <f aca="true" t="shared" si="9" ref="A41:A47">+A9</f>
        <v>GS &lt; 50 kW</v>
      </c>
      <c r="B41" s="106">
        <f aca="true" t="shared" si="10" ref="B41:B47">+I9</f>
        <v>1797243.0128530879</v>
      </c>
      <c r="C41" s="106"/>
      <c r="D41" s="106">
        <f aca="true" t="shared" si="11" ref="D41:D47">+F9+G9</f>
        <v>1797243.0128530879</v>
      </c>
      <c r="E41" s="308">
        <f aca="true" t="shared" si="12" ref="E41:E47">+C9</f>
        <v>0.13207075131206827</v>
      </c>
      <c r="F41" s="66"/>
    </row>
    <row r="42" spans="1:6" ht="15" customHeight="1">
      <c r="A42" s="94" t="str">
        <f t="shared" si="9"/>
        <v>GS &gt;50 to 999 kW</v>
      </c>
      <c r="B42" s="106">
        <f t="shared" si="10"/>
        <v>1798190.8160820191</v>
      </c>
      <c r="C42" s="303">
        <f>-H10</f>
        <v>-41349.21917371997</v>
      </c>
      <c r="D42" s="106">
        <f t="shared" si="11"/>
        <v>1756841.5969082993</v>
      </c>
      <c r="E42" s="308">
        <f t="shared" si="12"/>
        <v>0.12910184542692085</v>
      </c>
      <c r="F42" s="66"/>
    </row>
    <row r="43" spans="1:6" ht="15" customHeight="1">
      <c r="A43" s="94" t="str">
        <f t="shared" si="9"/>
        <v>GS &gt;1000 to 4999 kW</v>
      </c>
      <c r="B43" s="106">
        <f t="shared" si="10"/>
        <v>742336.6895656687</v>
      </c>
      <c r="C43" s="303">
        <f>-H11</f>
        <v>-111057.50472960008</v>
      </c>
      <c r="D43" s="106">
        <f t="shared" si="11"/>
        <v>631279.1848360687</v>
      </c>
      <c r="E43" s="308">
        <f t="shared" si="12"/>
        <v>0.046389673312244945</v>
      </c>
      <c r="F43" s="61"/>
    </row>
    <row r="44" spans="1:6" ht="15" customHeight="1">
      <c r="A44" s="94" t="str">
        <f t="shared" si="9"/>
        <v>Large Use</v>
      </c>
      <c r="B44" s="106">
        <f t="shared" si="10"/>
        <v>539603.3557740125</v>
      </c>
      <c r="C44" s="303">
        <f>-H12</f>
        <v>0</v>
      </c>
      <c r="D44" s="106">
        <f t="shared" si="11"/>
        <v>539603.3557740125</v>
      </c>
      <c r="E44" s="308">
        <f t="shared" si="12"/>
        <v>0.039652857236292166</v>
      </c>
      <c r="F44" s="61"/>
    </row>
    <row r="45" spans="1:5" ht="15" customHeight="1">
      <c r="A45" s="94" t="str">
        <f t="shared" si="9"/>
        <v>Sentinel Lights</v>
      </c>
      <c r="B45" s="106">
        <f t="shared" si="10"/>
        <v>9965.995363811842</v>
      </c>
      <c r="C45" s="106"/>
      <c r="D45" s="106">
        <f t="shared" si="11"/>
        <v>9965.995363811842</v>
      </c>
      <c r="E45" s="308">
        <f t="shared" si="12"/>
        <v>0.0007323531018667038</v>
      </c>
    </row>
    <row r="46" spans="1:5" ht="15" customHeight="1">
      <c r="A46" s="94" t="str">
        <f t="shared" si="9"/>
        <v>Street Lighting</v>
      </c>
      <c r="B46" s="106">
        <f t="shared" si="10"/>
        <v>127633.47179260117</v>
      </c>
      <c r="C46" s="106"/>
      <c r="D46" s="106">
        <f t="shared" si="11"/>
        <v>127633.47179260117</v>
      </c>
      <c r="E46" s="308">
        <f t="shared" si="12"/>
        <v>0.00937917042473678</v>
      </c>
    </row>
    <row r="47" spans="1:5" ht="15" customHeight="1">
      <c r="A47" s="94" t="str">
        <f t="shared" si="9"/>
        <v>Unmetered and Scattered</v>
      </c>
      <c r="B47" s="106">
        <f t="shared" si="10"/>
        <v>46559.118421733685</v>
      </c>
      <c r="C47" s="106"/>
      <c r="D47" s="106">
        <f t="shared" si="11"/>
        <v>46559.118421733685</v>
      </c>
      <c r="E47" s="308">
        <f t="shared" si="12"/>
        <v>0.0034214058457372183</v>
      </c>
    </row>
    <row r="48" spans="1:5" ht="15" customHeight="1">
      <c r="A48" s="304" t="s">
        <v>1</v>
      </c>
      <c r="B48" s="305">
        <f>SUM(B40:B47)</f>
        <v>13760590.178591222</v>
      </c>
      <c r="C48" s="306">
        <f>SUM(C40:C47)</f>
        <v>-152406.72390332006</v>
      </c>
      <c r="D48" s="307">
        <f>SUM(D40:D47)</f>
        <v>13608183.454687903</v>
      </c>
      <c r="E48" s="309">
        <f>SUM(E40:E47)</f>
        <v>1</v>
      </c>
    </row>
    <row r="49" ht="12.75">
      <c r="C49" s="1"/>
    </row>
    <row r="51" spans="1:4" ht="15">
      <c r="A51" s="650" t="s">
        <v>265</v>
      </c>
      <c r="B51" s="650"/>
      <c r="C51" s="650"/>
      <c r="D51" s="650"/>
    </row>
    <row r="52" spans="1:5" ht="25.5">
      <c r="A52" s="559" t="s">
        <v>0</v>
      </c>
      <c r="B52" s="558" t="s">
        <v>402</v>
      </c>
      <c r="C52" s="436" t="s">
        <v>403</v>
      </c>
      <c r="D52" s="565" t="s">
        <v>400</v>
      </c>
      <c r="E52" s="559" t="s">
        <v>401</v>
      </c>
    </row>
    <row r="53" spans="1:5" ht="15" customHeight="1">
      <c r="A53" s="94" t="str">
        <f>+A25</f>
        <v>Residential</v>
      </c>
      <c r="B53" s="85">
        <f>+C25</f>
        <v>0.5738265790384807</v>
      </c>
      <c r="C53" s="339">
        <f>+B25</f>
        <v>0.4261734209615194</v>
      </c>
      <c r="D53" s="566">
        <f aca="true" t="shared" si="13" ref="D53:D60">+F8/B8</f>
        <v>0.5738265790384807</v>
      </c>
      <c r="E53" s="564">
        <f>+G8/B8</f>
        <v>0.4261734209615193</v>
      </c>
    </row>
    <row r="54" spans="1:5" ht="15" customHeight="1">
      <c r="A54" s="94" t="str">
        <f aca="true" t="shared" si="14" ref="A54:A59">+A26</f>
        <v>GS &lt; 50 kW</v>
      </c>
      <c r="B54" s="85">
        <f aca="true" t="shared" si="15" ref="B54:B60">+C26</f>
        <v>0.25624444046335015</v>
      </c>
      <c r="C54" s="569">
        <f aca="true" t="shared" si="16" ref="C54:C60">+B26</f>
        <v>0.7437555595366498</v>
      </c>
      <c r="D54" s="567">
        <f t="shared" si="13"/>
        <v>0.25624444046335015</v>
      </c>
      <c r="E54" s="564">
        <f aca="true" t="shared" si="17" ref="E54:E60">+G9/B9</f>
        <v>0.7437555595366497</v>
      </c>
    </row>
    <row r="55" spans="1:5" ht="15" customHeight="1">
      <c r="A55" s="94" t="str">
        <f t="shared" si="14"/>
        <v>GS &gt;50 to 999 kW</v>
      </c>
      <c r="B55" s="85">
        <f t="shared" si="15"/>
        <v>0.1767841364531414</v>
      </c>
      <c r="C55" s="569">
        <f t="shared" si="16"/>
        <v>0.8232158635468586</v>
      </c>
      <c r="D55" s="567">
        <f t="shared" si="13"/>
        <v>0.1767841364531414</v>
      </c>
      <c r="E55" s="564">
        <f t="shared" si="17"/>
        <v>0.8232158635468586</v>
      </c>
    </row>
    <row r="56" spans="1:5" ht="15" customHeight="1">
      <c r="A56" s="94" t="str">
        <f t="shared" si="14"/>
        <v>GS &gt;1000 to 4999 kW</v>
      </c>
      <c r="B56" s="85">
        <f t="shared" si="15"/>
        <v>0.21554716589728407</v>
      </c>
      <c r="C56" s="569">
        <f t="shared" si="16"/>
        <v>0.7844528341027159</v>
      </c>
      <c r="D56" s="567">
        <f t="shared" si="13"/>
        <v>0.21554716589728407</v>
      </c>
      <c r="E56" s="564">
        <f t="shared" si="17"/>
        <v>0.7844528341027159</v>
      </c>
    </row>
    <row r="57" spans="1:5" ht="15" customHeight="1">
      <c r="A57" s="94" t="str">
        <f t="shared" si="14"/>
        <v>Large Use</v>
      </c>
      <c r="B57" s="85">
        <f t="shared" si="15"/>
        <v>0.18767141587391145</v>
      </c>
      <c r="C57" s="569">
        <f t="shared" si="16"/>
        <v>0.8123285841260885</v>
      </c>
      <c r="D57" s="567">
        <f t="shared" si="13"/>
        <v>0.18767141587391142</v>
      </c>
      <c r="E57" s="564">
        <f t="shared" si="17"/>
        <v>0.8123285841260885</v>
      </c>
    </row>
    <row r="58" spans="1:5" ht="15" customHeight="1">
      <c r="A58" s="94" t="str">
        <f t="shared" si="14"/>
        <v>Sentinel Lights</v>
      </c>
      <c r="B58" s="85">
        <f t="shared" si="15"/>
        <v>0.48175516246709915</v>
      </c>
      <c r="C58" s="569">
        <f t="shared" si="16"/>
        <v>0.5182448375329008</v>
      </c>
      <c r="D58" s="567">
        <f t="shared" si="13"/>
        <v>0.48175516246709915</v>
      </c>
      <c r="E58" s="564">
        <f t="shared" si="17"/>
        <v>0.5182448375329008</v>
      </c>
    </row>
    <row r="59" spans="1:5" ht="15" customHeight="1">
      <c r="A59" s="94" t="str">
        <f t="shared" si="14"/>
        <v>Street Lighting</v>
      </c>
      <c r="B59" s="85">
        <f t="shared" si="15"/>
        <v>0.3062720589171242</v>
      </c>
      <c r="C59" s="569">
        <f t="shared" si="16"/>
        <v>0.6937279410828757</v>
      </c>
      <c r="D59" s="567">
        <f t="shared" si="13"/>
        <v>0.3062720589171242</v>
      </c>
      <c r="E59" s="564">
        <f t="shared" si="17"/>
        <v>0.6937279410828758</v>
      </c>
    </row>
    <row r="60" spans="1:5" ht="15" customHeight="1">
      <c r="A60" s="94" t="str">
        <f>+A32</f>
        <v>Unmetered and Scattered</v>
      </c>
      <c r="B60" s="85">
        <f t="shared" si="15"/>
        <v>0.4293499415498545</v>
      </c>
      <c r="C60" s="569">
        <f t="shared" si="16"/>
        <v>0.5706500584501455</v>
      </c>
      <c r="D60" s="567">
        <f t="shared" si="13"/>
        <v>0.4293499415498545</v>
      </c>
      <c r="E60" s="564">
        <f t="shared" si="17"/>
        <v>0.5706500584501455</v>
      </c>
    </row>
    <row r="61" spans="1:4" ht="15" customHeight="1">
      <c r="A61" s="562"/>
      <c r="B61" s="563"/>
      <c r="C61" s="570"/>
      <c r="D61" s="568"/>
    </row>
    <row r="62" ht="13.5" customHeight="1"/>
    <row r="63" spans="1:3" ht="13.5" customHeight="1">
      <c r="A63" s="650"/>
      <c r="B63" s="650"/>
      <c r="C63" s="650"/>
    </row>
    <row r="65" spans="1:7" ht="15">
      <c r="A65" s="649" t="s">
        <v>318</v>
      </c>
      <c r="B65" s="649"/>
      <c r="C65" s="649"/>
      <c r="D65" s="649"/>
      <c r="E65" s="649"/>
      <c r="F65" s="649"/>
      <c r="G65" s="649"/>
    </row>
    <row r="66" spans="1:10" ht="55.5" customHeight="1">
      <c r="A66" s="313" t="s">
        <v>0</v>
      </c>
      <c r="B66" s="517" t="s">
        <v>399</v>
      </c>
      <c r="C66" s="517" t="s">
        <v>397</v>
      </c>
      <c r="D66" s="517" t="s">
        <v>319</v>
      </c>
      <c r="E66" s="517" t="s">
        <v>5</v>
      </c>
      <c r="F66" s="517" t="s">
        <v>398</v>
      </c>
      <c r="G66" s="314" t="s">
        <v>320</v>
      </c>
      <c r="H66" s="314" t="s">
        <v>83</v>
      </c>
      <c r="I66" s="517" t="s">
        <v>321</v>
      </c>
      <c r="J66" s="520"/>
    </row>
    <row r="67" spans="1:13" ht="15" customHeight="1">
      <c r="A67" s="342" t="str">
        <f>+A40</f>
        <v>Residential</v>
      </c>
      <c r="B67" s="343">
        <f>+D40</f>
        <v>8699057.718738288</v>
      </c>
      <c r="C67" s="343">
        <f>+F8</f>
        <v>4991750.531601882</v>
      </c>
      <c r="D67" s="343">
        <f>+B67-C67</f>
        <v>3707307.187136406</v>
      </c>
      <c r="E67" s="343"/>
      <c r="F67" s="343">
        <f>+D67+E67</f>
        <v>3707307.187136406</v>
      </c>
      <c r="G67" s="344">
        <f>+'Forecast Data For 2011'!C8</f>
        <v>258520605.95410493</v>
      </c>
      <c r="H67" s="345" t="s">
        <v>15</v>
      </c>
      <c r="I67" s="522">
        <f>+F67/G67</f>
        <v>0.014340470746825354</v>
      </c>
      <c r="J67" s="521"/>
      <c r="L67" s="28"/>
      <c r="M67" s="28"/>
    </row>
    <row r="68" spans="1:13" ht="15" customHeight="1">
      <c r="A68" s="342" t="str">
        <f aca="true" t="shared" si="18" ref="A68:A73">+A41</f>
        <v>GS &lt; 50 kW</v>
      </c>
      <c r="B68" s="343">
        <f aca="true" t="shared" si="19" ref="B68:B74">+D41</f>
        <v>1797243.0128530879</v>
      </c>
      <c r="C68" s="343">
        <f aca="true" t="shared" si="20" ref="C68:C74">+F9</f>
        <v>460533.5302052052</v>
      </c>
      <c r="D68" s="343">
        <f aca="true" t="shared" si="21" ref="D68:D74">+B68-C68</f>
        <v>1336709.4826478828</v>
      </c>
      <c r="E68" s="343"/>
      <c r="F68" s="343">
        <f aca="true" t="shared" si="22" ref="F68:F74">+D68+E68</f>
        <v>1336709.4826478828</v>
      </c>
      <c r="G68" s="344">
        <f>+'Forecast Data For 2011'!C10</f>
        <v>75044766.85043971</v>
      </c>
      <c r="H68" s="345" t="s">
        <v>15</v>
      </c>
      <c r="I68" s="522">
        <f aca="true" t="shared" si="23" ref="I68:I74">+F68/G68</f>
        <v>0.017812161177232715</v>
      </c>
      <c r="J68" s="521"/>
      <c r="L68" s="28"/>
      <c r="M68" s="28"/>
    </row>
    <row r="69" spans="1:13" ht="15" customHeight="1">
      <c r="A69" s="342" t="str">
        <f t="shared" si="18"/>
        <v>GS &gt;50 to 999 kW</v>
      </c>
      <c r="B69" s="343">
        <f t="shared" si="19"/>
        <v>1756841.5969082993</v>
      </c>
      <c r="C69" s="343">
        <f t="shared" si="20"/>
        <v>310581.7245943916</v>
      </c>
      <c r="D69" s="343">
        <f t="shared" si="21"/>
        <v>1446259.8723139076</v>
      </c>
      <c r="E69" s="343">
        <f>+H10</f>
        <v>41349.21917371997</v>
      </c>
      <c r="F69" s="343">
        <f t="shared" si="22"/>
        <v>1487609.0914876275</v>
      </c>
      <c r="G69" s="344">
        <f>+'Forecast Data For 2011'!C12</f>
        <v>507928.9578826085</v>
      </c>
      <c r="H69" s="345" t="s">
        <v>16</v>
      </c>
      <c r="I69" s="522">
        <f t="shared" si="23"/>
        <v>2.9287739326558353</v>
      </c>
      <c r="J69" s="521"/>
      <c r="L69" s="28"/>
      <c r="M69" s="28"/>
    </row>
    <row r="70" spans="1:13" ht="15" customHeight="1">
      <c r="A70" s="342" t="str">
        <f t="shared" si="18"/>
        <v>GS &gt;1000 to 4999 kW</v>
      </c>
      <c r="B70" s="343">
        <f t="shared" si="19"/>
        <v>631279.1848360687</v>
      </c>
      <c r="C70" s="343">
        <f t="shared" si="20"/>
        <v>136070.43918136234</v>
      </c>
      <c r="D70" s="343">
        <f t="shared" si="21"/>
        <v>495208.7456547063</v>
      </c>
      <c r="E70" s="343">
        <f>+H11</f>
        <v>111057.50472960008</v>
      </c>
      <c r="F70" s="343">
        <f t="shared" si="22"/>
        <v>606266.2503843064</v>
      </c>
      <c r="G70" s="344">
        <f>+'Forecast Data For 2011'!C15</f>
        <v>193245.89552474002</v>
      </c>
      <c r="H70" s="345" t="s">
        <v>16</v>
      </c>
      <c r="I70" s="522">
        <f t="shared" si="23"/>
        <v>3.137278795692145</v>
      </c>
      <c r="J70" s="521"/>
      <c r="L70" s="28"/>
      <c r="M70" s="28"/>
    </row>
    <row r="71" spans="1:13" ht="15" customHeight="1">
      <c r="A71" s="342" t="str">
        <f t="shared" si="18"/>
        <v>Large Use</v>
      </c>
      <c r="B71" s="343">
        <f t="shared" si="19"/>
        <v>539603.3557740125</v>
      </c>
      <c r="C71" s="343">
        <f t="shared" si="20"/>
        <v>101268.12578842288</v>
      </c>
      <c r="D71" s="343">
        <f t="shared" si="21"/>
        <v>438335.2299855896</v>
      </c>
      <c r="E71" s="343">
        <f>+H12</f>
        <v>0</v>
      </c>
      <c r="F71" s="343">
        <f t="shared" si="22"/>
        <v>438335.2299855896</v>
      </c>
      <c r="G71" s="344">
        <f>+'Forecast Data For 2011'!C18</f>
        <v>173520.87863219183</v>
      </c>
      <c r="H71" s="345" t="s">
        <v>16</v>
      </c>
      <c r="I71" s="522">
        <f t="shared" si="23"/>
        <v>2.5261238499991614</v>
      </c>
      <c r="J71" s="521"/>
      <c r="L71" s="28"/>
      <c r="M71" s="28"/>
    </row>
    <row r="72" spans="1:13" ht="15" customHeight="1">
      <c r="A72" s="342" t="str">
        <f t="shared" si="18"/>
        <v>Sentinel Lights</v>
      </c>
      <c r="B72" s="343">
        <f t="shared" si="19"/>
        <v>9965.995363811842</v>
      </c>
      <c r="C72" s="343">
        <f t="shared" si="20"/>
        <v>4801.169715639531</v>
      </c>
      <c r="D72" s="343">
        <f t="shared" si="21"/>
        <v>5164.825648172311</v>
      </c>
      <c r="E72" s="343"/>
      <c r="F72" s="343">
        <f t="shared" si="22"/>
        <v>5164.825648172311</v>
      </c>
      <c r="G72" s="344">
        <f>+'Forecast Data For 2011'!C21</f>
        <v>465.2233502043091</v>
      </c>
      <c r="H72" s="345" t="s">
        <v>16</v>
      </c>
      <c r="I72" s="522">
        <f t="shared" si="23"/>
        <v>11.101819472096807</v>
      </c>
      <c r="J72" s="521"/>
      <c r="L72" s="28"/>
      <c r="M72" s="28"/>
    </row>
    <row r="73" spans="1:13" ht="15" customHeight="1">
      <c r="A73" s="342" t="str">
        <f t="shared" si="18"/>
        <v>Street Lighting</v>
      </c>
      <c r="B73" s="343">
        <f t="shared" si="19"/>
        <v>127633.47179260117</v>
      </c>
      <c r="C73" s="343">
        <f t="shared" si="20"/>
        <v>39090.566192660655</v>
      </c>
      <c r="D73" s="343">
        <f t="shared" si="21"/>
        <v>88542.90559994051</v>
      </c>
      <c r="E73" s="343"/>
      <c r="F73" s="343">
        <f t="shared" si="22"/>
        <v>88542.90559994051</v>
      </c>
      <c r="G73" s="344">
        <f>+'Forecast Data For 2011'!C24</f>
        <v>17809.64893515205</v>
      </c>
      <c r="H73" s="345" t="s">
        <v>16</v>
      </c>
      <c r="I73" s="522">
        <f t="shared" si="23"/>
        <v>4.97162554536253</v>
      </c>
      <c r="J73" s="521"/>
      <c r="L73" s="28"/>
      <c r="M73" s="28"/>
    </row>
    <row r="74" spans="1:13" ht="15" customHeight="1">
      <c r="A74" s="342" t="str">
        <f>+A47</f>
        <v>Unmetered and Scattered</v>
      </c>
      <c r="B74" s="350">
        <f t="shared" si="19"/>
        <v>46559.118421733685</v>
      </c>
      <c r="C74" s="350">
        <f t="shared" si="20"/>
        <v>19990.15477298411</v>
      </c>
      <c r="D74" s="350">
        <f t="shared" si="21"/>
        <v>26568.963648749574</v>
      </c>
      <c r="E74" s="350"/>
      <c r="F74" s="350">
        <f t="shared" si="22"/>
        <v>26568.963648749574</v>
      </c>
      <c r="G74" s="351">
        <f>+'Forecast Data For 2011'!C27</f>
        <v>1519815.0354853482</v>
      </c>
      <c r="H74" s="352" t="s">
        <v>15</v>
      </c>
      <c r="I74" s="523">
        <f t="shared" si="23"/>
        <v>0.01748170864770058</v>
      </c>
      <c r="J74" s="521"/>
      <c r="L74" s="28"/>
      <c r="M74" s="28"/>
    </row>
    <row r="75" spans="1:12" ht="15" customHeight="1">
      <c r="A75" s="346" t="s">
        <v>40</v>
      </c>
      <c r="B75" s="347">
        <f>SUM(B67:B74)</f>
        <v>13608183.454687903</v>
      </c>
      <c r="C75" s="347">
        <f>SUM(C67:C74)</f>
        <v>6064086.242052548</v>
      </c>
      <c r="D75" s="347">
        <f>SUM(D67:D74)</f>
        <v>7544097.212635354</v>
      </c>
      <c r="E75" s="347">
        <f>SUM(E67:E74)</f>
        <v>152406.72390332006</v>
      </c>
      <c r="F75" s="347">
        <f>SUM(F67:F74)</f>
        <v>7696503.936538675</v>
      </c>
      <c r="G75" s="348"/>
      <c r="H75" s="349"/>
      <c r="I75" s="524"/>
      <c r="J75" s="64"/>
      <c r="L75" s="28"/>
    </row>
    <row r="76" ht="12.75">
      <c r="J76" s="16"/>
    </row>
    <row r="78" ht="12.75">
      <c r="A78" t="s">
        <v>404</v>
      </c>
    </row>
    <row r="79" spans="1:6" ht="51">
      <c r="A79" s="559" t="s">
        <v>0</v>
      </c>
      <c r="B79" s="558" t="s">
        <v>146</v>
      </c>
      <c r="C79" s="559" t="s">
        <v>406</v>
      </c>
      <c r="D79" s="559" t="s">
        <v>405</v>
      </c>
      <c r="E79" s="559" t="s">
        <v>407</v>
      </c>
      <c r="F79" s="559" t="s">
        <v>408</v>
      </c>
    </row>
    <row r="80" spans="1:9" ht="15" customHeight="1">
      <c r="A80" s="572" t="str">
        <f>+A67</f>
        <v>Residential</v>
      </c>
      <c r="B80" s="333">
        <f aca="true" t="shared" si="24" ref="B80:B88">+B8</f>
        <v>8699057.718738288</v>
      </c>
      <c r="C80" s="334">
        <f aca="true" t="shared" si="25" ref="C80:C87">+D53</f>
        <v>0.5738265790384807</v>
      </c>
      <c r="D80" s="336">
        <f>+B80*C80</f>
        <v>4991750.531601882</v>
      </c>
      <c r="E80" s="572">
        <f>+'Forecast Data For 2011'!C7</f>
        <v>27082</v>
      </c>
      <c r="F80" s="573">
        <f>+D80/E80/12</f>
        <v>15.359988588982477</v>
      </c>
      <c r="G80" s="1">
        <v>4991750.531601882</v>
      </c>
      <c r="H80" s="432">
        <f aca="true" t="shared" si="26" ref="H80:H87">+D80-G80</f>
        <v>0</v>
      </c>
      <c r="I80" s="571">
        <f>+D8</f>
        <v>15.359988588982477</v>
      </c>
    </row>
    <row r="81" spans="1:9" ht="15" customHeight="1">
      <c r="A81" s="572" t="str">
        <f aca="true" t="shared" si="27" ref="A81:A87">+A68</f>
        <v>GS &lt; 50 kW</v>
      </c>
      <c r="B81" s="333">
        <f t="shared" si="24"/>
        <v>1797243.012853088</v>
      </c>
      <c r="C81" s="334">
        <f t="shared" si="25"/>
        <v>0.25624444046335015</v>
      </c>
      <c r="D81" s="336">
        <f aca="true" t="shared" si="28" ref="D81:D87">+B81*C81</f>
        <v>460533.5302052052</v>
      </c>
      <c r="E81" s="572">
        <f>+'Forecast Data For 2011'!C9</f>
        <v>2286.4971098632504</v>
      </c>
      <c r="F81" s="573">
        <f aca="true" t="shared" si="29" ref="F81:F87">+D81/E81/12</f>
        <v>16.784536493930833</v>
      </c>
      <c r="G81" s="1">
        <v>460533.5302052052</v>
      </c>
      <c r="H81" s="432">
        <f t="shared" si="26"/>
        <v>0</v>
      </c>
      <c r="I81" s="571">
        <f aca="true" t="shared" si="30" ref="I81:I87">+D9</f>
        <v>16.784536493930833</v>
      </c>
    </row>
    <row r="82" spans="1:9" ht="15" customHeight="1">
      <c r="A82" s="572" t="str">
        <f t="shared" si="27"/>
        <v>GS &gt;50 to 999 kW</v>
      </c>
      <c r="B82" s="333">
        <f t="shared" si="24"/>
        <v>1756841.5969082993</v>
      </c>
      <c r="C82" s="334">
        <f t="shared" si="25"/>
        <v>0.1767841364531414</v>
      </c>
      <c r="D82" s="336">
        <f t="shared" si="28"/>
        <v>310581.7245943916</v>
      </c>
      <c r="E82" s="572">
        <f>+'Forecast Data For 2011'!C11</f>
        <v>292.87060291081275</v>
      </c>
      <c r="F82" s="573">
        <f t="shared" si="29"/>
        <v>88.37285178378828</v>
      </c>
      <c r="G82" s="1">
        <v>310581.7245943916</v>
      </c>
      <c r="H82" s="432">
        <f t="shared" si="26"/>
        <v>0</v>
      </c>
      <c r="I82" s="571">
        <f t="shared" si="30"/>
        <v>88.37285178378828</v>
      </c>
    </row>
    <row r="83" spans="1:9" ht="15" customHeight="1">
      <c r="A83" s="572" t="str">
        <f t="shared" si="27"/>
        <v>GS &gt;1000 to 4999 kW</v>
      </c>
      <c r="B83" s="333">
        <f t="shared" si="24"/>
        <v>631279.1848360687</v>
      </c>
      <c r="C83" s="334">
        <f t="shared" si="25"/>
        <v>0.21554716589728407</v>
      </c>
      <c r="D83" s="336">
        <f t="shared" si="28"/>
        <v>136070.43918136234</v>
      </c>
      <c r="E83" s="572">
        <f>+'Forecast Data For 2011'!C14</f>
        <v>11.24895354226702</v>
      </c>
      <c r="F83" s="573">
        <f t="shared" si="29"/>
        <v>1008.0229438682809</v>
      </c>
      <c r="G83" s="1">
        <v>136070.43918136234</v>
      </c>
      <c r="H83" s="432">
        <f t="shared" si="26"/>
        <v>0</v>
      </c>
      <c r="I83" s="571">
        <f t="shared" si="30"/>
        <v>1008.0229438682809</v>
      </c>
    </row>
    <row r="84" spans="1:9" ht="15" customHeight="1">
      <c r="A84" s="572" t="str">
        <f t="shared" si="27"/>
        <v>Large Use</v>
      </c>
      <c r="B84" s="333">
        <f t="shared" si="24"/>
        <v>539603.3557740125</v>
      </c>
      <c r="C84" s="334">
        <f t="shared" si="25"/>
        <v>0.18767141587391142</v>
      </c>
      <c r="D84" s="336">
        <f t="shared" si="28"/>
        <v>101268.12578842288</v>
      </c>
      <c r="E84" s="572">
        <f>+'Forecast Data For 2011'!C17</f>
        <v>2</v>
      </c>
      <c r="F84" s="573">
        <f t="shared" si="29"/>
        <v>4219.505241184287</v>
      </c>
      <c r="G84" s="1">
        <v>101268.12578842288</v>
      </c>
      <c r="H84" s="432">
        <f t="shared" si="26"/>
        <v>0</v>
      </c>
      <c r="I84" s="571">
        <f t="shared" si="30"/>
        <v>4219.505241184287</v>
      </c>
    </row>
    <row r="85" spans="1:9" ht="15" customHeight="1">
      <c r="A85" s="572" t="str">
        <f t="shared" si="27"/>
        <v>Sentinel Lights</v>
      </c>
      <c r="B85" s="333">
        <f t="shared" si="24"/>
        <v>9965.995363811842</v>
      </c>
      <c r="C85" s="334">
        <f t="shared" si="25"/>
        <v>0.48175516246709915</v>
      </c>
      <c r="D85" s="336">
        <f t="shared" si="28"/>
        <v>4801.169715639531</v>
      </c>
      <c r="E85" s="572">
        <f>+'Forecast Data For 2011'!C20</f>
        <v>272.31901607798045</v>
      </c>
      <c r="F85" s="573">
        <f t="shared" si="29"/>
        <v>1.469223420624888</v>
      </c>
      <c r="G85" s="1">
        <v>4801.169715639531</v>
      </c>
      <c r="H85" s="432">
        <f t="shared" si="26"/>
        <v>0</v>
      </c>
      <c r="I85" s="571">
        <f t="shared" si="30"/>
        <v>1.469223420624888</v>
      </c>
    </row>
    <row r="86" spans="1:9" ht="15" customHeight="1">
      <c r="A86" s="572" t="str">
        <f t="shared" si="27"/>
        <v>Street Lighting</v>
      </c>
      <c r="B86" s="333">
        <f t="shared" si="24"/>
        <v>127633.47179260117</v>
      </c>
      <c r="C86" s="334">
        <f t="shared" si="25"/>
        <v>0.3062720589171242</v>
      </c>
      <c r="D86" s="336">
        <f t="shared" si="28"/>
        <v>39090.566192660655</v>
      </c>
      <c r="E86" s="572">
        <f>+'Forecast Data For 2011'!C23</f>
        <v>2864.573962684278</v>
      </c>
      <c r="F86" s="573">
        <f t="shared" si="29"/>
        <v>1.1371838273881412</v>
      </c>
      <c r="G86" s="1">
        <v>39090.566192660655</v>
      </c>
      <c r="H86" s="432">
        <f t="shared" si="26"/>
        <v>0</v>
      </c>
      <c r="I86" s="571">
        <f t="shared" si="30"/>
        <v>1.1371838273881412</v>
      </c>
    </row>
    <row r="87" spans="1:9" ht="15" customHeight="1">
      <c r="A87" s="572" t="str">
        <f t="shared" si="27"/>
        <v>Unmetered and Scattered</v>
      </c>
      <c r="B87" s="333">
        <f t="shared" si="24"/>
        <v>46559.118421733685</v>
      </c>
      <c r="C87" s="334">
        <f t="shared" si="25"/>
        <v>0.4293499415498545</v>
      </c>
      <c r="D87" s="336">
        <f t="shared" si="28"/>
        <v>19990.15477298411</v>
      </c>
      <c r="E87" s="572">
        <f>+'Forecast Data For 2011'!C26</f>
        <v>201.42773496766182</v>
      </c>
      <c r="F87" s="573">
        <f t="shared" si="29"/>
        <v>8.270192937181427</v>
      </c>
      <c r="G87" s="1">
        <v>19990.15477298411</v>
      </c>
      <c r="H87" s="432">
        <f t="shared" si="26"/>
        <v>0</v>
      </c>
      <c r="I87" s="571">
        <f t="shared" si="30"/>
        <v>8.270192937181427</v>
      </c>
    </row>
    <row r="88" spans="1:6" ht="15" customHeight="1">
      <c r="A88" s="264"/>
      <c r="B88" s="333">
        <f t="shared" si="24"/>
        <v>13608183.454687903</v>
      </c>
      <c r="C88" s="334"/>
      <c r="D88" s="574">
        <f>SUM(D80:D87)</f>
        <v>6064086.242052548</v>
      </c>
      <c r="E88" s="264"/>
      <c r="F88" s="264"/>
    </row>
    <row r="89" ht="15" customHeight="1">
      <c r="C89" s="250"/>
    </row>
    <row r="90" ht="15" customHeight="1"/>
    <row r="91" spans="1:3" ht="44.25" customHeight="1">
      <c r="A91" s="581" t="str">
        <f>+A79</f>
        <v>Customer Class</v>
      </c>
      <c r="B91" s="581" t="s">
        <v>409</v>
      </c>
      <c r="C91" s="581" t="s">
        <v>410</v>
      </c>
    </row>
    <row r="92" spans="1:3" ht="15" customHeight="1">
      <c r="A92" s="264" t="str">
        <f aca="true" t="shared" si="31" ref="A92:A99">+A80</f>
        <v>Residential</v>
      </c>
      <c r="B92" s="334">
        <f>+'2011 Test Yr On Existing Rates'!K9</f>
        <v>0.6514943326038704</v>
      </c>
      <c r="C92" s="439">
        <f>+E40</f>
        <v>0.6392519433401331</v>
      </c>
    </row>
    <row r="93" spans="1:3" ht="15" customHeight="1">
      <c r="A93" s="264" t="str">
        <f t="shared" si="31"/>
        <v>GS &lt; 50 kW</v>
      </c>
      <c r="B93" s="334">
        <f>+'2011 Test Yr On Existing Rates'!K10</f>
        <v>0.13207075297739432</v>
      </c>
      <c r="C93" s="439">
        <f aca="true" t="shared" si="32" ref="C93:C99">+E41</f>
        <v>0.13207075131206827</v>
      </c>
    </row>
    <row r="94" spans="1:3" ht="15" customHeight="1">
      <c r="A94" s="264" t="str">
        <f t="shared" si="31"/>
        <v>GS &gt;50 to 999 kW</v>
      </c>
      <c r="B94" s="334">
        <f>+'2011 Test Yr On Existing Rates'!K11</f>
        <v>0.11826380260075399</v>
      </c>
      <c r="C94" s="439">
        <f t="shared" si="32"/>
        <v>0.12910184542692085</v>
      </c>
    </row>
    <row r="95" spans="1:3" ht="15" customHeight="1">
      <c r="A95" s="264" t="str">
        <f t="shared" si="31"/>
        <v>GS &gt;1000 to 4999 kW</v>
      </c>
      <c r="B95" s="334">
        <f>+'2011 Test Yr On Existing Rates'!K12</f>
        <v>0.04867530141386829</v>
      </c>
      <c r="C95" s="439">
        <f t="shared" si="32"/>
        <v>0.046389673312244945</v>
      </c>
    </row>
    <row r="96" spans="1:3" ht="15" customHeight="1">
      <c r="A96" s="264" t="str">
        <f t="shared" si="31"/>
        <v>Large Use</v>
      </c>
      <c r="B96" s="334">
        <f>+'2011 Test Yr On Existing Rates'!K13</f>
        <v>0.04427530575422846</v>
      </c>
      <c r="C96" s="439">
        <f t="shared" si="32"/>
        <v>0.039652857236292166</v>
      </c>
    </row>
    <row r="97" spans="1:3" ht="15" customHeight="1">
      <c r="A97" s="264" t="str">
        <f t="shared" si="31"/>
        <v>Sentinel Lights</v>
      </c>
      <c r="B97" s="334">
        <f>+'2011 Test Yr On Existing Rates'!K14</f>
        <v>0.0002276589336760515</v>
      </c>
      <c r="C97" s="439">
        <f t="shared" si="32"/>
        <v>0.0007323531018667038</v>
      </c>
    </row>
    <row r="98" spans="1:3" ht="15" customHeight="1">
      <c r="A98" s="264" t="str">
        <f t="shared" si="31"/>
        <v>Street Lighting</v>
      </c>
      <c r="B98" s="334">
        <f>+'2011 Test Yr On Existing Rates'!K15</f>
        <v>0.0015067658155769727</v>
      </c>
      <c r="C98" s="439">
        <f t="shared" si="32"/>
        <v>0.00937917042473678</v>
      </c>
    </row>
    <row r="99" spans="1:3" ht="15" customHeight="1">
      <c r="A99" s="264" t="str">
        <f t="shared" si="31"/>
        <v>Unmetered and Scattered</v>
      </c>
      <c r="B99" s="334">
        <f>+'2011 Test Yr On Existing Rates'!K16</f>
        <v>0.003486079900631473</v>
      </c>
      <c r="C99" s="439">
        <f t="shared" si="32"/>
        <v>0.0034214058457372183</v>
      </c>
    </row>
    <row r="100" ht="15" customHeight="1"/>
  </sheetData>
  <sheetProtection/>
  <mergeCells count="12">
    <mergeCell ref="A65:G65"/>
    <mergeCell ref="A63:C63"/>
    <mergeCell ref="A38:E38"/>
    <mergeCell ref="A51:D51"/>
    <mergeCell ref="A1:K1"/>
    <mergeCell ref="A2:K2"/>
    <mergeCell ref="A3:K3"/>
    <mergeCell ref="A4:K4"/>
    <mergeCell ref="A23:G23"/>
    <mergeCell ref="A5:K5"/>
    <mergeCell ref="D17:E17"/>
    <mergeCell ref="A6:K6"/>
  </mergeCells>
  <printOptions/>
  <pageMargins left="0.75" right="0.75" top="1" bottom="1" header="0.5" footer="0.5"/>
  <pageSetup fitToHeight="1" fitToWidth="1" horizontalDpi="355" verticalDpi="355" orientation="landscape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ht="12.75">
      <c r="A1" s="643" t="str">
        <f>+'Revenue Input'!A1</f>
        <v>MILTON HYDRO DISTRIBUTION INC.</v>
      </c>
      <c r="B1" s="643"/>
      <c r="C1" s="643"/>
      <c r="D1" s="643"/>
      <c r="E1" s="643"/>
      <c r="F1" s="643"/>
    </row>
    <row r="2" spans="1:6" ht="12.75">
      <c r="A2" s="644"/>
      <c r="B2" s="644"/>
      <c r="C2" s="644"/>
      <c r="D2" s="644"/>
      <c r="E2" s="644"/>
      <c r="F2" s="644"/>
    </row>
    <row r="3" spans="1:6" ht="12.75">
      <c r="A3" s="644"/>
      <c r="B3" s="644"/>
      <c r="C3" s="644"/>
      <c r="D3" s="644"/>
      <c r="E3" s="644"/>
      <c r="F3" s="644"/>
    </row>
    <row r="4" spans="1:6" ht="12.75">
      <c r="A4" s="633"/>
      <c r="B4" s="633"/>
      <c r="C4" s="633"/>
      <c r="D4" s="633"/>
      <c r="E4" s="633"/>
      <c r="F4" s="633"/>
    </row>
    <row r="5" spans="1:6" s="58" customFormat="1" ht="20.25">
      <c r="A5" s="652" t="s">
        <v>131</v>
      </c>
      <c r="B5" s="652"/>
      <c r="C5" s="652"/>
      <c r="D5" s="652"/>
      <c r="E5" s="652"/>
      <c r="F5" s="652"/>
    </row>
    <row r="6" spans="1:6" ht="38.25" customHeight="1">
      <c r="A6" s="651" t="s">
        <v>0</v>
      </c>
      <c r="B6" s="651" t="s">
        <v>18</v>
      </c>
      <c r="C6" s="651"/>
      <c r="D6" s="653" t="s">
        <v>177</v>
      </c>
      <c r="E6" s="653" t="s">
        <v>19</v>
      </c>
      <c r="F6" s="653" t="s">
        <v>20</v>
      </c>
    </row>
    <row r="7" spans="1:6" ht="12.75">
      <c r="A7" s="651"/>
      <c r="B7" s="353" t="s">
        <v>21</v>
      </c>
      <c r="C7" s="354" t="s">
        <v>22</v>
      </c>
      <c r="D7" s="653"/>
      <c r="E7" s="653"/>
      <c r="F7" s="653"/>
    </row>
    <row r="8" spans="1:6" ht="18" customHeight="1">
      <c r="A8" s="94" t="str">
        <f>'Rates By Rate Class'!A25</f>
        <v>Residential</v>
      </c>
      <c r="B8" s="107">
        <v>0.0047</v>
      </c>
      <c r="C8" s="107"/>
      <c r="D8" s="232">
        <f>+B8*'2011 Test Yr On Existing Rates'!B9</f>
        <v>1215046.8479842932</v>
      </c>
      <c r="E8" s="82">
        <f aca="true" t="shared" si="0" ref="E8:E15">D8/$D$16</f>
        <v>0.37005554246532535</v>
      </c>
      <c r="F8" s="232">
        <f aca="true" t="shared" si="1" ref="F8:F15">+$F$16*E8</f>
        <v>51465.0161534396</v>
      </c>
    </row>
    <row r="9" spans="1:6" ht="18" customHeight="1">
      <c r="A9" s="94" t="str">
        <f>'Rates By Rate Class'!A26</f>
        <v>GS &lt; 50 kW</v>
      </c>
      <c r="B9" s="107">
        <v>0.0042</v>
      </c>
      <c r="C9" s="107"/>
      <c r="D9" s="232">
        <f>+B9*'2011 Test Yr On Existing Rates'!B10</f>
        <v>315188.02077184676</v>
      </c>
      <c r="E9" s="82">
        <f t="shared" si="0"/>
        <v>0.09599389044035095</v>
      </c>
      <c r="F9" s="232">
        <f t="shared" si="1"/>
        <v>13350.231398323369</v>
      </c>
    </row>
    <row r="10" spans="1:6" ht="18" customHeight="1">
      <c r="A10" s="94" t="str">
        <f>'Rates By Rate Class'!A27</f>
        <v>GS &gt;50 to 999 kW</v>
      </c>
      <c r="B10" s="107"/>
      <c r="C10" s="107">
        <v>1.9383</v>
      </c>
      <c r="D10" s="232">
        <f>+C10*'2011 Test Yr On Existing Rates'!C11</f>
        <v>984518.69906386</v>
      </c>
      <c r="E10" s="82">
        <f t="shared" si="0"/>
        <v>0.29984572352394</v>
      </c>
      <c r="F10" s="232">
        <f t="shared" si="1"/>
        <v>41700.67255821554</v>
      </c>
    </row>
    <row r="11" spans="1:6" ht="18" customHeight="1">
      <c r="A11" s="94" t="str">
        <f>'Rates By Rate Class'!A28</f>
        <v>GS &gt;1000 to 4999 kW</v>
      </c>
      <c r="B11" s="107"/>
      <c r="C11" s="107">
        <v>1.9066</v>
      </c>
      <c r="D11" s="232">
        <f>+C11*'2011 Test Yr On Existing Rates'!C12</f>
        <v>368442.62440746935</v>
      </c>
      <c r="E11" s="82">
        <f>D11/$D$16</f>
        <v>0.11221315084981538</v>
      </c>
      <c r="F11" s="232">
        <f>+$F$16*E11</f>
        <v>15605.904947782894</v>
      </c>
    </row>
    <row r="12" spans="1:6" ht="18" customHeight="1">
      <c r="A12" s="94" t="str">
        <f>'Rates By Rate Class'!A29</f>
        <v>Large Use</v>
      </c>
      <c r="B12" s="107"/>
      <c r="C12" s="107">
        <v>2.1323</v>
      </c>
      <c r="D12" s="232">
        <f>+C12*'2011 Test Yr On Existing Rates'!C13</f>
        <v>369998.5695074226</v>
      </c>
      <c r="E12" s="82">
        <f t="shared" si="0"/>
        <v>0.11268703060923756</v>
      </c>
      <c r="F12" s="232">
        <f t="shared" si="1"/>
        <v>15671.80918829494</v>
      </c>
    </row>
    <row r="13" spans="1:6" ht="18" customHeight="1">
      <c r="A13" s="94" t="str">
        <f>'Rates By Rate Class'!A30</f>
        <v>Sentinel Lights</v>
      </c>
      <c r="B13" s="107"/>
      <c r="C13" s="107">
        <v>1.3312</v>
      </c>
      <c r="D13" s="232">
        <f>+C13*'2011 Test Yr On Existing Rates'!C14</f>
        <v>619.3053237919762</v>
      </c>
      <c r="E13" s="82">
        <f t="shared" si="0"/>
        <v>0.00018861607511488007</v>
      </c>
      <c r="F13" s="232">
        <f t="shared" si="1"/>
        <v>26.231546994044145</v>
      </c>
    </row>
    <row r="14" spans="1:6" ht="18" customHeight="1">
      <c r="A14" s="94" t="str">
        <f>'Rates By Rate Class'!A31</f>
        <v>Street Lighting</v>
      </c>
      <c r="B14" s="107"/>
      <c r="C14" s="107">
        <v>1.3038</v>
      </c>
      <c r="D14" s="232">
        <f>+C14*'2011 Test Yr On Existing Rates'!C15</f>
        <v>23220.220281651244</v>
      </c>
      <c r="E14" s="82">
        <f t="shared" si="0"/>
        <v>0.007071967000075605</v>
      </c>
      <c r="F14" s="232">
        <f t="shared" si="1"/>
        <v>983.5250499716166</v>
      </c>
    </row>
    <row r="15" spans="1:6" ht="18" customHeight="1">
      <c r="A15" s="94" t="str">
        <f>'Rates By Rate Class'!A32</f>
        <v>Unmetered and Scattered</v>
      </c>
      <c r="B15" s="107">
        <v>0.0042</v>
      </c>
      <c r="C15" s="107"/>
      <c r="D15" s="232">
        <f>+B15*'2011 Test Yr On Existing Rates'!B16</f>
        <v>6383.223149038462</v>
      </c>
      <c r="E15" s="82">
        <f t="shared" si="0"/>
        <v>0.0019440790361403297</v>
      </c>
      <c r="F15" s="232">
        <f t="shared" si="1"/>
        <v>270.3703836780133</v>
      </c>
    </row>
    <row r="16" spans="1:6" ht="18" customHeight="1" thickBot="1">
      <c r="A16" s="103" t="s">
        <v>17</v>
      </c>
      <c r="B16" s="88"/>
      <c r="C16" s="102"/>
      <c r="D16" s="575">
        <f>SUM(D8:D15)</f>
        <v>3283417.5104893735</v>
      </c>
      <c r="E16" s="91">
        <f>SUM(E8:E15)</f>
        <v>1.0000000000000002</v>
      </c>
      <c r="F16" s="575">
        <f>'Revenue Input'!B16</f>
        <v>139073.7612267</v>
      </c>
    </row>
    <row r="17" ht="13.5" thickTop="1"/>
    <row r="18" spans="2:3" ht="12.75">
      <c r="B18" s="56"/>
      <c r="C18" s="56"/>
    </row>
  </sheetData>
  <sheetProtection/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7109375" style="0" bestFit="1" customWidth="1"/>
    <col min="2" max="2" width="13.140625" style="0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643" t="str">
        <f>+'Revenue Input'!A1</f>
        <v>MILTON HYDRO DISTRIBUTION INC.</v>
      </c>
      <c r="B1" s="643"/>
      <c r="C1" s="643"/>
      <c r="D1" s="643"/>
      <c r="E1" s="643"/>
      <c r="F1" s="643"/>
      <c r="G1" s="643"/>
    </row>
    <row r="2" spans="1:7" ht="12.75">
      <c r="A2" s="644"/>
      <c r="B2" s="644"/>
      <c r="C2" s="644"/>
      <c r="D2" s="644"/>
      <c r="E2" s="644"/>
      <c r="F2" s="644"/>
      <c r="G2" s="644"/>
    </row>
    <row r="3" spans="1:7" ht="12.75">
      <c r="A3" s="644"/>
      <c r="B3" s="644"/>
      <c r="C3" s="644"/>
      <c r="D3" s="644"/>
      <c r="E3" s="644"/>
      <c r="F3" s="644"/>
      <c r="G3" s="644"/>
    </row>
    <row r="4" spans="1:7" ht="6.75" customHeight="1">
      <c r="A4" s="633"/>
      <c r="B4" s="633"/>
      <c r="C4" s="633"/>
      <c r="D4" s="633"/>
      <c r="E4" s="633"/>
      <c r="F4" s="633"/>
      <c r="G4" s="633"/>
    </row>
    <row r="5" spans="1:7" ht="20.25">
      <c r="A5" s="655" t="s">
        <v>130</v>
      </c>
      <c r="B5" s="655"/>
      <c r="C5" s="655"/>
      <c r="D5" s="655"/>
      <c r="E5" s="655"/>
      <c r="F5" s="655"/>
      <c r="G5" s="655"/>
    </row>
    <row r="6" spans="1:7" ht="8.25" customHeight="1">
      <c r="A6" s="654"/>
      <c r="B6" s="654"/>
      <c r="C6" s="654"/>
      <c r="D6" s="654"/>
      <c r="E6" s="654"/>
      <c r="F6" s="654"/>
      <c r="G6" s="654"/>
    </row>
    <row r="7" spans="1:7" ht="25.5">
      <c r="A7" s="317" t="s">
        <v>0</v>
      </c>
      <c r="B7" s="313" t="s">
        <v>129</v>
      </c>
      <c r="C7" s="313" t="s">
        <v>12</v>
      </c>
      <c r="D7" s="313" t="s">
        <v>13</v>
      </c>
      <c r="E7" s="313" t="s">
        <v>14</v>
      </c>
      <c r="F7" s="313" t="s">
        <v>127</v>
      </c>
      <c r="G7" s="313" t="s">
        <v>128</v>
      </c>
    </row>
    <row r="8" spans="1:7" ht="18" customHeight="1">
      <c r="A8" s="94" t="str">
        <f>'Allocation Low Voltage Costs'!A8</f>
        <v>Residential</v>
      </c>
      <c r="B8" s="232">
        <f>+'Allocation Low Voltage Costs'!F8</f>
        <v>51465.0161534396</v>
      </c>
      <c r="C8" s="232">
        <f>+'2011 Test Yr On Existing Rates'!B9</f>
        <v>258520605.95410493</v>
      </c>
      <c r="D8" s="232"/>
      <c r="E8" s="105" t="s">
        <v>15</v>
      </c>
      <c r="F8" s="589">
        <f>+B8/C8</f>
        <v>0.0001990751025957914</v>
      </c>
      <c r="G8" s="589"/>
    </row>
    <row r="9" spans="1:7" ht="18" customHeight="1">
      <c r="A9" s="94" t="str">
        <f>'Allocation Low Voltage Costs'!A9</f>
        <v>GS &lt; 50 kW</v>
      </c>
      <c r="B9" s="232">
        <f>+'Allocation Low Voltage Costs'!F9</f>
        <v>13350.231398323369</v>
      </c>
      <c r="C9" s="232">
        <f>+'2011 Test Yr On Existing Rates'!B10</f>
        <v>75044766.85043971</v>
      </c>
      <c r="D9" s="232"/>
      <c r="E9" s="105" t="s">
        <v>15</v>
      </c>
      <c r="F9" s="589">
        <f>+B9/C9</f>
        <v>0.0001778969001919838</v>
      </c>
      <c r="G9" s="589"/>
    </row>
    <row r="10" spans="1:7" ht="18" customHeight="1">
      <c r="A10" s="94" t="str">
        <f>'Allocation Low Voltage Costs'!A10</f>
        <v>GS &gt;50 to 999 kW</v>
      </c>
      <c r="B10" s="232">
        <f>+'Allocation Low Voltage Costs'!F10</f>
        <v>41700.67255821554</v>
      </c>
      <c r="C10" s="232">
        <f>+'2011 Test Yr On Existing Rates'!B11</f>
        <v>187300109.05913255</v>
      </c>
      <c r="D10" s="232">
        <f>+'2011 Test Yr On Existing Rates'!C11</f>
        <v>507928.9578826085</v>
      </c>
      <c r="E10" s="105" t="s">
        <v>16</v>
      </c>
      <c r="F10" s="589"/>
      <c r="G10" s="589">
        <f>+B10/D10</f>
        <v>0.08209941943860054</v>
      </c>
    </row>
    <row r="11" spans="1:7" ht="18" customHeight="1">
      <c r="A11" s="94" t="str">
        <f>'Allocation Low Voltage Costs'!A11</f>
        <v>GS &gt;1000 to 4999 kW</v>
      </c>
      <c r="B11" s="232">
        <f>+'Allocation Low Voltage Costs'!F11</f>
        <v>15605.904947782894</v>
      </c>
      <c r="C11" s="232">
        <f>+'2011 Test Yr On Existing Rates'!B12</f>
        <v>94342583.94811662</v>
      </c>
      <c r="D11" s="232">
        <f>+'2011 Test Yr On Existing Rates'!C12</f>
        <v>193245.89552474002</v>
      </c>
      <c r="E11" s="105" t="s">
        <v>16</v>
      </c>
      <c r="F11" s="589"/>
      <c r="G11" s="589">
        <f>+B11/D11</f>
        <v>0.08075672140619913</v>
      </c>
    </row>
    <row r="12" spans="1:7" ht="18" customHeight="1">
      <c r="A12" s="94" t="str">
        <f>'Allocation Low Voltage Costs'!A12</f>
        <v>Large Use</v>
      </c>
      <c r="B12" s="232">
        <f>+'Allocation Low Voltage Costs'!F12</f>
        <v>15671.80918829494</v>
      </c>
      <c r="C12" s="232">
        <f>+'2011 Test Yr On Existing Rates'!B13</f>
        <v>78821751.02614906</v>
      </c>
      <c r="D12" s="232">
        <f>+'2011 Test Yr On Existing Rates'!C13</f>
        <v>173520.87863219183</v>
      </c>
      <c r="E12" s="105" t="s">
        <v>16</v>
      </c>
      <c r="F12" s="589"/>
      <c r="G12" s="589">
        <f>+B12/D12</f>
        <v>0.09031656197127787</v>
      </c>
    </row>
    <row r="13" spans="1:7" ht="18" customHeight="1">
      <c r="A13" s="94" t="str">
        <f>'Allocation Low Voltage Costs'!A13</f>
        <v>Sentinel Lights</v>
      </c>
      <c r="B13" s="232">
        <f>+'Allocation Low Voltage Costs'!F13</f>
        <v>26.231546994044145</v>
      </c>
      <c r="C13" s="232">
        <f>+'2011 Test Yr On Existing Rates'!B14</f>
        <v>167188.12026241363</v>
      </c>
      <c r="D13" s="232">
        <f>+'2011 Test Yr On Existing Rates'!C14</f>
        <v>465.2233502043091</v>
      </c>
      <c r="E13" s="105" t="s">
        <v>16</v>
      </c>
      <c r="F13" s="589"/>
      <c r="G13" s="589">
        <f>+B13/D13</f>
        <v>0.05638484607989734</v>
      </c>
    </row>
    <row r="14" spans="1:7" ht="18" customHeight="1">
      <c r="A14" s="94" t="str">
        <f>'Allocation Low Voltage Costs'!A14</f>
        <v>Street Lighting</v>
      </c>
      <c r="B14" s="232">
        <f>+'Allocation Low Voltage Costs'!F14</f>
        <v>983.5250499716166</v>
      </c>
      <c r="C14" s="232">
        <f>+'2011 Test Yr On Existing Rates'!B15</f>
        <v>6320786.875695491</v>
      </c>
      <c r="D14" s="232">
        <f>+'2011 Test Yr On Existing Rates'!C15</f>
        <v>17809.64893515205</v>
      </c>
      <c r="E14" s="105" t="s">
        <v>16</v>
      </c>
      <c r="F14" s="589"/>
      <c r="G14" s="589">
        <f>+B14/D14</f>
        <v>0.05522428058816869</v>
      </c>
    </row>
    <row r="15" spans="1:7" ht="21" customHeight="1">
      <c r="A15" s="94" t="str">
        <f>'Allocation Low Voltage Costs'!A15</f>
        <v>Unmetered and Scattered</v>
      </c>
      <c r="B15" s="232">
        <f>+'Allocation Low Voltage Costs'!F15</f>
        <v>270.3703836780133</v>
      </c>
      <c r="C15" s="232">
        <f>+'2011 Test Yr On Existing Rates'!B16</f>
        <v>1519815.0354853482</v>
      </c>
      <c r="D15" s="232"/>
      <c r="E15" s="105" t="s">
        <v>15</v>
      </c>
      <c r="F15" s="589">
        <f>+B15/C15</f>
        <v>0.00017789690019198379</v>
      </c>
      <c r="G15" s="589"/>
    </row>
    <row r="16" spans="1:7" ht="18" customHeight="1" thickBot="1">
      <c r="A16" s="99" t="s">
        <v>17</v>
      </c>
      <c r="B16" s="586">
        <f>SUM(B8:B15)</f>
        <v>139073.7612267</v>
      </c>
      <c r="C16" s="586">
        <f>SUM(C8:C15)</f>
        <v>702037606.8693861</v>
      </c>
      <c r="D16" s="587">
        <f>SUM(D8:D15)</f>
        <v>892970.6043248967</v>
      </c>
      <c r="E16" s="104"/>
      <c r="F16" s="590"/>
      <c r="G16" s="591"/>
    </row>
    <row r="17" ht="13.5" thickTop="1"/>
  </sheetData>
  <sheetProtection/>
  <mergeCells count="6">
    <mergeCell ref="A6:G6"/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Cameron McKenzie</cp:lastModifiedBy>
  <cp:lastPrinted>2010-08-23T17:15:56Z</cp:lastPrinted>
  <dcterms:created xsi:type="dcterms:W3CDTF">2007-07-20T14:53:09Z</dcterms:created>
  <dcterms:modified xsi:type="dcterms:W3CDTF">2010-08-25T17:16:39Z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