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App.2-M Depreciation Expens08" sheetId="1" r:id="rId1"/>
  </sheets>
  <definedNames>
    <definedName name="_xlfn.BAHTTEXT" hidden="1">#NAME?</definedName>
    <definedName name="_xlnm.Print_Area" localSheetId="0">'App.2-M Depreciation Expens08'!$A$11:$N$39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<sst xmlns="http://schemas.openxmlformats.org/spreadsheetml/2006/main" count="60" uniqueCount="60">
  <si>
    <t>Description</t>
  </si>
  <si>
    <t>Opening Balance</t>
  </si>
  <si>
    <t>Additions</t>
  </si>
  <si>
    <t>Land</t>
  </si>
  <si>
    <t>Transformer Station Equipment &gt;50 kV</t>
  </si>
  <si>
    <t>Substation Equipment</t>
  </si>
  <si>
    <t>Poles, Towers &amp; Fixtures</t>
  </si>
  <si>
    <t>Line Transformers</t>
  </si>
  <si>
    <t>Meters</t>
  </si>
  <si>
    <t>Land Rights</t>
  </si>
  <si>
    <t>Computer - Hardware</t>
  </si>
  <si>
    <t>Computer Software</t>
  </si>
  <si>
    <t>Stores Equipment</t>
  </si>
  <si>
    <t>Tools, Shop &amp; Garage Equipment</t>
  </si>
  <si>
    <t>Measurement &amp; Testing Equipment</t>
  </si>
  <si>
    <t>Communications Equipment</t>
  </si>
  <si>
    <t>Contributions &amp; Grants</t>
  </si>
  <si>
    <t>Total</t>
  </si>
  <si>
    <t>Depreciation Rate</t>
  </si>
  <si>
    <t>File Number:</t>
  </si>
  <si>
    <t>Exhibit:</t>
  </si>
  <si>
    <t>Tab:</t>
  </si>
  <si>
    <t>Schedule:</t>
  </si>
  <si>
    <t>Page:</t>
  </si>
  <si>
    <t>Date:</t>
  </si>
  <si>
    <t>Account</t>
  </si>
  <si>
    <t>(a)</t>
  </si>
  <si>
    <t>(b)</t>
  </si>
  <si>
    <t>Net for Depreciation</t>
  </si>
  <si>
    <t>(d)</t>
  </si>
  <si>
    <t>Total for Depreciation</t>
  </si>
  <si>
    <t>Years</t>
  </si>
  <si>
    <t>(f)</t>
  </si>
  <si>
    <t>(g) = 1 / (f)</t>
  </si>
  <si>
    <t>Depreciation Expense</t>
  </si>
  <si>
    <t>(h) = (e) / (f)</t>
  </si>
  <si>
    <t>(c) = (a) - (b)</t>
  </si>
  <si>
    <t>Transportation Equipment - other</t>
  </si>
  <si>
    <t>Transportation Equipment - small trucks/mini vans</t>
  </si>
  <si>
    <t>Transportation Equipment - work platforms</t>
  </si>
  <si>
    <t>Miscellaneous Equipment</t>
  </si>
  <si>
    <t>Depreciation and Amortization Expense 2008</t>
  </si>
  <si>
    <t>disposal</t>
  </si>
  <si>
    <t>Adjustments</t>
  </si>
  <si>
    <t>Depreciation</t>
  </si>
  <si>
    <t>(i)</t>
  </si>
  <si>
    <t>(j) = (h) + (i)</t>
  </si>
  <si>
    <t>Closing Balance 2008</t>
  </si>
  <si>
    <t>(c1)</t>
  </si>
  <si>
    <t xml:space="preserve">Less Fully Depreciated </t>
  </si>
  <si>
    <t>(e)=(c-c1) + 1.0 x (d)</t>
  </si>
  <si>
    <t>Buildings and Fixtures</t>
  </si>
  <si>
    <t>Overhead Conductors &amp; Devices</t>
  </si>
  <si>
    <t>Underground Conduit</t>
  </si>
  <si>
    <t>Underground Conductors &amp; Devices</t>
  </si>
  <si>
    <t>Services</t>
  </si>
  <si>
    <t>Office Furniture &amp; Equipment</t>
  </si>
  <si>
    <t>System Supervisory Equipment</t>
  </si>
  <si>
    <t>EB-2010-0144</t>
  </si>
  <si>
    <t>WATERLOO NORTH HYDRO INC.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</si>
</sst>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(#\)"/>
    <numFmt numFmtId="177" formatCode="&quot;$&quot;#,##0_);[Red]\(&quot;$&quot;#,##0\);&quot;$&quot;\ \-"/>
    <numFmt numFmtId="178" formatCode="0.0%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_-* #,##0.0_-;\-* #,##0.0_-;_-* &quot;-&quot;??_-;_-@_-"/>
    <numFmt numFmtId="182" formatCode="_-* #,##0_-;\-* #,##0_-;_-* &quot;-&quot;??_-;_-@_-"/>
    <numFmt numFmtId="183" formatCode="_-&quot;$&quot;* #,##0.0000_-;\-&quot;$&quot;* #,##0.0000_-;_-&quot;$&quot;* &quot;-&quot;??_-;_-@_-"/>
    <numFmt numFmtId="184" formatCode="_-&quot;$&quot;* #,##0.0000000_-;\-&quot;$&quot;* #,##0.0000000_-;_-&quot;$&quot;* &quot;-&quot;??_-;_-@_-"/>
    <numFmt numFmtId="185" formatCode="0.0"/>
    <numFmt numFmtId="186" formatCode="\(#\)\l"/>
    <numFmt numFmtId="187" formatCode="0.000%"/>
    <numFmt numFmtId="188" formatCode="0.0000%"/>
    <numFmt numFmtId="189" formatCode="_-&quot;$&quot;* #,##0.000_-;\-&quot;$&quot;* #,##0.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(* #,##0_);_(* \(#,##0\);_(* &quot;-&quot;??_);_(@_)"/>
    <numFmt numFmtId="193" formatCode="#,##0;[Red]\(#,##0\)"/>
    <numFmt numFmtId="194" formatCode="_(* #,##0.0_);_(* \(#,##0.0\);_(* &quot;-&quot;??_);_(@_)"/>
    <numFmt numFmtId="195" formatCode="0.0000000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 quotePrefix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4" fillId="24" borderId="11" xfId="0" applyFont="1" applyFill="1" applyBorder="1" applyAlignment="1" quotePrefix="1">
      <alignment horizontal="center"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/>
    </xf>
    <xf numFmtId="0" fontId="4" fillId="24" borderId="16" xfId="0" applyFont="1" applyFill="1" applyBorder="1" applyAlignment="1">
      <alignment horizontal="center" vertical="center" wrapText="1"/>
    </xf>
    <xf numFmtId="182" fontId="0" fillId="0" borderId="20" xfId="42" applyNumberFormat="1" applyFont="1" applyFill="1" applyBorder="1" applyAlignment="1">
      <alignment/>
    </xf>
    <xf numFmtId="182" fontId="0" fillId="0" borderId="17" xfId="42" applyNumberFormat="1" applyFont="1" applyFill="1" applyBorder="1" applyAlignment="1">
      <alignment/>
    </xf>
    <xf numFmtId="182" fontId="0" fillId="0" borderId="20" xfId="42" applyNumberFormat="1" applyFont="1" applyFill="1" applyBorder="1" applyAlignment="1">
      <alignment/>
    </xf>
    <xf numFmtId="182" fontId="0" fillId="0" borderId="17" xfId="42" applyNumberFormat="1" applyFont="1" applyFill="1" applyBorder="1" applyAlignment="1">
      <alignment/>
    </xf>
    <xf numFmtId="182" fontId="0" fillId="0" borderId="20" xfId="42" applyNumberFormat="1" applyFont="1" applyFill="1" applyBorder="1" applyAlignment="1">
      <alignment/>
    </xf>
    <xf numFmtId="182" fontId="0" fillId="0" borderId="21" xfId="42" applyNumberFormat="1" applyFont="1" applyFill="1" applyBorder="1" applyAlignment="1">
      <alignment/>
    </xf>
    <xf numFmtId="182" fontId="0" fillId="0" borderId="18" xfId="42" applyNumberFormat="1" applyFont="1" applyFill="1" applyBorder="1" applyAlignment="1">
      <alignment/>
    </xf>
    <xf numFmtId="182" fontId="0" fillId="0" borderId="21" xfId="42" applyNumberFormat="1" applyFont="1" applyFill="1" applyBorder="1" applyAlignment="1">
      <alignment/>
    </xf>
    <xf numFmtId="182" fontId="0" fillId="0" borderId="18" xfId="42" applyNumberFormat="1" applyFont="1" applyFill="1" applyBorder="1" applyAlignment="1">
      <alignment/>
    </xf>
    <xf numFmtId="182" fontId="0" fillId="0" borderId="21" xfId="42" applyNumberFormat="1" applyFont="1" applyFill="1" applyBorder="1" applyAlignment="1">
      <alignment/>
    </xf>
    <xf numFmtId="182" fontId="0" fillId="0" borderId="21" xfId="42" applyNumberFormat="1" applyFont="1" applyFill="1" applyBorder="1" applyAlignment="1">
      <alignment/>
    </xf>
    <xf numFmtId="182" fontId="0" fillId="0" borderId="22" xfId="42" applyNumberFormat="1" applyFont="1" applyFill="1" applyBorder="1" applyAlignment="1">
      <alignment/>
    </xf>
    <xf numFmtId="182" fontId="0" fillId="0" borderId="19" xfId="42" applyNumberFormat="1" applyFont="1" applyFill="1" applyBorder="1" applyAlignment="1">
      <alignment/>
    </xf>
    <xf numFmtId="182" fontId="0" fillId="0" borderId="22" xfId="42" applyNumberFormat="1" applyFont="1" applyFill="1" applyBorder="1" applyAlignment="1">
      <alignment/>
    </xf>
    <xf numFmtId="182" fontId="0" fillId="0" borderId="23" xfId="42" applyNumberFormat="1" applyFont="1" applyFill="1" applyBorder="1" applyAlignment="1">
      <alignment/>
    </xf>
    <xf numFmtId="182" fontId="0" fillId="0" borderId="23" xfId="42" applyNumberFormat="1" applyFont="1" applyFill="1" applyBorder="1" applyAlignment="1">
      <alignment/>
    </xf>
    <xf numFmtId="182" fontId="0" fillId="0" borderId="0" xfId="42" applyNumberFormat="1" applyFont="1" applyFill="1" applyBorder="1" applyAlignment="1">
      <alignment/>
    </xf>
    <xf numFmtId="182" fontId="0" fillId="0" borderId="24" xfId="42" applyNumberFormat="1" applyFont="1" applyFill="1" applyBorder="1" applyAlignment="1">
      <alignment/>
    </xf>
    <xf numFmtId="182" fontId="4" fillId="24" borderId="25" xfId="42" applyNumberFormat="1" applyFont="1" applyFill="1" applyBorder="1" applyAlignment="1">
      <alignment/>
    </xf>
    <xf numFmtId="182" fontId="4" fillId="24" borderId="26" xfId="42" applyNumberFormat="1" applyFont="1" applyFill="1" applyBorder="1" applyAlignment="1">
      <alignment/>
    </xf>
    <xf numFmtId="182" fontId="4" fillId="24" borderId="27" xfId="42" applyNumberFormat="1" applyFont="1" applyFill="1" applyBorder="1" applyAlignment="1">
      <alignment/>
    </xf>
    <xf numFmtId="182" fontId="0" fillId="0" borderId="18" xfId="42" applyNumberFormat="1" applyFont="1" applyFill="1" applyBorder="1" applyAlignment="1">
      <alignment/>
    </xf>
    <xf numFmtId="41" fontId="24" fillId="0" borderId="18" xfId="42" applyNumberFormat="1" applyFont="1" applyBorder="1" applyAlignment="1">
      <alignment/>
    </xf>
    <xf numFmtId="41" fontId="25" fillId="6" borderId="25" xfId="42" applyNumberFormat="1" applyFont="1" applyFill="1" applyBorder="1" applyAlignment="1">
      <alignment/>
    </xf>
    <xf numFmtId="171" fontId="0" fillId="0" borderId="21" xfId="42" applyFont="1" applyFill="1" applyBorder="1" applyAlignment="1">
      <alignment/>
    </xf>
    <xf numFmtId="171" fontId="24" fillId="0" borderId="18" xfId="42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5" fontId="0" fillId="0" borderId="0" xfId="0" applyNumberFormat="1" applyFont="1" applyFill="1" applyAlignment="1">
      <alignment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82" fontId="0" fillId="0" borderId="18" xfId="42" applyNumberFormat="1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" name="Straight Arrow Connector 2"/>
        <xdr:cNvSpPr>
          <a:spLocks/>
        </xdr:cNvSpPr>
      </xdr:nvSpPr>
      <xdr:spPr>
        <a:xfrm>
          <a:off x="15097125" y="7153275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161925</xdr:rowOff>
    </xdr:from>
    <xdr:to>
      <xdr:col>14</xdr:col>
      <xdr:colOff>0</xdr:colOff>
      <xdr:row>42</xdr:row>
      <xdr:rowOff>161925</xdr:rowOff>
    </xdr:to>
    <xdr:sp>
      <xdr:nvSpPr>
        <xdr:cNvPr id="2" name="Straight Arrow Connector 6"/>
        <xdr:cNvSpPr>
          <a:spLocks/>
        </xdr:cNvSpPr>
      </xdr:nvSpPr>
      <xdr:spPr>
        <a:xfrm rot="16200000" flipH="1">
          <a:off x="15097125" y="7477125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171450</xdr:rowOff>
    </xdr:from>
    <xdr:to>
      <xdr:col>14</xdr:col>
      <xdr:colOff>0</xdr:colOff>
      <xdr:row>38</xdr:row>
      <xdr:rowOff>171450</xdr:rowOff>
    </xdr:to>
    <xdr:sp>
      <xdr:nvSpPr>
        <xdr:cNvPr id="3" name="Straight Arrow Connector 9"/>
        <xdr:cNvSpPr>
          <a:spLocks/>
        </xdr:cNvSpPr>
      </xdr:nvSpPr>
      <xdr:spPr>
        <a:xfrm rot="5400000">
          <a:off x="15097125" y="6829425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942975</xdr:colOff>
      <xdr:row>38</xdr:row>
      <xdr:rowOff>171450</xdr:rowOff>
    </xdr:from>
    <xdr:to>
      <xdr:col>13</xdr:col>
      <xdr:colOff>942975</xdr:colOff>
      <xdr:row>38</xdr:row>
      <xdr:rowOff>171450</xdr:rowOff>
    </xdr:to>
    <xdr:sp>
      <xdr:nvSpPr>
        <xdr:cNvPr id="4" name="Straight Arrow Connector 11"/>
        <xdr:cNvSpPr>
          <a:spLocks/>
        </xdr:cNvSpPr>
      </xdr:nvSpPr>
      <xdr:spPr>
        <a:xfrm rot="5400000">
          <a:off x="15097125" y="6829425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14</xdr:col>
      <xdr:colOff>0</xdr:colOff>
      <xdr:row>39</xdr:row>
      <xdr:rowOff>0</xdr:rowOff>
    </xdr:to>
    <xdr:sp>
      <xdr:nvSpPr>
        <xdr:cNvPr id="5" name="Line 6"/>
        <xdr:cNvSpPr>
          <a:spLocks/>
        </xdr:cNvSpPr>
      </xdr:nvSpPr>
      <xdr:spPr>
        <a:xfrm>
          <a:off x="15097125" y="6829425"/>
          <a:ext cx="0" cy="0"/>
        </a:xfrm>
        <a:prstGeom prst="line">
          <a:avLst/>
        </a:prstGeom>
        <a:noFill/>
        <a:ln w="38100" cmpd="sng">
          <a:solidFill>
            <a:srgbClr val="FF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41</xdr:row>
      <xdr:rowOff>0</xdr:rowOff>
    </xdr:from>
    <xdr:to>
      <xdr:col>6</xdr:col>
      <xdr:colOff>495300</xdr:colOff>
      <xdr:row>41</xdr:row>
      <xdr:rowOff>0</xdr:rowOff>
    </xdr:to>
    <xdr:sp>
      <xdr:nvSpPr>
        <xdr:cNvPr id="6" name="Straight Arrow Connector 8"/>
        <xdr:cNvSpPr>
          <a:spLocks/>
        </xdr:cNvSpPr>
      </xdr:nvSpPr>
      <xdr:spPr>
        <a:xfrm rot="5400000">
          <a:off x="8486775" y="7153275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N6" sqref="N6"/>
    </sheetView>
  </sheetViews>
  <sheetFormatPr defaultColWidth="9.140625" defaultRowHeight="12.75"/>
  <cols>
    <col min="1" max="1" width="8.28125" style="1" bestFit="1" customWidth="1"/>
    <col min="2" max="2" width="43.421875" style="1" bestFit="1" customWidth="1"/>
    <col min="3" max="3" width="17.421875" style="1" bestFit="1" customWidth="1"/>
    <col min="4" max="4" width="14.57421875" style="1" bestFit="1" customWidth="1"/>
    <col min="5" max="5" width="17.140625" style="1" bestFit="1" customWidth="1"/>
    <col min="6" max="6" width="19.00390625" style="1" customWidth="1"/>
    <col min="7" max="7" width="14.57421875" style="5" bestFit="1" customWidth="1"/>
    <col min="8" max="9" width="16.28125" style="1" bestFit="1" customWidth="1"/>
    <col min="10" max="10" width="6.8515625" style="1" customWidth="1"/>
    <col min="11" max="11" width="12.7109375" style="1" customWidth="1"/>
    <col min="12" max="12" width="13.7109375" style="3" bestFit="1" customWidth="1"/>
    <col min="13" max="13" width="12.00390625" style="3" bestFit="1" customWidth="1"/>
    <col min="14" max="14" width="14.140625" style="3" bestFit="1" customWidth="1"/>
    <col min="15" max="16384" width="9.140625" style="1" customWidth="1"/>
  </cols>
  <sheetData>
    <row r="1" spans="1:14" ht="16.5" thickBot="1">
      <c r="A1" s="53" t="s">
        <v>59</v>
      </c>
      <c r="B1" s="54"/>
      <c r="C1" s="54"/>
      <c r="D1" s="54"/>
      <c r="E1" s="54"/>
      <c r="F1" s="54"/>
      <c r="G1" s="54"/>
      <c r="H1" s="55"/>
      <c r="L1" s="2" t="s">
        <v>19</v>
      </c>
      <c r="M1" s="1"/>
      <c r="N1" s="49" t="s">
        <v>58</v>
      </c>
    </row>
    <row r="2" spans="7:14" ht="12.75">
      <c r="G2" s="3"/>
      <c r="L2" s="2" t="s">
        <v>20</v>
      </c>
      <c r="M2" s="1"/>
      <c r="N2" s="50">
        <v>4</v>
      </c>
    </row>
    <row r="3" spans="7:14" ht="12.75">
      <c r="G3" s="3"/>
      <c r="L3" s="2" t="s">
        <v>21</v>
      </c>
      <c r="M3" s="1"/>
      <c r="N3" s="51"/>
    </row>
    <row r="4" spans="7:14" ht="12.75">
      <c r="G4" s="3"/>
      <c r="L4" s="2" t="s">
        <v>22</v>
      </c>
      <c r="M4" s="1"/>
      <c r="N4" s="51"/>
    </row>
    <row r="5" spans="7:14" ht="12.75">
      <c r="G5" s="3"/>
      <c r="L5" s="2" t="s">
        <v>23</v>
      </c>
      <c r="M5" s="1"/>
      <c r="N5" s="67">
        <v>78</v>
      </c>
    </row>
    <row r="6" spans="7:13" ht="12.75">
      <c r="G6" s="4"/>
      <c r="L6" s="2"/>
      <c r="M6" s="1"/>
    </row>
    <row r="7" spans="7:14" ht="12.75">
      <c r="G7" s="4"/>
      <c r="L7" s="2" t="s">
        <v>24</v>
      </c>
      <c r="M7" s="1"/>
      <c r="N7" s="52">
        <v>40417</v>
      </c>
    </row>
    <row r="9" spans="1:14" ht="15.75">
      <c r="A9" s="66" t="s">
        <v>41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59"/>
      <c r="N9" s="59"/>
    </row>
    <row r="10" spans="7:14" ht="13.5" thickBot="1">
      <c r="G10" s="3"/>
      <c r="M10" s="59"/>
      <c r="N10" s="59"/>
    </row>
    <row r="11" spans="1:14" s="7" customFormat="1" ht="27" customHeight="1">
      <c r="A11" s="60" t="s">
        <v>25</v>
      </c>
      <c r="B11" s="62" t="s">
        <v>0</v>
      </c>
      <c r="C11" s="12" t="s">
        <v>1</v>
      </c>
      <c r="D11" s="6" t="s">
        <v>49</v>
      </c>
      <c r="E11" s="12" t="s">
        <v>28</v>
      </c>
      <c r="F11" s="6" t="s">
        <v>42</v>
      </c>
      <c r="G11" s="12" t="s">
        <v>2</v>
      </c>
      <c r="H11" s="64" t="s">
        <v>47</v>
      </c>
      <c r="I11" s="12" t="s">
        <v>30</v>
      </c>
      <c r="J11" s="6" t="s">
        <v>31</v>
      </c>
      <c r="K11" s="12" t="s">
        <v>18</v>
      </c>
      <c r="L11" s="20" t="s">
        <v>34</v>
      </c>
      <c r="M11" s="12" t="s">
        <v>43</v>
      </c>
      <c r="N11" s="6" t="s">
        <v>44</v>
      </c>
    </row>
    <row r="12" spans="1:14" s="7" customFormat="1" ht="30" customHeight="1" thickBot="1">
      <c r="A12" s="61"/>
      <c r="B12" s="63"/>
      <c r="C12" s="13" t="s">
        <v>26</v>
      </c>
      <c r="D12" s="18" t="s">
        <v>27</v>
      </c>
      <c r="E12" s="13" t="s">
        <v>36</v>
      </c>
      <c r="F12" s="14" t="s">
        <v>48</v>
      </c>
      <c r="G12" s="13" t="s">
        <v>29</v>
      </c>
      <c r="H12" s="65"/>
      <c r="I12" s="19" t="s">
        <v>50</v>
      </c>
      <c r="J12" s="18" t="s">
        <v>32</v>
      </c>
      <c r="K12" s="13" t="s">
        <v>33</v>
      </c>
      <c r="L12" s="21" t="s">
        <v>35</v>
      </c>
      <c r="M12" s="22" t="s">
        <v>45</v>
      </c>
      <c r="N12" s="8" t="s">
        <v>46</v>
      </c>
    </row>
    <row r="13" spans="1:14" ht="12.75" customHeight="1">
      <c r="A13" s="9">
        <v>1805</v>
      </c>
      <c r="B13" s="15" t="s">
        <v>3</v>
      </c>
      <c r="C13" s="23">
        <v>1580786.78</v>
      </c>
      <c r="D13" s="24">
        <v>0</v>
      </c>
      <c r="E13" s="23">
        <f>C13-D13</f>
        <v>1580786.78</v>
      </c>
      <c r="F13" s="24"/>
      <c r="G13" s="25">
        <v>248399.63</v>
      </c>
      <c r="H13" s="24">
        <f>C13-F13+G13</f>
        <v>1829186.4100000001</v>
      </c>
      <c r="I13" s="23">
        <f>E13-F13+G13</f>
        <v>1829186.4100000001</v>
      </c>
      <c r="J13" s="24"/>
      <c r="K13" s="23"/>
      <c r="L13" s="26"/>
      <c r="M13" s="27"/>
      <c r="N13" s="26">
        <v>0</v>
      </c>
    </row>
    <row r="14" spans="1:14" ht="12.75">
      <c r="A14" s="10">
        <v>1806</v>
      </c>
      <c r="B14" s="16" t="s">
        <v>9</v>
      </c>
      <c r="C14" s="28">
        <v>324775.09</v>
      </c>
      <c r="D14" s="29">
        <v>0</v>
      </c>
      <c r="E14" s="28">
        <f>C14-D14</f>
        <v>324775.09</v>
      </c>
      <c r="F14" s="29"/>
      <c r="G14" s="30">
        <v>35659</v>
      </c>
      <c r="H14" s="29">
        <f>C14-F14+G14</f>
        <v>360434.09</v>
      </c>
      <c r="I14" s="28">
        <f aca="true" t="shared" si="0" ref="I14:I37">E14-F14+G14</f>
        <v>360434.09</v>
      </c>
      <c r="J14" s="29"/>
      <c r="K14" s="28"/>
      <c r="L14" s="31"/>
      <c r="M14" s="32"/>
      <c r="N14" s="31">
        <f aca="true" t="shared" si="1" ref="N14:N27">SUM(L14:M14)</f>
        <v>0</v>
      </c>
    </row>
    <row r="15" spans="1:14" ht="12.75">
      <c r="A15" s="10">
        <v>1808</v>
      </c>
      <c r="B15" s="16" t="s">
        <v>51</v>
      </c>
      <c r="C15" s="28">
        <v>8973132.11</v>
      </c>
      <c r="D15" s="31">
        <f>4598.49+1868.96+5166.28+1976.29+2326.33+2580.99+2083.4+1031.46+1528.12+4039.59+2703.57+1724.69+10160.38+6815.05+61363.87-10970-1798</f>
        <v>97199.47</v>
      </c>
      <c r="E15" s="28">
        <f>C15-D15</f>
        <v>8875932.639999999</v>
      </c>
      <c r="F15" s="29"/>
      <c r="G15" s="30">
        <v>5752</v>
      </c>
      <c r="H15" s="29">
        <f>C15-F15+G15</f>
        <v>8978884.11</v>
      </c>
      <c r="I15" s="28">
        <f t="shared" si="0"/>
        <v>8881684.639999999</v>
      </c>
      <c r="J15" s="29">
        <v>50</v>
      </c>
      <c r="K15" s="47">
        <f>1/J15</f>
        <v>0.02</v>
      </c>
      <c r="L15" s="31">
        <f aca="true" t="shared" si="2" ref="L15:L37">I15/J15</f>
        <v>177633.69279999996</v>
      </c>
      <c r="M15" s="45">
        <v>-71644.42700000001</v>
      </c>
      <c r="N15" s="31">
        <f t="shared" si="1"/>
        <v>105989.26579999995</v>
      </c>
    </row>
    <row r="16" spans="1:14" ht="12.75">
      <c r="A16" s="10">
        <v>1815</v>
      </c>
      <c r="B16" s="16" t="s">
        <v>4</v>
      </c>
      <c r="C16" s="28">
        <v>20657859.66</v>
      </c>
      <c r="D16" s="29">
        <f>238972.06+11482.43+4437.01+20850+1040.11+145180.48+168152.61</f>
        <v>590114.7</v>
      </c>
      <c r="E16" s="32">
        <f aca="true" t="shared" si="3" ref="E16:E27">C16-D16</f>
        <v>20067744.96</v>
      </c>
      <c r="F16" s="31"/>
      <c r="G16" s="30">
        <v>778737</v>
      </c>
      <c r="H16" s="29">
        <f aca="true" t="shared" si="4" ref="H16:H37">C16-F16+G16</f>
        <v>21436596.66</v>
      </c>
      <c r="I16" s="28">
        <f t="shared" si="0"/>
        <v>20846481.96</v>
      </c>
      <c r="J16" s="29">
        <v>40</v>
      </c>
      <c r="K16" s="47">
        <f>1/J16</f>
        <v>0.025</v>
      </c>
      <c r="L16" s="31">
        <f t="shared" si="2"/>
        <v>521162.049</v>
      </c>
      <c r="M16" s="45">
        <v>-25386.66075</v>
      </c>
      <c r="N16" s="31">
        <f t="shared" si="1"/>
        <v>495775.38825</v>
      </c>
    </row>
    <row r="17" spans="1:14" ht="12.75">
      <c r="A17" s="10">
        <v>1820</v>
      </c>
      <c r="B17" s="16" t="s">
        <v>5</v>
      </c>
      <c r="C17" s="28">
        <v>5011057.11</v>
      </c>
      <c r="D17" s="44">
        <f>1299536.82</f>
        <v>1299536.82</v>
      </c>
      <c r="E17" s="32">
        <f t="shared" si="3"/>
        <v>3711520.29</v>
      </c>
      <c r="F17" s="31"/>
      <c r="G17" s="33">
        <v>35856</v>
      </c>
      <c r="H17" s="29">
        <f t="shared" si="4"/>
        <v>5046913.11</v>
      </c>
      <c r="I17" s="28">
        <f t="shared" si="0"/>
        <v>3747376.29</v>
      </c>
      <c r="J17" s="29">
        <v>30</v>
      </c>
      <c r="K17" s="47">
        <f>1/J17</f>
        <v>0.03333333333333333</v>
      </c>
      <c r="L17" s="31">
        <f t="shared" si="2"/>
        <v>124912.543</v>
      </c>
      <c r="M17" s="45">
        <v>-34868.36</v>
      </c>
      <c r="N17" s="31">
        <f t="shared" si="1"/>
        <v>90044.183</v>
      </c>
    </row>
    <row r="18" spans="1:14" ht="12.75">
      <c r="A18" s="10">
        <v>1830</v>
      </c>
      <c r="B18" s="16" t="s">
        <v>6</v>
      </c>
      <c r="C18" s="28">
        <v>33851770.5</v>
      </c>
      <c r="D18" s="29">
        <f>408484.12+480670.36+501841.45+579802.98</f>
        <v>1970798.91</v>
      </c>
      <c r="E18" s="28">
        <f t="shared" si="3"/>
        <v>31880971.59</v>
      </c>
      <c r="F18" s="29"/>
      <c r="G18" s="30">
        <v>3373891</v>
      </c>
      <c r="H18" s="29">
        <f t="shared" si="4"/>
        <v>37225661.5</v>
      </c>
      <c r="I18" s="28">
        <f t="shared" si="0"/>
        <v>35254862.59</v>
      </c>
      <c r="J18" s="29">
        <v>25</v>
      </c>
      <c r="K18" s="47">
        <f aca="true" t="shared" si="5" ref="K18:K24">1/J18</f>
        <v>0.04</v>
      </c>
      <c r="L18" s="31">
        <f t="shared" si="2"/>
        <v>1410194.5036000002</v>
      </c>
      <c r="M18" s="45">
        <v>-2966.5832000000014</v>
      </c>
      <c r="N18" s="31">
        <f t="shared" si="1"/>
        <v>1407227.9204000002</v>
      </c>
    </row>
    <row r="19" spans="1:14" ht="12.75">
      <c r="A19" s="10">
        <v>1835</v>
      </c>
      <c r="B19" s="16" t="s">
        <v>52</v>
      </c>
      <c r="C19" s="28">
        <v>14210434.48</v>
      </c>
      <c r="D19" s="29">
        <f>158157.88+179101.41+163466.82+188492.88</f>
        <v>689218.99</v>
      </c>
      <c r="E19" s="28">
        <f t="shared" si="3"/>
        <v>13521215.49</v>
      </c>
      <c r="F19" s="29"/>
      <c r="G19" s="30">
        <v>1875354</v>
      </c>
      <c r="H19" s="29">
        <f t="shared" si="4"/>
        <v>16085788.48</v>
      </c>
      <c r="I19" s="28">
        <f t="shared" si="0"/>
        <v>15396569.49</v>
      </c>
      <c r="J19" s="29">
        <v>25</v>
      </c>
      <c r="K19" s="47">
        <f t="shared" si="5"/>
        <v>0.04</v>
      </c>
      <c r="L19" s="31">
        <f t="shared" si="2"/>
        <v>615862.7796</v>
      </c>
      <c r="M19" s="45">
        <v>-6053.4376</v>
      </c>
      <c r="N19" s="31">
        <f t="shared" si="1"/>
        <v>609809.3420000001</v>
      </c>
    </row>
    <row r="20" spans="1:14" ht="12.75">
      <c r="A20" s="10">
        <v>1840</v>
      </c>
      <c r="B20" s="16" t="s">
        <v>53</v>
      </c>
      <c r="C20" s="28">
        <v>11800529.51</v>
      </c>
      <c r="D20" s="29">
        <f>0</f>
        <v>0</v>
      </c>
      <c r="E20" s="28">
        <f t="shared" si="3"/>
        <v>11800529.51</v>
      </c>
      <c r="F20" s="29"/>
      <c r="G20" s="30">
        <v>210221</v>
      </c>
      <c r="H20" s="29">
        <f t="shared" si="4"/>
        <v>12010750.51</v>
      </c>
      <c r="I20" s="28">
        <f t="shared" si="0"/>
        <v>12010750.51</v>
      </c>
      <c r="J20" s="29">
        <v>25</v>
      </c>
      <c r="K20" s="47">
        <f t="shared" si="5"/>
        <v>0.04</v>
      </c>
      <c r="L20" s="31">
        <f t="shared" si="2"/>
        <v>480430.0204</v>
      </c>
      <c r="M20" s="45">
        <v>-28277.235599999996</v>
      </c>
      <c r="N20" s="31">
        <f t="shared" si="1"/>
        <v>452152.78479999996</v>
      </c>
    </row>
    <row r="21" spans="1:14" ht="12.75">
      <c r="A21" s="10">
        <v>1845</v>
      </c>
      <c r="B21" s="16" t="s">
        <v>54</v>
      </c>
      <c r="C21" s="28">
        <v>26099125.32</v>
      </c>
      <c r="D21" s="29">
        <v>2031630.54</v>
      </c>
      <c r="E21" s="28">
        <f t="shared" si="3"/>
        <v>24067494.78</v>
      </c>
      <c r="F21" s="29"/>
      <c r="G21" s="30">
        <v>1568180</v>
      </c>
      <c r="H21" s="29">
        <f t="shared" si="4"/>
        <v>27667305.32</v>
      </c>
      <c r="I21" s="28">
        <f t="shared" si="0"/>
        <v>25635674.78</v>
      </c>
      <c r="J21" s="29">
        <v>25</v>
      </c>
      <c r="K21" s="47">
        <f t="shared" si="5"/>
        <v>0.04</v>
      </c>
      <c r="L21" s="31">
        <f t="shared" si="2"/>
        <v>1025426.9912</v>
      </c>
      <c r="M21" s="45">
        <v>-13886.586</v>
      </c>
      <c r="N21" s="31">
        <f t="shared" si="1"/>
        <v>1011540.4052</v>
      </c>
    </row>
    <row r="22" spans="1:14" ht="12.75">
      <c r="A22" s="10">
        <v>1850</v>
      </c>
      <c r="B22" s="16" t="s">
        <v>7</v>
      </c>
      <c r="C22" s="28">
        <v>31715036.01</v>
      </c>
      <c r="D22" s="29">
        <f>32675.53+865592.23</f>
        <v>898267.76</v>
      </c>
      <c r="E22" s="28">
        <f t="shared" si="3"/>
        <v>30816768.25</v>
      </c>
      <c r="F22" s="29"/>
      <c r="G22" s="30">
        <v>2382530</v>
      </c>
      <c r="H22" s="29">
        <f t="shared" si="4"/>
        <v>34097566.010000005</v>
      </c>
      <c r="I22" s="28">
        <f t="shared" si="0"/>
        <v>33199298.25</v>
      </c>
      <c r="J22" s="29">
        <v>25</v>
      </c>
      <c r="K22" s="47">
        <f t="shared" si="5"/>
        <v>0.04</v>
      </c>
      <c r="L22" s="31">
        <f t="shared" si="2"/>
        <v>1327971.93</v>
      </c>
      <c r="M22" s="45">
        <v>13397.232399999997</v>
      </c>
      <c r="N22" s="31">
        <f t="shared" si="1"/>
        <v>1341369.1624</v>
      </c>
    </row>
    <row r="23" spans="1:14" ht="12.75">
      <c r="A23" s="10">
        <v>1855</v>
      </c>
      <c r="B23" s="16" t="s">
        <v>55</v>
      </c>
      <c r="C23" s="28">
        <v>16671873.71</v>
      </c>
      <c r="D23" s="29">
        <f>71227.48+117569.87+85016.82+75578.78+18409.56+64241.17+73077.22+88619.88</f>
        <v>593740.7799999999</v>
      </c>
      <c r="E23" s="28">
        <f t="shared" si="3"/>
        <v>16078132.930000002</v>
      </c>
      <c r="F23" s="29"/>
      <c r="G23" s="30">
        <v>1260156</v>
      </c>
      <c r="H23" s="29">
        <f t="shared" si="4"/>
        <v>17932029.71</v>
      </c>
      <c r="I23" s="28">
        <f t="shared" si="0"/>
        <v>17338288.93</v>
      </c>
      <c r="J23" s="29">
        <v>25</v>
      </c>
      <c r="K23" s="47">
        <f t="shared" si="5"/>
        <v>0.04</v>
      </c>
      <c r="L23" s="31">
        <f t="shared" si="2"/>
        <v>693531.5572</v>
      </c>
      <c r="M23" s="45">
        <v>-29480.61</v>
      </c>
      <c r="N23" s="31">
        <f t="shared" si="1"/>
        <v>664050.9472</v>
      </c>
    </row>
    <row r="24" spans="1:14" ht="12.75">
      <c r="A24" s="10">
        <v>1860</v>
      </c>
      <c r="B24" s="16" t="s">
        <v>8</v>
      </c>
      <c r="C24" s="28">
        <v>8056344.44</v>
      </c>
      <c r="D24" s="29">
        <f>1018430.56+266124.65</f>
        <v>1284555.21</v>
      </c>
      <c r="E24" s="28">
        <f t="shared" si="3"/>
        <v>6771789.23</v>
      </c>
      <c r="F24" s="29"/>
      <c r="G24" s="30">
        <v>367063</v>
      </c>
      <c r="H24" s="29">
        <f t="shared" si="4"/>
        <v>8423407.440000001</v>
      </c>
      <c r="I24" s="28">
        <f t="shared" si="0"/>
        <v>7138852.23</v>
      </c>
      <c r="J24" s="29">
        <v>25</v>
      </c>
      <c r="K24" s="47">
        <f t="shared" si="5"/>
        <v>0.04</v>
      </c>
      <c r="L24" s="31">
        <f t="shared" si="2"/>
        <v>285554.08920000005</v>
      </c>
      <c r="M24" s="45">
        <v>30595.32</v>
      </c>
      <c r="N24" s="31">
        <f t="shared" si="1"/>
        <v>316149.40920000005</v>
      </c>
    </row>
    <row r="25" spans="1:14" ht="12.75">
      <c r="A25" s="10">
        <v>1915</v>
      </c>
      <c r="B25" s="16" t="s">
        <v>56</v>
      </c>
      <c r="C25" s="28">
        <v>771612.46</v>
      </c>
      <c r="D25" s="29">
        <f>18889.91+99401.25+15242.14+31090.07+31546.11+43382.35</f>
        <v>239551.83</v>
      </c>
      <c r="E25" s="28">
        <f t="shared" si="3"/>
        <v>532060.63</v>
      </c>
      <c r="F25" s="29"/>
      <c r="G25" s="30">
        <v>7049.12</v>
      </c>
      <c r="H25" s="29">
        <f t="shared" si="4"/>
        <v>778661.58</v>
      </c>
      <c r="I25" s="28">
        <f t="shared" si="0"/>
        <v>539109.75</v>
      </c>
      <c r="J25" s="29">
        <v>10</v>
      </c>
      <c r="K25" s="47">
        <f aca="true" t="shared" si="6" ref="K25:K30">1/J25</f>
        <v>0.1</v>
      </c>
      <c r="L25" s="31">
        <f t="shared" si="2"/>
        <v>53910.975</v>
      </c>
      <c r="M25" s="45">
        <v>-1.94</v>
      </c>
      <c r="N25" s="31">
        <f t="shared" si="1"/>
        <v>53909.034999999996</v>
      </c>
    </row>
    <row r="26" spans="1:14" ht="12.75">
      <c r="A26" s="10">
        <v>1920</v>
      </c>
      <c r="B26" s="16" t="s">
        <v>10</v>
      </c>
      <c r="C26" s="28">
        <v>2688950.68</v>
      </c>
      <c r="D26" s="29">
        <f>263981.86+191038.96+750748.95+112152.82+3+267489.56+103260.97+1455.42</f>
        <v>1690131.54</v>
      </c>
      <c r="E26" s="28">
        <f t="shared" si="3"/>
        <v>998819.1400000001</v>
      </c>
      <c r="F26" s="29"/>
      <c r="G26" s="30">
        <v>91002.46</v>
      </c>
      <c r="H26" s="29">
        <f t="shared" si="4"/>
        <v>2779953.14</v>
      </c>
      <c r="I26" s="28">
        <f>E26-F26+G26</f>
        <v>1089821.6</v>
      </c>
      <c r="J26" s="29">
        <v>5</v>
      </c>
      <c r="K26" s="47">
        <f t="shared" si="6"/>
        <v>0.2</v>
      </c>
      <c r="L26" s="31">
        <f t="shared" si="2"/>
        <v>217964.32</v>
      </c>
      <c r="M26" s="45">
        <v>0.17000000000007276</v>
      </c>
      <c r="N26" s="31">
        <f t="shared" si="1"/>
        <v>217964.49000000002</v>
      </c>
    </row>
    <row r="27" spans="1:14" ht="12.75">
      <c r="A27" s="10">
        <v>1925</v>
      </c>
      <c r="B27" s="16" t="s">
        <v>11</v>
      </c>
      <c r="C27" s="28">
        <v>2901460.45</v>
      </c>
      <c r="D27" s="29">
        <f>336582.02+515865.24+77672.64+17281+222760.98+39894.04+923.4</f>
        <v>1210979.32</v>
      </c>
      <c r="E27" s="28">
        <f t="shared" si="3"/>
        <v>1690481.1300000001</v>
      </c>
      <c r="F27" s="29"/>
      <c r="G27" s="30">
        <v>231044</v>
      </c>
      <c r="H27" s="29">
        <f t="shared" si="4"/>
        <v>3132504.45</v>
      </c>
      <c r="I27" s="28">
        <f t="shared" si="0"/>
        <v>1921525.1300000001</v>
      </c>
      <c r="J27" s="29">
        <v>5</v>
      </c>
      <c r="K27" s="47">
        <f t="shared" si="6"/>
        <v>0.2</v>
      </c>
      <c r="L27" s="31">
        <f t="shared" si="2"/>
        <v>384305.026</v>
      </c>
      <c r="M27" s="45">
        <v>-1187.76</v>
      </c>
      <c r="N27" s="31">
        <f t="shared" si="1"/>
        <v>383117.266</v>
      </c>
    </row>
    <row r="28" spans="1:14" ht="12.75">
      <c r="A28" s="10">
        <v>1930</v>
      </c>
      <c r="B28" s="16" t="s">
        <v>37</v>
      </c>
      <c r="C28" s="28">
        <v>230087.22</v>
      </c>
      <c r="D28" s="29">
        <f>16989.59+21184.22</f>
        <v>38173.81</v>
      </c>
      <c r="E28" s="28">
        <f>C28-D28</f>
        <v>191913.41</v>
      </c>
      <c r="F28" s="29"/>
      <c r="G28" s="30">
        <v>10929.39</v>
      </c>
      <c r="H28" s="29">
        <f t="shared" si="4"/>
        <v>241016.61</v>
      </c>
      <c r="I28" s="28">
        <f t="shared" si="0"/>
        <v>202842.8</v>
      </c>
      <c r="J28" s="29">
        <v>8</v>
      </c>
      <c r="K28" s="47">
        <f t="shared" si="6"/>
        <v>0.125</v>
      </c>
      <c r="L28" s="31">
        <f t="shared" si="2"/>
        <v>25355.35</v>
      </c>
      <c r="M28" s="45">
        <v>-22808.517500000005</v>
      </c>
      <c r="N28" s="56">
        <f>SUM(L28:M30)</f>
        <v>430369.21125</v>
      </c>
    </row>
    <row r="29" spans="1:14" ht="12.75">
      <c r="A29" s="10">
        <v>1930</v>
      </c>
      <c r="B29" s="16" t="s">
        <v>38</v>
      </c>
      <c r="C29" s="28">
        <v>1707791.73</v>
      </c>
      <c r="D29" s="31">
        <f>871279.34</f>
        <v>871279.34</v>
      </c>
      <c r="E29" s="28">
        <f>C29-D29</f>
        <v>836512.39</v>
      </c>
      <c r="F29" s="29">
        <v>113046.57</v>
      </c>
      <c r="G29" s="30">
        <v>93820.48</v>
      </c>
      <c r="H29" s="29">
        <f>C29-F29+G29</f>
        <v>1688565.64</v>
      </c>
      <c r="I29" s="28">
        <f t="shared" si="0"/>
        <v>817286.3</v>
      </c>
      <c r="J29" s="29">
        <v>5</v>
      </c>
      <c r="K29" s="47">
        <f t="shared" si="6"/>
        <v>0.2</v>
      </c>
      <c r="L29" s="31">
        <f t="shared" si="2"/>
        <v>163457.26</v>
      </c>
      <c r="M29" s="45">
        <v>29865.71</v>
      </c>
      <c r="N29" s="56"/>
    </row>
    <row r="30" spans="1:14" ht="12.75">
      <c r="A30" s="10">
        <v>1930</v>
      </c>
      <c r="B30" s="16" t="s">
        <v>39</v>
      </c>
      <c r="C30" s="28">
        <v>4300859.2</v>
      </c>
      <c r="D30" s="29">
        <f>1937020.72</f>
        <v>1937020.72</v>
      </c>
      <c r="E30" s="28">
        <f>C30-D30</f>
        <v>2363838.4800000004</v>
      </c>
      <c r="F30" s="29">
        <v>132477.7</v>
      </c>
      <c r="G30" s="30">
        <f>145829.19+65477.94</f>
        <v>211307.13</v>
      </c>
      <c r="H30" s="29">
        <f t="shared" si="4"/>
        <v>4379688.63</v>
      </c>
      <c r="I30" s="28">
        <f t="shared" si="0"/>
        <v>2442667.91</v>
      </c>
      <c r="J30" s="29">
        <v>8</v>
      </c>
      <c r="K30" s="47">
        <f t="shared" si="6"/>
        <v>0.125</v>
      </c>
      <c r="L30" s="31">
        <f t="shared" si="2"/>
        <v>305333.48875</v>
      </c>
      <c r="M30" s="45">
        <v>-70834.08</v>
      </c>
      <c r="N30" s="56"/>
    </row>
    <row r="31" spans="1:14" ht="12.75">
      <c r="A31" s="10">
        <v>1935</v>
      </c>
      <c r="B31" s="16" t="s">
        <v>12</v>
      </c>
      <c r="C31" s="28">
        <v>156150.49</v>
      </c>
      <c r="D31" s="31">
        <f>5242.64+4785.7+40964.36+7586.65+2566.06+2758.98</f>
        <v>63904.39</v>
      </c>
      <c r="E31" s="28">
        <f aca="true" t="shared" si="7" ref="E31:E37">C31-D31</f>
        <v>92246.09999999999</v>
      </c>
      <c r="F31" s="31">
        <v>80449.2</v>
      </c>
      <c r="G31" s="30">
        <f>99190.58</f>
        <v>99190.58</v>
      </c>
      <c r="H31" s="29">
        <f t="shared" si="4"/>
        <v>174891.87</v>
      </c>
      <c r="I31" s="28">
        <f t="shared" si="0"/>
        <v>110987.48</v>
      </c>
      <c r="J31" s="29">
        <v>10</v>
      </c>
      <c r="K31" s="47">
        <f aca="true" t="shared" si="8" ref="K31:K36">1/J31</f>
        <v>0.1</v>
      </c>
      <c r="L31" s="31">
        <f t="shared" si="2"/>
        <v>11098.748</v>
      </c>
      <c r="M31" s="45">
        <v>0</v>
      </c>
      <c r="N31" s="31">
        <f aca="true" t="shared" si="9" ref="N31:N37">SUM(L31:M31)</f>
        <v>11098.748</v>
      </c>
    </row>
    <row r="32" spans="1:14" ht="12.75">
      <c r="A32" s="10">
        <v>1940</v>
      </c>
      <c r="B32" s="16" t="s">
        <v>13</v>
      </c>
      <c r="C32" s="28">
        <v>563009.56</v>
      </c>
      <c r="D32" s="31">
        <f>984.3+3852.65+643.37+2135.44+1323.79</f>
        <v>8939.55</v>
      </c>
      <c r="E32" s="28">
        <f t="shared" si="7"/>
        <v>554070.01</v>
      </c>
      <c r="F32" s="29"/>
      <c r="G32" s="30">
        <f>88799.58+25954.72</f>
        <v>114754.3</v>
      </c>
      <c r="H32" s="29">
        <f t="shared" si="4"/>
        <v>677763.8600000001</v>
      </c>
      <c r="I32" s="28">
        <f>E32-F32+G32</f>
        <v>668824.31</v>
      </c>
      <c r="J32" s="29">
        <v>10</v>
      </c>
      <c r="K32" s="47">
        <f t="shared" si="8"/>
        <v>0.1</v>
      </c>
      <c r="L32" s="31">
        <f t="shared" si="2"/>
        <v>66882.43100000001</v>
      </c>
      <c r="M32" s="45">
        <v>-2256.75</v>
      </c>
      <c r="N32" s="31">
        <f t="shared" si="9"/>
        <v>64625.68100000001</v>
      </c>
    </row>
    <row r="33" spans="1:14" ht="12.75">
      <c r="A33" s="10">
        <v>1945</v>
      </c>
      <c r="B33" s="16" t="s">
        <v>14</v>
      </c>
      <c r="C33" s="28">
        <v>610966.19</v>
      </c>
      <c r="D33" s="29">
        <f>201362+28036+27602+33976+17793+20462+22567.79</f>
        <v>351798.79</v>
      </c>
      <c r="E33" s="28">
        <f t="shared" si="7"/>
        <v>259167.39999999997</v>
      </c>
      <c r="F33" s="29"/>
      <c r="G33" s="30">
        <v>14065.93</v>
      </c>
      <c r="H33" s="29">
        <f t="shared" si="4"/>
        <v>625032.12</v>
      </c>
      <c r="I33" s="28">
        <f t="shared" si="0"/>
        <v>273233.32999999996</v>
      </c>
      <c r="J33" s="29">
        <v>10</v>
      </c>
      <c r="K33" s="47">
        <f t="shared" si="8"/>
        <v>0.1</v>
      </c>
      <c r="L33" s="31">
        <f t="shared" si="2"/>
        <v>27323.332999999995</v>
      </c>
      <c r="M33" s="45">
        <v>2256.89</v>
      </c>
      <c r="N33" s="31">
        <f t="shared" si="9"/>
        <v>29580.222999999994</v>
      </c>
    </row>
    <row r="34" spans="1:14" ht="12.75">
      <c r="A34" s="10">
        <v>1955</v>
      </c>
      <c r="B34" s="16" t="s">
        <v>15</v>
      </c>
      <c r="C34" s="28">
        <v>239260.31</v>
      </c>
      <c r="D34" s="29">
        <f>1230+4019+5232+3032+11641+6471+275.17+2078+13873</f>
        <v>47851.17</v>
      </c>
      <c r="E34" s="28">
        <f t="shared" si="7"/>
        <v>191409.14</v>
      </c>
      <c r="F34" s="29"/>
      <c r="G34" s="30">
        <v>216739</v>
      </c>
      <c r="H34" s="29">
        <f t="shared" si="4"/>
        <v>455999.31</v>
      </c>
      <c r="I34" s="28">
        <f t="shared" si="0"/>
        <v>408148.14</v>
      </c>
      <c r="J34" s="29">
        <v>10</v>
      </c>
      <c r="K34" s="47">
        <f t="shared" si="8"/>
        <v>0.1</v>
      </c>
      <c r="L34" s="31">
        <f t="shared" si="2"/>
        <v>40814.814</v>
      </c>
      <c r="M34" s="45">
        <v>-21673.892</v>
      </c>
      <c r="N34" s="31">
        <f t="shared" si="9"/>
        <v>19140.922</v>
      </c>
    </row>
    <row r="35" spans="1:14" ht="12.75">
      <c r="A35" s="10">
        <v>1960</v>
      </c>
      <c r="B35" s="16" t="s">
        <v>40</v>
      </c>
      <c r="C35" s="28">
        <v>556333.76</v>
      </c>
      <c r="D35" s="29">
        <f>37694.67+36574.73+39585.5+67078.83+51572.83+107755.06+1.92</f>
        <v>340263.54</v>
      </c>
      <c r="E35" s="28">
        <f t="shared" si="7"/>
        <v>216070.22000000003</v>
      </c>
      <c r="F35" s="29"/>
      <c r="G35" s="30">
        <v>25550</v>
      </c>
      <c r="H35" s="29">
        <f t="shared" si="4"/>
        <v>581883.76</v>
      </c>
      <c r="I35" s="28">
        <f t="shared" si="0"/>
        <v>241620.22000000003</v>
      </c>
      <c r="J35" s="29">
        <v>10</v>
      </c>
      <c r="K35" s="47">
        <f t="shared" si="8"/>
        <v>0.1</v>
      </c>
      <c r="L35" s="31">
        <f t="shared" si="2"/>
        <v>24162.022000000004</v>
      </c>
      <c r="M35" s="45">
        <v>-197.1</v>
      </c>
      <c r="N35" s="31">
        <f t="shared" si="9"/>
        <v>23964.922000000006</v>
      </c>
    </row>
    <row r="36" spans="1:14" ht="12.75">
      <c r="A36" s="10">
        <v>1980</v>
      </c>
      <c r="B36" s="16" t="s">
        <v>57</v>
      </c>
      <c r="C36" s="28">
        <v>2204564.25</v>
      </c>
      <c r="D36" s="29">
        <f>107619.8+114144.94</f>
        <v>221764.74</v>
      </c>
      <c r="E36" s="28">
        <f t="shared" si="7"/>
        <v>1982799.51</v>
      </c>
      <c r="F36" s="29"/>
      <c r="G36" s="30">
        <v>0</v>
      </c>
      <c r="H36" s="29">
        <f t="shared" si="4"/>
        <v>2204564.25</v>
      </c>
      <c r="I36" s="28">
        <f t="shared" si="0"/>
        <v>1982799.51</v>
      </c>
      <c r="J36" s="29">
        <v>15</v>
      </c>
      <c r="K36" s="47">
        <f t="shared" si="8"/>
        <v>0.06666666666666667</v>
      </c>
      <c r="L36" s="31">
        <f t="shared" si="2"/>
        <v>132186.634</v>
      </c>
      <c r="M36" s="45">
        <v>-21664.11</v>
      </c>
      <c r="N36" s="31">
        <f t="shared" si="9"/>
        <v>110522.52399999999</v>
      </c>
    </row>
    <row r="37" spans="1:14" ht="12.75">
      <c r="A37" s="10">
        <v>1995</v>
      </c>
      <c r="B37" s="16" t="s">
        <v>16</v>
      </c>
      <c r="C37" s="45">
        <v>-18696777.580000002</v>
      </c>
      <c r="D37" s="45">
        <v>0</v>
      </c>
      <c r="E37" s="45">
        <f t="shared" si="7"/>
        <v>-18696777.580000002</v>
      </c>
      <c r="F37" s="45"/>
      <c r="G37" s="45">
        <v>-1993133.84</v>
      </c>
      <c r="H37" s="45">
        <f t="shared" si="4"/>
        <v>-20689911.42</v>
      </c>
      <c r="I37" s="45">
        <f t="shared" si="0"/>
        <v>-20689911.42</v>
      </c>
      <c r="J37" s="45">
        <v>25</v>
      </c>
      <c r="K37" s="48">
        <f>1/J37</f>
        <v>0.04</v>
      </c>
      <c r="L37" s="45">
        <f t="shared" si="2"/>
        <v>-827596.4568</v>
      </c>
      <c r="M37" s="45">
        <v>0</v>
      </c>
      <c r="N37" s="45">
        <f t="shared" si="9"/>
        <v>-827596.4568</v>
      </c>
    </row>
    <row r="38" spans="1:14" ht="13.5" thickBot="1">
      <c r="A38" s="11"/>
      <c r="B38" s="17"/>
      <c r="C38" s="34"/>
      <c r="D38" s="35"/>
      <c r="E38" s="34"/>
      <c r="F38" s="35"/>
      <c r="G38" s="36"/>
      <c r="H38" s="37"/>
      <c r="I38" s="34"/>
      <c r="J38" s="37"/>
      <c r="K38" s="34"/>
      <c r="L38" s="38"/>
      <c r="M38" s="39"/>
      <c r="N38" s="40">
        <f>L38+M38</f>
        <v>0</v>
      </c>
    </row>
    <row r="39" spans="1:14" s="2" customFormat="1" ht="13.5" thickBot="1">
      <c r="A39" s="57" t="s">
        <v>17</v>
      </c>
      <c r="B39" s="58"/>
      <c r="C39" s="41">
        <f aca="true" t="shared" si="10" ref="C39:I39">SUM(C13:C38)</f>
        <v>177186993.43999997</v>
      </c>
      <c r="D39" s="41">
        <f t="shared" si="10"/>
        <v>16476721.920000002</v>
      </c>
      <c r="E39" s="41">
        <f t="shared" si="10"/>
        <v>160710271.5199999</v>
      </c>
      <c r="F39" s="42">
        <f t="shared" si="10"/>
        <v>325973.47000000003</v>
      </c>
      <c r="G39" s="43">
        <f t="shared" si="10"/>
        <v>11264117.180000002</v>
      </c>
      <c r="H39" s="41">
        <f t="shared" si="10"/>
        <v>188125137.14999998</v>
      </c>
      <c r="I39" s="42">
        <f t="shared" si="10"/>
        <v>171648415.22999996</v>
      </c>
      <c r="J39" s="41"/>
      <c r="K39" s="42"/>
      <c r="L39" s="41">
        <f>SUM(L13:L38)</f>
        <v>7287878.100949998</v>
      </c>
      <c r="M39" s="46">
        <f>SUM(M13:M38)</f>
        <v>-277072.72725</v>
      </c>
      <c r="N39" s="41">
        <f>SUM(N13:N38)</f>
        <v>7010805.373700001</v>
      </c>
    </row>
    <row r="43" ht="12.75">
      <c r="O43" s="2"/>
    </row>
    <row r="44" ht="12.75">
      <c r="N44" s="1"/>
    </row>
  </sheetData>
  <sheetProtection/>
  <mergeCells count="8">
    <mergeCell ref="A1:H1"/>
    <mergeCell ref="N28:N30"/>
    <mergeCell ref="A39:B39"/>
    <mergeCell ref="M9:N10"/>
    <mergeCell ref="A11:A12"/>
    <mergeCell ref="B11:B12"/>
    <mergeCell ref="H11:H12"/>
    <mergeCell ref="A9:L9"/>
  </mergeCells>
  <printOptions/>
  <pageMargins left="0.25" right="0.25" top="0.5" bottom="0.5" header="0.25" footer="0.25"/>
  <pageSetup fitToHeight="1" fitToWidth="1" horizontalDpi="600" verticalDpi="600" orientation="landscape" paperSize="17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ArmstrBi</dc:creator>
  <cp:keywords/>
  <dc:description/>
  <cp:lastModifiedBy>amos</cp:lastModifiedBy>
  <cp:lastPrinted>2010-08-23T21:29:27Z</cp:lastPrinted>
  <dcterms:created xsi:type="dcterms:W3CDTF">2009-03-26T15:32:04Z</dcterms:created>
  <dcterms:modified xsi:type="dcterms:W3CDTF">2010-08-27T10:25:01Z</dcterms:modified>
  <cp:category/>
  <cp:version/>
  <cp:contentType/>
  <cp:contentStatus/>
</cp:coreProperties>
</file>