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App.2-M Depreciation Expense" sheetId="1" r:id="rId1"/>
  </sheets>
  <definedNames>
    <definedName name="_xlfn.BAHTTEXT" hidden="1">#NAME?</definedName>
    <definedName name="_xlnm.Print_Area" localSheetId="0">'App.2-M Depreciation Expense'!$A$1:$L$41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pam</author>
  </authors>
  <commentList>
    <comment ref="D23" authorId="0">
      <text>
        <r>
          <rPr>
            <b/>
            <sz val="10"/>
            <rFont val="Tahoma"/>
            <family val="2"/>
          </rPr>
          <t>pam:</t>
        </r>
        <r>
          <rPr>
            <sz val="10"/>
            <rFont val="Tahoma"/>
            <family val="2"/>
          </rPr>
          <t xml:space="preserve">
capitalized in 2005
remove 2006</t>
        </r>
      </text>
    </comment>
  </commentList>
</comments>
</file>

<file path=xl/sharedStrings.xml><?xml version="1.0" encoding="utf-8"?>
<sst xmlns="http://schemas.openxmlformats.org/spreadsheetml/2006/main" count="64" uniqueCount="61">
  <si>
    <t>Description</t>
  </si>
  <si>
    <t>Opening Balance</t>
  </si>
  <si>
    <t>Additions</t>
  </si>
  <si>
    <t>Land</t>
  </si>
  <si>
    <t>Transformer Station Equipment &gt;50 kV</t>
  </si>
  <si>
    <t>Substation Equipment</t>
  </si>
  <si>
    <t>Poles, Towers &amp; Fixtures</t>
  </si>
  <si>
    <t>Line Transformers</t>
  </si>
  <si>
    <t>Meters</t>
  </si>
  <si>
    <t>Land Rights</t>
  </si>
  <si>
    <t>Computer - Hardware</t>
  </si>
  <si>
    <t>Computer Software</t>
  </si>
  <si>
    <t>Stores Equipment</t>
  </si>
  <si>
    <t>Tools, Shop &amp; Garage Equipment</t>
  </si>
  <si>
    <t>Measurement &amp; Testing Equipment</t>
  </si>
  <si>
    <t>Communications Equipment</t>
  </si>
  <si>
    <t>Contributions &amp; Grants</t>
  </si>
  <si>
    <t>Total</t>
  </si>
  <si>
    <t>Depreciation Rate</t>
  </si>
  <si>
    <t>File Number:</t>
  </si>
  <si>
    <t>EB-xxxx-xxxx</t>
  </si>
  <si>
    <t>Exhibit:</t>
  </si>
  <si>
    <t>Tab:</t>
  </si>
  <si>
    <t>X</t>
  </si>
  <si>
    <t>Y</t>
  </si>
  <si>
    <t>Account</t>
  </si>
  <si>
    <t>(a)</t>
  </si>
  <si>
    <t>Net for Depreciation</t>
  </si>
  <si>
    <t>(d)</t>
  </si>
  <si>
    <t>Total for Depreciation</t>
  </si>
  <si>
    <t>Years</t>
  </si>
  <si>
    <t>(f)</t>
  </si>
  <si>
    <t>(g) = 1 / (f)</t>
  </si>
  <si>
    <t>Depreciation Expense</t>
  </si>
  <si>
    <t>(h) = (e) / (f)</t>
  </si>
  <si>
    <t>(c) = (a) - (b)</t>
  </si>
  <si>
    <t>Depreciation and Amortization Expense 2006</t>
  </si>
  <si>
    <t>Miscellaneous Equipment</t>
  </si>
  <si>
    <t>Transportation Equipment - other</t>
  </si>
  <si>
    <t>Transportation Equipment - small trucks/mini vans</t>
  </si>
  <si>
    <t>Transportation Equipment - work platforms</t>
  </si>
  <si>
    <t>Services</t>
  </si>
  <si>
    <t>System Supervisory Equipment</t>
  </si>
  <si>
    <t>Total depreciation</t>
  </si>
  <si>
    <t>Adjustments</t>
  </si>
  <si>
    <t>Less Fully Depreciated</t>
  </si>
  <si>
    <t>(e)=(c) + 1.0 x (d)</t>
  </si>
  <si>
    <t>(i)</t>
  </si>
  <si>
    <t>(j) = (h) + (i)</t>
  </si>
  <si>
    <r>
      <t xml:space="preserve">(b) 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</si>
  <si>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i/>
        <sz val="10"/>
        <rFont val="Arial"/>
        <family val="2"/>
      </rPr>
      <t>Disposal of $145,556.20 USoA 1930 included</t>
    </r>
  </si>
  <si>
    <t>Buildings and Fixtures</t>
  </si>
  <si>
    <t>Overhead Conductors &amp; Devices</t>
  </si>
  <si>
    <t>Underground Conduit</t>
  </si>
  <si>
    <t>Underground Conductors &amp; Devices</t>
  </si>
  <si>
    <t>Office Furniture &amp; Equipment</t>
  </si>
  <si>
    <t>EB-2010-0144</t>
  </si>
  <si>
    <t>Schedule:</t>
  </si>
  <si>
    <t>Page:</t>
  </si>
  <si>
    <t>Date:</t>
  </si>
  <si>
    <t>WATERLOO NORTH HYDRO INC.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</si>
</sst>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&quot;$&quot;#,##0_);[Red]\(&quot;$&quot;#,##0\);&quot;$&quot;\ \-"/>
    <numFmt numFmtId="178" formatCode="0.0%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_-;\-* #,##0.0_-;_-* &quot;-&quot;??_-;_-@_-"/>
    <numFmt numFmtId="182" formatCode="_-* #,##0_-;\-* #,##0_-;_-* &quot;-&quot;??_-;_-@_-"/>
    <numFmt numFmtId="183" formatCode="_-&quot;$&quot;* #,##0.0000_-;\-&quot;$&quot;* #,##0.0000_-;_-&quot;$&quot;* &quot;-&quot;??_-;_-@_-"/>
    <numFmt numFmtId="184" formatCode="_-&quot;$&quot;* #,##0.0000000_-;\-&quot;$&quot;* #,##0.0000000_-;_-&quot;$&quot;* &quot;-&quot;??_-;_-@_-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_);_(* \(#,##0.0\);_(* &quot;-&quot;??_);_(@_)"/>
    <numFmt numFmtId="196" formatCode="_(* #,##0_);_(* \(#,##0\);_(* &quot;-&quot;??_);_(@_)"/>
    <numFmt numFmtId="197" formatCode="#,##0;[Red]\(#,##0\)"/>
    <numFmt numFmtId="198" formatCode="#,##0.0000;[Red]#,##0.0000"/>
    <numFmt numFmtId="199" formatCode="#,##0.000000000;[Red]#,##0.000000000"/>
    <numFmt numFmtId="200" formatCode="#,##0.00000000;[Red]#,##0.00000000"/>
    <numFmt numFmtId="201" formatCode="#,##0.0000000;[Red]#,##0.0000000"/>
    <numFmt numFmtId="202" formatCode="#,##0.000000;[Red]#,##0.000000"/>
    <numFmt numFmtId="203" formatCode="#,##0.00000;[Red]#,##0.00000"/>
    <numFmt numFmtId="204" formatCode="#,##0.000;[Red]#,##0.000"/>
    <numFmt numFmtId="205" formatCode="#,##0.00;[Red]#,##0.00"/>
    <numFmt numFmtId="206" formatCode="#,##0.0;[Red]#,##0.0"/>
    <numFmt numFmtId="207" formatCode="0.000"/>
    <numFmt numFmtId="208" formatCode="0.0000"/>
    <numFmt numFmtId="209" formatCode="_(* #,##0.0_);_(* \(#,##0.0\);_(* &quot;-&quot;_);_(@_)"/>
    <numFmt numFmtId="210" formatCode="_(* #,##0.00_);_(* \(#,##0.00\);_(* &quot;-&quot;_);_(@_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0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71" fontId="0" fillId="0" borderId="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center"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center" vertical="center"/>
    </xf>
    <xf numFmtId="196" fontId="0" fillId="0" borderId="17" xfId="0" applyNumberFormat="1" applyFont="1" applyFill="1" applyBorder="1" applyAlignment="1">
      <alignment/>
    </xf>
    <xf numFmtId="196" fontId="0" fillId="0" borderId="17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 wrapText="1"/>
    </xf>
    <xf numFmtId="196" fontId="0" fillId="0" borderId="19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/>
    </xf>
    <xf numFmtId="196" fontId="0" fillId="0" borderId="20" xfId="0" applyNumberFormat="1" applyFont="1" applyFill="1" applyBorder="1" applyAlignment="1">
      <alignment/>
    </xf>
    <xf numFmtId="196" fontId="0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7" fillId="0" borderId="0" xfId="0" applyFont="1" applyFill="1" applyBorder="1" applyAlignment="1">
      <alignment/>
    </xf>
    <xf numFmtId="196" fontId="0" fillId="0" borderId="22" xfId="0" applyNumberFormat="1" applyFill="1" applyBorder="1" applyAlignment="1">
      <alignment/>
    </xf>
    <xf numFmtId="196" fontId="0" fillId="0" borderId="21" xfId="0" applyNumberFormat="1" applyFill="1" applyBorder="1" applyAlignment="1">
      <alignment/>
    </xf>
    <xf numFmtId="196" fontId="0" fillId="0" borderId="21" xfId="0" applyNumberFormat="1" applyFont="1" applyFill="1" applyBorder="1" applyAlignment="1">
      <alignment/>
    </xf>
    <xf numFmtId="196" fontId="0" fillId="0" borderId="21" xfId="0" applyNumberFormat="1" applyFont="1" applyFill="1" applyBorder="1" applyAlignment="1">
      <alignment/>
    </xf>
    <xf numFmtId="196" fontId="0" fillId="0" borderId="22" xfId="0" applyNumberFormat="1" applyFont="1" applyFill="1" applyBorder="1" applyAlignment="1">
      <alignment/>
    </xf>
    <xf numFmtId="196" fontId="0" fillId="0" borderId="23" xfId="0" applyNumberFormat="1" applyFont="1" applyFill="1" applyBorder="1" applyAlignment="1">
      <alignment/>
    </xf>
    <xf numFmtId="196" fontId="0" fillId="0" borderId="20" xfId="0" applyNumberFormat="1" applyFill="1" applyBorder="1" applyAlignment="1">
      <alignment/>
    </xf>
    <xf numFmtId="196" fontId="0" fillId="0" borderId="17" xfId="0" applyNumberFormat="1" applyFill="1" applyBorder="1" applyAlignment="1">
      <alignment/>
    </xf>
    <xf numFmtId="196" fontId="0" fillId="0" borderId="17" xfId="0" applyNumberFormat="1" applyFont="1" applyFill="1" applyBorder="1" applyAlignment="1">
      <alignment/>
    </xf>
    <xf numFmtId="196" fontId="0" fillId="0" borderId="17" xfId="0" applyNumberFormat="1" applyFont="1" applyFill="1" applyBorder="1" applyAlignment="1">
      <alignment/>
    </xf>
    <xf numFmtId="196" fontId="0" fillId="0" borderId="17" xfId="0" applyNumberFormat="1" applyBorder="1" applyAlignment="1">
      <alignment/>
    </xf>
    <xf numFmtId="196" fontId="0" fillId="0" borderId="0" xfId="0" applyNumberFormat="1" applyFill="1" applyBorder="1" applyAlignment="1">
      <alignment/>
    </xf>
    <xf numFmtId="196" fontId="0" fillId="0" borderId="16" xfId="0" applyNumberFormat="1" applyFill="1" applyBorder="1" applyAlignment="1">
      <alignment/>
    </xf>
    <xf numFmtId="196" fontId="0" fillId="0" borderId="10" xfId="0" applyNumberFormat="1" applyFill="1" applyBorder="1" applyAlignment="1">
      <alignment/>
    </xf>
    <xf numFmtId="196" fontId="0" fillId="0" borderId="10" xfId="0" applyNumberFormat="1" applyFont="1" applyFill="1" applyBorder="1" applyAlignment="1">
      <alignment/>
    </xf>
    <xf numFmtId="196" fontId="0" fillId="0" borderId="10" xfId="0" applyNumberFormat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0" xfId="0" applyNumberFormat="1" applyFont="1" applyFill="1" applyBorder="1" applyAlignment="1">
      <alignment/>
    </xf>
    <xf numFmtId="196" fontId="0" fillId="0" borderId="16" xfId="0" applyNumberFormat="1" applyFont="1" applyFill="1" applyBorder="1" applyAlignment="1">
      <alignment/>
    </xf>
    <xf numFmtId="196" fontId="0" fillId="0" borderId="24" xfId="0" applyNumberFormat="1" applyFont="1" applyFill="1" applyBorder="1" applyAlignment="1">
      <alignment/>
    </xf>
    <xf numFmtId="196" fontId="4" fillId="24" borderId="25" xfId="0" applyNumberFormat="1" applyFont="1" applyFill="1" applyBorder="1" applyAlignment="1">
      <alignment/>
    </xf>
    <xf numFmtId="196" fontId="4" fillId="24" borderId="26" xfId="0" applyNumberFormat="1" applyFont="1" applyFill="1" applyBorder="1" applyAlignment="1">
      <alignment/>
    </xf>
    <xf numFmtId="196" fontId="4" fillId="24" borderId="27" xfId="0" applyNumberFormat="1" applyFont="1" applyFill="1" applyBorder="1" applyAlignment="1">
      <alignment/>
    </xf>
    <xf numFmtId="171" fontId="0" fillId="0" borderId="20" xfId="42" applyFont="1" applyFill="1" applyBorder="1" applyAlignment="1">
      <alignment/>
    </xf>
    <xf numFmtId="171" fontId="0" fillId="0" borderId="20" xfId="42" applyFont="1" applyBorder="1" applyAlignment="1">
      <alignment/>
    </xf>
    <xf numFmtId="196" fontId="0" fillId="0" borderId="16" xfId="42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>
      <alignment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205" fontId="0" fillId="0" borderId="0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196" fontId="0" fillId="0" borderId="24" xfId="0" applyNumberFormat="1" applyFont="1" applyFill="1" applyBorder="1" applyAlignment="1">
      <alignment horizontal="center" vertical="center"/>
    </xf>
    <xf numFmtId="196" fontId="0" fillId="0" borderId="29" xfId="0" applyNumberFormat="1" applyFont="1" applyFill="1" applyBorder="1" applyAlignment="1">
      <alignment horizontal="center" vertical="center"/>
    </xf>
    <xf numFmtId="196" fontId="0" fillId="0" borderId="23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" name="Straight Arrow Connector 2"/>
        <xdr:cNvSpPr>
          <a:spLocks/>
        </xdr:cNvSpPr>
      </xdr:nvSpPr>
      <xdr:spPr>
        <a:xfrm rot="5400000">
          <a:off x="13058775" y="73723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2" name="Straight Arrow Connector 4"/>
        <xdr:cNvSpPr>
          <a:spLocks/>
        </xdr:cNvSpPr>
      </xdr:nvSpPr>
      <xdr:spPr>
        <a:xfrm rot="5400000">
          <a:off x="13058775" y="73723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3" name="Straight Arrow Connector 6"/>
        <xdr:cNvSpPr>
          <a:spLocks/>
        </xdr:cNvSpPr>
      </xdr:nvSpPr>
      <xdr:spPr>
        <a:xfrm rot="5400000">
          <a:off x="13058775" y="73723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4">
      <pane xSplit="2" ySplit="10" topLeftCell="C14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L9" sqref="L9"/>
    </sheetView>
  </sheetViews>
  <sheetFormatPr defaultColWidth="9.140625" defaultRowHeight="12.75"/>
  <cols>
    <col min="2" max="2" width="43.421875" style="2" bestFit="1" customWidth="1"/>
    <col min="3" max="3" width="17.7109375" style="2" bestFit="1" customWidth="1"/>
    <col min="4" max="4" width="14.28125" style="2" bestFit="1" customWidth="1"/>
    <col min="5" max="5" width="15.00390625" style="2" bestFit="1" customWidth="1"/>
    <col min="6" max="6" width="14.00390625" style="14" bestFit="1" customWidth="1"/>
    <col min="7" max="7" width="16.57421875" style="2" bestFit="1" customWidth="1"/>
    <col min="8" max="9" width="12.8515625" style="0" bestFit="1" customWidth="1"/>
    <col min="10" max="10" width="12.8515625" style="6" bestFit="1" customWidth="1"/>
    <col min="11" max="11" width="12.8515625" style="6" customWidth="1"/>
    <col min="12" max="12" width="14.28125" style="6" customWidth="1"/>
  </cols>
  <sheetData>
    <row r="1" spans="6:12" ht="12.75">
      <c r="F1" s="5"/>
      <c r="H1" s="1" t="s">
        <v>19</v>
      </c>
      <c r="J1" s="5" t="s">
        <v>20</v>
      </c>
      <c r="K1" s="5"/>
      <c r="L1" s="5"/>
    </row>
    <row r="2" spans="6:12" ht="12.75">
      <c r="F2" s="5"/>
      <c r="H2" s="1" t="s">
        <v>21</v>
      </c>
      <c r="J2" s="5" t="s">
        <v>23</v>
      </c>
      <c r="K2" s="5"/>
      <c r="L2" s="5"/>
    </row>
    <row r="3" spans="6:12" ht="13.5" thickBot="1">
      <c r="F3" s="5"/>
      <c r="H3" s="1" t="s">
        <v>22</v>
      </c>
      <c r="J3" s="5" t="s">
        <v>24</v>
      </c>
      <c r="K3" s="5"/>
      <c r="L3" s="5"/>
    </row>
    <row r="4" spans="1:12" ht="16.5" thickBot="1">
      <c r="A4" s="72" t="s">
        <v>60</v>
      </c>
      <c r="B4" s="73"/>
      <c r="C4" s="73"/>
      <c r="D4" s="73"/>
      <c r="E4" s="73"/>
      <c r="F4" s="73"/>
      <c r="G4" s="73"/>
      <c r="H4" s="74"/>
      <c r="J4" s="5" t="s">
        <v>19</v>
      </c>
      <c r="K4" s="67"/>
      <c r="L4" s="69" t="s">
        <v>56</v>
      </c>
    </row>
    <row r="5" spans="6:12" ht="12.75">
      <c r="F5" s="5"/>
      <c r="H5" s="1"/>
      <c r="J5" s="68" t="s">
        <v>21</v>
      </c>
      <c r="K5" s="68"/>
      <c r="L5" s="70">
        <v>4</v>
      </c>
    </row>
    <row r="6" spans="6:12" s="2" customFormat="1" ht="12.75">
      <c r="F6" s="5"/>
      <c r="H6" s="13"/>
      <c r="J6" s="68" t="s">
        <v>22</v>
      </c>
      <c r="K6" s="5"/>
      <c r="L6" s="67"/>
    </row>
    <row r="7" spans="6:12" ht="12.75">
      <c r="F7" s="5"/>
      <c r="H7" s="1"/>
      <c r="J7" s="68" t="s">
        <v>57</v>
      </c>
      <c r="K7" s="5"/>
      <c r="L7" s="67"/>
    </row>
    <row r="8" spans="6:12" ht="12.75">
      <c r="F8" s="5"/>
      <c r="J8" s="68" t="s">
        <v>58</v>
      </c>
      <c r="L8" s="6">
        <v>76</v>
      </c>
    </row>
    <row r="9" spans="6:12" ht="12.75">
      <c r="F9" s="5"/>
      <c r="J9" s="68" t="s">
        <v>59</v>
      </c>
      <c r="L9" s="71">
        <v>40417</v>
      </c>
    </row>
    <row r="10" spans="1:12" ht="15.75">
      <c r="A10" s="75" t="s">
        <v>36</v>
      </c>
      <c r="B10" s="75"/>
      <c r="C10" s="75"/>
      <c r="D10" s="75"/>
      <c r="E10" s="75"/>
      <c r="F10" s="75"/>
      <c r="G10" s="75"/>
      <c r="H10" s="75"/>
      <c r="I10" s="75"/>
      <c r="J10" s="75"/>
      <c r="K10" s="7"/>
      <c r="L10" s="7"/>
    </row>
    <row r="11" ht="12.75" customHeight="1" thickBot="1">
      <c r="F11" s="5"/>
    </row>
    <row r="12" spans="1:12" s="3" customFormat="1" ht="39" customHeight="1">
      <c r="A12" s="82" t="s">
        <v>25</v>
      </c>
      <c r="B12" s="84" t="s">
        <v>0</v>
      </c>
      <c r="C12" s="17" t="s">
        <v>1</v>
      </c>
      <c r="D12" s="19" t="s">
        <v>45</v>
      </c>
      <c r="E12" s="17" t="s">
        <v>27</v>
      </c>
      <c r="F12" s="21" t="s">
        <v>2</v>
      </c>
      <c r="G12" s="17" t="s">
        <v>29</v>
      </c>
      <c r="H12" s="19" t="s">
        <v>30</v>
      </c>
      <c r="I12" s="17" t="s">
        <v>18</v>
      </c>
      <c r="J12" s="26" t="s">
        <v>33</v>
      </c>
      <c r="K12" s="15" t="s">
        <v>44</v>
      </c>
      <c r="L12" s="30" t="s">
        <v>43</v>
      </c>
    </row>
    <row r="13" spans="1:12" s="3" customFormat="1" ht="26.25" thickBot="1">
      <c r="A13" s="83"/>
      <c r="B13" s="85"/>
      <c r="C13" s="18" t="s">
        <v>26</v>
      </c>
      <c r="D13" s="20" t="s">
        <v>49</v>
      </c>
      <c r="E13" s="18" t="s">
        <v>35</v>
      </c>
      <c r="F13" s="22" t="s">
        <v>28</v>
      </c>
      <c r="G13" s="23" t="s">
        <v>46</v>
      </c>
      <c r="H13" s="20" t="s">
        <v>31</v>
      </c>
      <c r="I13" s="18" t="s">
        <v>32</v>
      </c>
      <c r="J13" s="27" t="s">
        <v>34</v>
      </c>
      <c r="K13" s="16" t="s">
        <v>47</v>
      </c>
      <c r="L13" s="24" t="s">
        <v>48</v>
      </c>
    </row>
    <row r="14" spans="1:12" ht="12.75">
      <c r="A14" s="37">
        <v>1805</v>
      </c>
      <c r="B14" s="35" t="s">
        <v>3</v>
      </c>
      <c r="C14" s="41">
        <v>1563003.72</v>
      </c>
      <c r="D14" s="42">
        <v>0</v>
      </c>
      <c r="E14" s="41">
        <f>C14-D14</f>
        <v>1563003.72</v>
      </c>
      <c r="F14" s="43">
        <v>17783.06</v>
      </c>
      <c r="G14" s="41">
        <f>E14+F14</f>
        <v>1580786.78</v>
      </c>
      <c r="H14" s="42"/>
      <c r="I14" s="41"/>
      <c r="J14" s="44"/>
      <c r="K14" s="45"/>
      <c r="L14" s="46">
        <v>0</v>
      </c>
    </row>
    <row r="15" spans="1:12" ht="12.75">
      <c r="A15" s="38">
        <v>1806</v>
      </c>
      <c r="B15" s="36" t="s">
        <v>9</v>
      </c>
      <c r="C15" s="47">
        <v>227431.61</v>
      </c>
      <c r="D15" s="48">
        <v>0</v>
      </c>
      <c r="E15" s="47">
        <f>C15-D15</f>
        <v>227431.61</v>
      </c>
      <c r="F15" s="49">
        <v>6455.48</v>
      </c>
      <c r="G15" s="47">
        <f aca="true" t="shared" si="0" ref="G15:G38">E15+F15</f>
        <v>233887.09</v>
      </c>
      <c r="H15" s="48"/>
      <c r="I15" s="47"/>
      <c r="J15" s="29"/>
      <c r="K15" s="34"/>
      <c r="L15" s="32">
        <v>0</v>
      </c>
    </row>
    <row r="16" spans="1:12" ht="12.75">
      <c r="A16" s="39">
        <v>1808</v>
      </c>
      <c r="B16" s="36" t="s">
        <v>51</v>
      </c>
      <c r="C16" s="47">
        <v>7388747.11</v>
      </c>
      <c r="D16" s="50">
        <v>97199.47</v>
      </c>
      <c r="E16" s="47">
        <f aca="true" t="shared" si="1" ref="E16:E38">C16-D16</f>
        <v>7291547.640000001</v>
      </c>
      <c r="F16" s="49">
        <v>919621</v>
      </c>
      <c r="G16" s="47">
        <f t="shared" si="0"/>
        <v>8211168.640000001</v>
      </c>
      <c r="H16" s="48">
        <v>50</v>
      </c>
      <c r="I16" s="64">
        <f>1/H16</f>
        <v>0.02</v>
      </c>
      <c r="J16" s="28">
        <f>G16/H16</f>
        <v>164223.3728</v>
      </c>
      <c r="K16" s="33">
        <f>-74708+255</f>
        <v>-74453</v>
      </c>
      <c r="L16" s="66">
        <f>SUM(J16:K16)</f>
        <v>89770.37280000001</v>
      </c>
    </row>
    <row r="17" spans="1:12" ht="12.75">
      <c r="A17" s="38">
        <v>1815</v>
      </c>
      <c r="B17" s="36" t="s">
        <v>4</v>
      </c>
      <c r="C17" s="47">
        <v>18717059.66</v>
      </c>
      <c r="D17" s="48">
        <f>238972.06+11482.43+4437.01+20850+1040.11+145180.48+168152.61</f>
        <v>590114.7</v>
      </c>
      <c r="E17" s="47">
        <f t="shared" si="1"/>
        <v>18126944.96</v>
      </c>
      <c r="F17" s="49">
        <v>1952965</v>
      </c>
      <c r="G17" s="47">
        <f t="shared" si="0"/>
        <v>20079909.96</v>
      </c>
      <c r="H17" s="51">
        <v>40</v>
      </c>
      <c r="I17" s="65">
        <f aca="true" t="shared" si="2" ref="I17:I38">1/H17</f>
        <v>0.025</v>
      </c>
      <c r="J17" s="28">
        <f>G17/H17</f>
        <v>501997.749</v>
      </c>
      <c r="K17" s="33">
        <v>48464.844249999995</v>
      </c>
      <c r="L17" s="31">
        <f>+J17+K17</f>
        <v>550462.59325</v>
      </c>
    </row>
    <row r="18" spans="1:12" s="2" customFormat="1" ht="12.75">
      <c r="A18" s="39">
        <v>1820</v>
      </c>
      <c r="B18" s="36" t="s">
        <v>5</v>
      </c>
      <c r="C18" s="47">
        <f>3994419.11+502762</f>
        <v>4497181.109999999</v>
      </c>
      <c r="D18" s="50">
        <f>1299536.82</f>
        <v>1299536.82</v>
      </c>
      <c r="E18" s="47">
        <f t="shared" si="1"/>
        <v>3197644.289999999</v>
      </c>
      <c r="F18" s="49">
        <v>502762</v>
      </c>
      <c r="G18" s="47">
        <f t="shared" si="0"/>
        <v>3700406.289999999</v>
      </c>
      <c r="H18" s="48">
        <v>30</v>
      </c>
      <c r="I18" s="64">
        <f t="shared" si="2"/>
        <v>0.03333333333333333</v>
      </c>
      <c r="J18" s="28">
        <f>G18/H18</f>
        <v>123346.8763333333</v>
      </c>
      <c r="K18" s="33">
        <v>-37463.59933333333</v>
      </c>
      <c r="L18" s="31">
        <f>+J18+K18</f>
        <v>85883.27699999997</v>
      </c>
    </row>
    <row r="19" spans="1:12" ht="12.75">
      <c r="A19" s="39">
        <v>1830</v>
      </c>
      <c r="B19" s="36" t="s">
        <v>6</v>
      </c>
      <c r="C19" s="47">
        <v>27963163.5</v>
      </c>
      <c r="D19" s="48">
        <f>408484.12+480670.36</f>
        <v>889154.48</v>
      </c>
      <c r="E19" s="47">
        <f t="shared" si="1"/>
        <v>27074009.02</v>
      </c>
      <c r="F19" s="49">
        <v>1280967</v>
      </c>
      <c r="G19" s="47">
        <f t="shared" si="0"/>
        <v>28354976.02</v>
      </c>
      <c r="H19" s="48">
        <v>25</v>
      </c>
      <c r="I19" s="64">
        <f t="shared" si="2"/>
        <v>0.04</v>
      </c>
      <c r="J19" s="28">
        <f aca="true" t="shared" si="3" ref="J19:J26">G19/H19</f>
        <v>1134199.0408</v>
      </c>
      <c r="K19" s="33">
        <v>80189.141888</v>
      </c>
      <c r="L19" s="31">
        <f>+J19+K19</f>
        <v>1214388.1826880001</v>
      </c>
    </row>
    <row r="20" spans="1:12" ht="12.75">
      <c r="A20" s="39">
        <v>1835</v>
      </c>
      <c r="B20" s="36" t="s">
        <v>52</v>
      </c>
      <c r="C20" s="47">
        <v>11018626.84</v>
      </c>
      <c r="D20" s="48">
        <f>158157.88+179101.41</f>
        <v>337259.29000000004</v>
      </c>
      <c r="E20" s="47">
        <f t="shared" si="1"/>
        <v>10681367.55</v>
      </c>
      <c r="F20" s="49">
        <f>746824.6-35148.96</f>
        <v>711675.64</v>
      </c>
      <c r="G20" s="47">
        <f t="shared" si="0"/>
        <v>11393043.190000001</v>
      </c>
      <c r="H20" s="48">
        <v>25</v>
      </c>
      <c r="I20" s="64">
        <f t="shared" si="2"/>
        <v>0.04</v>
      </c>
      <c r="J20" s="28">
        <f t="shared" si="3"/>
        <v>455721.72760000004</v>
      </c>
      <c r="K20" s="33">
        <v>0.10480000000097789</v>
      </c>
      <c r="L20" s="31">
        <f aca="true" t="shared" si="4" ref="L20:L27">+J20+K20</f>
        <v>455721.8324000001</v>
      </c>
    </row>
    <row r="21" spans="1:12" ht="12.75">
      <c r="A21" s="38">
        <v>1840</v>
      </c>
      <c r="B21" s="36" t="s">
        <v>53</v>
      </c>
      <c r="C21" s="47">
        <v>10407243.51</v>
      </c>
      <c r="D21" s="48">
        <f>0</f>
        <v>0</v>
      </c>
      <c r="E21" s="47">
        <f t="shared" si="1"/>
        <v>10407243.51</v>
      </c>
      <c r="F21" s="49">
        <v>581120</v>
      </c>
      <c r="G21" s="47">
        <f t="shared" si="0"/>
        <v>10988363.51</v>
      </c>
      <c r="H21" s="51">
        <v>25</v>
      </c>
      <c r="I21" s="65">
        <f t="shared" si="2"/>
        <v>0.04</v>
      </c>
      <c r="J21" s="28">
        <f t="shared" si="3"/>
        <v>439534.5404</v>
      </c>
      <c r="K21" s="33">
        <v>-23608.428315999998</v>
      </c>
      <c r="L21" s="31">
        <f t="shared" si="4"/>
        <v>415926.112084</v>
      </c>
    </row>
    <row r="22" spans="1:12" ht="12.75">
      <c r="A22" s="38">
        <v>1845</v>
      </c>
      <c r="B22" s="36" t="s">
        <v>54</v>
      </c>
      <c r="C22" s="47">
        <v>23540403.32</v>
      </c>
      <c r="D22" s="48">
        <v>2031630.54</v>
      </c>
      <c r="E22" s="47">
        <f t="shared" si="1"/>
        <v>21508772.78</v>
      </c>
      <c r="F22" s="49">
        <v>1359811</v>
      </c>
      <c r="G22" s="47">
        <f t="shared" si="0"/>
        <v>22868583.78</v>
      </c>
      <c r="H22" s="51">
        <v>25</v>
      </c>
      <c r="I22" s="65">
        <f t="shared" si="2"/>
        <v>0.04</v>
      </c>
      <c r="J22" s="28">
        <f t="shared" si="3"/>
        <v>914743.3512</v>
      </c>
      <c r="K22" s="33">
        <v>21887.281568000002</v>
      </c>
      <c r="L22" s="31">
        <f t="shared" si="4"/>
        <v>936630.632768</v>
      </c>
    </row>
    <row r="23" spans="1:12" ht="12.75">
      <c r="A23" s="38">
        <v>1850</v>
      </c>
      <c r="B23" s="36" t="s">
        <v>7</v>
      </c>
      <c r="C23" s="47">
        <v>27722802.5</v>
      </c>
      <c r="D23" s="48">
        <v>874770.93</v>
      </c>
      <c r="E23" s="47">
        <f t="shared" si="1"/>
        <v>26848031.57</v>
      </c>
      <c r="F23" s="49">
        <f>1962546.99-143529.8</f>
        <v>1819017.19</v>
      </c>
      <c r="G23" s="47">
        <f t="shared" si="0"/>
        <v>28667048.76</v>
      </c>
      <c r="H23" s="51">
        <v>25</v>
      </c>
      <c r="I23" s="65">
        <f t="shared" si="2"/>
        <v>0.04</v>
      </c>
      <c r="J23" s="28">
        <f t="shared" si="3"/>
        <v>1146681.9504</v>
      </c>
      <c r="K23" s="33">
        <v>18332.07406</v>
      </c>
      <c r="L23" s="31">
        <f t="shared" si="4"/>
        <v>1165014.02446</v>
      </c>
    </row>
    <row r="24" spans="1:12" ht="12.75">
      <c r="A24" s="38">
        <v>1855</v>
      </c>
      <c r="B24" s="36" t="s">
        <v>41</v>
      </c>
      <c r="C24" s="47">
        <v>15008444.71</v>
      </c>
      <c r="D24" s="48">
        <f>71227.48+117569.87+18409.56+64241.17</f>
        <v>271448.07999999996</v>
      </c>
      <c r="E24" s="47">
        <f t="shared" si="1"/>
        <v>14736996.63</v>
      </c>
      <c r="F24" s="49">
        <v>808838</v>
      </c>
      <c r="G24" s="47">
        <f t="shared" si="0"/>
        <v>15545834.63</v>
      </c>
      <c r="H24" s="51">
        <v>25</v>
      </c>
      <c r="I24" s="65">
        <f t="shared" si="2"/>
        <v>0.04</v>
      </c>
      <c r="J24" s="28">
        <f t="shared" si="3"/>
        <v>621833.3852</v>
      </c>
      <c r="K24" s="33">
        <v>-26988.79</v>
      </c>
      <c r="L24" s="31">
        <f t="shared" si="4"/>
        <v>594844.5952</v>
      </c>
    </row>
    <row r="25" spans="1:12" ht="12.75">
      <c r="A25" s="38">
        <v>1860</v>
      </c>
      <c r="B25" s="36" t="s">
        <v>8</v>
      </c>
      <c r="C25" s="47">
        <f>8269271.44-4875.06-502762+4875.06</f>
        <v>7766509.44</v>
      </c>
      <c r="D25" s="48">
        <f>1018430.56+266124.65</f>
        <v>1284555.21</v>
      </c>
      <c r="E25" s="47">
        <f>C25-D25</f>
        <v>6481954.23</v>
      </c>
      <c r="F25" s="49">
        <v>-158297</v>
      </c>
      <c r="G25" s="47">
        <f>E25+F25</f>
        <v>6323657.23</v>
      </c>
      <c r="H25" s="51">
        <v>25</v>
      </c>
      <c r="I25" s="65">
        <f t="shared" si="2"/>
        <v>0.04</v>
      </c>
      <c r="J25" s="28">
        <f t="shared" si="3"/>
        <v>252946.28920000003</v>
      </c>
      <c r="K25" s="33">
        <v>33410.88</v>
      </c>
      <c r="L25" s="31">
        <f t="shared" si="4"/>
        <v>286357.1692</v>
      </c>
    </row>
    <row r="26" spans="1:12" ht="12.75">
      <c r="A26" s="38">
        <v>1915</v>
      </c>
      <c r="B26" s="36" t="s">
        <v>55</v>
      </c>
      <c r="C26" s="47">
        <v>604296.72</v>
      </c>
      <c r="D26" s="48">
        <f>18889.91+99401.25+15242.14+31090.07</f>
        <v>164623.37</v>
      </c>
      <c r="E26" s="47">
        <f t="shared" si="1"/>
        <v>439673.35</v>
      </c>
      <c r="F26" s="49">
        <v>113142.06</v>
      </c>
      <c r="G26" s="47">
        <f t="shared" si="0"/>
        <v>552815.4099999999</v>
      </c>
      <c r="H26" s="51">
        <v>10</v>
      </c>
      <c r="I26" s="65">
        <f t="shared" si="2"/>
        <v>0.1</v>
      </c>
      <c r="J26" s="28">
        <f t="shared" si="3"/>
        <v>55281.54099999999</v>
      </c>
      <c r="K26" s="33">
        <v>-8.1</v>
      </c>
      <c r="L26" s="31">
        <f t="shared" si="4"/>
        <v>55273.44099999999</v>
      </c>
    </row>
    <row r="27" spans="1:12" ht="12.75">
      <c r="A27" s="39">
        <v>1920</v>
      </c>
      <c r="B27" s="36" t="s">
        <v>10</v>
      </c>
      <c r="C27" s="47">
        <v>2383700.07</v>
      </c>
      <c r="D27" s="48">
        <f>263981.86+191038.96+750748.95+112152.82+3</f>
        <v>1317925.59</v>
      </c>
      <c r="E27" s="47">
        <f t="shared" si="1"/>
        <v>1065774.4799999997</v>
      </c>
      <c r="F27" s="49">
        <f>156634.43-11867.43</f>
        <v>144767</v>
      </c>
      <c r="G27" s="47">
        <f t="shared" si="0"/>
        <v>1210541.4799999997</v>
      </c>
      <c r="H27" s="48">
        <v>5</v>
      </c>
      <c r="I27" s="64">
        <f t="shared" si="2"/>
        <v>0.2</v>
      </c>
      <c r="J27" s="28">
        <f aca="true" t="shared" si="5" ref="J27:J37">G27/H27</f>
        <v>242108.29599999994</v>
      </c>
      <c r="K27" s="33">
        <v>0</v>
      </c>
      <c r="L27" s="31">
        <f t="shared" si="4"/>
        <v>242108.29599999994</v>
      </c>
    </row>
    <row r="28" spans="1:12" ht="12.75">
      <c r="A28" s="38">
        <v>1925</v>
      </c>
      <c r="B28" s="36" t="s">
        <v>11</v>
      </c>
      <c r="C28" s="47">
        <v>2162054.43</v>
      </c>
      <c r="D28" s="48">
        <f>336582.02+515865.24+77672.64+17281</f>
        <v>947400.9</v>
      </c>
      <c r="E28" s="47">
        <f t="shared" si="1"/>
        <v>1214653.5300000003</v>
      </c>
      <c r="F28" s="49">
        <f>431673.03-25762.55</f>
        <v>405910.48000000004</v>
      </c>
      <c r="G28" s="47">
        <f t="shared" si="0"/>
        <v>1620564.0100000002</v>
      </c>
      <c r="H28" s="51">
        <v>5</v>
      </c>
      <c r="I28" s="65">
        <f t="shared" si="2"/>
        <v>0.2</v>
      </c>
      <c r="J28" s="28">
        <f t="shared" si="5"/>
        <v>324112.802</v>
      </c>
      <c r="K28" s="33">
        <v>-48.53</v>
      </c>
      <c r="L28" s="31">
        <f>SUM(J28:K28)</f>
        <v>324064.272</v>
      </c>
    </row>
    <row r="29" spans="1:12" ht="12.75">
      <c r="A29" s="38">
        <v>1930</v>
      </c>
      <c r="B29" s="36" t="s">
        <v>38</v>
      </c>
      <c r="C29" s="47">
        <v>121145.01</v>
      </c>
      <c r="D29" s="48">
        <v>0</v>
      </c>
      <c r="E29" s="47">
        <f t="shared" si="1"/>
        <v>121145.01</v>
      </c>
      <c r="F29" s="49">
        <v>85579.61</v>
      </c>
      <c r="G29" s="47">
        <f t="shared" si="0"/>
        <v>206724.62</v>
      </c>
      <c r="H29" s="51">
        <v>8</v>
      </c>
      <c r="I29" s="65">
        <f t="shared" si="2"/>
        <v>0.125</v>
      </c>
      <c r="J29" s="28">
        <f t="shared" si="5"/>
        <v>25840.5775</v>
      </c>
      <c r="K29" s="33">
        <v>261.88</v>
      </c>
      <c r="L29" s="79">
        <f>+J29+J30+J31+K29+K30+K31</f>
        <v>528164.6255</v>
      </c>
    </row>
    <row r="30" spans="1:12" s="2" customFormat="1" ht="12.75">
      <c r="A30" s="39">
        <v>1930</v>
      </c>
      <c r="B30" s="36" t="s">
        <v>39</v>
      </c>
      <c r="C30" s="47">
        <v>1364994.12</v>
      </c>
      <c r="D30" s="50">
        <f>787911.4+145556.2</f>
        <v>933467.6000000001</v>
      </c>
      <c r="E30" s="47">
        <f t="shared" si="1"/>
        <v>431526.52</v>
      </c>
      <c r="F30" s="49">
        <f>166526.52+3726.86</f>
        <v>170253.37999999998</v>
      </c>
      <c r="G30" s="47">
        <f t="shared" si="0"/>
        <v>601779.9</v>
      </c>
      <c r="H30" s="48">
        <v>5</v>
      </c>
      <c r="I30" s="64">
        <f t="shared" si="2"/>
        <v>0.2</v>
      </c>
      <c r="J30" s="28">
        <f t="shared" si="5"/>
        <v>120355.98000000001</v>
      </c>
      <c r="K30" s="33">
        <v>43411.328</v>
      </c>
      <c r="L30" s="80"/>
    </row>
    <row r="31" spans="1:12" ht="12.75">
      <c r="A31" s="38">
        <v>1930</v>
      </c>
      <c r="B31" s="36" t="s">
        <v>40</v>
      </c>
      <c r="C31" s="47">
        <v>4125519.78</v>
      </c>
      <c r="D31" s="48">
        <f>242104.18+50486.93+124976.14+132477.7+93938.49+105433.08+227509.43+226202.14</f>
        <v>1203128.0899999999</v>
      </c>
      <c r="E31" s="47">
        <f t="shared" si="1"/>
        <v>2922391.69</v>
      </c>
      <c r="F31" s="49">
        <f>8325.93-3726.86</f>
        <v>4599.07</v>
      </c>
      <c r="G31" s="47">
        <f t="shared" si="0"/>
        <v>2926990.76</v>
      </c>
      <c r="H31" s="51">
        <v>8</v>
      </c>
      <c r="I31" s="65">
        <f t="shared" si="2"/>
        <v>0.125</v>
      </c>
      <c r="J31" s="28">
        <f t="shared" si="5"/>
        <v>365873.845</v>
      </c>
      <c r="K31" s="33">
        <v>-27578.985000000004</v>
      </c>
      <c r="L31" s="81"/>
    </row>
    <row r="32" spans="1:12" ht="12.75">
      <c r="A32" s="39">
        <v>1935</v>
      </c>
      <c r="B32" s="36" t="s">
        <v>12</v>
      </c>
      <c r="C32" s="47">
        <v>156150.49</v>
      </c>
      <c r="D32" s="48">
        <f>5242.64+4785.7+40964.36+7586.65</f>
        <v>58579.35</v>
      </c>
      <c r="E32" s="47">
        <f t="shared" si="1"/>
        <v>97571.13999999998</v>
      </c>
      <c r="F32" s="49">
        <v>0</v>
      </c>
      <c r="G32" s="47">
        <f t="shared" si="0"/>
        <v>97571.13999999998</v>
      </c>
      <c r="H32" s="48">
        <v>10</v>
      </c>
      <c r="I32" s="64">
        <f t="shared" si="2"/>
        <v>0.1</v>
      </c>
      <c r="J32" s="28">
        <f t="shared" si="5"/>
        <v>9757.113999999998</v>
      </c>
      <c r="K32" s="33">
        <v>0</v>
      </c>
      <c r="L32" s="31">
        <f aca="true" t="shared" si="6" ref="L32:L38">+J32+K32</f>
        <v>9757.113999999998</v>
      </c>
    </row>
    <row r="33" spans="1:12" ht="12.75">
      <c r="A33" s="39">
        <v>1940</v>
      </c>
      <c r="B33" s="36" t="s">
        <v>13</v>
      </c>
      <c r="C33" s="47">
        <v>545672.88</v>
      </c>
      <c r="D33" s="48">
        <f>984.3+3852.65+643.37+2135.44</f>
        <v>7615.76</v>
      </c>
      <c r="E33" s="47">
        <f t="shared" si="1"/>
        <v>538057.12</v>
      </c>
      <c r="F33" s="49">
        <v>0</v>
      </c>
      <c r="G33" s="47">
        <f t="shared" si="0"/>
        <v>538057.12</v>
      </c>
      <c r="H33" s="48">
        <v>10</v>
      </c>
      <c r="I33" s="64">
        <f t="shared" si="2"/>
        <v>0.1</v>
      </c>
      <c r="J33" s="28">
        <f t="shared" si="5"/>
        <v>53805.712</v>
      </c>
      <c r="K33" s="33">
        <v>0</v>
      </c>
      <c r="L33" s="31">
        <f t="shared" si="6"/>
        <v>53805.712</v>
      </c>
    </row>
    <row r="34" spans="1:12" ht="12.75">
      <c r="A34" s="39">
        <v>1945</v>
      </c>
      <c r="B34" s="36" t="s">
        <v>14</v>
      </c>
      <c r="C34" s="47">
        <v>568369.35</v>
      </c>
      <c r="D34" s="48">
        <f>33976+27602+28036+201362</f>
        <v>290976</v>
      </c>
      <c r="E34" s="47">
        <f>C34-D34</f>
        <v>277393.35</v>
      </c>
      <c r="F34" s="49">
        <v>29229.99</v>
      </c>
      <c r="G34" s="47">
        <f t="shared" si="0"/>
        <v>306623.33999999997</v>
      </c>
      <c r="H34" s="48">
        <v>10</v>
      </c>
      <c r="I34" s="64">
        <f t="shared" si="2"/>
        <v>0.1</v>
      </c>
      <c r="J34" s="28">
        <f t="shared" si="5"/>
        <v>30662.333999999995</v>
      </c>
      <c r="K34" s="33">
        <v>0</v>
      </c>
      <c r="L34" s="31">
        <f t="shared" si="6"/>
        <v>30662.333999999995</v>
      </c>
    </row>
    <row r="35" spans="1:12" ht="12.75">
      <c r="A35" s="39">
        <v>1955</v>
      </c>
      <c r="B35" s="36" t="s">
        <v>15</v>
      </c>
      <c r="C35" s="47">
        <v>173637.97</v>
      </c>
      <c r="D35" s="48">
        <f>1230+4019+5232+11641+6471+275.17</f>
        <v>28868.17</v>
      </c>
      <c r="E35" s="47">
        <f t="shared" si="1"/>
        <v>144769.8</v>
      </c>
      <c r="F35" s="49">
        <v>17941.71</v>
      </c>
      <c r="G35" s="47">
        <f t="shared" si="0"/>
        <v>162711.50999999998</v>
      </c>
      <c r="H35" s="48">
        <v>10</v>
      </c>
      <c r="I35" s="64">
        <f t="shared" si="2"/>
        <v>0.1</v>
      </c>
      <c r="J35" s="28">
        <f t="shared" si="5"/>
        <v>16271.150999999998</v>
      </c>
      <c r="K35" s="33">
        <v>0</v>
      </c>
      <c r="L35" s="31">
        <f t="shared" si="6"/>
        <v>16271.150999999998</v>
      </c>
    </row>
    <row r="36" spans="1:12" ht="12.75">
      <c r="A36" s="39">
        <v>1960</v>
      </c>
      <c r="B36" s="36" t="s">
        <v>37</v>
      </c>
      <c r="C36" s="47">
        <v>488793.04</v>
      </c>
      <c r="D36" s="48">
        <v>180935.65</v>
      </c>
      <c r="E36" s="47">
        <f>C36-D36</f>
        <v>307857.39</v>
      </c>
      <c r="F36" s="49">
        <v>1166.4</v>
      </c>
      <c r="G36" s="47">
        <f t="shared" si="0"/>
        <v>309023.79000000004</v>
      </c>
      <c r="H36" s="48">
        <v>10</v>
      </c>
      <c r="I36" s="64">
        <f t="shared" si="2"/>
        <v>0.1</v>
      </c>
      <c r="J36" s="28">
        <f t="shared" si="5"/>
        <v>30902.379000000004</v>
      </c>
      <c r="K36" s="33">
        <v>0</v>
      </c>
      <c r="L36" s="31">
        <f t="shared" si="6"/>
        <v>30902.379000000004</v>
      </c>
    </row>
    <row r="37" spans="1:12" ht="12.75">
      <c r="A37" s="38">
        <v>1980</v>
      </c>
      <c r="B37" s="36" t="s">
        <v>42</v>
      </c>
      <c r="C37" s="47">
        <v>2091267.45</v>
      </c>
      <c r="D37" s="50"/>
      <c r="E37" s="47">
        <f t="shared" si="1"/>
        <v>2091267.45</v>
      </c>
      <c r="F37" s="49">
        <f>81575.97</f>
        <v>81575.97</v>
      </c>
      <c r="G37" s="47">
        <f t="shared" si="0"/>
        <v>2172843.42</v>
      </c>
      <c r="H37" s="51">
        <v>15</v>
      </c>
      <c r="I37" s="65">
        <f t="shared" si="2"/>
        <v>0.06666666666666667</v>
      </c>
      <c r="J37" s="28">
        <f t="shared" si="5"/>
        <v>144856.228</v>
      </c>
      <c r="K37" s="33">
        <v>-21369.396</v>
      </c>
      <c r="L37" s="31">
        <f t="shared" si="6"/>
        <v>123486.832</v>
      </c>
    </row>
    <row r="38" spans="1:12" ht="12.75">
      <c r="A38" s="39">
        <v>1995</v>
      </c>
      <c r="B38" s="36" t="s">
        <v>16</v>
      </c>
      <c r="C38" s="47">
        <v>-14857883</v>
      </c>
      <c r="D38" s="52">
        <v>0</v>
      </c>
      <c r="E38" s="47">
        <f t="shared" si="1"/>
        <v>-14857883</v>
      </c>
      <c r="F38" s="49">
        <v>-2156722.73</v>
      </c>
      <c r="G38" s="47">
        <f t="shared" si="0"/>
        <v>-17014605.73</v>
      </c>
      <c r="H38" s="48">
        <v>25</v>
      </c>
      <c r="I38" s="64">
        <f t="shared" si="2"/>
        <v>0.04</v>
      </c>
      <c r="J38" s="29">
        <f>G38/H38</f>
        <v>-680584.2292000001</v>
      </c>
      <c r="K38" s="34">
        <v>0</v>
      </c>
      <c r="L38" s="31">
        <f t="shared" si="6"/>
        <v>-680584.2292000001</v>
      </c>
    </row>
    <row r="39" spans="1:12" ht="13.5" thickBot="1">
      <c r="A39" s="25"/>
      <c r="B39" s="4"/>
      <c r="C39" s="53"/>
      <c r="D39" s="54"/>
      <c r="E39" s="53"/>
      <c r="F39" s="55"/>
      <c r="G39" s="53"/>
      <c r="H39" s="56"/>
      <c r="I39" s="57"/>
      <c r="J39" s="58"/>
      <c r="K39" s="59">
        <v>0</v>
      </c>
      <c r="L39" s="60"/>
    </row>
    <row r="40" spans="1:12" ht="13.5" thickBot="1">
      <c r="A40" s="77" t="s">
        <v>17</v>
      </c>
      <c r="B40" s="78"/>
      <c r="C40" s="61">
        <f>SUM(C14:C39)</f>
        <v>155748335.33999997</v>
      </c>
      <c r="D40" s="62">
        <f>SUM(D14:D38)</f>
        <v>12809190</v>
      </c>
      <c r="E40" s="61">
        <f>SUM(E14:E38)</f>
        <v>142939145.33999994</v>
      </c>
      <c r="F40" s="62">
        <f>SUM(F14:F38)</f>
        <v>8700161.310000002</v>
      </c>
      <c r="G40" s="61">
        <f>SUM(G14:G38)</f>
        <v>151639306.64999995</v>
      </c>
      <c r="H40" s="62"/>
      <c r="I40" s="61"/>
      <c r="J40" s="62">
        <f>SUM(J14:J38)</f>
        <v>6494472.013233334</v>
      </c>
      <c r="K40" s="61">
        <f>SUM(K14:K38)</f>
        <v>34438.70591666665</v>
      </c>
      <c r="L40" s="63">
        <f>SUM(L16:L39)</f>
        <v>6528910.719150001</v>
      </c>
    </row>
    <row r="41" spans="1:12" s="9" customFormat="1" ht="21.75" customHeight="1">
      <c r="A41" s="40" t="s">
        <v>50</v>
      </c>
      <c r="C41" s="10"/>
      <c r="D41" s="11"/>
      <c r="F41" s="12"/>
      <c r="J41" s="8"/>
      <c r="K41" s="76"/>
      <c r="L41" s="8"/>
    </row>
  </sheetData>
  <sheetProtection/>
  <mergeCells count="6">
    <mergeCell ref="L29:L31"/>
    <mergeCell ref="A12:A13"/>
    <mergeCell ref="B12:B13"/>
    <mergeCell ref="A4:H4"/>
    <mergeCell ref="A10:J10"/>
    <mergeCell ref="A40:B40"/>
  </mergeCells>
  <printOptions/>
  <pageMargins left="0.1" right="0.1" top="0.984251968503937" bottom="0.984251968503937" header="0.511811023622047" footer="0.511811023622047"/>
  <pageSetup fitToHeight="1" fitToWidth="1" horizontalDpi="600" verticalDpi="600" orientation="landscape" paperSize="17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amos</cp:lastModifiedBy>
  <cp:lastPrinted>2010-08-25T02:48:35Z</cp:lastPrinted>
  <dcterms:created xsi:type="dcterms:W3CDTF">2009-03-26T15:32:04Z</dcterms:created>
  <dcterms:modified xsi:type="dcterms:W3CDTF">2010-08-27T10:24:07Z</dcterms:modified>
  <cp:category/>
  <cp:version/>
  <cp:contentType/>
  <cp:contentStatus/>
</cp:coreProperties>
</file>