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36" yWindow="65326" windowWidth="12120" windowHeight="8895" tabRatio="831" activeTab="5"/>
  </bookViews>
  <sheets>
    <sheet name="Summary" sheetId="1" r:id="rId1"/>
    <sheet name="Purchased Power Model - Cust" sheetId="2" r:id="rId2"/>
    <sheet name="Rate Class Energy Model" sheetId="3" r:id="rId3"/>
    <sheet name="Rate Class Customer Model" sheetId="4" r:id="rId4"/>
    <sheet name="Rate Class Load Model" sheetId="5" r:id="rId5"/>
    <sheet name="Do Not Use Purchase Power Model" sheetId="6" r:id="rId6"/>
  </sheets>
  <externalReferences>
    <externalReference r:id="rId9"/>
  </externalReferences>
  <definedNames>
    <definedName name="_Order1" hidden="1">255</definedName>
    <definedName name="_Sort" hidden="1">'[1]Sheet1'!$G$40:$K$40</definedName>
    <definedName name="PAGE11">#REF!</definedName>
    <definedName name="PAGE2">'[1]Sheet1'!$A$1:$I$40</definedName>
    <definedName name="PAGE3">#REF!</definedName>
    <definedName name="PAGE4">#REF!</definedName>
    <definedName name="PAGE7">#REF!</definedName>
    <definedName name="PAGE9">#REF!</definedName>
    <definedName name="_xlnm.Print_Area" localSheetId="0">'Summary'!#REF!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<sst xmlns="http://schemas.openxmlformats.org/spreadsheetml/2006/main" count="189" uniqueCount="106">
  <si>
    <t>Purchased</t>
  </si>
  <si>
    <t>Loss Factor</t>
  </si>
  <si>
    <t>Total Billed</t>
  </si>
  <si>
    <t>Heating Degree Days</t>
  </si>
  <si>
    <t>Cooling Degree Days</t>
  </si>
  <si>
    <t>Number of Days in Month</t>
  </si>
  <si>
    <t>Number of Peak Hours</t>
  </si>
  <si>
    <t>Ontario Real GDP Monthly %</t>
  </si>
  <si>
    <t>Purchases</t>
  </si>
  <si>
    <t>Modeled Purchases</t>
  </si>
  <si>
    <t>% Difference</t>
  </si>
  <si>
    <t>Total</t>
  </si>
  <si>
    <t xml:space="preserve">Predicted Purchases </t>
  </si>
  <si>
    <t>Variances (kWh)</t>
  </si>
  <si>
    <t>% Variance</t>
  </si>
  <si>
    <t>Average</t>
  </si>
  <si>
    <t xml:space="preserve">Geomean </t>
  </si>
  <si>
    <t>Usage Per Customer</t>
  </si>
  <si>
    <t xml:space="preserve">Total </t>
  </si>
  <si>
    <t xml:space="preserve">Used </t>
  </si>
  <si>
    <t>Spring Fall Flag</t>
  </si>
  <si>
    <t>Population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</si>
  <si>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</si>
  <si>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</si>
  <si>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</si>
  <si>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</si>
  <si>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</si>
  <si>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</si>
  <si>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</si>
  <si>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</si>
  <si>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</si>
  <si>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</si>
  <si>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</si>
  <si>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</si>
  <si>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</si>
  <si>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</si>
  <si>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</si>
  <si>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</si>
  <si>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</si>
  <si>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</si>
  <si>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</si>
  <si>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</si>
  <si>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</si>
  <si>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</si>
  <si>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</si>
  <si>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Difference</t>
  </si>
  <si>
    <t xml:space="preserve">Growth Rate in Customer Numbers </t>
  </si>
  <si>
    <t>Weatther Normal Projection</t>
  </si>
  <si>
    <t>Weather Corrected Forecast</t>
  </si>
  <si>
    <t>Non Weather Corrected Forecast</t>
  </si>
  <si>
    <t>% Weather Sensitive</t>
  </si>
  <si>
    <t>Allocation of Weather Sensitive Amount</t>
  </si>
  <si>
    <t xml:space="preserve">  Customers</t>
  </si>
  <si>
    <t xml:space="preserve">  kWh</t>
  </si>
  <si>
    <t xml:space="preserve">  kW</t>
  </si>
  <si>
    <t>2000 Actual</t>
  </si>
  <si>
    <t xml:space="preserve">2001 Actual </t>
  </si>
  <si>
    <t xml:space="preserve">2002 Actual </t>
  </si>
  <si>
    <t xml:space="preserve">2003 Actual </t>
  </si>
  <si>
    <t xml:space="preserve">2004 Actual </t>
  </si>
  <si>
    <t xml:space="preserve">2005 Actual </t>
  </si>
  <si>
    <t xml:space="preserve">2006 Actual </t>
  </si>
  <si>
    <t xml:space="preserve">2007 Actual </t>
  </si>
  <si>
    <t xml:space="preserve">  kW from applicable classes</t>
  </si>
  <si>
    <t xml:space="preserve">  Customer/Connections</t>
  </si>
  <si>
    <t>Actual kWh Purchases</t>
  </si>
  <si>
    <t>Predicted kWh Purchases</t>
  </si>
  <si>
    <t>By Class</t>
  </si>
  <si>
    <t>Billed kWh</t>
  </si>
  <si>
    <t>Used</t>
  </si>
  <si>
    <t>kW/kWh</t>
  </si>
  <si>
    <t>Check totals above sould be zero</t>
  </si>
  <si>
    <t>2008 Actual</t>
  </si>
  <si>
    <t>2010 Weather Normal</t>
  </si>
  <si>
    <t>__________________ Hydro Weather Normal Load Forecast for 2010 Rate Application</t>
  </si>
  <si>
    <t>Number of Customers</t>
  </si>
  <si>
    <t>Residential</t>
  </si>
  <si>
    <t>GS&lt;50</t>
  </si>
  <si>
    <t>GS&gt;50</t>
  </si>
  <si>
    <t>USL</t>
  </si>
  <si>
    <t>Weather Normal</t>
  </si>
  <si>
    <t>Streetlights</t>
  </si>
  <si>
    <t>Total to 2009</t>
  </si>
  <si>
    <t xml:space="preserve">2009 Actual </t>
  </si>
  <si>
    <t>2011 Weather Normal</t>
  </si>
  <si>
    <t xml:space="preserve">  Connections</t>
  </si>
  <si>
    <t>Total of Above</t>
  </si>
  <si>
    <t>Total from Model</t>
  </si>
  <si>
    <t>Check should all be zero</t>
  </si>
  <si>
    <t>Large User</t>
  </si>
  <si>
    <t>Sentinels</t>
  </si>
  <si>
    <t>Less Wallenstein Adjmt</t>
  </si>
  <si>
    <t>Net Purchased</t>
  </si>
  <si>
    <t>Check totals above should be zero</t>
  </si>
  <si>
    <t>Add Embedded Generation</t>
  </si>
  <si>
    <t>Less LTLT</t>
  </si>
  <si>
    <t>kWh</t>
  </si>
  <si>
    <t>If 1/4 of Target '11</t>
  </si>
  <si>
    <t>10 savings per OPA</t>
  </si>
  <si>
    <t>Thus, 2010 is</t>
  </si>
  <si>
    <t>11 savings per OPA</t>
  </si>
  <si>
    <t>2010 calc'd</t>
  </si>
  <si>
    <t xml:space="preserve">2011 calc'd </t>
  </si>
  <si>
    <t>CDM Adjustments</t>
  </si>
  <si>
    <t>Month</t>
  </si>
  <si>
    <t>Loss Factor Applied For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</si>
</sst>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#,##0;\(#,##0\)"/>
    <numFmt numFmtId="174" formatCode="0.0000"/>
    <numFmt numFmtId="175" formatCode="#,##0.0000"/>
    <numFmt numFmtId="176" formatCode="0.0000%"/>
    <numFmt numFmtId="177" formatCode="_(* #,##0.0_);_(* \(#,##0.0\);_(* &quot;-&quot;??_);_(@_)"/>
    <numFmt numFmtId="178" formatCode="_(* #,##0_);_(* \(#,##0\);_(* &quot;-&quot;??_);_(@_)"/>
    <numFmt numFmtId="179" formatCode="0.0"/>
    <numFmt numFmtId="180" formatCode="#,##0.0000000000000_ ;\-#,##0.0000000000000\ "/>
    <numFmt numFmtId="181" formatCode="_(* #,##0.000_);_(* \(#,##0.000\);_(* &quot;-&quot;??_);_(@_)"/>
    <numFmt numFmtId="182" formatCode="_(* #,##0.0000_);_(* \(#,##0.0000\);_(* &quot;-&quot;??_);_(@_)"/>
    <numFmt numFmtId="183" formatCode="_-* #,##0.0000_-;\-* #,##0.0000_-;_-* &quot;-&quot;????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37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3" fontId="0" fillId="0" borderId="0" xfId="42" applyNumberFormat="1" applyAlignment="1">
      <alignment horizontal="center"/>
    </xf>
    <xf numFmtId="17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0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37" fontId="0" fillId="0" borderId="0" xfId="0" applyNumberFormat="1" applyFont="1" applyFill="1" applyAlignment="1">
      <alignment horizontal="center"/>
    </xf>
    <xf numFmtId="0" fontId="0" fillId="10" borderId="0" xfId="0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0" fillId="10" borderId="0" xfId="0" applyNumberFormat="1" applyFill="1" applyAlignment="1">
      <alignment horizontal="center"/>
    </xf>
    <xf numFmtId="17" fontId="3" fillId="0" borderId="0" xfId="0" applyNumberFormat="1" applyFont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74" fontId="0" fillId="0" borderId="0" xfId="0" applyNumberFormat="1" applyAlignment="1">
      <alignment horizontal="center"/>
    </xf>
    <xf numFmtId="175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17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wrapText="1"/>
    </xf>
    <xf numFmtId="0" fontId="0" fillId="0" borderId="10" xfId="0" applyBorder="1" applyAlignment="1">
      <alignment horizontal="right"/>
    </xf>
    <xf numFmtId="3" fontId="0" fillId="10" borderId="10" xfId="0" applyNumberFormat="1" applyFont="1" applyFill="1" applyBorder="1" applyAlignment="1">
      <alignment horizontal="center"/>
    </xf>
    <xf numFmtId="172" fontId="0" fillId="0" borderId="0" xfId="0" applyNumberFormat="1" applyFont="1" applyFill="1" applyAlignment="1">
      <alignment horizontal="center"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/>
    </xf>
    <xf numFmtId="173" fontId="0" fillId="0" borderId="0" xfId="0" applyNumberFormat="1" applyAlignment="1">
      <alignment horizontal="center"/>
    </xf>
    <xf numFmtId="0" fontId="0" fillId="0" borderId="0" xfId="0" applyNumberFormat="1" applyBorder="1" applyAlignment="1">
      <alignment/>
    </xf>
    <xf numFmtId="3" fontId="0" fillId="24" borderId="0" xfId="0" applyNumberFormat="1" applyFill="1" applyAlignment="1">
      <alignment horizontal="center"/>
    </xf>
    <xf numFmtId="3" fontId="0" fillId="24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172" fontId="0" fillId="0" borderId="0" xfId="0" applyNumberFormat="1" applyAlignment="1">
      <alignment horizontal="center" wrapText="1"/>
    </xf>
    <xf numFmtId="0" fontId="3" fillId="0" borderId="0" xfId="0" applyFont="1" applyAlignment="1">
      <alignment horizontal="center" wrapText="1"/>
    </xf>
    <xf numFmtId="3" fontId="0" fillId="24" borderId="10" xfId="0" applyNumberFormat="1" applyFill="1" applyBorder="1" applyAlignment="1">
      <alignment horizontal="center"/>
    </xf>
    <xf numFmtId="3" fontId="0" fillId="24" borderId="10" xfId="0" applyNumberFormat="1" applyFont="1" applyFill="1" applyBorder="1" applyAlignment="1">
      <alignment horizontal="center"/>
    </xf>
    <xf numFmtId="3" fontId="2" fillId="24" borderId="0" xfId="0" applyNumberFormat="1" applyFont="1" applyFill="1" applyAlignment="1">
      <alignment horizontal="center"/>
    </xf>
    <xf numFmtId="3" fontId="0" fillId="24" borderId="0" xfId="0" applyNumberFormat="1" applyFont="1" applyFill="1" applyAlignment="1">
      <alignment horizontal="center" wrapText="1"/>
    </xf>
    <xf numFmtId="3" fontId="2" fillId="24" borderId="0" xfId="0" applyNumberFormat="1" applyFont="1" applyFill="1" applyAlignment="1">
      <alignment horizontal="center" wrapText="1"/>
    </xf>
    <xf numFmtId="37" fontId="0" fillId="0" borderId="0" xfId="0" applyNumberFormat="1" applyAlignment="1">
      <alignment horizont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3" fontId="0" fillId="0" borderId="0" xfId="0" applyNumberFormat="1" applyAlignment="1">
      <alignment/>
    </xf>
    <xf numFmtId="174" fontId="0" fillId="0" borderId="0" xfId="0" applyNumberFormat="1" applyFill="1" applyAlignment="1">
      <alignment horizontal="center"/>
    </xf>
    <xf numFmtId="0" fontId="0" fillId="0" borderId="11" xfId="0" applyFill="1" applyBorder="1" applyAlignment="1">
      <alignment/>
    </xf>
    <xf numFmtId="3" fontId="0" fillId="24" borderId="0" xfId="0" applyNumberFormat="1" applyFont="1" applyFill="1" applyAlignment="1">
      <alignment horizontal="center"/>
    </xf>
    <xf numFmtId="173" fontId="0" fillId="10" borderId="0" xfId="0" applyNumberForma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3" fontId="0" fillId="0" borderId="0" xfId="0" applyNumberFormat="1" applyFill="1" applyAlignment="1">
      <alignment horizontal="center" wrapText="1"/>
    </xf>
    <xf numFmtId="10" fontId="0" fillId="0" borderId="0" xfId="59" applyNumberFormat="1" applyFont="1" applyFill="1" applyAlignment="1">
      <alignment horizontal="center" wrapText="1"/>
    </xf>
    <xf numFmtId="178" fontId="2" fillId="0" borderId="0" xfId="42" applyNumberFormat="1" applyFont="1" applyAlignment="1">
      <alignment horizontal="center" wrapText="1"/>
    </xf>
    <xf numFmtId="178" fontId="2" fillId="0" borderId="0" xfId="42" applyNumberFormat="1" applyFont="1" applyAlignment="1">
      <alignment horizontal="center"/>
    </xf>
    <xf numFmtId="178" fontId="0" fillId="0" borderId="0" xfId="42" applyNumberFormat="1" applyFont="1" applyAlignment="1">
      <alignment horizontal="center"/>
    </xf>
    <xf numFmtId="3" fontId="0" fillId="0" borderId="12" xfId="0" applyNumberFormat="1" applyBorder="1" applyAlignment="1">
      <alignment horizontal="center"/>
    </xf>
    <xf numFmtId="177" fontId="0" fillId="0" borderId="0" xfId="42" applyNumberFormat="1" applyFont="1" applyFill="1" applyAlignment="1">
      <alignment horizontal="center"/>
    </xf>
    <xf numFmtId="177" fontId="0" fillId="0" borderId="0" xfId="42" applyNumberFormat="1" applyFont="1" applyFill="1" applyAlignment="1">
      <alignment horizontal="center"/>
    </xf>
    <xf numFmtId="3" fontId="0" fillId="0" borderId="0" xfId="42" applyNumberFormat="1" applyFill="1" applyAlignment="1">
      <alignment horizontal="center"/>
    </xf>
    <xf numFmtId="2" fontId="0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Continuous"/>
    </xf>
    <xf numFmtId="175" fontId="3" fillId="0" borderId="0" xfId="0" applyNumberFormat="1" applyFont="1" applyAlignment="1">
      <alignment horizontal="left"/>
    </xf>
    <xf numFmtId="175" fontId="3" fillId="0" borderId="0" xfId="0" applyNumberFormat="1" applyFont="1" applyFill="1" applyAlignment="1">
      <alignment horizontal="left"/>
    </xf>
    <xf numFmtId="175" fontId="3" fillId="0" borderId="0" xfId="0" applyNumberFormat="1" applyFont="1" applyFill="1" applyAlignment="1">
      <alignment/>
    </xf>
    <xf numFmtId="175" fontId="0" fillId="0" borderId="0" xfId="0" applyNumberFormat="1" applyFill="1" applyAlignment="1">
      <alignment/>
    </xf>
    <xf numFmtId="175" fontId="0" fillId="0" borderId="0" xfId="0" applyNumberFormat="1" applyAlignment="1">
      <alignment/>
    </xf>
    <xf numFmtId="175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175" fontId="3" fillId="0" borderId="0" xfId="0" applyNumberFormat="1" applyFont="1" applyAlignment="1">
      <alignment horizontal="center"/>
    </xf>
    <xf numFmtId="43" fontId="0" fillId="0" borderId="0" xfId="42" applyFont="1" applyAlignment="1">
      <alignment horizontal="center"/>
    </xf>
    <xf numFmtId="172" fontId="0" fillId="0" borderId="0" xfId="59" applyNumberFormat="1" applyFont="1" applyAlignment="1">
      <alignment horizontal="center"/>
    </xf>
    <xf numFmtId="3" fontId="3" fillId="0" borderId="0" xfId="0" applyNumberFormat="1" applyFont="1" applyAlignment="1">
      <alignment horizontal="left"/>
    </xf>
    <xf numFmtId="43" fontId="0" fillId="0" borderId="0" xfId="42" applyFont="1" applyAlignment="1">
      <alignment/>
    </xf>
    <xf numFmtId="3" fontId="0" fillId="0" borderId="0" xfId="0" applyNumberFormat="1" applyFont="1" applyAlignment="1">
      <alignment horizontal="left"/>
    </xf>
    <xf numFmtId="178" fontId="0" fillId="0" borderId="0" xfId="42" applyNumberFormat="1" applyFont="1" applyFill="1" applyAlignment="1">
      <alignment horizontal="center"/>
    </xf>
    <xf numFmtId="172" fontId="8" fillId="0" borderId="0" xfId="59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4" fontId="0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 horizontal="left" wrapText="1"/>
    </xf>
    <xf numFmtId="4" fontId="0" fillId="0" borderId="0" xfId="0" applyNumberFormat="1" applyFont="1" applyFill="1" applyAlignment="1">
      <alignment horizontal="left" wrapText="1"/>
    </xf>
    <xf numFmtId="0" fontId="3" fillId="0" borderId="0" xfId="0" applyFont="1" applyFill="1" applyBorder="1" applyAlignment="1">
      <alignment/>
    </xf>
    <xf numFmtId="0" fontId="3" fillId="6" borderId="14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 horizontal="left"/>
    </xf>
    <xf numFmtId="0" fontId="0" fillId="0" borderId="15" xfId="0" applyBorder="1" applyAlignment="1">
      <alignment horizontal="center"/>
    </xf>
    <xf numFmtId="43" fontId="0" fillId="0" borderId="16" xfId="42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43" fontId="0" fillId="0" borderId="0" xfId="42" applyFont="1" applyBorder="1" applyAlignment="1">
      <alignment horizontal="center"/>
    </xf>
    <xf numFmtId="0" fontId="0" fillId="0" borderId="0" xfId="0" applyBorder="1" applyAlignment="1">
      <alignment horizontal="center"/>
    </xf>
    <xf numFmtId="43" fontId="3" fillId="0" borderId="2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 wrapText="1"/>
    </xf>
    <xf numFmtId="3" fontId="6" fillId="0" borderId="0" xfId="0" applyNumberFormat="1" applyFont="1" applyAlignment="1">
      <alignment horizontal="center"/>
    </xf>
    <xf numFmtId="172" fontId="0" fillId="0" borderId="0" xfId="59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 horizontal="left"/>
    </xf>
    <xf numFmtId="43" fontId="6" fillId="0" borderId="0" xfId="42" applyFont="1" applyAlignment="1">
      <alignment horizontal="center"/>
    </xf>
    <xf numFmtId="43" fontId="0" fillId="0" borderId="0" xfId="0" applyNumberFormat="1" applyAlignment="1">
      <alignment/>
    </xf>
    <xf numFmtId="43" fontId="3" fillId="0" borderId="0" xfId="42" applyFont="1" applyAlignment="1">
      <alignment/>
    </xf>
    <xf numFmtId="171" fontId="3" fillId="0" borderId="0" xfId="0" applyNumberFormat="1" applyFont="1" applyAlignment="1">
      <alignment/>
    </xf>
    <xf numFmtId="177" fontId="0" fillId="0" borderId="21" xfId="42" applyNumberFormat="1" applyFont="1" applyFill="1" applyBorder="1" applyAlignment="1">
      <alignment horizontal="center"/>
    </xf>
    <xf numFmtId="177" fontId="0" fillId="0" borderId="21" xfId="42" applyNumberFormat="1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right"/>
    </xf>
    <xf numFmtId="2" fontId="0" fillId="0" borderId="22" xfId="0" applyNumberFormat="1" applyFont="1" applyFill="1" applyBorder="1" applyAlignment="1">
      <alignment horizontal="right"/>
    </xf>
    <xf numFmtId="177" fontId="0" fillId="0" borderId="23" xfId="42" applyNumberFormat="1" applyFont="1" applyFill="1" applyBorder="1" applyAlignment="1">
      <alignment horizontal="center"/>
    </xf>
    <xf numFmtId="177" fontId="0" fillId="0" borderId="23" xfId="42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right"/>
    </xf>
    <xf numFmtId="2" fontId="0" fillId="0" borderId="12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21" xfId="0" applyNumberForma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37" fontId="0" fillId="0" borderId="23" xfId="0" applyNumberFormat="1" applyFont="1" applyBorder="1" applyAlignment="1">
      <alignment horizontal="center"/>
    </xf>
    <xf numFmtId="37" fontId="0" fillId="0" borderId="23" xfId="0" applyNumberFormat="1" applyFont="1" applyFill="1" applyBorder="1" applyAlignment="1">
      <alignment horizontal="center"/>
    </xf>
    <xf numFmtId="37" fontId="0" fillId="0" borderId="23" xfId="0" applyNumberFormat="1" applyBorder="1" applyAlignment="1">
      <alignment horizontal="center"/>
    </xf>
    <xf numFmtId="37" fontId="0" fillId="0" borderId="12" xfId="0" applyNumberFormat="1" applyBorder="1" applyAlignment="1">
      <alignment horizontal="center"/>
    </xf>
    <xf numFmtId="37" fontId="0" fillId="0" borderId="21" xfId="0" applyNumberFormat="1" applyFont="1" applyBorder="1" applyAlignment="1">
      <alignment horizontal="center"/>
    </xf>
    <xf numFmtId="37" fontId="0" fillId="0" borderId="21" xfId="0" applyNumberFormat="1" applyFont="1" applyFill="1" applyBorder="1" applyAlignment="1">
      <alignment horizontal="center"/>
    </xf>
    <xf numFmtId="37" fontId="0" fillId="0" borderId="22" xfId="0" applyNumberFormat="1" applyFont="1" applyBorder="1" applyAlignment="1">
      <alignment horizontal="center"/>
    </xf>
    <xf numFmtId="37" fontId="0" fillId="0" borderId="12" xfId="0" applyNumberFormat="1" applyFont="1" applyFill="1" applyBorder="1" applyAlignment="1">
      <alignment horizontal="center"/>
    </xf>
    <xf numFmtId="37" fontId="0" fillId="0" borderId="24" xfId="0" applyNumberFormat="1" applyFont="1" applyBorder="1" applyAlignment="1">
      <alignment horizontal="center"/>
    </xf>
    <xf numFmtId="37" fontId="0" fillId="0" borderId="25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177" fontId="0" fillId="0" borderId="26" xfId="42" applyNumberFormat="1" applyFont="1" applyFill="1" applyBorder="1" applyAlignment="1">
      <alignment horizontal="center"/>
    </xf>
    <xf numFmtId="177" fontId="0" fillId="0" borderId="27" xfId="42" applyNumberFormat="1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 horizontal="center"/>
    </xf>
    <xf numFmtId="37" fontId="0" fillId="0" borderId="27" xfId="0" applyNumberFormat="1" applyFont="1" applyBorder="1" applyAlignment="1">
      <alignment horizontal="center"/>
    </xf>
    <xf numFmtId="37" fontId="0" fillId="0" borderId="26" xfId="0" applyNumberFormat="1" applyFont="1" applyBorder="1" applyAlignment="1">
      <alignment horizontal="center"/>
    </xf>
    <xf numFmtId="37" fontId="0" fillId="0" borderId="27" xfId="0" applyNumberFormat="1" applyFont="1" applyFill="1" applyBorder="1" applyAlignment="1">
      <alignment horizontal="center"/>
    </xf>
    <xf numFmtId="37" fontId="0" fillId="0" borderId="26" xfId="0" applyNumberFormat="1" applyFont="1" applyFill="1" applyBorder="1" applyAlignment="1">
      <alignment horizontal="center"/>
    </xf>
    <xf numFmtId="37" fontId="0" fillId="0" borderId="28" xfId="0" applyNumberFormat="1" applyFont="1" applyBorder="1" applyAlignment="1">
      <alignment horizontal="center"/>
    </xf>
    <xf numFmtId="0" fontId="3" fillId="6" borderId="14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4" fontId="3" fillId="6" borderId="14" xfId="0" applyNumberFormat="1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9" fontId="0" fillId="0" borderId="0" xfId="59" applyFont="1" applyFill="1" applyAlignment="1">
      <alignment horizontal="center"/>
    </xf>
    <xf numFmtId="9" fontId="0" fillId="0" borderId="0" xfId="59" applyFont="1" applyFill="1" applyAlignment="1">
      <alignment horizontal="center"/>
    </xf>
    <xf numFmtId="172" fontId="0" fillId="0" borderId="0" xfId="59" applyNumberFormat="1" applyFont="1" applyFill="1" applyAlignment="1">
      <alignment horizontal="center"/>
    </xf>
    <xf numFmtId="10" fontId="0" fillId="0" borderId="0" xfId="59" applyNumberFormat="1" applyFont="1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Font="1" applyAlignment="1">
      <alignment/>
    </xf>
    <xf numFmtId="3" fontId="3" fillId="6" borderId="29" xfId="0" applyNumberFormat="1" applyFont="1" applyFill="1" applyBorder="1" applyAlignment="1">
      <alignment horizontal="center" vertical="center" wrapText="1"/>
    </xf>
    <xf numFmtId="3" fontId="0" fillId="0" borderId="27" xfId="0" applyNumberFormat="1" applyFill="1" applyBorder="1" applyAlignment="1">
      <alignment horizontal="center"/>
    </xf>
    <xf numFmtId="3" fontId="0" fillId="0" borderId="23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0" fontId="3" fillId="25" borderId="31" xfId="0" applyFont="1" applyFill="1" applyBorder="1" applyAlignment="1">
      <alignment horizontal="center" vertical="center"/>
    </xf>
    <xf numFmtId="17" fontId="0" fillId="0" borderId="32" xfId="0" applyNumberFormat="1" applyBorder="1" applyAlignment="1">
      <alignment/>
    </xf>
    <xf numFmtId="17" fontId="0" fillId="0" borderId="32" xfId="0" applyNumberFormat="1" applyFont="1" applyBorder="1" applyAlignment="1">
      <alignment/>
    </xf>
    <xf numFmtId="17" fontId="0" fillId="0" borderId="32" xfId="0" applyNumberFormat="1" applyFill="1" applyBorder="1" applyAlignment="1">
      <alignment/>
    </xf>
    <xf numFmtId="17" fontId="0" fillId="0" borderId="33" xfId="0" applyNumberFormat="1" applyBorder="1" applyAlignment="1">
      <alignment/>
    </xf>
    <xf numFmtId="3" fontId="3" fillId="25" borderId="34" xfId="0" applyNumberFormat="1" applyFont="1" applyFill="1" applyBorder="1" applyAlignment="1">
      <alignment horizontal="center" vertical="center"/>
    </xf>
    <xf numFmtId="3" fontId="0" fillId="0" borderId="21" xfId="0" applyNumberFormat="1" applyFill="1" applyBorder="1" applyAlignment="1">
      <alignment horizontal="center"/>
    </xf>
    <xf numFmtId="3" fontId="0" fillId="0" borderId="21" xfId="42" applyNumberFormat="1" applyFill="1" applyBorder="1" applyAlignment="1">
      <alignment horizontal="center"/>
    </xf>
    <xf numFmtId="37" fontId="0" fillId="0" borderId="21" xfId="0" applyNumberFormat="1" applyFont="1" applyFill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3" fontId="3" fillId="25" borderId="13" xfId="0" applyNumberFormat="1" applyFont="1" applyFill="1" applyBorder="1" applyAlignment="1">
      <alignment horizontal="center" vertical="center" wrapText="1"/>
    </xf>
    <xf numFmtId="3" fontId="0" fillId="0" borderId="23" xfId="0" applyNumberFormat="1" applyFill="1" applyBorder="1" applyAlignment="1">
      <alignment horizontal="center"/>
    </xf>
    <xf numFmtId="3" fontId="0" fillId="0" borderId="23" xfId="42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3" fillId="25" borderId="35" xfId="0" applyNumberFormat="1" applyFont="1" applyFill="1" applyBorder="1" applyAlignment="1">
      <alignment horizontal="center" vertical="center" wrapText="1"/>
    </xf>
    <xf numFmtId="3" fontId="0" fillId="0" borderId="24" xfId="0" applyNumberFormat="1" applyFill="1" applyBorder="1" applyAlignment="1">
      <alignment horizontal="center"/>
    </xf>
    <xf numFmtId="3" fontId="0" fillId="0" borderId="24" xfId="42" applyNumberFormat="1" applyFill="1" applyBorder="1" applyAlignment="1">
      <alignment horizontal="center"/>
    </xf>
    <xf numFmtId="37" fontId="0" fillId="0" borderId="24" xfId="0" applyNumberFormat="1" applyFont="1" applyFill="1" applyBorder="1" applyAlignment="1">
      <alignment horizontal="center"/>
    </xf>
    <xf numFmtId="3" fontId="0" fillId="0" borderId="25" xfId="0" applyNumberFormat="1" applyFill="1" applyBorder="1" applyAlignment="1">
      <alignment horizontal="center"/>
    </xf>
    <xf numFmtId="3" fontId="3" fillId="25" borderId="34" xfId="0" applyNumberFormat="1" applyFont="1" applyFill="1" applyBorder="1" applyAlignment="1">
      <alignment horizontal="center" vertical="center" wrapText="1"/>
    </xf>
    <xf numFmtId="0" fontId="7" fillId="6" borderId="36" xfId="0" applyFont="1" applyFill="1" applyBorder="1" applyAlignment="1">
      <alignment horizontal="centerContinuous"/>
    </xf>
    <xf numFmtId="0" fontId="7" fillId="6" borderId="30" xfId="0" applyFont="1" applyFill="1" applyBorder="1" applyAlignment="1">
      <alignment horizontal="centerContinuous"/>
    </xf>
    <xf numFmtId="0" fontId="7" fillId="6" borderId="36" xfId="0" applyFont="1" applyFill="1" applyBorder="1" applyAlignment="1">
      <alignment horizontal="center"/>
    </xf>
    <xf numFmtId="0" fontId="7" fillId="6" borderId="29" xfId="0" applyFont="1" applyFill="1" applyBorder="1" applyAlignment="1">
      <alignment horizontal="center"/>
    </xf>
    <xf numFmtId="0" fontId="7" fillId="6" borderId="30" xfId="0" applyFont="1" applyFill="1" applyBorder="1" applyAlignment="1">
      <alignment horizontal="center"/>
    </xf>
    <xf numFmtId="3" fontId="0" fillId="10" borderId="0" xfId="0" applyNumberFormat="1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78" fontId="0" fillId="0" borderId="0" xfId="42" applyNumberFormat="1" applyFont="1" applyBorder="1" applyAlignment="1">
      <alignment horizontal="center"/>
    </xf>
    <xf numFmtId="178" fontId="0" fillId="0" borderId="0" xfId="42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3" fontId="0" fillId="0" borderId="0" xfId="42" applyFont="1" applyBorder="1" applyAlignment="1">
      <alignment/>
    </xf>
    <xf numFmtId="3" fontId="0" fillId="0" borderId="0" xfId="0" applyNumberFormat="1" applyFont="1" applyFill="1" applyAlignment="1">
      <alignment horizontal="center" wrapText="1"/>
    </xf>
    <xf numFmtId="43" fontId="0" fillId="0" borderId="16" xfId="42" applyFont="1" applyBorder="1" applyAlignment="1">
      <alignment horizontal="center"/>
    </xf>
    <xf numFmtId="0" fontId="0" fillId="20" borderId="37" xfId="0" applyFont="1" applyFill="1" applyBorder="1" applyAlignment="1">
      <alignment horizontal="center"/>
    </xf>
    <xf numFmtId="0" fontId="0" fillId="20" borderId="38" xfId="0" applyFill="1" applyBorder="1" applyAlignment="1">
      <alignment horizontal="center"/>
    </xf>
    <xf numFmtId="43" fontId="0" fillId="0" borderId="39" xfId="42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10" fontId="0" fillId="0" borderId="0" xfId="0" applyNumberFormat="1" applyFont="1" applyFill="1" applyAlignment="1">
      <alignment horizontal="center"/>
    </xf>
    <xf numFmtId="10" fontId="0" fillId="0" borderId="0" xfId="0" applyNumberFormat="1" applyFill="1" applyAlignment="1">
      <alignment horizontal="center"/>
    </xf>
    <xf numFmtId="173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/>
    </xf>
    <xf numFmtId="3" fontId="0" fillId="0" borderId="0" xfId="0" applyNumberForma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43" fontId="3" fillId="0" borderId="0" xfId="0" applyNumberFormat="1" applyFont="1" applyBorder="1" applyAlignment="1">
      <alignment horizontal="center"/>
    </xf>
    <xf numFmtId="43" fontId="6" fillId="0" borderId="0" xfId="42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82" fontId="0" fillId="0" borderId="0" xfId="42" applyNumberFormat="1" applyFont="1" applyBorder="1" applyAlignment="1">
      <alignment horizontal="center"/>
    </xf>
    <xf numFmtId="17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4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 horizontal="center"/>
    </xf>
    <xf numFmtId="176" fontId="0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gulatory%20Affairs\OEB\2011%20Rebasing\Regression%20Model%20&amp;%20Backup\Weather%20Normalization%20Regression%20Model%20-%202011\Dummy%20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ummy Fi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zoomScalePageLayoutView="0" workbookViewId="0" topLeftCell="A1">
      <pane xSplit="1" ySplit="3" topLeftCell="H1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61" sqref="M61"/>
    </sheetView>
  </sheetViews>
  <sheetFormatPr defaultColWidth="9.140625" defaultRowHeight="12.75"/>
  <cols>
    <col min="1" max="1" width="32.7109375" style="0" customWidth="1"/>
    <col min="2" max="2" width="13.8515625" style="1" customWidth="1"/>
    <col min="3" max="3" width="13.140625" style="1" customWidth="1"/>
    <col min="4" max="4" width="13.00390625" style="1" customWidth="1"/>
    <col min="5" max="5" width="12.57421875" style="1" customWidth="1"/>
    <col min="6" max="6" width="12.7109375" style="1" bestFit="1" customWidth="1"/>
    <col min="7" max="7" width="13.57421875" style="1" customWidth="1"/>
    <col min="8" max="8" width="12.7109375" style="1" customWidth="1"/>
    <col min="9" max="9" width="13.00390625" style="1" customWidth="1"/>
    <col min="10" max="10" width="12.7109375" style="1" bestFit="1" customWidth="1"/>
    <col min="11" max="11" width="12.8515625" style="1" customWidth="1"/>
    <col min="12" max="12" width="12.7109375" style="26" bestFit="1" customWidth="1"/>
    <col min="13" max="13" width="12.7109375" style="0" bestFit="1" customWidth="1"/>
    <col min="17" max="17" width="17.7109375" style="0" bestFit="1" customWidth="1"/>
    <col min="18" max="18" width="17.57421875" style="0" bestFit="1" customWidth="1"/>
    <col min="19" max="19" width="10.28125" style="0" bestFit="1" customWidth="1"/>
    <col min="20" max="20" width="12.421875" style="0" bestFit="1" customWidth="1"/>
    <col min="21" max="21" width="9.28125" style="0" bestFit="1" customWidth="1"/>
  </cols>
  <sheetData>
    <row r="1" ht="15.75">
      <c r="A1" s="49" t="s">
        <v>74</v>
      </c>
    </row>
    <row r="3" spans="2:13" ht="38.25">
      <c r="B3" s="51" t="s">
        <v>55</v>
      </c>
      <c r="C3" s="51" t="s">
        <v>56</v>
      </c>
      <c r="D3" s="51" t="s">
        <v>57</v>
      </c>
      <c r="E3" s="51" t="s">
        <v>58</v>
      </c>
      <c r="F3" s="51" t="s">
        <v>59</v>
      </c>
      <c r="G3" s="51" t="s">
        <v>60</v>
      </c>
      <c r="H3" s="51" t="s">
        <v>61</v>
      </c>
      <c r="I3" s="51" t="s">
        <v>62</v>
      </c>
      <c r="J3" s="51" t="s">
        <v>72</v>
      </c>
      <c r="K3" s="51" t="s">
        <v>83</v>
      </c>
      <c r="L3" s="67" t="s">
        <v>73</v>
      </c>
      <c r="M3" s="51" t="s">
        <v>84</v>
      </c>
    </row>
    <row r="4" spans="1:12" ht="12.75">
      <c r="A4" s="21" t="s">
        <v>65</v>
      </c>
      <c r="B4" s="32">
        <f>'Purchased Power Model - Cust'!B202</f>
        <v>1177409787.0000002</v>
      </c>
      <c r="C4" s="32">
        <f>'Purchased Power Model - Cust'!B203</f>
        <v>1213922279.8999999</v>
      </c>
      <c r="D4" s="6">
        <f>'Purchased Power Model - Cust'!B204</f>
        <v>1293101127.6762252</v>
      </c>
      <c r="E4" s="32">
        <f>'Purchased Power Model - Cust'!B205</f>
        <v>1278116029</v>
      </c>
      <c r="F4" s="32">
        <f>'Purchased Power Model - Cust'!B206</f>
        <v>1302795438</v>
      </c>
      <c r="G4" s="32">
        <f>'Purchased Power Model - Cust'!B207</f>
        <v>1366805588</v>
      </c>
      <c r="H4" s="32">
        <f>'Purchased Power Model - Cust'!B208</f>
        <v>1376670068</v>
      </c>
      <c r="I4" s="32">
        <f>'Purchased Power Model - Cust'!B209</f>
        <v>1425989175</v>
      </c>
      <c r="J4" s="32">
        <f>'Purchased Power Model - Cust'!B210</f>
        <v>1423307327</v>
      </c>
      <c r="K4" s="32">
        <f>'Purchased Power Model - Cust'!B211</f>
        <v>1413835312.4</v>
      </c>
      <c r="L4" s="68"/>
    </row>
    <row r="5" spans="1:21" ht="12.75">
      <c r="A5" s="21" t="s">
        <v>66</v>
      </c>
      <c r="B5" s="32">
        <f>'Purchased Power Model - Cust'!N202</f>
        <v>1172397541.2960057</v>
      </c>
      <c r="C5" s="32">
        <f>'Purchased Power Model - Cust'!N203</f>
        <v>1212916163.3285291</v>
      </c>
      <c r="D5" s="32">
        <f>'Purchased Power Model - Cust'!N204</f>
        <v>1266366656.1831439</v>
      </c>
      <c r="E5" s="32">
        <f>'Purchased Power Model - Cust'!N205</f>
        <v>1274253935.9227498</v>
      </c>
      <c r="F5" s="32">
        <f>'Purchased Power Model - Cust'!N206</f>
        <v>1307806358.1887326</v>
      </c>
      <c r="G5" s="32">
        <f>'Purchased Power Model - Cust'!N207</f>
        <v>1370886094.180316</v>
      </c>
      <c r="H5" s="32">
        <f>'Purchased Power Model - Cust'!N208</f>
        <v>1370624789.3830178</v>
      </c>
      <c r="I5" s="32">
        <f>'Purchased Power Model - Cust'!N209</f>
        <v>1404917327.2368293</v>
      </c>
      <c r="J5" s="32">
        <f>'Purchased Power Model - Cust'!N210</f>
        <v>1418931095.1357596</v>
      </c>
      <c r="K5" s="32">
        <f>'Purchased Power Model - Cust'!N211</f>
        <v>1417239702.3857965</v>
      </c>
      <c r="L5" s="211">
        <f>'Purchased Power Model - Cust'!N212-R10</f>
        <v>1435675075.3326707</v>
      </c>
      <c r="M5" s="211">
        <f>'Purchased Power Model - Cust'!N213-R10-R15-R17</f>
        <v>1429182623.7775447</v>
      </c>
      <c r="N5" s="105"/>
      <c r="Q5" s="213" t="s">
        <v>103</v>
      </c>
      <c r="R5" s="214"/>
      <c r="S5" s="204"/>
      <c r="T5" s="205"/>
      <c r="U5" s="206"/>
    </row>
    <row r="6" spans="1:21" ht="12.75">
      <c r="A6" s="21" t="s">
        <v>10</v>
      </c>
      <c r="B6" s="50">
        <f aca="true" t="shared" si="0" ref="B6:K6">(B5-B4)/B4</f>
        <v>-0.004257010396325601</v>
      </c>
      <c r="C6" s="50">
        <f t="shared" si="0"/>
        <v>-0.0008288146515884188</v>
      </c>
      <c r="D6" s="50">
        <f t="shared" si="0"/>
        <v>-0.020674695057396376</v>
      </c>
      <c r="E6" s="50">
        <f t="shared" si="0"/>
        <v>-0.0030217077241977397</v>
      </c>
      <c r="F6" s="50">
        <f t="shared" si="0"/>
        <v>0.0038462831865800746</v>
      </c>
      <c r="G6" s="50">
        <f t="shared" si="0"/>
        <v>0.002985432760987491</v>
      </c>
      <c r="H6" s="50">
        <f t="shared" si="0"/>
        <v>-0.004391232698016517</v>
      </c>
      <c r="I6" s="50">
        <f t="shared" si="0"/>
        <v>-0.014777004014192968</v>
      </c>
      <c r="J6" s="50">
        <f t="shared" si="0"/>
        <v>-0.0030746921492103077</v>
      </c>
      <c r="K6" s="50">
        <f t="shared" si="0"/>
        <v>0.0024079112722241065</v>
      </c>
      <c r="L6" s="70"/>
      <c r="M6" s="58"/>
      <c r="N6" s="106"/>
      <c r="O6" s="37"/>
      <c r="P6" s="37"/>
      <c r="Q6" s="115" t="s">
        <v>101</v>
      </c>
      <c r="R6" s="215">
        <v>1444835419.080939</v>
      </c>
      <c r="S6" s="207"/>
      <c r="T6" s="117"/>
      <c r="U6" s="206"/>
    </row>
    <row r="7" spans="1:21" ht="12.75">
      <c r="A7" s="21"/>
      <c r="B7" s="47"/>
      <c r="C7" s="47"/>
      <c r="D7" s="47"/>
      <c r="E7" s="47"/>
      <c r="F7" s="47"/>
      <c r="G7" s="47"/>
      <c r="H7" s="47"/>
      <c r="I7" s="47"/>
      <c r="J7" s="47"/>
      <c r="K7" s="47"/>
      <c r="L7" s="68"/>
      <c r="N7" s="105"/>
      <c r="Q7" s="114" t="s">
        <v>102</v>
      </c>
      <c r="R7" s="108">
        <v>1463438205.9797287</v>
      </c>
      <c r="S7" s="208"/>
      <c r="T7" s="209"/>
      <c r="U7" s="206"/>
    </row>
    <row r="8" spans="1:21" ht="12.75">
      <c r="A8" s="21" t="s">
        <v>68</v>
      </c>
      <c r="B8" s="32">
        <f>'Rate Class Energy Model'!G11</f>
        <v>0</v>
      </c>
      <c r="C8" s="32">
        <f>'Rate Class Energy Model'!G12</f>
        <v>0</v>
      </c>
      <c r="D8" s="32">
        <f>'Rate Class Energy Model'!G13</f>
        <v>0</v>
      </c>
      <c r="E8" s="32">
        <f>'Rate Class Energy Model'!G14</f>
        <v>1216522996.0565405</v>
      </c>
      <c r="F8" s="32">
        <f>'Rate Class Energy Model'!G15</f>
        <v>1249359839.5310242</v>
      </c>
      <c r="G8" s="32">
        <f>'Rate Class Energy Model'!G16</f>
        <v>1304206908.3560057</v>
      </c>
      <c r="H8" s="32">
        <f>'Rate Class Energy Model'!G17</f>
        <v>1325699776.3556862</v>
      </c>
      <c r="I8" s="32">
        <f>'Rate Class Energy Model'!G18</f>
        <v>1367149466.4748852</v>
      </c>
      <c r="J8" s="32">
        <f>'Rate Class Energy Model'!G19</f>
        <v>1370239487.6535487</v>
      </c>
      <c r="K8" s="32">
        <f>'Rate Class Energy Model'!G20</f>
        <v>1360024643.8210773</v>
      </c>
      <c r="L8" s="69">
        <f>'Rate Class Energy Model'!G21</f>
        <v>1379926062.411256</v>
      </c>
      <c r="M8" s="32">
        <f>'Rate Class Energy Model'!G22</f>
        <v>1373685720.6627688</v>
      </c>
      <c r="N8" s="105"/>
      <c r="Q8" s="107"/>
      <c r="R8" s="109"/>
      <c r="S8" s="208"/>
      <c r="T8" s="117"/>
      <c r="U8" s="206"/>
    </row>
    <row r="9" spans="1:21" ht="12.75">
      <c r="A9" s="21"/>
      <c r="B9" s="47"/>
      <c r="C9" s="47"/>
      <c r="D9" s="47"/>
      <c r="E9" s="47"/>
      <c r="F9" s="47"/>
      <c r="G9" s="47"/>
      <c r="H9" s="47"/>
      <c r="I9" s="47"/>
      <c r="K9" s="26"/>
      <c r="N9" s="105"/>
      <c r="Q9" s="114" t="s">
        <v>98</v>
      </c>
      <c r="R9" s="108">
        <v>9160.343748268453</v>
      </c>
      <c r="S9" s="117"/>
      <c r="T9" s="117"/>
      <c r="U9" s="206"/>
    </row>
    <row r="10" spans="1:21" ht="15.75">
      <c r="A10" s="49" t="s">
        <v>67</v>
      </c>
      <c r="N10" s="105"/>
      <c r="Q10" s="107" t="s">
        <v>96</v>
      </c>
      <c r="R10" s="108">
        <f>+R9*1000</f>
        <v>9160343.748268453</v>
      </c>
      <c r="S10" s="117"/>
      <c r="T10" s="117"/>
      <c r="U10" s="206"/>
    </row>
    <row r="11" spans="1:21" ht="12.75">
      <c r="A11" s="48" t="str">
        <f>'Rate Class Energy Model'!H2</f>
        <v>Residential</v>
      </c>
      <c r="N11" s="105"/>
      <c r="Q11" s="107"/>
      <c r="R11" s="109"/>
      <c r="S11" s="117"/>
      <c r="T11" s="116"/>
      <c r="U11" s="210"/>
    </row>
    <row r="12" spans="1:20" ht="13.5" thickBot="1">
      <c r="A12" t="s">
        <v>52</v>
      </c>
      <c r="B12" s="6">
        <f>'Rate Class Customer Model'!B4</f>
        <v>0</v>
      </c>
      <c r="C12" s="6">
        <f>'Rate Class Customer Model'!B5</f>
        <v>0</v>
      </c>
      <c r="D12" s="6">
        <f>'Rate Class Customer Model'!B6</f>
        <v>0</v>
      </c>
      <c r="E12" s="6">
        <f>'Rate Class Customer Model'!B7</f>
        <v>39847</v>
      </c>
      <c r="F12" s="6">
        <f>'Rate Class Customer Model'!B8</f>
        <v>41215</v>
      </c>
      <c r="G12" s="6">
        <f>'Rate Class Customer Model'!B9</f>
        <v>42322</v>
      </c>
      <c r="H12" s="6">
        <f>'Rate Class Customer Model'!B10</f>
        <v>43013</v>
      </c>
      <c r="I12" s="6">
        <f>'Rate Class Customer Model'!B11</f>
        <v>43750</v>
      </c>
      <c r="J12" s="6">
        <f>'Rate Class Customer Model'!B12</f>
        <v>44593</v>
      </c>
      <c r="K12" s="6">
        <f>'Rate Class Customer Model'!B13</f>
        <v>45113</v>
      </c>
      <c r="L12" s="30">
        <f>'Rate Class Customer Model'!B14</f>
        <v>45513</v>
      </c>
      <c r="M12" s="6">
        <f>'Rate Class Customer Model'!B15</f>
        <v>45913</v>
      </c>
      <c r="N12" s="105"/>
      <c r="Q12" s="114" t="s">
        <v>99</v>
      </c>
      <c r="R12" s="118">
        <f>+R6-R10</f>
        <v>1435675075.3326707</v>
      </c>
      <c r="S12" s="1"/>
      <c r="T12" s="1"/>
    </row>
    <row r="13" spans="1:20" ht="12.75">
      <c r="A13" t="s">
        <v>53</v>
      </c>
      <c r="B13" s="6">
        <f>'Rate Class Energy Model'!H11</f>
        <v>0</v>
      </c>
      <c r="C13" s="6">
        <f>'Rate Class Energy Model'!H12</f>
        <v>0</v>
      </c>
      <c r="D13" s="6">
        <f>'Rate Class Energy Model'!H13</f>
        <v>0</v>
      </c>
      <c r="E13" s="6">
        <f>'Rate Class Energy Model'!H14</f>
        <v>381172837.66807127</v>
      </c>
      <c r="F13" s="6">
        <f>'Rate Class Energy Model'!H15</f>
        <v>385085949.0911344</v>
      </c>
      <c r="G13" s="6">
        <f>'Rate Class Energy Model'!H16</f>
        <v>408053980.685318</v>
      </c>
      <c r="H13" s="6">
        <f>'Rate Class Energy Model'!H17</f>
        <v>391947394.9774737</v>
      </c>
      <c r="I13" s="6">
        <f>'Rate Class Energy Model'!H18</f>
        <v>405071611.60313827</v>
      </c>
      <c r="J13" s="6">
        <f>'Rate Class Energy Model'!H19</f>
        <v>405533476.4792728</v>
      </c>
      <c r="K13" s="6">
        <f>'Rate Class Energy Model'!H20</f>
        <v>397106489.36571515</v>
      </c>
      <c r="L13" s="30">
        <f>'Rate Class Energy Model'!H64</f>
        <v>394497566.80702156</v>
      </c>
      <c r="M13" s="6">
        <f>'Rate Class Energy Model'!H65</f>
        <v>382563061.61122465</v>
      </c>
      <c r="N13" s="105"/>
      <c r="Q13" s="107"/>
      <c r="R13" s="109"/>
      <c r="S13" s="1"/>
      <c r="T13" s="1"/>
    </row>
    <row r="14" spans="10:20" ht="12.75">
      <c r="J14" s="60"/>
      <c r="K14" s="26"/>
      <c r="M14" s="59"/>
      <c r="N14" s="105"/>
      <c r="Q14" s="114" t="s">
        <v>100</v>
      </c>
      <c r="R14" s="108">
        <v>8095.238453915564</v>
      </c>
      <c r="S14" s="1"/>
      <c r="T14" s="1"/>
    </row>
    <row r="15" spans="1:20" ht="12.75">
      <c r="A15" s="48" t="str">
        <f>'Rate Class Energy Model'!I2</f>
        <v>GS&lt;50</v>
      </c>
      <c r="N15" s="62"/>
      <c r="Q15" s="114" t="s">
        <v>96</v>
      </c>
      <c r="R15" s="108">
        <f>+R14*1000</f>
        <v>8095238.453915563</v>
      </c>
      <c r="S15" s="1"/>
      <c r="T15" s="1"/>
    </row>
    <row r="16" spans="1:20" ht="12.75">
      <c r="A16" t="s">
        <v>52</v>
      </c>
      <c r="B16" s="6">
        <f>'Rate Class Customer Model'!C4</f>
        <v>0</v>
      </c>
      <c r="C16" s="6">
        <f>'Rate Class Customer Model'!C5</f>
        <v>0</v>
      </c>
      <c r="D16" s="6">
        <f>'Rate Class Customer Model'!C6</f>
        <v>0</v>
      </c>
      <c r="E16" s="6">
        <f>'Rate Class Customer Model'!C7</f>
        <v>4977</v>
      </c>
      <c r="F16" s="6">
        <f>'Rate Class Customer Model'!C8</f>
        <v>5025</v>
      </c>
      <c r="G16" s="6">
        <f>'Rate Class Customer Model'!C9</f>
        <v>5098</v>
      </c>
      <c r="H16" s="6">
        <f>'Rate Class Customer Model'!C10</f>
        <v>5140</v>
      </c>
      <c r="I16" s="6">
        <f>'Rate Class Customer Model'!C11</f>
        <v>5162</v>
      </c>
      <c r="J16" s="6">
        <f>'Rate Class Customer Model'!C12</f>
        <v>5205</v>
      </c>
      <c r="K16" s="6">
        <f>'Rate Class Customer Model'!C13</f>
        <v>5300</v>
      </c>
      <c r="L16" s="30">
        <f>'Rate Class Customer Model'!C14</f>
        <v>5355.835642107674</v>
      </c>
      <c r="M16" s="6">
        <f>'Rate Class Customer Model'!C15</f>
        <v>5412.25951420206</v>
      </c>
      <c r="Q16" s="107"/>
      <c r="R16" s="109"/>
      <c r="S16" s="1"/>
      <c r="T16" s="1"/>
    </row>
    <row r="17" spans="1:20" ht="12.75">
      <c r="A17" t="s">
        <v>53</v>
      </c>
      <c r="B17" s="6">
        <f>'Rate Class Energy Model'!I11</f>
        <v>0</v>
      </c>
      <c r="C17" s="6">
        <f>'Rate Class Energy Model'!I12</f>
        <v>0</v>
      </c>
      <c r="D17" s="6">
        <f>'Rate Class Energy Model'!I13</f>
        <v>0</v>
      </c>
      <c r="E17" s="6">
        <f>'Rate Class Energy Model'!I14</f>
        <v>178733408.91393787</v>
      </c>
      <c r="F17" s="6">
        <f>'Rate Class Energy Model'!I15</f>
        <v>181654717.71144453</v>
      </c>
      <c r="G17" s="6">
        <f>'Rate Class Energy Model'!I16</f>
        <v>187375741.76912484</v>
      </c>
      <c r="H17" s="6">
        <f>'Rate Class Energy Model'!I17</f>
        <v>189284333.47635177</v>
      </c>
      <c r="I17" s="6">
        <f>'Rate Class Energy Model'!I18</f>
        <v>192047824.5759105</v>
      </c>
      <c r="J17" s="6">
        <f>'Rate Class Energy Model'!I19</f>
        <v>185031934.17948633</v>
      </c>
      <c r="K17" s="6">
        <f>'Rate Class Energy Model'!I20</f>
        <v>179794279.15883675</v>
      </c>
      <c r="L17" s="30">
        <f>'Rate Class Energy Model'!I64</f>
        <v>179691687.56520364</v>
      </c>
      <c r="M17" s="6">
        <f>'Rate Class Energy Model'!I65</f>
        <v>175321433.65918124</v>
      </c>
      <c r="N17" s="62"/>
      <c r="Q17" s="107" t="s">
        <v>97</v>
      </c>
      <c r="R17" s="212">
        <f>68000000/4</f>
        <v>17000000</v>
      </c>
      <c r="S17" s="1"/>
      <c r="T17" s="1"/>
    </row>
    <row r="18" spans="10:20" ht="12.75">
      <c r="J18" s="60"/>
      <c r="K18" s="26"/>
      <c r="M18" s="59"/>
      <c r="Q18" s="107"/>
      <c r="R18" s="109"/>
      <c r="S18" s="1"/>
      <c r="T18" s="1"/>
    </row>
    <row r="19" spans="1:20" ht="13.5" thickBot="1">
      <c r="A19" s="48" t="str">
        <f>'Rate Class Energy Model'!J2</f>
        <v>GS&gt;50</v>
      </c>
      <c r="M19" s="6"/>
      <c r="N19" s="62"/>
      <c r="Q19" s="107">
        <v>2011</v>
      </c>
      <c r="R19" s="118">
        <f>+R7-R17-R15-R10</f>
        <v>1429182623.7775447</v>
      </c>
      <c r="S19" s="1"/>
      <c r="T19" s="1"/>
    </row>
    <row r="20" spans="1:20" ht="12.75">
      <c r="A20" t="s">
        <v>52</v>
      </c>
      <c r="B20" s="6">
        <f>'Rate Class Customer Model'!D4</f>
        <v>0</v>
      </c>
      <c r="C20" s="6">
        <f>'Rate Class Customer Model'!D5</f>
        <v>0</v>
      </c>
      <c r="D20" s="6">
        <f>'Rate Class Customer Model'!D6</f>
        <v>0</v>
      </c>
      <c r="E20" s="6">
        <f>'Rate Class Customer Model'!D7</f>
        <v>637</v>
      </c>
      <c r="F20" s="6">
        <f>'Rate Class Customer Model'!D8</f>
        <v>626</v>
      </c>
      <c r="G20" s="6">
        <f>'Rate Class Customer Model'!D9</f>
        <v>619</v>
      </c>
      <c r="H20" s="6">
        <f>'Rate Class Customer Model'!D10</f>
        <v>624</v>
      </c>
      <c r="I20" s="6">
        <f>'Rate Class Customer Model'!D11</f>
        <v>630</v>
      </c>
      <c r="J20" s="6">
        <f>'Rate Class Customer Model'!D12</f>
        <v>664</v>
      </c>
      <c r="K20" s="6">
        <f>'Rate Class Customer Model'!D13</f>
        <v>661</v>
      </c>
      <c r="L20" s="30">
        <f>'Rate Class Customer Model'!D14</f>
        <v>665.087007581015</v>
      </c>
      <c r="M20" s="6">
        <f>'Rate Class Customer Model'!D15</f>
        <v>669.1992854055508</v>
      </c>
      <c r="N20" s="62"/>
      <c r="Q20" s="107"/>
      <c r="R20" s="110"/>
      <c r="S20" s="1"/>
      <c r="T20" s="1"/>
    </row>
    <row r="21" spans="1:20" ht="12.75">
      <c r="A21" t="s">
        <v>53</v>
      </c>
      <c r="B21" s="6">
        <f>'Rate Class Energy Model'!J11</f>
        <v>0</v>
      </c>
      <c r="C21" s="6">
        <f>'Rate Class Energy Model'!J12</f>
        <v>0</v>
      </c>
      <c r="D21" s="6">
        <f>'Rate Class Energy Model'!J13</f>
        <v>0</v>
      </c>
      <c r="E21" s="6">
        <f>'Rate Class Energy Model'!J14</f>
        <v>581134405.3200765</v>
      </c>
      <c r="F21" s="6">
        <f>'Rate Class Energy Model'!J15</f>
        <v>606602562.8291459</v>
      </c>
      <c r="G21" s="6">
        <f>'Rate Class Energy Model'!J16</f>
        <v>627713059.1572262</v>
      </c>
      <c r="H21" s="6">
        <f>'Rate Class Energy Model'!J17</f>
        <v>660327537.8039035</v>
      </c>
      <c r="I21" s="6">
        <f>'Rate Class Energy Model'!J18</f>
        <v>682785512.3488585</v>
      </c>
      <c r="J21" s="6">
        <f>'Rate Class Energy Model'!J19</f>
        <v>693615296.4854753</v>
      </c>
      <c r="K21" s="6">
        <f>'Rate Class Energy Model'!J20</f>
        <v>697125703.1172078</v>
      </c>
      <c r="L21" s="30">
        <f>'Rate Class Energy Model'!J64</f>
        <v>717861719.8937085</v>
      </c>
      <c r="M21" s="6">
        <f>'Rate Class Energy Model'!J65</f>
        <v>727723747.1067349</v>
      </c>
      <c r="Q21" s="111"/>
      <c r="R21" s="112"/>
      <c r="S21" s="1"/>
      <c r="T21" s="1"/>
    </row>
    <row r="22" spans="1:13" ht="12.75">
      <c r="A22" t="s">
        <v>54</v>
      </c>
      <c r="B22" s="6">
        <f>'Rate Class Load Model'!B3</f>
        <v>0</v>
      </c>
      <c r="C22" s="6">
        <f>'Rate Class Load Model'!B4</f>
        <v>0</v>
      </c>
      <c r="D22" s="6">
        <f>'Rate Class Load Model'!B5</f>
        <v>0</v>
      </c>
      <c r="E22" s="6">
        <f>'Rate Class Load Model'!B6</f>
        <v>1578391.22</v>
      </c>
      <c r="F22" s="6">
        <f>'Rate Class Load Model'!B7</f>
        <v>1578376.8800000001</v>
      </c>
      <c r="G22" s="6">
        <f>'Rate Class Load Model'!B8</f>
        <v>1609886.5499999998</v>
      </c>
      <c r="H22" s="6">
        <f>'Rate Class Load Model'!B9</f>
        <v>1625473.94</v>
      </c>
      <c r="I22" s="6">
        <f>'Rate Class Load Model'!B10</f>
        <v>1650920.52526434</v>
      </c>
      <c r="J22" s="6">
        <f>'Rate Class Load Model'!B11</f>
        <v>1665645.48760419</v>
      </c>
      <c r="K22" s="6">
        <f>'Rate Class Load Model'!B12</f>
        <v>1682115.00640683</v>
      </c>
      <c r="L22" s="30">
        <f>'Rate Class Load Model'!B13</f>
        <v>1653057.6404847605</v>
      </c>
      <c r="M22" s="6">
        <f>'Rate Class Load Model'!B14</f>
        <v>1637891.2302565128</v>
      </c>
    </row>
    <row r="23" spans="10:13" ht="12.75">
      <c r="J23" s="60"/>
      <c r="K23" s="26"/>
      <c r="M23" s="59"/>
    </row>
    <row r="24" spans="1:13" ht="12.75">
      <c r="A24" s="48" t="str">
        <f>'Rate Class Energy Model'!K2</f>
        <v>Large User</v>
      </c>
      <c r="M24" s="6"/>
    </row>
    <row r="25" spans="1:13" ht="12.75">
      <c r="A25" t="s">
        <v>52</v>
      </c>
      <c r="B25" s="6">
        <f>'Rate Class Customer Model'!E4</f>
        <v>0</v>
      </c>
      <c r="C25" s="6">
        <f>'Rate Class Customer Model'!E5</f>
        <v>0</v>
      </c>
      <c r="D25" s="6">
        <f>'Rate Class Customer Model'!E6</f>
        <v>0</v>
      </c>
      <c r="E25" s="6">
        <f>'Rate Class Customer Model'!E7</f>
        <v>1</v>
      </c>
      <c r="F25" s="6">
        <f>'Rate Class Customer Model'!E8</f>
        <v>1</v>
      </c>
      <c r="G25" s="6">
        <f>'Rate Class Customer Model'!E9</f>
        <v>1</v>
      </c>
      <c r="H25" s="6">
        <f>'Rate Class Customer Model'!E10</f>
        <v>1</v>
      </c>
      <c r="I25" s="6">
        <f>'Rate Class Customer Model'!E11</f>
        <v>1</v>
      </c>
      <c r="J25" s="6">
        <f>'Rate Class Customer Model'!E12</f>
        <v>1</v>
      </c>
      <c r="K25" s="6">
        <f>'Rate Class Customer Model'!E13</f>
        <v>1</v>
      </c>
      <c r="L25" s="30">
        <f>'Rate Class Customer Model'!E14</f>
        <v>1</v>
      </c>
      <c r="M25" s="6">
        <f>'Rate Class Customer Model'!E15</f>
        <v>1</v>
      </c>
    </row>
    <row r="26" spans="1:13" ht="12.75">
      <c r="A26" t="s">
        <v>53</v>
      </c>
      <c r="B26" s="6">
        <f>'Rate Class Energy Model'!K11</f>
        <v>0</v>
      </c>
      <c r="C26" s="6">
        <f>'Rate Class Energy Model'!K12</f>
        <v>0</v>
      </c>
      <c r="D26" s="6">
        <f>'Rate Class Energy Model'!K13</f>
        <v>0</v>
      </c>
      <c r="E26" s="6">
        <f>'Rate Class Energy Model'!K14</f>
        <v>65433585.88302638</v>
      </c>
      <c r="F26" s="6">
        <f>'Rate Class Energy Model'!K15</f>
        <v>66067057.488522306</v>
      </c>
      <c r="G26" s="6">
        <f>'Rate Class Energy Model'!K16</f>
        <v>70553959.95619713</v>
      </c>
      <c r="H26" s="6">
        <f>'Rate Class Energy Model'!K17</f>
        <v>73668917.5599801</v>
      </c>
      <c r="I26" s="6">
        <f>'Rate Class Energy Model'!K18</f>
        <v>77115460.57823667</v>
      </c>
      <c r="J26" s="6">
        <f>'Rate Class Energy Model'!K19</f>
        <v>76733607.73291159</v>
      </c>
      <c r="K26" s="6">
        <f>'Rate Class Energy Model'!K20</f>
        <v>76507951.36112295</v>
      </c>
      <c r="L26" s="30">
        <f>'Rate Class Energy Model'!K64</f>
        <v>78416825.29726115</v>
      </c>
      <c r="M26" s="6">
        <f>'Rate Class Energy Model'!K65</f>
        <v>78636806.69908373</v>
      </c>
    </row>
    <row r="27" spans="1:13" ht="12.75">
      <c r="A27" t="s">
        <v>54</v>
      </c>
      <c r="B27" s="6">
        <f>'Rate Class Load Model'!C3</f>
        <v>0</v>
      </c>
      <c r="C27" s="6">
        <f>'Rate Class Load Model'!C4</f>
        <v>0</v>
      </c>
      <c r="D27" s="6">
        <f>'Rate Class Load Model'!C5</f>
        <v>0</v>
      </c>
      <c r="E27" s="6">
        <f>'Rate Class Load Model'!C6</f>
        <v>120390.91</v>
      </c>
      <c r="F27" s="6">
        <f>'Rate Class Load Model'!C7</f>
        <v>136143.48</v>
      </c>
      <c r="G27" s="6">
        <f>'Rate Class Load Model'!C8</f>
        <v>138634.15</v>
      </c>
      <c r="H27" s="6">
        <f>'Rate Class Load Model'!C9</f>
        <v>144512.38</v>
      </c>
      <c r="I27" s="6">
        <f>'Rate Class Load Model'!C10</f>
        <v>147257.8654595636</v>
      </c>
      <c r="J27" s="6">
        <f>'Rate Class Load Model'!C11</f>
        <v>145766.057511031</v>
      </c>
      <c r="K27" s="6">
        <f>'Rate Class Load Model'!C12</f>
        <v>144355.31891495423</v>
      </c>
      <c r="L27" s="30">
        <f>'Rate Class Load Model'!C13</f>
        <v>148840.09682443476</v>
      </c>
      <c r="M27" s="6">
        <f>'Rate Class Load Model'!C14</f>
        <v>148592.76624794592</v>
      </c>
    </row>
    <row r="28" spans="10:13" ht="12.75">
      <c r="J28" s="60"/>
      <c r="K28" s="26"/>
      <c r="M28" s="59"/>
    </row>
    <row r="29" spans="1:13" ht="12.75" customHeight="1" hidden="1">
      <c r="A29" s="48" t="str">
        <f>'Rate Class Energy Model'!L2</f>
        <v>Sentinels</v>
      </c>
      <c r="M29" s="6"/>
    </row>
    <row r="30" spans="1:13" ht="12.75" customHeight="1" hidden="1">
      <c r="A30" t="s">
        <v>85</v>
      </c>
      <c r="B30" s="6">
        <f>'Rate Class Customer Model'!F4</f>
        <v>0</v>
      </c>
      <c r="C30" s="6">
        <f>'Rate Class Customer Model'!F5</f>
        <v>0</v>
      </c>
      <c r="D30" s="6">
        <f>'Rate Class Customer Model'!F6</f>
        <v>0</v>
      </c>
      <c r="E30" s="6">
        <f>'Rate Class Customer Model'!F7</f>
        <v>0</v>
      </c>
      <c r="F30" s="6">
        <f>'Rate Class Customer Model'!F8</f>
        <v>0</v>
      </c>
      <c r="G30" s="6">
        <f>'Rate Class Customer Model'!F9</f>
        <v>0</v>
      </c>
      <c r="H30" s="6">
        <f>'Rate Class Customer Model'!F10</f>
        <v>0</v>
      </c>
      <c r="I30" s="6">
        <f>'Rate Class Customer Model'!F11</f>
        <v>0</v>
      </c>
      <c r="J30" s="6">
        <f>'Rate Class Customer Model'!F12</f>
        <v>0</v>
      </c>
      <c r="K30" s="6">
        <f>'Rate Class Customer Model'!F13</f>
        <v>0</v>
      </c>
      <c r="L30" s="30">
        <f>'Rate Class Customer Model'!F14</f>
        <v>0</v>
      </c>
      <c r="M30" s="6">
        <f>'Rate Class Customer Model'!F15</f>
        <v>0</v>
      </c>
    </row>
    <row r="31" spans="1:13" ht="12.75" customHeight="1" hidden="1">
      <c r="A31" t="s">
        <v>53</v>
      </c>
      <c r="B31" s="6">
        <f>'Rate Class Energy Model'!L11</f>
        <v>0</v>
      </c>
      <c r="C31" s="6">
        <f>'Rate Class Energy Model'!L12</f>
        <v>0</v>
      </c>
      <c r="D31" s="6">
        <f>'Rate Class Energy Model'!L13</f>
        <v>0</v>
      </c>
      <c r="E31" s="6">
        <f>'Rate Class Energy Model'!L14</f>
        <v>0</v>
      </c>
      <c r="F31" s="6">
        <f>'Rate Class Energy Model'!L15</f>
        <v>0</v>
      </c>
      <c r="G31" s="6">
        <f>'Rate Class Energy Model'!L16</f>
        <v>0</v>
      </c>
      <c r="H31" s="6">
        <f>'Rate Class Energy Model'!L17</f>
        <v>0</v>
      </c>
      <c r="I31" s="6">
        <f>'Rate Class Energy Model'!L18</f>
        <v>0</v>
      </c>
      <c r="J31" s="6">
        <f>'Rate Class Energy Model'!L19</f>
        <v>0</v>
      </c>
      <c r="K31" s="6">
        <f>'Rate Class Energy Model'!L20</f>
        <v>0</v>
      </c>
      <c r="L31" s="30">
        <f>'Rate Class Energy Model'!L64</f>
        <v>0</v>
      </c>
      <c r="M31" s="6">
        <f>'Rate Class Energy Model'!L65</f>
        <v>0</v>
      </c>
    </row>
    <row r="32" spans="1:13" ht="12.75" customHeight="1" hidden="1">
      <c r="A32" t="s">
        <v>54</v>
      </c>
      <c r="B32" s="6">
        <f>'Rate Class Load Model'!D3</f>
        <v>0</v>
      </c>
      <c r="C32" s="6">
        <f>'Rate Class Load Model'!D4</f>
        <v>0</v>
      </c>
      <c r="D32" s="6">
        <f>'Rate Class Load Model'!D5</f>
        <v>0</v>
      </c>
      <c r="E32" s="6">
        <f>'Rate Class Load Model'!D6</f>
        <v>0</v>
      </c>
      <c r="F32" s="6">
        <f>'Rate Class Load Model'!D7</f>
        <v>0</v>
      </c>
      <c r="G32" s="6">
        <f>'Rate Class Load Model'!D8</f>
        <v>0</v>
      </c>
      <c r="H32" s="6">
        <f>'Rate Class Load Model'!D9</f>
        <v>0</v>
      </c>
      <c r="I32" s="6">
        <f>'Rate Class Load Model'!D10</f>
        <v>0</v>
      </c>
      <c r="J32" s="6">
        <f>'Rate Class Load Model'!D11</f>
        <v>0</v>
      </c>
      <c r="K32" s="6">
        <f>'Rate Class Load Model'!D12</f>
        <v>0</v>
      </c>
      <c r="L32" s="30">
        <f>'Rate Class Load Model'!D13</f>
        <v>0</v>
      </c>
      <c r="M32" s="6">
        <f>'Rate Class Load Model'!D14</f>
        <v>0</v>
      </c>
    </row>
    <row r="33" spans="2:13" ht="12.75" customHeight="1" hidden="1">
      <c r="B33" s="6"/>
      <c r="C33" s="6"/>
      <c r="D33" s="6"/>
      <c r="E33" s="6"/>
      <c r="F33" s="6"/>
      <c r="G33" s="6"/>
      <c r="H33" s="6"/>
      <c r="I33" s="6"/>
      <c r="J33" s="6"/>
      <c r="K33" s="6"/>
      <c r="L33" s="30"/>
      <c r="M33" s="6"/>
    </row>
    <row r="34" spans="1:13" ht="12.75">
      <c r="A34" s="48" t="str">
        <f>'Rate Class Energy Model'!M2</f>
        <v>Streetlights</v>
      </c>
      <c r="M34" s="6"/>
    </row>
    <row r="35" spans="1:13" ht="12.75">
      <c r="A35" t="s">
        <v>85</v>
      </c>
      <c r="B35" s="6">
        <f>'Rate Class Customer Model'!G4</f>
        <v>0</v>
      </c>
      <c r="C35" s="6">
        <f>'Rate Class Customer Model'!G5</f>
        <v>0</v>
      </c>
      <c r="D35" s="6">
        <f>'Rate Class Customer Model'!G6</f>
        <v>0</v>
      </c>
      <c r="E35" s="6">
        <f>'Rate Class Customer Model'!G7</f>
        <v>11645</v>
      </c>
      <c r="F35" s="6">
        <f>'Rate Class Customer Model'!G8</f>
        <v>12091</v>
      </c>
      <c r="G35" s="6">
        <f>'Rate Class Customer Model'!G9</f>
        <v>12378</v>
      </c>
      <c r="H35" s="6">
        <f>'Rate Class Customer Model'!G10</f>
        <v>12575</v>
      </c>
      <c r="I35" s="6">
        <f>'Rate Class Customer Model'!G11</f>
        <v>12740</v>
      </c>
      <c r="J35" s="6">
        <f>'Rate Class Customer Model'!G12</f>
        <v>12777</v>
      </c>
      <c r="K35" s="6">
        <f>'Rate Class Customer Model'!G13</f>
        <v>12919</v>
      </c>
      <c r="L35" s="30">
        <f>'Rate Class Customer Model'!G14</f>
        <v>13144.491779037011</v>
      </c>
      <c r="M35" s="6">
        <f>'Rate Class Customer Model'!G15</f>
        <v>13373.919353601019</v>
      </c>
    </row>
    <row r="36" spans="1:13" ht="12.75">
      <c r="A36" t="s">
        <v>53</v>
      </c>
      <c r="B36" s="6">
        <f>'Rate Class Energy Model'!M11</f>
        <v>0</v>
      </c>
      <c r="C36" s="6">
        <f>'Rate Class Energy Model'!M12</f>
        <v>0</v>
      </c>
      <c r="D36" s="6">
        <f>'Rate Class Energy Model'!M13</f>
        <v>0</v>
      </c>
      <c r="E36" s="6">
        <f>'Rate Class Energy Model'!M14</f>
        <v>6845381.300000001</v>
      </c>
      <c r="F36" s="6">
        <f>'Rate Class Energy Model'!M15</f>
        <v>6727156.649813486</v>
      </c>
      <c r="G36" s="6">
        <f>'Rate Class Energy Model'!M16</f>
        <v>7324552.788139647</v>
      </c>
      <c r="H36" s="6">
        <f>'Rate Class Energy Model'!M17</f>
        <v>7335287.537976969</v>
      </c>
      <c r="I36" s="6">
        <f>'Rate Class Energy Model'!M18</f>
        <v>7356113.368741208</v>
      </c>
      <c r="J36" s="6">
        <f>'Rate Class Energy Model'!M19</f>
        <v>7547792.776402799</v>
      </c>
      <c r="K36" s="6">
        <f>'Rate Class Energy Model'!M20</f>
        <v>7543733.8181949835</v>
      </c>
      <c r="L36" s="30">
        <f>'Rate Class Energy Model'!M64</f>
        <v>7666864.8525008885</v>
      </c>
      <c r="M36" s="6">
        <f>'Rate Class Energy Model'!M65</f>
        <v>7792005.667636106</v>
      </c>
    </row>
    <row r="37" spans="1:13" ht="12.75">
      <c r="A37" t="s">
        <v>54</v>
      </c>
      <c r="B37" s="6">
        <f>'Rate Class Load Model'!E3</f>
        <v>0</v>
      </c>
      <c r="C37" s="6">
        <f>'Rate Class Load Model'!E4</f>
        <v>0</v>
      </c>
      <c r="D37" s="6">
        <f>'Rate Class Load Model'!E5</f>
        <v>0</v>
      </c>
      <c r="E37" s="6">
        <f>'Rate Class Load Model'!E6</f>
        <v>19110.75</v>
      </c>
      <c r="F37" s="6">
        <f>'Rate Class Load Model'!E7</f>
        <v>19526.026</v>
      </c>
      <c r="G37" s="6">
        <f>'Rate Class Load Model'!E8</f>
        <v>20182.885999999995</v>
      </c>
      <c r="H37" s="6">
        <f>'Rate Class Load Model'!E9</f>
        <v>20477.79</v>
      </c>
      <c r="I37" s="6">
        <f>'Rate Class Load Model'!E10</f>
        <v>20687.995</v>
      </c>
      <c r="J37" s="6">
        <f>'Rate Class Load Model'!E11</f>
        <v>20906.075</v>
      </c>
      <c r="K37" s="6">
        <f>'Rate Class Load Model'!E12</f>
        <v>21063.297000000002</v>
      </c>
      <c r="L37" s="30">
        <f>'Rate Class Load Model'!E13</f>
        <v>21257.355203495397</v>
      </c>
      <c r="M37" s="6">
        <f>'Rate Class Load Model'!E14</f>
        <v>21546.58413545903</v>
      </c>
    </row>
    <row r="39" ht="12.75">
      <c r="A39" s="48" t="str">
        <f>'Rate Class Energy Model'!N2</f>
        <v>USL</v>
      </c>
    </row>
    <row r="40" spans="1:13" ht="12.75">
      <c r="A40" t="s">
        <v>85</v>
      </c>
      <c r="B40" s="6">
        <f>'Rate Class Customer Model'!H4</f>
        <v>0</v>
      </c>
      <c r="C40" s="6">
        <f>'Rate Class Customer Model'!H5</f>
        <v>0</v>
      </c>
      <c r="D40" s="6">
        <f>'Rate Class Customer Model'!H6</f>
        <v>0</v>
      </c>
      <c r="E40" s="6">
        <f>'Rate Class Customer Model'!H7</f>
        <v>485</v>
      </c>
      <c r="F40" s="6">
        <f>'Rate Class Customer Model'!H8</f>
        <v>495</v>
      </c>
      <c r="G40" s="6">
        <f>'Rate Class Customer Model'!H9</f>
        <v>486</v>
      </c>
      <c r="H40" s="6">
        <f>'Rate Class Customer Model'!H10</f>
        <v>574</v>
      </c>
      <c r="I40" s="6">
        <f>'Rate Class Customer Model'!H11</f>
        <v>533</v>
      </c>
      <c r="J40" s="6">
        <f>'Rate Class Customer Model'!H12</f>
        <v>534</v>
      </c>
      <c r="K40" s="6">
        <f>'Rate Class Customer Model'!H13</f>
        <v>534</v>
      </c>
      <c r="L40" s="30">
        <f>'Rate Class Customer Model'!H14</f>
        <v>542.6350513227504</v>
      </c>
      <c r="M40" s="6">
        <f>'Rate Class Customer Model'!H15</f>
        <v>551.4097358128165</v>
      </c>
    </row>
    <row r="41" spans="1:13" ht="12.75">
      <c r="A41" t="s">
        <v>53</v>
      </c>
      <c r="B41" s="6">
        <f>'Rate Class Energy Model'!N11</f>
        <v>0</v>
      </c>
      <c r="C41" s="6">
        <f>'Rate Class Energy Model'!N12</f>
        <v>0</v>
      </c>
      <c r="D41" s="6">
        <f>'Rate Class Energy Model'!N13</f>
        <v>0</v>
      </c>
      <c r="E41" s="6">
        <f>'Rate Class Energy Model'!N14</f>
        <v>3203376.9714285713</v>
      </c>
      <c r="F41" s="6">
        <f>'Rate Class Energy Model'!N15</f>
        <v>3222395.760963709</v>
      </c>
      <c r="G41" s="6">
        <f>'Rate Class Energy Model'!N16</f>
        <v>3185614</v>
      </c>
      <c r="H41" s="6">
        <f>'Rate Class Energy Model'!N17</f>
        <v>3136305</v>
      </c>
      <c r="I41" s="6">
        <f>'Rate Class Energy Model'!N18</f>
        <v>2772944</v>
      </c>
      <c r="J41" s="6">
        <f>'Rate Class Energy Model'!N19</f>
        <v>1777380</v>
      </c>
      <c r="K41" s="6">
        <f>'Rate Class Energy Model'!N20</f>
        <v>1946487</v>
      </c>
      <c r="L41" s="30">
        <f>'Rate Class Energy Model'!N64</f>
        <v>1791397.9955603846</v>
      </c>
      <c r="M41" s="6">
        <f>'Rate Class Energy Model'!N65</f>
        <v>1648665.9189081476</v>
      </c>
    </row>
    <row r="42" ht="12.75">
      <c r="M42" s="6"/>
    </row>
    <row r="43" spans="1:12" ht="12.75">
      <c r="A43" s="48" t="s">
        <v>86</v>
      </c>
      <c r="B43" s="6"/>
      <c r="C43" s="6"/>
      <c r="D43" s="6"/>
      <c r="E43" s="6"/>
      <c r="F43" s="6"/>
      <c r="G43" s="6"/>
      <c r="H43" s="6"/>
      <c r="J43" s="6"/>
      <c r="K43" s="6"/>
      <c r="L43" s="30"/>
    </row>
    <row r="44" spans="1:13" ht="12.75">
      <c r="A44" t="s">
        <v>64</v>
      </c>
      <c r="B44" s="6">
        <f>'Rate Class Customer Model'!I4</f>
        <v>0</v>
      </c>
      <c r="C44" s="6">
        <f>'Rate Class Customer Model'!I5</f>
        <v>0</v>
      </c>
      <c r="D44" s="6">
        <f>'Rate Class Customer Model'!I6</f>
        <v>0</v>
      </c>
      <c r="E44" s="6">
        <f>E12+E16+E20+E25+E30+E35+E40</f>
        <v>57592</v>
      </c>
      <c r="F44" s="6">
        <f aca="true" t="shared" si="1" ref="F44:M44">F12+F16+F20+F25+F30+F35+F40</f>
        <v>59453</v>
      </c>
      <c r="G44" s="6">
        <f t="shared" si="1"/>
        <v>60904</v>
      </c>
      <c r="H44" s="6">
        <f t="shared" si="1"/>
        <v>61927</v>
      </c>
      <c r="I44" s="6">
        <f t="shared" si="1"/>
        <v>62816</v>
      </c>
      <c r="J44" s="6">
        <f t="shared" si="1"/>
        <v>63774</v>
      </c>
      <c r="K44" s="6">
        <f t="shared" si="1"/>
        <v>64528</v>
      </c>
      <c r="L44" s="6">
        <f t="shared" si="1"/>
        <v>65222.04948004845</v>
      </c>
      <c r="M44" s="6">
        <f t="shared" si="1"/>
        <v>65920.78788902145</v>
      </c>
    </row>
    <row r="45" spans="1:13" ht="12.75">
      <c r="A45" t="s">
        <v>53</v>
      </c>
      <c r="B45" s="6">
        <f>'Rate Class Energy Model'!G11</f>
        <v>0</v>
      </c>
      <c r="C45" s="6">
        <f>'Rate Class Energy Model'!G12</f>
        <v>0</v>
      </c>
      <c r="D45" s="6">
        <f>'Rate Class Energy Model'!G13</f>
        <v>0</v>
      </c>
      <c r="E45" s="6">
        <f>E13+E17+E21+E26+E31+E36+E41</f>
        <v>1216522996.0565405</v>
      </c>
      <c r="F45" s="6">
        <f aca="true" t="shared" si="2" ref="F45:M45">F13+F17+F21+F26+F31+F36+F41</f>
        <v>1249359839.5310242</v>
      </c>
      <c r="G45" s="6">
        <f t="shared" si="2"/>
        <v>1304206908.3560057</v>
      </c>
      <c r="H45" s="6">
        <f t="shared" si="2"/>
        <v>1325699776.3556862</v>
      </c>
      <c r="I45" s="6">
        <f t="shared" si="2"/>
        <v>1367149466.4748852</v>
      </c>
      <c r="J45" s="6">
        <f t="shared" si="2"/>
        <v>1370239487.6535487</v>
      </c>
      <c r="K45" s="6">
        <f t="shared" si="2"/>
        <v>1360024643.8210773</v>
      </c>
      <c r="L45" s="6">
        <f t="shared" si="2"/>
        <v>1379926062.411256</v>
      </c>
      <c r="M45" s="6">
        <f t="shared" si="2"/>
        <v>1373685720.6627688</v>
      </c>
    </row>
    <row r="46" spans="1:13" ht="12.75">
      <c r="A46" t="s">
        <v>63</v>
      </c>
      <c r="B46" s="6">
        <f>'Rate Class Load Model'!F3</f>
        <v>0</v>
      </c>
      <c r="C46" s="6">
        <f>'Rate Class Load Model'!F4</f>
        <v>0</v>
      </c>
      <c r="D46" s="6">
        <f>'Rate Class Load Model'!F5</f>
        <v>0</v>
      </c>
      <c r="E46" s="6">
        <f>E22+E27+E32+E37</f>
        <v>1717892.88</v>
      </c>
      <c r="F46" s="6">
        <f aca="true" t="shared" si="3" ref="F46:M46">F22+F27+F32+F37</f>
        <v>1734046.3860000002</v>
      </c>
      <c r="G46" s="6">
        <f t="shared" si="3"/>
        <v>1768703.5859999997</v>
      </c>
      <c r="H46" s="6">
        <f t="shared" si="3"/>
        <v>1790464.1099999999</v>
      </c>
      <c r="I46" s="6">
        <f t="shared" si="3"/>
        <v>1818866.3857239038</v>
      </c>
      <c r="J46" s="6">
        <f t="shared" si="3"/>
        <v>1832317.6201152208</v>
      </c>
      <c r="K46" s="6">
        <f t="shared" si="3"/>
        <v>1847533.6223217843</v>
      </c>
      <c r="L46" s="6">
        <f t="shared" si="3"/>
        <v>1823155.0925126907</v>
      </c>
      <c r="M46" s="6">
        <f t="shared" si="3"/>
        <v>1808030.5806399176</v>
      </c>
    </row>
    <row r="48" spans="1:13" ht="12.75">
      <c r="A48" s="48" t="s">
        <v>87</v>
      </c>
      <c r="M48" s="62"/>
    </row>
    <row r="49" spans="1:13" ht="12.75">
      <c r="A49" t="s">
        <v>64</v>
      </c>
      <c r="B49" s="6"/>
      <c r="C49" s="6"/>
      <c r="D49" s="6"/>
      <c r="E49" s="6">
        <f>'Rate Class Customer Model'!I7</f>
        <v>57592</v>
      </c>
      <c r="F49" s="6">
        <f>'Rate Class Customer Model'!I8</f>
        <v>59453</v>
      </c>
      <c r="G49" s="6">
        <f>'Rate Class Customer Model'!I9</f>
        <v>60904</v>
      </c>
      <c r="H49" s="6">
        <f>'Rate Class Customer Model'!I10</f>
        <v>61927</v>
      </c>
      <c r="I49" s="6">
        <f>'Rate Class Customer Model'!I11</f>
        <v>62816</v>
      </c>
      <c r="J49" s="6">
        <f>'Rate Class Customer Model'!I12</f>
        <v>63774</v>
      </c>
      <c r="K49" s="6">
        <f>'Rate Class Customer Model'!I13</f>
        <v>64528</v>
      </c>
      <c r="L49" s="6">
        <f>'Rate Class Customer Model'!I14</f>
        <v>65222.04948004845</v>
      </c>
      <c r="M49" s="6">
        <f>'Rate Class Customer Model'!I15</f>
        <v>65920.78788902145</v>
      </c>
    </row>
    <row r="50" spans="1:13" ht="12.75">
      <c r="A50" t="s">
        <v>53</v>
      </c>
      <c r="B50" s="6"/>
      <c r="C50" s="6"/>
      <c r="D50" s="6"/>
      <c r="E50" s="6">
        <f>'Rate Class Energy Model'!G14</f>
        <v>1216522996.0565405</v>
      </c>
      <c r="F50" s="6">
        <f>'Rate Class Energy Model'!G15</f>
        <v>1249359839.5310242</v>
      </c>
      <c r="G50" s="6">
        <f>'Rate Class Energy Model'!G16</f>
        <v>1304206908.3560057</v>
      </c>
      <c r="H50" s="6">
        <f>'Rate Class Energy Model'!G17</f>
        <v>1325699776.3556862</v>
      </c>
      <c r="I50" s="6">
        <f>'Rate Class Energy Model'!G18</f>
        <v>1367149466.4748852</v>
      </c>
      <c r="J50" s="6">
        <f>'Rate Class Energy Model'!G19</f>
        <v>1370239487.6535487</v>
      </c>
      <c r="K50" s="6">
        <f>'Rate Class Energy Model'!G20</f>
        <v>1360024643.8210773</v>
      </c>
      <c r="L50" s="30">
        <f>'Rate Class Energy Model'!G21</f>
        <v>1379926062.411256</v>
      </c>
      <c r="M50" s="6">
        <f>'Rate Class Energy Model'!G22</f>
        <v>1373685720.6627688</v>
      </c>
    </row>
    <row r="51" spans="1:13" ht="12.75">
      <c r="A51" t="s">
        <v>63</v>
      </c>
      <c r="B51" s="6"/>
      <c r="C51" s="6"/>
      <c r="D51" s="6"/>
      <c r="E51" s="6">
        <f>'Rate Class Load Model'!F6</f>
        <v>1717892.88</v>
      </c>
      <c r="F51" s="6">
        <f>'Rate Class Load Model'!F7</f>
        <v>1734046.3860000002</v>
      </c>
      <c r="G51" s="6">
        <f>'Rate Class Load Model'!F8</f>
        <v>1768703.5859999997</v>
      </c>
      <c r="H51" s="6">
        <f>'Rate Class Load Model'!F9</f>
        <v>1790464.1099999999</v>
      </c>
      <c r="I51" s="6">
        <f>'Rate Class Load Model'!F10</f>
        <v>1818866.3857239038</v>
      </c>
      <c r="J51" s="6">
        <f>'Rate Class Load Model'!F11</f>
        <v>1832317.6201152208</v>
      </c>
      <c r="K51" s="6">
        <f>'Rate Class Load Model'!F12</f>
        <v>1847533.6223217843</v>
      </c>
      <c r="L51" s="30">
        <f>'Rate Class Load Model'!F13</f>
        <v>1823155.0925126907</v>
      </c>
      <c r="M51" s="6">
        <f>'Rate Class Load Model'!F14</f>
        <v>1808030.5806399176</v>
      </c>
    </row>
    <row r="53" spans="1:13" ht="12.75">
      <c r="A53" s="48" t="s">
        <v>88</v>
      </c>
      <c r="E53" s="6"/>
      <c r="F53" s="6"/>
      <c r="G53" s="6"/>
      <c r="H53" s="6"/>
      <c r="I53" s="6"/>
      <c r="J53" s="6"/>
      <c r="K53" s="6"/>
      <c r="L53" s="6"/>
      <c r="M53" s="6"/>
    </row>
    <row r="54" spans="1:13" ht="12.75">
      <c r="A54" t="s">
        <v>64</v>
      </c>
      <c r="B54" s="6">
        <f>B44-B49</f>
        <v>0</v>
      </c>
      <c r="C54" s="6">
        <f>C44-C49</f>
        <v>0</v>
      </c>
      <c r="D54" s="6">
        <f>D44-D49</f>
        <v>0</v>
      </c>
      <c r="E54" s="6">
        <f>E44-E49</f>
        <v>0</v>
      </c>
      <c r="F54" s="6">
        <f aca="true" t="shared" si="4" ref="F54:M54">F44-F49</f>
        <v>0</v>
      </c>
      <c r="G54" s="6">
        <f t="shared" si="4"/>
        <v>0</v>
      </c>
      <c r="H54" s="6">
        <f t="shared" si="4"/>
        <v>0</v>
      </c>
      <c r="I54" s="6">
        <f t="shared" si="4"/>
        <v>0</v>
      </c>
      <c r="J54" s="6">
        <f t="shared" si="4"/>
        <v>0</v>
      </c>
      <c r="K54" s="6">
        <f t="shared" si="4"/>
        <v>0</v>
      </c>
      <c r="L54" s="6">
        <f t="shared" si="4"/>
        <v>0</v>
      </c>
      <c r="M54" s="6">
        <f t="shared" si="4"/>
        <v>0</v>
      </c>
    </row>
    <row r="55" spans="1:13" ht="12.75">
      <c r="A55" t="s">
        <v>53</v>
      </c>
      <c r="B55" s="6">
        <f aca="true" t="shared" si="5" ref="B55:D56">B45-B50</f>
        <v>0</v>
      </c>
      <c r="C55" s="6">
        <f t="shared" si="5"/>
        <v>0</v>
      </c>
      <c r="D55" s="6">
        <f t="shared" si="5"/>
        <v>0</v>
      </c>
      <c r="E55" s="6">
        <f aca="true" t="shared" si="6" ref="E55:M56">E45-E50</f>
        <v>0</v>
      </c>
      <c r="F55" s="6">
        <f t="shared" si="6"/>
        <v>0</v>
      </c>
      <c r="G55" s="6">
        <f t="shared" si="6"/>
        <v>0</v>
      </c>
      <c r="H55" s="6">
        <f t="shared" si="6"/>
        <v>0</v>
      </c>
      <c r="I55" s="6">
        <f t="shared" si="6"/>
        <v>0</v>
      </c>
      <c r="J55" s="6">
        <f t="shared" si="6"/>
        <v>0</v>
      </c>
      <c r="K55" s="6">
        <f t="shared" si="6"/>
        <v>0</v>
      </c>
      <c r="L55" s="6">
        <f t="shared" si="6"/>
        <v>0</v>
      </c>
      <c r="M55" s="6">
        <f t="shared" si="6"/>
        <v>0</v>
      </c>
    </row>
    <row r="56" spans="1:13" ht="12.75">
      <c r="A56" t="s">
        <v>63</v>
      </c>
      <c r="B56" s="6">
        <f t="shared" si="5"/>
        <v>0</v>
      </c>
      <c r="C56" s="6">
        <f t="shared" si="5"/>
        <v>0</v>
      </c>
      <c r="D56" s="6">
        <f t="shared" si="5"/>
        <v>0</v>
      </c>
      <c r="E56" s="6">
        <f t="shared" si="6"/>
        <v>0</v>
      </c>
      <c r="F56" s="6">
        <f t="shared" si="6"/>
        <v>0</v>
      </c>
      <c r="G56" s="6">
        <f t="shared" si="6"/>
        <v>0</v>
      </c>
      <c r="H56" s="6">
        <f t="shared" si="6"/>
        <v>0</v>
      </c>
      <c r="I56" s="6">
        <f t="shared" si="6"/>
        <v>0</v>
      </c>
      <c r="J56" s="6">
        <f t="shared" si="6"/>
        <v>0</v>
      </c>
      <c r="K56" s="6">
        <f t="shared" si="6"/>
        <v>0</v>
      </c>
      <c r="L56" s="6">
        <f t="shared" si="6"/>
        <v>0</v>
      </c>
      <c r="M56" s="6">
        <f t="shared" si="6"/>
        <v>0</v>
      </c>
    </row>
    <row r="60" spans="12:13" ht="12.75">
      <c r="L60" s="170"/>
      <c r="M60" s="170"/>
    </row>
    <row r="61" ht="12.75">
      <c r="M61" s="171"/>
    </row>
  </sheetData>
  <sheetProtection/>
  <mergeCells count="2">
    <mergeCell ref="S5:T5"/>
    <mergeCell ref="Q5:R5"/>
  </mergeCells>
  <printOptions/>
  <pageMargins left="0.38" right="0.75" top="0.73" bottom="0.74" header="0.5" footer="0.5"/>
  <pageSetup fitToHeight="1" fitToWidth="1" horizontalDpi="600" verticalDpi="600" orientation="landscape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228"/>
  <sheetViews>
    <sheetView zoomScalePageLayoutView="0" workbookViewId="0" topLeftCell="A1">
      <pane xSplit="1" ySplit="2" topLeftCell="B3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74" sqref="B174"/>
    </sheetView>
  </sheetViews>
  <sheetFormatPr defaultColWidth="9.140625" defaultRowHeight="12.75"/>
  <cols>
    <col min="1" max="1" width="11.8515625" style="0" customWidth="1"/>
    <col min="2" max="6" width="18.00390625" style="6" customWidth="1"/>
    <col min="7" max="7" width="11.7109375" style="1" customWidth="1"/>
    <col min="8" max="8" width="13.421875" style="1" customWidth="1"/>
    <col min="9" max="9" width="14.421875" style="39" customWidth="1"/>
    <col min="10" max="10" width="10.140625" style="1" customWidth="1"/>
    <col min="11" max="12" width="12.421875" style="1" customWidth="1"/>
    <col min="13" max="13" width="13.00390625" style="1" customWidth="1"/>
    <col min="14" max="14" width="15.421875" style="1" bestFit="1" customWidth="1"/>
    <col min="15" max="15" width="17.00390625" style="1" customWidth="1"/>
    <col min="16" max="16" width="12.421875" style="1" customWidth="1"/>
    <col min="17" max="17" width="25.8515625" style="0" bestFit="1" customWidth="1"/>
    <col min="18" max="20" width="18.00390625" style="0" customWidth="1"/>
    <col min="21" max="21" width="17.140625" style="0" customWidth="1"/>
    <col min="22" max="23" width="15.7109375" style="0" customWidth="1"/>
    <col min="24" max="24" width="15.00390625" style="0" customWidth="1"/>
    <col min="25" max="26" width="14.140625" style="0" bestFit="1" customWidth="1"/>
    <col min="27" max="27" width="11.7109375" style="0" bestFit="1" customWidth="1"/>
    <col min="28" max="28" width="11.8515625" style="0" bestFit="1" customWidth="1"/>
    <col min="29" max="29" width="12.57421875" style="6" customWidth="1"/>
    <col min="30" max="30" width="11.28125" style="6" customWidth="1"/>
    <col min="31" max="31" width="11.57421875" style="6" customWidth="1"/>
    <col min="32" max="32" width="9.28125" style="6" customWidth="1"/>
    <col min="33" max="33" width="9.140625" style="6" customWidth="1"/>
    <col min="34" max="34" width="11.7109375" style="6" bestFit="1" customWidth="1"/>
    <col min="35" max="35" width="10.7109375" style="6" bestFit="1" customWidth="1"/>
    <col min="36" max="37" width="9.140625" style="6" customWidth="1"/>
  </cols>
  <sheetData>
    <row r="1" ht="13.5" thickBot="1"/>
    <row r="2" spans="1:31" ht="42" customHeight="1" thickBot="1">
      <c r="A2" s="178" t="s">
        <v>104</v>
      </c>
      <c r="B2" s="183" t="s">
        <v>0</v>
      </c>
      <c r="C2" s="188" t="s">
        <v>91</v>
      </c>
      <c r="D2" s="197" t="s">
        <v>94</v>
      </c>
      <c r="E2" s="192" t="s">
        <v>95</v>
      </c>
      <c r="F2" s="174" t="s">
        <v>92</v>
      </c>
      <c r="G2" s="164" t="s">
        <v>3</v>
      </c>
      <c r="H2" s="165" t="s">
        <v>4</v>
      </c>
      <c r="I2" s="166" t="s">
        <v>7</v>
      </c>
      <c r="J2" s="165" t="s">
        <v>5</v>
      </c>
      <c r="K2" s="164" t="s">
        <v>20</v>
      </c>
      <c r="L2" s="165" t="s">
        <v>75</v>
      </c>
      <c r="M2" s="164" t="s">
        <v>6</v>
      </c>
      <c r="N2" s="167" t="s">
        <v>12</v>
      </c>
      <c r="O2" s="12" t="s">
        <v>13</v>
      </c>
      <c r="P2" s="12" t="s">
        <v>14</v>
      </c>
      <c r="Q2" s="104" t="s">
        <v>22</v>
      </c>
      <c r="AC2" s="9"/>
      <c r="AD2" s="9"/>
      <c r="AE2" s="9"/>
    </row>
    <row r="3" spans="1:16" ht="13.5" thickBot="1">
      <c r="A3" s="179">
        <v>35065</v>
      </c>
      <c r="B3" s="184">
        <v>104439190</v>
      </c>
      <c r="C3" s="189"/>
      <c r="D3" s="184"/>
      <c r="E3" s="193">
        <v>484330.66087686166</v>
      </c>
      <c r="F3" s="175">
        <f>+B3-C3+D3-E3</f>
        <v>103954859.33912314</v>
      </c>
      <c r="G3" s="156">
        <v>789.4</v>
      </c>
      <c r="H3" s="157">
        <v>0</v>
      </c>
      <c r="I3" s="158">
        <v>94.71530509166693</v>
      </c>
      <c r="J3" s="159">
        <v>31</v>
      </c>
      <c r="K3" s="160">
        <v>0</v>
      </c>
      <c r="L3" s="161">
        <v>36996.75</v>
      </c>
      <c r="M3" s="162">
        <v>352</v>
      </c>
      <c r="N3" s="163">
        <f aca="true" t="shared" si="0" ref="N3:N34">$R$18+G3*$R$19+H3*$R$20+I3*$R$21+J3*$R$22+K3*$R$23+L3*$R$24+M3*$R$25</f>
        <v>99196174.3528462</v>
      </c>
      <c r="O3" s="10"/>
      <c r="P3" s="15"/>
    </row>
    <row r="4" spans="1:18" ht="13.5" thickBot="1">
      <c r="A4" s="179">
        <v>35096</v>
      </c>
      <c r="B4" s="184">
        <v>97116320</v>
      </c>
      <c r="C4" s="189"/>
      <c r="D4" s="184"/>
      <c r="E4" s="193">
        <v>450371.2777505147</v>
      </c>
      <c r="F4" s="176">
        <f aca="true" t="shared" si="1" ref="F4:F67">+B4-C4+D4-E4</f>
        <v>96665948.72224948</v>
      </c>
      <c r="G4" s="130">
        <v>712.6</v>
      </c>
      <c r="H4" s="134">
        <v>0</v>
      </c>
      <c r="I4" s="138">
        <v>94.80074840598508</v>
      </c>
      <c r="J4" s="143">
        <v>29</v>
      </c>
      <c r="K4" s="147">
        <v>0</v>
      </c>
      <c r="L4" s="144">
        <v>37048.5</v>
      </c>
      <c r="M4" s="148">
        <v>336</v>
      </c>
      <c r="N4" s="151">
        <f t="shared" si="0"/>
        <v>92211247.10545388</v>
      </c>
      <c r="O4" s="10"/>
      <c r="P4" s="15"/>
      <c r="Q4" s="198" t="s">
        <v>23</v>
      </c>
      <c r="R4" s="199"/>
    </row>
    <row r="5" spans="1:18" ht="12.75">
      <c r="A5" s="179">
        <v>35125</v>
      </c>
      <c r="B5" s="184">
        <v>93206737</v>
      </c>
      <c r="C5" s="189"/>
      <c r="D5" s="184"/>
      <c r="E5" s="193">
        <v>432240.814289979</v>
      </c>
      <c r="F5" s="176">
        <f t="shared" si="1"/>
        <v>92774496.18571003</v>
      </c>
      <c r="G5" s="130">
        <v>670.4</v>
      </c>
      <c r="H5" s="134">
        <v>0</v>
      </c>
      <c r="I5" s="138">
        <v>94.88626879929224</v>
      </c>
      <c r="J5" s="143">
        <v>31</v>
      </c>
      <c r="K5" s="147">
        <v>1</v>
      </c>
      <c r="L5" s="144">
        <v>37100.25</v>
      </c>
      <c r="M5" s="148">
        <v>336</v>
      </c>
      <c r="N5" s="151">
        <f t="shared" si="0"/>
        <v>93065809.8318317</v>
      </c>
      <c r="O5" s="10"/>
      <c r="P5" s="15"/>
      <c r="Q5" s="41" t="s">
        <v>24</v>
      </c>
      <c r="R5" s="41">
        <v>0.9794980955648143</v>
      </c>
    </row>
    <row r="6" spans="1:18" ht="12.75">
      <c r="A6" s="179">
        <v>35156</v>
      </c>
      <c r="B6" s="184">
        <v>84435799</v>
      </c>
      <c r="C6" s="189"/>
      <c r="D6" s="184"/>
      <c r="E6" s="193">
        <v>391566.1001520201</v>
      </c>
      <c r="F6" s="176">
        <f t="shared" si="1"/>
        <v>84044232.89984798</v>
      </c>
      <c r="G6" s="130">
        <v>421.9</v>
      </c>
      <c r="H6" s="134">
        <v>0</v>
      </c>
      <c r="I6" s="138">
        <v>94.9718663411219</v>
      </c>
      <c r="J6" s="143">
        <v>30</v>
      </c>
      <c r="K6" s="147">
        <v>1</v>
      </c>
      <c r="L6" s="144">
        <v>37152</v>
      </c>
      <c r="M6" s="148">
        <v>336</v>
      </c>
      <c r="N6" s="151">
        <f t="shared" si="0"/>
        <v>84123574.18083867</v>
      </c>
      <c r="O6" s="10"/>
      <c r="P6" s="15"/>
      <c r="Q6" s="103" t="s">
        <v>25</v>
      </c>
      <c r="R6" s="103">
        <v>0.9594165192150981</v>
      </c>
    </row>
    <row r="7" spans="1:18" ht="12.75">
      <c r="A7" s="179">
        <v>35186</v>
      </c>
      <c r="B7" s="184">
        <v>79585420</v>
      </c>
      <c r="C7" s="189"/>
      <c r="D7" s="184"/>
      <c r="E7" s="193">
        <v>369072.7500353326</v>
      </c>
      <c r="F7" s="176">
        <f t="shared" si="1"/>
        <v>79216347.24996467</v>
      </c>
      <c r="G7" s="130">
        <v>216.1</v>
      </c>
      <c r="H7" s="134">
        <v>10</v>
      </c>
      <c r="I7" s="138">
        <v>95.05754110107026</v>
      </c>
      <c r="J7" s="143">
        <v>31</v>
      </c>
      <c r="K7" s="147">
        <v>1</v>
      </c>
      <c r="L7" s="144">
        <v>37203.75</v>
      </c>
      <c r="M7" s="148">
        <v>352</v>
      </c>
      <c r="N7" s="151">
        <f t="shared" si="0"/>
        <v>83115502.04583502</v>
      </c>
      <c r="O7" s="10"/>
      <c r="P7" s="15"/>
      <c r="Q7" s="103" t="s">
        <v>26</v>
      </c>
      <c r="R7" s="103">
        <v>0.9576409919307587</v>
      </c>
    </row>
    <row r="8" spans="1:18" ht="12.75">
      <c r="A8" s="179">
        <v>35217</v>
      </c>
      <c r="B8" s="184">
        <v>80505911</v>
      </c>
      <c r="C8" s="189"/>
      <c r="D8" s="184"/>
      <c r="E8" s="193">
        <v>373341.47343658836</v>
      </c>
      <c r="F8" s="176">
        <f t="shared" si="1"/>
        <v>80132569.5265634</v>
      </c>
      <c r="G8" s="130">
        <v>29.4</v>
      </c>
      <c r="H8" s="134">
        <v>38.6</v>
      </c>
      <c r="I8" s="138">
        <v>95.1432931487963</v>
      </c>
      <c r="J8" s="143">
        <v>30</v>
      </c>
      <c r="K8" s="147">
        <v>0</v>
      </c>
      <c r="L8" s="144">
        <v>37255.5</v>
      </c>
      <c r="M8" s="148">
        <v>320</v>
      </c>
      <c r="N8" s="151">
        <f t="shared" si="0"/>
        <v>81316019.08307096</v>
      </c>
      <c r="O8" s="10"/>
      <c r="P8" s="15"/>
      <c r="Q8" s="41" t="s">
        <v>27</v>
      </c>
      <c r="R8" s="41">
        <v>2599144.1113548377</v>
      </c>
    </row>
    <row r="9" spans="1:18" ht="13.5" thickBot="1">
      <c r="A9" s="179">
        <v>35247</v>
      </c>
      <c r="B9" s="184">
        <v>82378016</v>
      </c>
      <c r="C9" s="189"/>
      <c r="D9" s="184"/>
      <c r="E9" s="193">
        <v>382023.251338934</v>
      </c>
      <c r="F9" s="176">
        <f t="shared" si="1"/>
        <v>81995992.74866107</v>
      </c>
      <c r="G9" s="130">
        <v>18.9</v>
      </c>
      <c r="H9" s="134">
        <v>41.9</v>
      </c>
      <c r="I9" s="138">
        <v>95.22912255402187</v>
      </c>
      <c r="J9" s="143">
        <v>31</v>
      </c>
      <c r="K9" s="147">
        <v>0</v>
      </c>
      <c r="L9" s="144">
        <v>37307.25</v>
      </c>
      <c r="M9" s="148">
        <v>352</v>
      </c>
      <c r="N9" s="151">
        <f t="shared" si="0"/>
        <v>85558507.40776856</v>
      </c>
      <c r="O9" s="10"/>
      <c r="P9" s="15"/>
      <c r="Q9" s="64" t="s">
        <v>28</v>
      </c>
      <c r="R9" s="64">
        <v>168</v>
      </c>
    </row>
    <row r="10" spans="1:16" ht="12.75">
      <c r="A10" s="179">
        <v>35278</v>
      </c>
      <c r="B10" s="184">
        <v>86219874</v>
      </c>
      <c r="C10" s="189"/>
      <c r="D10" s="184"/>
      <c r="E10" s="193">
        <v>399839.64405640966</v>
      </c>
      <c r="F10" s="176">
        <f t="shared" si="1"/>
        <v>85820034.35594359</v>
      </c>
      <c r="G10" s="130">
        <v>6.2</v>
      </c>
      <c r="H10" s="134">
        <v>55.2</v>
      </c>
      <c r="I10" s="138">
        <v>95.31502938653166</v>
      </c>
      <c r="J10" s="143">
        <v>31</v>
      </c>
      <c r="K10" s="147">
        <v>0</v>
      </c>
      <c r="L10" s="144">
        <v>37359</v>
      </c>
      <c r="M10" s="148">
        <v>336</v>
      </c>
      <c r="N10" s="151">
        <f t="shared" si="0"/>
        <v>86794098.87983724</v>
      </c>
      <c r="O10" s="10"/>
      <c r="P10" s="15"/>
    </row>
    <row r="11" spans="1:17" ht="13.5" thickBot="1">
      <c r="A11" s="179">
        <v>35309</v>
      </c>
      <c r="B11" s="184">
        <v>81006662</v>
      </c>
      <c r="C11" s="189"/>
      <c r="D11" s="184"/>
      <c r="E11" s="193">
        <v>375663.67703434464</v>
      </c>
      <c r="F11" s="176">
        <f t="shared" si="1"/>
        <v>80630998.32296565</v>
      </c>
      <c r="G11" s="130">
        <v>102.2</v>
      </c>
      <c r="H11" s="134">
        <v>12.6</v>
      </c>
      <c r="I11" s="138">
        <v>95.40101371617337</v>
      </c>
      <c r="J11" s="143">
        <v>30</v>
      </c>
      <c r="K11" s="147">
        <v>1</v>
      </c>
      <c r="L11" s="144">
        <v>37410.75</v>
      </c>
      <c r="M11" s="148">
        <v>320</v>
      </c>
      <c r="N11" s="151">
        <f t="shared" si="0"/>
        <v>76960781.319866</v>
      </c>
      <c r="O11" s="10"/>
      <c r="P11" s="15"/>
      <c r="Q11" t="s">
        <v>29</v>
      </c>
    </row>
    <row r="12" spans="1:22" ht="13.5" thickBot="1">
      <c r="A12" s="179">
        <v>35339</v>
      </c>
      <c r="B12" s="184">
        <v>84736264</v>
      </c>
      <c r="C12" s="189"/>
      <c r="D12" s="184"/>
      <c r="E12" s="193">
        <v>392959.48908983514</v>
      </c>
      <c r="F12" s="176">
        <f t="shared" si="1"/>
        <v>84343304.51091017</v>
      </c>
      <c r="G12" s="130">
        <v>301.4</v>
      </c>
      <c r="H12" s="134">
        <v>0</v>
      </c>
      <c r="I12" s="138">
        <v>95.48707561285765</v>
      </c>
      <c r="J12" s="143">
        <v>31</v>
      </c>
      <c r="K12" s="147">
        <v>1</v>
      </c>
      <c r="L12" s="144">
        <v>37462.5</v>
      </c>
      <c r="M12" s="148">
        <v>352</v>
      </c>
      <c r="N12" s="151">
        <f t="shared" si="0"/>
        <v>84283135.37775487</v>
      </c>
      <c r="O12" s="10"/>
      <c r="P12" s="15"/>
      <c r="Q12" s="200"/>
      <c r="R12" s="201" t="s">
        <v>33</v>
      </c>
      <c r="S12" s="201" t="s">
        <v>34</v>
      </c>
      <c r="T12" s="201" t="s">
        <v>35</v>
      </c>
      <c r="U12" s="201" t="s">
        <v>36</v>
      </c>
      <c r="V12" s="202" t="s">
        <v>37</v>
      </c>
    </row>
    <row r="13" spans="1:22" ht="12.75">
      <c r="A13" s="179">
        <v>35370</v>
      </c>
      <c r="B13" s="184">
        <v>91599265</v>
      </c>
      <c r="C13" s="189"/>
      <c r="D13" s="184"/>
      <c r="E13" s="193">
        <v>424786.2565123761</v>
      </c>
      <c r="F13" s="176">
        <f t="shared" si="1"/>
        <v>91174478.74348763</v>
      </c>
      <c r="G13" s="130">
        <v>548.1</v>
      </c>
      <c r="H13" s="134">
        <v>0</v>
      </c>
      <c r="I13" s="138">
        <v>95.57321514655828</v>
      </c>
      <c r="J13" s="143">
        <v>30</v>
      </c>
      <c r="K13" s="147">
        <v>1</v>
      </c>
      <c r="L13" s="144">
        <v>37514.25</v>
      </c>
      <c r="M13" s="148">
        <v>320</v>
      </c>
      <c r="N13" s="151">
        <f t="shared" si="0"/>
        <v>87562658.47475979</v>
      </c>
      <c r="O13" s="10"/>
      <c r="P13" s="15"/>
      <c r="Q13" s="41" t="s">
        <v>30</v>
      </c>
      <c r="R13" s="41">
        <v>7</v>
      </c>
      <c r="S13" s="41">
        <v>25552806208211044</v>
      </c>
      <c r="T13" s="41">
        <v>3650400886887292</v>
      </c>
      <c r="U13" s="41">
        <v>540.3558298863452</v>
      </c>
      <c r="V13" s="41">
        <v>7.640752779766573E-108</v>
      </c>
    </row>
    <row r="14" spans="1:22" ht="12.75">
      <c r="A14" s="179">
        <v>35400</v>
      </c>
      <c r="B14" s="184">
        <v>94268053</v>
      </c>
      <c r="C14" s="189"/>
      <c r="D14" s="184"/>
      <c r="E14" s="193">
        <v>437162.60542680405</v>
      </c>
      <c r="F14" s="176">
        <f t="shared" si="1"/>
        <v>93830890.3945732</v>
      </c>
      <c r="G14" s="130">
        <v>596.5</v>
      </c>
      <c r="H14" s="134">
        <v>0</v>
      </c>
      <c r="I14" s="138">
        <v>95.65943238731221</v>
      </c>
      <c r="J14" s="143">
        <v>31</v>
      </c>
      <c r="K14" s="147">
        <v>0</v>
      </c>
      <c r="L14" s="144">
        <v>37566</v>
      </c>
      <c r="M14" s="148">
        <v>320</v>
      </c>
      <c r="N14" s="151">
        <f t="shared" si="0"/>
        <v>93102447.00706804</v>
      </c>
      <c r="O14" s="10"/>
      <c r="P14" s="15"/>
      <c r="Q14" s="41" t="s">
        <v>31</v>
      </c>
      <c r="R14" s="41">
        <v>160</v>
      </c>
      <c r="S14" s="41">
        <v>1080888017854484.6</v>
      </c>
      <c r="T14" s="41">
        <v>6755550111590.529</v>
      </c>
      <c r="U14" s="41"/>
      <c r="V14" s="41"/>
    </row>
    <row r="15" spans="1:22" ht="13.5" thickBot="1">
      <c r="A15" s="179">
        <v>35431</v>
      </c>
      <c r="B15" s="184">
        <v>105017710.30000001</v>
      </c>
      <c r="C15" s="189"/>
      <c r="D15" s="184"/>
      <c r="E15" s="193">
        <v>453612.7480519656</v>
      </c>
      <c r="F15" s="176">
        <f t="shared" si="1"/>
        <v>104564097.55194804</v>
      </c>
      <c r="G15" s="130">
        <v>777.9</v>
      </c>
      <c r="H15" s="134">
        <v>0</v>
      </c>
      <c r="I15" s="138">
        <v>96.01383490748557</v>
      </c>
      <c r="J15" s="143">
        <v>31</v>
      </c>
      <c r="K15" s="147">
        <v>0</v>
      </c>
      <c r="L15" s="144">
        <v>37652.916666666664</v>
      </c>
      <c r="M15" s="148">
        <v>352</v>
      </c>
      <c r="N15" s="151">
        <f t="shared" si="0"/>
        <v>100309578.46667089</v>
      </c>
      <c r="O15" s="10"/>
      <c r="P15" s="15"/>
      <c r="Q15" s="64" t="s">
        <v>11</v>
      </c>
      <c r="R15" s="64">
        <v>167</v>
      </c>
      <c r="S15" s="64">
        <v>26633694226065530</v>
      </c>
      <c r="T15" s="64"/>
      <c r="U15" s="64"/>
      <c r="V15" s="64"/>
    </row>
    <row r="16" spans="1:16" ht="13.5" thickBot="1">
      <c r="A16" s="179">
        <v>35462</v>
      </c>
      <c r="B16" s="184">
        <v>91033887.19999999</v>
      </c>
      <c r="C16" s="189"/>
      <c r="D16" s="184"/>
      <c r="E16" s="193">
        <v>393211.1223971777</v>
      </c>
      <c r="F16" s="176">
        <f t="shared" si="1"/>
        <v>90640676.0776028</v>
      </c>
      <c r="G16" s="130">
        <v>615</v>
      </c>
      <c r="H16" s="134">
        <v>0</v>
      </c>
      <c r="I16" s="138">
        <v>96.36955043091614</v>
      </c>
      <c r="J16" s="143">
        <v>28</v>
      </c>
      <c r="K16" s="147">
        <v>0</v>
      </c>
      <c r="L16" s="144">
        <v>37739.83333333333</v>
      </c>
      <c r="M16" s="148">
        <v>320</v>
      </c>
      <c r="N16" s="151">
        <f t="shared" si="0"/>
        <v>88077351.2018264</v>
      </c>
      <c r="O16" s="10"/>
      <c r="P16" s="15"/>
    </row>
    <row r="17" spans="1:25" ht="13.5" thickBot="1">
      <c r="A17" s="179">
        <v>35490</v>
      </c>
      <c r="B17" s="184">
        <v>95075285.9</v>
      </c>
      <c r="C17" s="189"/>
      <c r="D17" s="184"/>
      <c r="E17" s="193">
        <v>410667.5110867019</v>
      </c>
      <c r="F17" s="176">
        <f t="shared" si="1"/>
        <v>94664618.3889133</v>
      </c>
      <c r="G17" s="130">
        <v>619.1</v>
      </c>
      <c r="H17" s="134">
        <v>0</v>
      </c>
      <c r="I17" s="138">
        <v>96.72658382206578</v>
      </c>
      <c r="J17" s="143">
        <v>31</v>
      </c>
      <c r="K17" s="147">
        <v>1</v>
      </c>
      <c r="L17" s="144">
        <v>37826.75</v>
      </c>
      <c r="M17" s="148">
        <v>304</v>
      </c>
      <c r="N17" s="151">
        <f t="shared" si="0"/>
        <v>91441152.52932067</v>
      </c>
      <c r="O17" s="10"/>
      <c r="P17" s="15"/>
      <c r="Q17" s="200"/>
      <c r="R17" s="201" t="s">
        <v>38</v>
      </c>
      <c r="S17" s="201" t="s">
        <v>27</v>
      </c>
      <c r="T17" s="201" t="s">
        <v>39</v>
      </c>
      <c r="U17" s="201" t="s">
        <v>40</v>
      </c>
      <c r="V17" s="201" t="s">
        <v>41</v>
      </c>
      <c r="W17" s="201" t="s">
        <v>42</v>
      </c>
      <c r="X17" s="201" t="s">
        <v>43</v>
      </c>
      <c r="Y17" s="202" t="s">
        <v>44</v>
      </c>
    </row>
    <row r="18" spans="1:25" ht="12.75">
      <c r="A18" s="179">
        <v>35521</v>
      </c>
      <c r="B18" s="184">
        <v>85363046.9</v>
      </c>
      <c r="C18" s="189"/>
      <c r="D18" s="184"/>
      <c r="E18" s="193">
        <v>368716.53529469325</v>
      </c>
      <c r="F18" s="176">
        <f t="shared" si="1"/>
        <v>84994330.36470531</v>
      </c>
      <c r="G18" s="130">
        <v>391.9</v>
      </c>
      <c r="H18" s="134">
        <v>0</v>
      </c>
      <c r="I18" s="138">
        <v>97.08493996341842</v>
      </c>
      <c r="J18" s="143">
        <v>30</v>
      </c>
      <c r="K18" s="147">
        <v>1</v>
      </c>
      <c r="L18" s="144">
        <v>37913.66666666666</v>
      </c>
      <c r="M18" s="148">
        <v>352</v>
      </c>
      <c r="N18" s="151">
        <f t="shared" si="0"/>
        <v>85969083.83984247</v>
      </c>
      <c r="O18" s="10"/>
      <c r="P18" s="15"/>
      <c r="Q18" s="41" t="s">
        <v>32</v>
      </c>
      <c r="R18" s="41">
        <v>-90392763.88581392</v>
      </c>
      <c r="S18" s="41">
        <v>8420661.723732965</v>
      </c>
      <c r="T18" s="41">
        <v>-10.734639016675983</v>
      </c>
      <c r="U18" s="41">
        <v>1.3748068505990865E-20</v>
      </c>
      <c r="V18" s="41">
        <v>-107022741.55684818</v>
      </c>
      <c r="W18" s="41">
        <v>-73762786.21477966</v>
      </c>
      <c r="X18" s="41">
        <v>-107022741.55684818</v>
      </c>
      <c r="Y18" s="41">
        <v>-73762786.21477966</v>
      </c>
    </row>
    <row r="19" spans="1:25" ht="12.75">
      <c r="A19" s="179">
        <v>35551</v>
      </c>
      <c r="B19" s="184">
        <v>81823269.7</v>
      </c>
      <c r="C19" s="189"/>
      <c r="D19" s="184"/>
      <c r="E19" s="193">
        <v>353426.8469307327</v>
      </c>
      <c r="F19" s="176">
        <f t="shared" si="1"/>
        <v>81469842.85306928</v>
      </c>
      <c r="G19" s="130">
        <v>289</v>
      </c>
      <c r="H19" s="134">
        <v>0</v>
      </c>
      <c r="I19" s="138">
        <v>97.44462375554679</v>
      </c>
      <c r="J19" s="143">
        <v>31</v>
      </c>
      <c r="K19" s="147">
        <v>1</v>
      </c>
      <c r="L19" s="144">
        <v>38000.58333333332</v>
      </c>
      <c r="M19" s="148">
        <v>336</v>
      </c>
      <c r="N19" s="151">
        <f t="shared" si="0"/>
        <v>84354256.10938005</v>
      </c>
      <c r="O19" s="10"/>
      <c r="P19" s="15"/>
      <c r="Q19" s="101" t="s">
        <v>3</v>
      </c>
      <c r="R19" s="41">
        <v>28385.214571137847</v>
      </c>
      <c r="S19" s="41">
        <v>1222.2562064253284</v>
      </c>
      <c r="T19" s="41">
        <v>23.223620728549758</v>
      </c>
      <c r="U19" s="41">
        <v>4.069330143913542E-53</v>
      </c>
      <c r="V19" s="41">
        <v>25971.37892638694</v>
      </c>
      <c r="W19" s="41">
        <v>30799.050215888754</v>
      </c>
      <c r="X19" s="41">
        <v>25971.37892638694</v>
      </c>
      <c r="Y19" s="41">
        <v>30799.050215888754</v>
      </c>
    </row>
    <row r="20" spans="1:25" ht="12.75">
      <c r="A20" s="179">
        <v>35582</v>
      </c>
      <c r="B20" s="184">
        <v>85276288.8</v>
      </c>
      <c r="C20" s="189"/>
      <c r="D20" s="184"/>
      <c r="E20" s="193">
        <v>368341.79297699896</v>
      </c>
      <c r="F20" s="176">
        <f t="shared" si="1"/>
        <v>84907947.00702299</v>
      </c>
      <c r="G20" s="130">
        <v>30.4</v>
      </c>
      <c r="H20" s="134">
        <v>50.4</v>
      </c>
      <c r="I20" s="138">
        <v>97.80564011717944</v>
      </c>
      <c r="J20" s="143">
        <v>30</v>
      </c>
      <c r="K20" s="147">
        <v>0</v>
      </c>
      <c r="L20" s="144">
        <v>38087.5</v>
      </c>
      <c r="M20" s="148">
        <v>336</v>
      </c>
      <c r="N20" s="151">
        <f t="shared" si="0"/>
        <v>86401010.32378134</v>
      </c>
      <c r="O20" s="10"/>
      <c r="P20" s="15"/>
      <c r="Q20" s="101" t="s">
        <v>4</v>
      </c>
      <c r="R20" s="41">
        <v>180663.85912204368</v>
      </c>
      <c r="S20" s="41">
        <v>12686.488517734153</v>
      </c>
      <c r="T20" s="41">
        <v>14.240651293657642</v>
      </c>
      <c r="U20" s="41">
        <v>3.019936339525856E-30</v>
      </c>
      <c r="V20" s="41">
        <v>155609.2936145453</v>
      </c>
      <c r="W20" s="41">
        <v>205718.42462954205</v>
      </c>
      <c r="X20" s="41">
        <v>155609.2936145453</v>
      </c>
      <c r="Y20" s="41">
        <v>205718.42462954205</v>
      </c>
    </row>
    <row r="21" spans="1:25" ht="12.75">
      <c r="A21" s="179">
        <v>35612</v>
      </c>
      <c r="B21" s="184">
        <v>88667230.4</v>
      </c>
      <c r="C21" s="189"/>
      <c r="D21" s="184"/>
      <c r="E21" s="193">
        <v>382988.60191299353</v>
      </c>
      <c r="F21" s="176">
        <f t="shared" si="1"/>
        <v>88284241.79808702</v>
      </c>
      <c r="G21" s="130">
        <v>22.1</v>
      </c>
      <c r="H21" s="134">
        <v>59.8</v>
      </c>
      <c r="I21" s="138">
        <v>98.167993985268</v>
      </c>
      <c r="J21" s="143">
        <v>31</v>
      </c>
      <c r="K21" s="147">
        <v>0</v>
      </c>
      <c r="L21" s="144">
        <v>38174.41666666665</v>
      </c>
      <c r="M21" s="148">
        <v>352</v>
      </c>
      <c r="N21" s="151">
        <f t="shared" si="0"/>
        <v>91004838.38234045</v>
      </c>
      <c r="O21" s="10"/>
      <c r="P21" s="15"/>
      <c r="Q21" s="102" t="s">
        <v>7</v>
      </c>
      <c r="R21" s="41">
        <v>178921.25740833933</v>
      </c>
      <c r="S21" s="41">
        <v>63156.914273820665</v>
      </c>
      <c r="T21" s="41">
        <v>2.8329638878906476</v>
      </c>
      <c r="U21" s="41">
        <v>0.0052057123724227865</v>
      </c>
      <c r="V21" s="41">
        <v>54192.571159741856</v>
      </c>
      <c r="W21" s="41">
        <v>303649.9436569368</v>
      </c>
      <c r="X21" s="41">
        <v>54192.571159741856</v>
      </c>
      <c r="Y21" s="41">
        <v>303649.9436569368</v>
      </c>
    </row>
    <row r="22" spans="1:25" ht="12.75">
      <c r="A22" s="179">
        <v>35643</v>
      </c>
      <c r="B22" s="184">
        <v>82986439.5</v>
      </c>
      <c r="C22" s="189"/>
      <c r="D22" s="184"/>
      <c r="E22" s="193">
        <v>358451.0342599155</v>
      </c>
      <c r="F22" s="176">
        <f t="shared" si="1"/>
        <v>82627988.46574008</v>
      </c>
      <c r="G22" s="130">
        <v>49.4</v>
      </c>
      <c r="H22" s="134">
        <v>21.9</v>
      </c>
      <c r="I22" s="138">
        <v>98.53169031505469</v>
      </c>
      <c r="J22" s="143">
        <v>31</v>
      </c>
      <c r="K22" s="147">
        <v>0</v>
      </c>
      <c r="L22" s="144">
        <v>38261.333333333314</v>
      </c>
      <c r="M22" s="148">
        <v>320</v>
      </c>
      <c r="N22" s="151">
        <f t="shared" si="0"/>
        <v>83322917.91291457</v>
      </c>
      <c r="O22" s="10"/>
      <c r="P22" s="15"/>
      <c r="Q22" s="101" t="s">
        <v>5</v>
      </c>
      <c r="R22" s="41">
        <v>1999057.1029350983</v>
      </c>
      <c r="S22" s="41">
        <v>265489.46824339713</v>
      </c>
      <c r="T22" s="41">
        <v>7.529703969659504</v>
      </c>
      <c r="U22" s="41">
        <v>3.503810149417692E-12</v>
      </c>
      <c r="V22" s="41">
        <v>1474741.5475032856</v>
      </c>
      <c r="W22" s="41">
        <v>2523372.658366911</v>
      </c>
      <c r="X22" s="41">
        <v>1474741.5475032856</v>
      </c>
      <c r="Y22" s="41">
        <v>2523372.658366911</v>
      </c>
    </row>
    <row r="23" spans="1:25" ht="12.75">
      <c r="A23" s="179">
        <v>35674</v>
      </c>
      <c r="B23" s="184">
        <v>82339214.1</v>
      </c>
      <c r="C23" s="189"/>
      <c r="D23" s="184"/>
      <c r="E23" s="193">
        <v>355655.4134882919</v>
      </c>
      <c r="F23" s="176">
        <f t="shared" si="1"/>
        <v>81983558.6865117</v>
      </c>
      <c r="G23" s="130">
        <v>115.2</v>
      </c>
      <c r="H23" s="134">
        <v>5.4</v>
      </c>
      <c r="I23" s="138">
        <v>98.89673408014009</v>
      </c>
      <c r="J23" s="143">
        <v>30</v>
      </c>
      <c r="K23" s="147">
        <v>1</v>
      </c>
      <c r="L23" s="144">
        <v>38348.25</v>
      </c>
      <c r="M23" s="148">
        <v>336</v>
      </c>
      <c r="N23" s="151">
        <f t="shared" si="0"/>
        <v>79297034.59986743</v>
      </c>
      <c r="O23" s="10"/>
      <c r="P23" s="15"/>
      <c r="Q23" s="101" t="s">
        <v>20</v>
      </c>
      <c r="R23" s="41">
        <v>-2056228.8939495012</v>
      </c>
      <c r="S23" s="41">
        <v>532917.4883028028</v>
      </c>
      <c r="T23" s="41">
        <v>-3.858437636374124</v>
      </c>
      <c r="U23" s="41">
        <v>0.00016515792169173165</v>
      </c>
      <c r="V23" s="41">
        <v>-3108688.453748856</v>
      </c>
      <c r="W23" s="41">
        <v>-1003769.3341501462</v>
      </c>
      <c r="X23" s="41">
        <v>-3108688.453748856</v>
      </c>
      <c r="Y23" s="41">
        <v>-1003769.3341501462</v>
      </c>
    </row>
    <row r="24" spans="1:25" ht="12.75">
      <c r="A24" s="179">
        <v>35704</v>
      </c>
      <c r="B24" s="184">
        <v>87421435.5</v>
      </c>
      <c r="C24" s="189"/>
      <c r="D24" s="184"/>
      <c r="E24" s="193">
        <v>377607.52431680716</v>
      </c>
      <c r="F24" s="176">
        <f t="shared" si="1"/>
        <v>87043827.9756832</v>
      </c>
      <c r="G24" s="130">
        <v>288.9</v>
      </c>
      <c r="H24" s="134">
        <v>1.6</v>
      </c>
      <c r="I24" s="138">
        <v>99.26313027255118</v>
      </c>
      <c r="J24" s="143">
        <v>31</v>
      </c>
      <c r="K24" s="147">
        <v>1</v>
      </c>
      <c r="L24" s="144">
        <v>38435.16666666664</v>
      </c>
      <c r="M24" s="148">
        <v>352</v>
      </c>
      <c r="N24" s="151">
        <f t="shared" si="0"/>
        <v>86682932.02771325</v>
      </c>
      <c r="O24" s="10"/>
      <c r="P24" s="15"/>
      <c r="Q24" s="101" t="s">
        <v>75</v>
      </c>
      <c r="R24" s="41">
        <v>1840.2329092673933</v>
      </c>
      <c r="S24" s="41">
        <v>213.44965049233056</v>
      </c>
      <c r="T24" s="41">
        <v>8.621391063526312</v>
      </c>
      <c r="U24" s="41">
        <v>6.117168943496277E-15</v>
      </c>
      <c r="V24" s="41">
        <v>1418.690869219272</v>
      </c>
      <c r="W24" s="41">
        <v>2261.7749493155147</v>
      </c>
      <c r="X24" s="41">
        <v>1418.690869219272</v>
      </c>
      <c r="Y24" s="41">
        <v>2261.7749493155147</v>
      </c>
    </row>
    <row r="25" spans="1:25" ht="13.5" thickBot="1">
      <c r="A25" s="179">
        <v>35735</v>
      </c>
      <c r="B25" s="184">
        <v>91084451</v>
      </c>
      <c r="C25" s="189"/>
      <c r="D25" s="184"/>
      <c r="E25" s="193">
        <v>393429.5273138763</v>
      </c>
      <c r="F25" s="176">
        <f t="shared" si="1"/>
        <v>90691021.47268613</v>
      </c>
      <c r="G25" s="130">
        <v>471.4</v>
      </c>
      <c r="H25" s="134">
        <v>0</v>
      </c>
      <c r="I25" s="138">
        <v>99.63088390280956</v>
      </c>
      <c r="J25" s="143">
        <v>30</v>
      </c>
      <c r="K25" s="147">
        <v>1</v>
      </c>
      <c r="L25" s="144">
        <v>38522.08333333331</v>
      </c>
      <c r="M25" s="148">
        <v>304</v>
      </c>
      <c r="N25" s="151">
        <f t="shared" si="0"/>
        <v>87048815.53947689</v>
      </c>
      <c r="O25" s="10"/>
      <c r="P25" s="15"/>
      <c r="Q25" s="101" t="s">
        <v>6</v>
      </c>
      <c r="R25" s="64">
        <v>57334.265046766755</v>
      </c>
      <c r="S25" s="64">
        <v>13188.353130534782</v>
      </c>
      <c r="T25" s="64">
        <v>4.34734075432221</v>
      </c>
      <c r="U25" s="64">
        <v>2.4426020064160358E-05</v>
      </c>
      <c r="V25" s="64">
        <v>31288.566350621935</v>
      </c>
      <c r="W25" s="64">
        <v>83379.96374291158</v>
      </c>
      <c r="X25" s="64">
        <v>31288.566350621935</v>
      </c>
      <c r="Y25" s="64">
        <v>83379.96374291158</v>
      </c>
    </row>
    <row r="26" spans="1:16" ht="12.75">
      <c r="A26" s="179">
        <v>35765</v>
      </c>
      <c r="B26" s="184">
        <v>95971206</v>
      </c>
      <c r="C26" s="189"/>
      <c r="D26" s="184"/>
      <c r="E26" s="193">
        <v>414537.3419698457</v>
      </c>
      <c r="F26" s="176">
        <f t="shared" si="1"/>
        <v>95556668.65803015</v>
      </c>
      <c r="G26" s="130">
        <v>630.7</v>
      </c>
      <c r="H26" s="134">
        <v>0</v>
      </c>
      <c r="I26" s="138">
        <v>100</v>
      </c>
      <c r="J26" s="143">
        <v>31</v>
      </c>
      <c r="K26" s="147">
        <v>0</v>
      </c>
      <c r="L26" s="144">
        <v>38609</v>
      </c>
      <c r="M26" s="148">
        <v>336</v>
      </c>
      <c r="N26" s="151">
        <f t="shared" si="0"/>
        <v>97686552.32564312</v>
      </c>
      <c r="O26" s="10"/>
      <c r="P26" s="15"/>
    </row>
    <row r="27" spans="1:16" ht="12.75">
      <c r="A27" s="179">
        <v>35796</v>
      </c>
      <c r="B27" s="184">
        <v>99755427.2</v>
      </c>
      <c r="C27" s="189"/>
      <c r="D27" s="184"/>
      <c r="E27" s="193">
        <v>369728.3343510306</v>
      </c>
      <c r="F27" s="176">
        <f t="shared" si="1"/>
        <v>99385698.86564897</v>
      </c>
      <c r="G27" s="130">
        <v>652.8</v>
      </c>
      <c r="H27" s="134">
        <v>0</v>
      </c>
      <c r="I27" s="139">
        <v>100.39254461560812</v>
      </c>
      <c r="J27" s="143">
        <v>31</v>
      </c>
      <c r="K27" s="147">
        <v>0</v>
      </c>
      <c r="L27" s="144">
        <v>38688.916666666664</v>
      </c>
      <c r="M27" s="147">
        <v>336.288</v>
      </c>
      <c r="N27" s="151">
        <f t="shared" si="0"/>
        <v>98547677.69221117</v>
      </c>
      <c r="O27" s="10"/>
      <c r="P27" s="15"/>
    </row>
    <row r="28" spans="1:16" ht="12.75">
      <c r="A28" s="179">
        <v>35827</v>
      </c>
      <c r="B28" s="184">
        <v>88298732.2</v>
      </c>
      <c r="C28" s="189"/>
      <c r="D28" s="184"/>
      <c r="E28" s="193">
        <v>327265.835032319</v>
      </c>
      <c r="F28" s="176">
        <f t="shared" si="1"/>
        <v>87971466.36496769</v>
      </c>
      <c r="G28" s="130">
        <v>547.1</v>
      </c>
      <c r="H28" s="134">
        <v>0</v>
      </c>
      <c r="I28" s="139">
        <v>100.78663014396867</v>
      </c>
      <c r="J28" s="143">
        <v>28</v>
      </c>
      <c r="K28" s="147">
        <v>0</v>
      </c>
      <c r="L28" s="144">
        <v>38768.83333333333</v>
      </c>
      <c r="M28" s="147">
        <v>319.872</v>
      </c>
      <c r="N28" s="151">
        <f t="shared" si="0"/>
        <v>88826565.46648854</v>
      </c>
      <c r="O28" s="10"/>
      <c r="P28" s="15"/>
    </row>
    <row r="29" spans="1:16" ht="12.75">
      <c r="A29" s="179">
        <v>35855</v>
      </c>
      <c r="B29" s="184">
        <v>96142108.8</v>
      </c>
      <c r="C29" s="189"/>
      <c r="D29" s="184"/>
      <c r="E29" s="193">
        <v>356336.1186991093</v>
      </c>
      <c r="F29" s="176">
        <f t="shared" si="1"/>
        <v>95785772.6813009</v>
      </c>
      <c r="G29" s="130">
        <v>505.1</v>
      </c>
      <c r="H29" s="134">
        <v>0</v>
      </c>
      <c r="I29" s="139">
        <v>101.18226263385168</v>
      </c>
      <c r="J29" s="143">
        <v>31</v>
      </c>
      <c r="K29" s="147">
        <v>1</v>
      </c>
      <c r="L29" s="144">
        <v>38848.75</v>
      </c>
      <c r="M29" s="147">
        <v>351.912</v>
      </c>
      <c r="N29" s="151">
        <f t="shared" si="0"/>
        <v>93630171.06401536</v>
      </c>
      <c r="O29" s="10"/>
      <c r="P29" s="15"/>
    </row>
    <row r="30" spans="1:16" ht="12.75">
      <c r="A30" s="179">
        <v>35886</v>
      </c>
      <c r="B30" s="184">
        <v>82977188</v>
      </c>
      <c r="C30" s="189"/>
      <c r="D30" s="184"/>
      <c r="E30" s="193">
        <v>307542.33999583655</v>
      </c>
      <c r="F30" s="176">
        <f t="shared" si="1"/>
        <v>82669645.66000417</v>
      </c>
      <c r="G30" s="130">
        <v>312</v>
      </c>
      <c r="H30" s="134">
        <v>0</v>
      </c>
      <c r="I30" s="139">
        <v>101.57944815777132</v>
      </c>
      <c r="J30" s="143">
        <v>30</v>
      </c>
      <c r="K30" s="147">
        <v>1</v>
      </c>
      <c r="L30" s="144">
        <v>38928.66666666666</v>
      </c>
      <c r="M30" s="147">
        <v>336.24</v>
      </c>
      <c r="N30" s="151">
        <f t="shared" si="0"/>
        <v>85469516.63894363</v>
      </c>
      <c r="O30" s="10"/>
      <c r="P30" s="15"/>
    </row>
    <row r="31" spans="1:16" ht="12.75">
      <c r="A31" s="179">
        <v>35916</v>
      </c>
      <c r="B31" s="184">
        <v>85056522.80000001</v>
      </c>
      <c r="C31" s="189"/>
      <c r="D31" s="184"/>
      <c r="E31" s="193">
        <v>315249.0785036151</v>
      </c>
      <c r="F31" s="176">
        <f t="shared" si="1"/>
        <v>84741273.7214964</v>
      </c>
      <c r="G31" s="130">
        <v>77.1</v>
      </c>
      <c r="H31" s="134">
        <v>16.8</v>
      </c>
      <c r="I31" s="139">
        <v>101.97819281207909</v>
      </c>
      <c r="J31" s="143">
        <v>31</v>
      </c>
      <c r="K31" s="147">
        <v>1</v>
      </c>
      <c r="L31" s="144">
        <v>39008.58333333332</v>
      </c>
      <c r="M31" s="147">
        <v>319.92</v>
      </c>
      <c r="N31" s="151">
        <f t="shared" si="0"/>
        <v>83118753.6417381</v>
      </c>
      <c r="O31" s="10"/>
      <c r="P31" s="15"/>
    </row>
    <row r="32" spans="1:16" ht="12.75">
      <c r="A32" s="179">
        <v>35947</v>
      </c>
      <c r="B32" s="184">
        <v>90611662</v>
      </c>
      <c r="C32" s="189"/>
      <c r="D32" s="184"/>
      <c r="E32" s="193">
        <v>335838.35791581444</v>
      </c>
      <c r="F32" s="176">
        <f t="shared" si="1"/>
        <v>90275823.64208418</v>
      </c>
      <c r="G32" s="130">
        <v>66.7</v>
      </c>
      <c r="H32" s="134">
        <v>63.7</v>
      </c>
      <c r="I32" s="139">
        <v>102.37850271705736</v>
      </c>
      <c r="J32" s="143">
        <v>30</v>
      </c>
      <c r="K32" s="147">
        <v>0</v>
      </c>
      <c r="L32" s="144">
        <v>39088.5</v>
      </c>
      <c r="M32" s="147">
        <v>352.08</v>
      </c>
      <c r="N32" s="151">
        <f t="shared" si="0"/>
        <v>93416413.38949123</v>
      </c>
      <c r="O32" s="10"/>
      <c r="P32" s="15"/>
    </row>
    <row r="33" spans="1:16" ht="12.75">
      <c r="A33" s="179">
        <v>35977</v>
      </c>
      <c r="B33" s="184">
        <v>93536613.9</v>
      </c>
      <c r="C33" s="189"/>
      <c r="D33" s="184"/>
      <c r="E33" s="193">
        <v>346679.2477240021</v>
      </c>
      <c r="F33" s="176">
        <f t="shared" si="1"/>
        <v>93189934.65227601</v>
      </c>
      <c r="G33" s="130">
        <v>6.9</v>
      </c>
      <c r="H33" s="134">
        <v>64.8</v>
      </c>
      <c r="I33" s="139">
        <v>102.78038401701338</v>
      </c>
      <c r="J33" s="143">
        <v>31</v>
      </c>
      <c r="K33" s="147">
        <v>0</v>
      </c>
      <c r="L33" s="144">
        <v>39168.41666666665</v>
      </c>
      <c r="M33" s="147">
        <v>351.912</v>
      </c>
      <c r="N33" s="151">
        <f t="shared" si="0"/>
        <v>94126103.13709465</v>
      </c>
      <c r="O33" s="10"/>
      <c r="P33" s="15"/>
    </row>
    <row r="34" spans="1:17" ht="12.75">
      <c r="A34" s="179">
        <v>36008</v>
      </c>
      <c r="B34" s="184">
        <v>94443253.4</v>
      </c>
      <c r="C34" s="189"/>
      <c r="D34" s="184"/>
      <c r="E34" s="193">
        <v>350039.5692784353</v>
      </c>
      <c r="F34" s="176">
        <f t="shared" si="1"/>
        <v>94093213.83072157</v>
      </c>
      <c r="G34" s="130">
        <v>12.1</v>
      </c>
      <c r="H34" s="134">
        <v>83.1</v>
      </c>
      <c r="I34" s="139">
        <v>103.1838428803735</v>
      </c>
      <c r="J34" s="143">
        <v>31</v>
      </c>
      <c r="K34" s="147">
        <v>0</v>
      </c>
      <c r="L34" s="144">
        <v>39248.333333333314</v>
      </c>
      <c r="M34" s="147">
        <v>319.92</v>
      </c>
      <c r="N34" s="151">
        <f t="shared" si="0"/>
        <v>95964869.71456566</v>
      </c>
      <c r="O34" s="10"/>
      <c r="P34" s="15"/>
      <c r="Q34" s="21"/>
    </row>
    <row r="35" spans="1:16" ht="12.75">
      <c r="A35" s="179">
        <v>36039</v>
      </c>
      <c r="B35" s="184">
        <v>87162868.6</v>
      </c>
      <c r="C35" s="189"/>
      <c r="D35" s="184"/>
      <c r="E35" s="193">
        <v>323055.9291789163</v>
      </c>
      <c r="F35" s="176">
        <f t="shared" si="1"/>
        <v>86839812.67082107</v>
      </c>
      <c r="G35" s="130">
        <v>63</v>
      </c>
      <c r="H35" s="134">
        <v>26</v>
      </c>
      <c r="I35" s="139">
        <v>103.58888549977794</v>
      </c>
      <c r="J35" s="143">
        <v>30</v>
      </c>
      <c r="K35" s="147">
        <v>1</v>
      </c>
      <c r="L35" s="144">
        <v>39328.25</v>
      </c>
      <c r="M35" s="147">
        <v>336.24</v>
      </c>
      <c r="N35" s="151">
        <f aca="true" t="shared" si="2" ref="N35:N66">$R$18+G35*$R$19+H35*$R$20+I35*$R$21+J35*$R$22+K35*$R$23+L35*$R$24+M35*$R$25</f>
        <v>84193716.00381333</v>
      </c>
      <c r="O35" s="10"/>
      <c r="P35" s="15"/>
    </row>
    <row r="36" spans="1:17" ht="12.75">
      <c r="A36" s="179">
        <v>36069</v>
      </c>
      <c r="B36" s="184">
        <v>87958219</v>
      </c>
      <c r="C36" s="189"/>
      <c r="D36" s="184"/>
      <c r="E36" s="193">
        <v>326003.7745931599</v>
      </c>
      <c r="F36" s="176">
        <f t="shared" si="1"/>
        <v>87632215.22540684</v>
      </c>
      <c r="G36" s="130">
        <v>257.6</v>
      </c>
      <c r="H36" s="134">
        <v>0</v>
      </c>
      <c r="I36" s="139">
        <v>103.99551809217577</v>
      </c>
      <c r="J36" s="143">
        <v>31</v>
      </c>
      <c r="K36" s="147">
        <v>1</v>
      </c>
      <c r="L36" s="144">
        <v>39408.16666666664</v>
      </c>
      <c r="M36" s="147">
        <v>336.288</v>
      </c>
      <c r="N36" s="151">
        <f t="shared" si="2"/>
        <v>87241848.06457488</v>
      </c>
      <c r="O36" s="10"/>
      <c r="P36" s="15"/>
      <c r="Q36" s="21"/>
    </row>
    <row r="37" spans="1:17" ht="12.75">
      <c r="A37" s="179">
        <v>36100</v>
      </c>
      <c r="B37" s="184">
        <v>91550898.2</v>
      </c>
      <c r="C37" s="189"/>
      <c r="D37" s="184"/>
      <c r="E37" s="193">
        <v>339319.49418614455</v>
      </c>
      <c r="F37" s="176">
        <f t="shared" si="1"/>
        <v>91211578.70581385</v>
      </c>
      <c r="G37" s="130">
        <v>440.1</v>
      </c>
      <c r="H37" s="134">
        <v>0</v>
      </c>
      <c r="I37" s="139">
        <v>104.40374689892037</v>
      </c>
      <c r="J37" s="143">
        <v>30</v>
      </c>
      <c r="K37" s="147">
        <v>1</v>
      </c>
      <c r="L37" s="144">
        <v>39488.08333333331</v>
      </c>
      <c r="M37" s="147">
        <v>336.24</v>
      </c>
      <c r="N37" s="151">
        <f t="shared" si="2"/>
        <v>90640446.6675622</v>
      </c>
      <c r="O37" s="10"/>
      <c r="P37" s="15"/>
      <c r="Q37" s="21"/>
    </row>
    <row r="38" spans="1:16" ht="12.75">
      <c r="A38" s="179">
        <v>36130</v>
      </c>
      <c r="B38" s="184">
        <v>96499819.9</v>
      </c>
      <c r="C38" s="189"/>
      <c r="D38" s="184"/>
      <c r="E38" s="193">
        <v>357661.9205416168</v>
      </c>
      <c r="F38" s="176">
        <f t="shared" si="1"/>
        <v>96142157.97945839</v>
      </c>
      <c r="G38" s="130">
        <v>572.1</v>
      </c>
      <c r="H38" s="134">
        <v>0</v>
      </c>
      <c r="I38" s="139">
        <v>104.81357818586534</v>
      </c>
      <c r="J38" s="143">
        <v>31</v>
      </c>
      <c r="K38" s="147">
        <v>0</v>
      </c>
      <c r="L38" s="144">
        <v>39568</v>
      </c>
      <c r="M38" s="147">
        <v>336.288</v>
      </c>
      <c r="N38" s="151">
        <f t="shared" si="2"/>
        <v>98665725.84174372</v>
      </c>
      <c r="O38" s="10"/>
      <c r="P38" s="15"/>
    </row>
    <row r="39" spans="1:17" ht="12.75">
      <c r="A39" s="179">
        <v>36161</v>
      </c>
      <c r="B39" s="184">
        <v>106347680.30000001</v>
      </c>
      <c r="C39" s="189"/>
      <c r="D39" s="184"/>
      <c r="E39" s="193">
        <v>391585.8411132134</v>
      </c>
      <c r="F39" s="176">
        <f t="shared" si="1"/>
        <v>105956094.4588868</v>
      </c>
      <c r="G39" s="130">
        <v>789.6</v>
      </c>
      <c r="H39" s="134">
        <v>0</v>
      </c>
      <c r="I39" s="139">
        <v>105.44819844915847</v>
      </c>
      <c r="J39" s="143">
        <v>31</v>
      </c>
      <c r="K39" s="147">
        <v>0</v>
      </c>
      <c r="L39" s="144">
        <v>39656.166666666664</v>
      </c>
      <c r="M39" s="147">
        <v>319.92</v>
      </c>
      <c r="N39" s="151">
        <f t="shared" si="2"/>
        <v>104176857.01766634</v>
      </c>
      <c r="O39" s="10"/>
      <c r="P39" s="15"/>
      <c r="Q39" s="21"/>
    </row>
    <row r="40" spans="1:17" ht="12.75">
      <c r="A40" s="179">
        <v>36192</v>
      </c>
      <c r="B40" s="184">
        <v>92242601.2</v>
      </c>
      <c r="C40" s="189"/>
      <c r="D40" s="184"/>
      <c r="E40" s="193">
        <v>339649.1251664161</v>
      </c>
      <c r="F40" s="176">
        <f t="shared" si="1"/>
        <v>91902952.07483359</v>
      </c>
      <c r="G40" s="130">
        <v>578.4</v>
      </c>
      <c r="H40" s="134">
        <v>0</v>
      </c>
      <c r="I40" s="139">
        <v>106.08666118100913</v>
      </c>
      <c r="J40" s="143">
        <v>28</v>
      </c>
      <c r="K40" s="147">
        <v>0</v>
      </c>
      <c r="L40" s="144">
        <v>39744.33333333333</v>
      </c>
      <c r="M40" s="147">
        <v>319.872</v>
      </c>
      <c r="N40" s="151">
        <f t="shared" si="2"/>
        <v>92458458.10300598</v>
      </c>
      <c r="O40" s="10"/>
      <c r="P40" s="15"/>
      <c r="Q40" s="21"/>
    </row>
    <row r="41" spans="1:16" ht="12.75">
      <c r="A41" s="179">
        <v>36220</v>
      </c>
      <c r="B41" s="184">
        <v>99528298.80000001</v>
      </c>
      <c r="C41" s="189"/>
      <c r="D41" s="184"/>
      <c r="E41" s="193">
        <v>366476.0010770562</v>
      </c>
      <c r="F41" s="176">
        <f t="shared" si="1"/>
        <v>99161822.79892296</v>
      </c>
      <c r="G41" s="130">
        <v>592.5</v>
      </c>
      <c r="H41" s="134">
        <v>0</v>
      </c>
      <c r="I41" s="139">
        <v>106.72898964661303</v>
      </c>
      <c r="J41" s="143">
        <v>31</v>
      </c>
      <c r="K41" s="147">
        <v>1</v>
      </c>
      <c r="L41" s="144">
        <v>39832.5</v>
      </c>
      <c r="M41" s="147">
        <v>368.28</v>
      </c>
      <c r="N41" s="151">
        <f t="shared" si="2"/>
        <v>99852242.56393415</v>
      </c>
      <c r="O41" s="10"/>
      <c r="P41" s="15"/>
    </row>
    <row r="42" spans="1:17" ht="12.75">
      <c r="A42" s="179">
        <v>36251</v>
      </c>
      <c r="B42" s="184">
        <v>85709380.4</v>
      </c>
      <c r="C42" s="189"/>
      <c r="D42" s="184"/>
      <c r="E42" s="193">
        <v>315592.96564390004</v>
      </c>
      <c r="F42" s="176">
        <f t="shared" si="1"/>
        <v>85393787.43435611</v>
      </c>
      <c r="G42" s="130">
        <v>332.6</v>
      </c>
      <c r="H42" s="134">
        <v>0</v>
      </c>
      <c r="I42" s="139">
        <v>107.37520725203085</v>
      </c>
      <c r="J42" s="143">
        <v>30</v>
      </c>
      <c r="K42" s="147">
        <v>1</v>
      </c>
      <c r="L42" s="144">
        <v>39920.66666666666</v>
      </c>
      <c r="M42" s="147">
        <v>336.24</v>
      </c>
      <c r="N42" s="151">
        <f t="shared" si="2"/>
        <v>88916747.60988307</v>
      </c>
      <c r="O42" s="10"/>
      <c r="P42" s="15"/>
      <c r="Q42" s="21"/>
    </row>
    <row r="43" spans="1:16" ht="12.75">
      <c r="A43" s="179">
        <v>36281</v>
      </c>
      <c r="B43" s="184">
        <v>85001059.3</v>
      </c>
      <c r="C43" s="189"/>
      <c r="D43" s="184"/>
      <c r="E43" s="193">
        <v>312984.83622406406</v>
      </c>
      <c r="F43" s="176">
        <f t="shared" si="1"/>
        <v>84688074.46377593</v>
      </c>
      <c r="G43" s="130">
        <v>126.7</v>
      </c>
      <c r="H43" s="134">
        <v>10.5</v>
      </c>
      <c r="I43" s="139">
        <v>108.02533754504118</v>
      </c>
      <c r="J43" s="143">
        <v>31</v>
      </c>
      <c r="K43" s="147">
        <v>1</v>
      </c>
      <c r="L43" s="144">
        <v>40008.83333333332</v>
      </c>
      <c r="M43" s="147">
        <v>319.92</v>
      </c>
      <c r="N43" s="151">
        <f t="shared" si="2"/>
        <v>86311133.67884415</v>
      </c>
      <c r="O43" s="10"/>
      <c r="P43" s="15"/>
    </row>
    <row r="44" spans="1:16" ht="12.75">
      <c r="A44" s="179">
        <v>36312</v>
      </c>
      <c r="B44" s="184">
        <v>96876658</v>
      </c>
      <c r="C44" s="189"/>
      <c r="D44" s="184"/>
      <c r="E44" s="193">
        <v>356712.31850241974</v>
      </c>
      <c r="F44" s="176">
        <f t="shared" si="1"/>
        <v>96519945.68149757</v>
      </c>
      <c r="G44" s="130">
        <v>44.4</v>
      </c>
      <c r="H44" s="134">
        <v>76.5</v>
      </c>
      <c r="I44" s="139">
        <v>108.6794042159986</v>
      </c>
      <c r="J44" s="143">
        <v>30</v>
      </c>
      <c r="K44" s="147">
        <v>0</v>
      </c>
      <c r="L44" s="144">
        <v>40097</v>
      </c>
      <c r="M44" s="147">
        <v>352.08</v>
      </c>
      <c r="N44" s="151">
        <f t="shared" si="2"/>
        <v>98079160.60930985</v>
      </c>
      <c r="O44" s="10"/>
      <c r="P44" s="15"/>
    </row>
    <row r="45" spans="1:16" ht="12.75">
      <c r="A45" s="179">
        <v>36342</v>
      </c>
      <c r="B45" s="184">
        <v>102363581.69999999</v>
      </c>
      <c r="C45" s="189"/>
      <c r="D45" s="184"/>
      <c r="E45" s="193">
        <v>376915.8774905185</v>
      </c>
      <c r="F45" s="176">
        <f t="shared" si="1"/>
        <v>101986665.82250947</v>
      </c>
      <c r="G45" s="130">
        <v>3.2</v>
      </c>
      <c r="H45" s="134">
        <v>138.9</v>
      </c>
      <c r="I45" s="139">
        <v>109.33743109869688</v>
      </c>
      <c r="J45" s="143">
        <v>31</v>
      </c>
      <c r="K45" s="147">
        <v>0</v>
      </c>
      <c r="L45" s="144">
        <v>40185.16666666665</v>
      </c>
      <c r="M45" s="147">
        <v>336.288</v>
      </c>
      <c r="N45" s="151">
        <f t="shared" si="2"/>
        <v>109556731.1662723</v>
      </c>
      <c r="O45" s="10"/>
      <c r="P45" s="15"/>
    </row>
    <row r="46" spans="1:16" ht="12.75">
      <c r="A46" s="179">
        <v>36373</v>
      </c>
      <c r="B46" s="184">
        <v>92128741.8</v>
      </c>
      <c r="C46" s="189"/>
      <c r="D46" s="184"/>
      <c r="E46" s="193">
        <v>339229.880206941</v>
      </c>
      <c r="F46" s="176">
        <f t="shared" si="1"/>
        <v>91789511.91979305</v>
      </c>
      <c r="G46" s="130">
        <v>28.8</v>
      </c>
      <c r="H46" s="134">
        <v>30.9</v>
      </c>
      <c r="I46" s="139">
        <v>109.99944217123755</v>
      </c>
      <c r="J46" s="143">
        <v>31</v>
      </c>
      <c r="K46" s="147">
        <v>0</v>
      </c>
      <c r="L46" s="144">
        <v>40273.333333333314</v>
      </c>
      <c r="M46" s="147">
        <v>336.288</v>
      </c>
      <c r="N46" s="151">
        <f t="shared" si="2"/>
        <v>91052390.92913033</v>
      </c>
      <c r="O46" s="10"/>
      <c r="P46" s="15"/>
    </row>
    <row r="47" spans="1:16" ht="12.75">
      <c r="A47" s="179">
        <v>36404</v>
      </c>
      <c r="B47" s="184">
        <v>90659575.30000001</v>
      </c>
      <c r="C47" s="189"/>
      <c r="D47" s="184"/>
      <c r="E47" s="193">
        <v>333820.22013711196</v>
      </c>
      <c r="F47" s="176">
        <f t="shared" si="1"/>
        <v>90325755.0798629</v>
      </c>
      <c r="G47" s="130">
        <v>88.9</v>
      </c>
      <c r="H47" s="134">
        <v>27.7</v>
      </c>
      <c r="I47" s="139">
        <v>110.66546155690358</v>
      </c>
      <c r="J47" s="143">
        <v>30</v>
      </c>
      <c r="K47" s="147">
        <v>1</v>
      </c>
      <c r="L47" s="144">
        <v>40361.5</v>
      </c>
      <c r="M47" s="147">
        <v>336.24</v>
      </c>
      <c r="N47" s="151">
        <f t="shared" si="2"/>
        <v>88403592.16150048</v>
      </c>
      <c r="O47" s="10"/>
      <c r="P47" s="15"/>
    </row>
    <row r="48" spans="1:16" ht="12.75">
      <c r="A48" s="179">
        <v>36434</v>
      </c>
      <c r="B48" s="184">
        <v>91210638</v>
      </c>
      <c r="C48" s="189"/>
      <c r="D48" s="184"/>
      <c r="E48" s="193">
        <v>335849.30389593856</v>
      </c>
      <c r="F48" s="176">
        <f t="shared" si="1"/>
        <v>90874788.69610406</v>
      </c>
      <c r="G48" s="130">
        <v>319</v>
      </c>
      <c r="H48" s="134">
        <v>0</v>
      </c>
      <c r="I48" s="139">
        <v>111.33551352503846</v>
      </c>
      <c r="J48" s="143">
        <v>31</v>
      </c>
      <c r="K48" s="147">
        <v>1</v>
      </c>
      <c r="L48" s="144">
        <v>40449.66666666664</v>
      </c>
      <c r="M48" s="147">
        <v>319.92</v>
      </c>
      <c r="N48" s="151">
        <f t="shared" si="2"/>
        <v>91276136.77617854</v>
      </c>
      <c r="O48" s="10"/>
      <c r="P48" s="15"/>
    </row>
    <row r="49" spans="1:16" ht="12.75">
      <c r="A49" s="179">
        <v>36465</v>
      </c>
      <c r="B49" s="184">
        <v>95821859.3</v>
      </c>
      <c r="C49" s="189"/>
      <c r="D49" s="184"/>
      <c r="E49" s="193">
        <v>352828.4139830221</v>
      </c>
      <c r="F49" s="176">
        <f t="shared" si="1"/>
        <v>95469030.88601698</v>
      </c>
      <c r="G49" s="130">
        <v>405.1</v>
      </c>
      <c r="H49" s="134">
        <v>0</v>
      </c>
      <c r="I49" s="139">
        <v>112.00962249193054</v>
      </c>
      <c r="J49" s="143">
        <v>30</v>
      </c>
      <c r="K49" s="147">
        <v>1</v>
      </c>
      <c r="L49" s="144">
        <v>40537.83333333331</v>
      </c>
      <c r="M49" s="147">
        <v>352.08</v>
      </c>
      <c r="N49" s="151">
        <f t="shared" si="2"/>
        <v>93847776.23720938</v>
      </c>
      <c r="O49" s="10"/>
      <c r="P49" s="15"/>
    </row>
    <row r="50" spans="1:16" ht="12.75">
      <c r="A50" s="179">
        <v>36495</v>
      </c>
      <c r="B50" s="184">
        <v>102947032</v>
      </c>
      <c r="C50" s="189"/>
      <c r="D50" s="184"/>
      <c r="E50" s="193">
        <v>379064.2165593986</v>
      </c>
      <c r="F50" s="176">
        <f t="shared" si="1"/>
        <v>102567967.7834406</v>
      </c>
      <c r="G50" s="130">
        <v>623.7</v>
      </c>
      <c r="H50" s="134">
        <v>0</v>
      </c>
      <c r="I50" s="139">
        <v>112.68781302170287</v>
      </c>
      <c r="J50" s="143">
        <v>31</v>
      </c>
      <c r="K50" s="147">
        <v>0</v>
      </c>
      <c r="L50" s="144">
        <v>40626</v>
      </c>
      <c r="M50" s="147">
        <v>336.288</v>
      </c>
      <c r="N50" s="151">
        <f t="shared" si="2"/>
        <v>103486237.32957594</v>
      </c>
      <c r="O50" s="10"/>
      <c r="P50" s="15"/>
    </row>
    <row r="51" spans="1:16" ht="12.75">
      <c r="A51" s="179">
        <v>36526</v>
      </c>
      <c r="B51" s="184">
        <v>108597914.1</v>
      </c>
      <c r="C51" s="189"/>
      <c r="D51" s="184"/>
      <c r="E51" s="193">
        <v>359435.44718494586</v>
      </c>
      <c r="F51" s="176">
        <f t="shared" si="1"/>
        <v>108238478.65281504</v>
      </c>
      <c r="G51" s="130">
        <v>773</v>
      </c>
      <c r="H51" s="134">
        <v>0</v>
      </c>
      <c r="I51" s="139">
        <v>113.20550742744629</v>
      </c>
      <c r="J51" s="143">
        <v>31</v>
      </c>
      <c r="K51" s="147">
        <v>0</v>
      </c>
      <c r="L51" s="144">
        <v>40715.5</v>
      </c>
      <c r="M51" s="147">
        <v>319.92</v>
      </c>
      <c r="N51" s="151">
        <f t="shared" si="2"/>
        <v>107043029.99416965</v>
      </c>
      <c r="O51" s="10"/>
      <c r="P51" s="15"/>
    </row>
    <row r="52" spans="1:16" ht="12.75">
      <c r="A52" s="179">
        <v>36557</v>
      </c>
      <c r="B52" s="184">
        <v>99596964</v>
      </c>
      <c r="C52" s="189"/>
      <c r="D52" s="184"/>
      <c r="E52" s="193">
        <v>329644.26241777104</v>
      </c>
      <c r="F52" s="176">
        <f t="shared" si="1"/>
        <v>99267319.73758222</v>
      </c>
      <c r="G52" s="130">
        <v>643.8</v>
      </c>
      <c r="H52" s="134">
        <v>0</v>
      </c>
      <c r="I52" s="139">
        <v>113.72558015157706</v>
      </c>
      <c r="J52" s="143">
        <v>29</v>
      </c>
      <c r="K52" s="147">
        <v>0</v>
      </c>
      <c r="L52" s="144">
        <v>40805</v>
      </c>
      <c r="M52" s="147">
        <v>336.16799999999995</v>
      </c>
      <c r="N52" s="151">
        <f t="shared" si="2"/>
        <v>100566866.11531298</v>
      </c>
      <c r="O52" s="10"/>
      <c r="P52" s="15"/>
    </row>
    <row r="53" spans="1:16" ht="12.75">
      <c r="A53" s="179">
        <v>36586</v>
      </c>
      <c r="B53" s="184">
        <v>99214146.4</v>
      </c>
      <c r="C53" s="189"/>
      <c r="D53" s="184"/>
      <c r="E53" s="193">
        <v>328377.21952485177</v>
      </c>
      <c r="F53" s="176">
        <f t="shared" si="1"/>
        <v>98885769.18047516</v>
      </c>
      <c r="G53" s="130">
        <v>446.9</v>
      </c>
      <c r="H53" s="134">
        <v>0</v>
      </c>
      <c r="I53" s="139">
        <v>114.24804212022897</v>
      </c>
      <c r="J53" s="143">
        <v>31</v>
      </c>
      <c r="K53" s="147">
        <v>1</v>
      </c>
      <c r="L53" s="144">
        <v>40894.5</v>
      </c>
      <c r="M53" s="147">
        <v>368.28</v>
      </c>
      <c r="N53" s="151">
        <f t="shared" si="2"/>
        <v>99019000.99511707</v>
      </c>
      <c r="O53" s="10"/>
      <c r="P53" s="15"/>
    </row>
    <row r="54" spans="1:16" ht="12.75">
      <c r="A54" s="179">
        <v>36617</v>
      </c>
      <c r="B54" s="184">
        <v>89981304.6</v>
      </c>
      <c r="C54" s="189"/>
      <c r="D54" s="184"/>
      <c r="E54" s="193">
        <v>297818.52372784965</v>
      </c>
      <c r="F54" s="176">
        <f t="shared" si="1"/>
        <v>89683486.07627214</v>
      </c>
      <c r="G54" s="130">
        <v>358.3</v>
      </c>
      <c r="H54" s="134">
        <v>0</v>
      </c>
      <c r="I54" s="139">
        <v>114.77290430973115</v>
      </c>
      <c r="J54" s="143">
        <v>30</v>
      </c>
      <c r="K54" s="147">
        <v>1</v>
      </c>
      <c r="L54" s="144">
        <v>40984</v>
      </c>
      <c r="M54" s="147">
        <v>303.84</v>
      </c>
      <c r="N54" s="151">
        <f t="shared" si="2"/>
        <v>91069003.68985677</v>
      </c>
      <c r="O54" s="10"/>
      <c r="P54" s="15"/>
    </row>
    <row r="55" spans="1:16" ht="12.75">
      <c r="A55" s="179">
        <v>36647</v>
      </c>
      <c r="B55" s="184">
        <v>91415320.6</v>
      </c>
      <c r="C55" s="189"/>
      <c r="D55" s="184"/>
      <c r="E55" s="193">
        <v>302564.80441382807</v>
      </c>
      <c r="F55" s="176">
        <f t="shared" si="1"/>
        <v>91112755.79558617</v>
      </c>
      <c r="G55" s="130">
        <v>152.4</v>
      </c>
      <c r="H55" s="134">
        <v>18.7</v>
      </c>
      <c r="I55" s="139">
        <v>115.30017774683859</v>
      </c>
      <c r="J55" s="143">
        <v>31</v>
      </c>
      <c r="K55" s="147">
        <v>1</v>
      </c>
      <c r="L55" s="144">
        <v>41073.5</v>
      </c>
      <c r="M55" s="147">
        <v>351.912</v>
      </c>
      <c r="N55" s="151">
        <f t="shared" si="2"/>
        <v>93617173.3392497</v>
      </c>
      <c r="O55" s="10"/>
      <c r="P55" s="15"/>
    </row>
    <row r="56" spans="1:16" ht="12.75">
      <c r="A56" s="179">
        <v>36678</v>
      </c>
      <c r="B56" s="184">
        <v>95569834.7</v>
      </c>
      <c r="C56" s="189"/>
      <c r="D56" s="184"/>
      <c r="E56" s="193">
        <v>316315.3413900227</v>
      </c>
      <c r="F56" s="176">
        <f t="shared" si="1"/>
        <v>95253519.35860997</v>
      </c>
      <c r="G56" s="130">
        <v>41.1</v>
      </c>
      <c r="H56" s="134">
        <v>35.4</v>
      </c>
      <c r="I56" s="139">
        <v>115.82987350896386</v>
      </c>
      <c r="J56" s="143">
        <v>30</v>
      </c>
      <c r="K56" s="147">
        <v>0</v>
      </c>
      <c r="L56" s="144">
        <v>41163</v>
      </c>
      <c r="M56" s="147">
        <v>352.08</v>
      </c>
      <c r="N56" s="151">
        <f t="shared" si="2"/>
        <v>93801264.02954519</v>
      </c>
      <c r="O56" s="10"/>
      <c r="P56" s="15"/>
    </row>
    <row r="57" spans="1:16" ht="12.75">
      <c r="A57" s="179">
        <v>36708</v>
      </c>
      <c r="B57" s="184">
        <v>95254772.6</v>
      </c>
      <c r="C57" s="189"/>
      <c r="D57" s="184"/>
      <c r="E57" s="193">
        <v>315272.5544475383</v>
      </c>
      <c r="F57" s="176">
        <f t="shared" si="1"/>
        <v>94939500.04555246</v>
      </c>
      <c r="G57" s="130">
        <v>18.6</v>
      </c>
      <c r="H57" s="134">
        <v>44.8</v>
      </c>
      <c r="I57" s="139">
        <v>116.36200272440982</v>
      </c>
      <c r="J57" s="143">
        <v>31</v>
      </c>
      <c r="K57" s="147">
        <v>0</v>
      </c>
      <c r="L57" s="144">
        <v>41252.5</v>
      </c>
      <c r="M57" s="147">
        <v>319.92</v>
      </c>
      <c r="N57" s="151">
        <f t="shared" si="2"/>
        <v>95275934.19018364</v>
      </c>
      <c r="O57" s="10"/>
      <c r="P57" s="15"/>
    </row>
    <row r="58" spans="1:16" ht="12.75">
      <c r="A58" s="179">
        <v>36739</v>
      </c>
      <c r="B58" s="184">
        <v>97935080.4</v>
      </c>
      <c r="C58" s="189"/>
      <c r="D58" s="184"/>
      <c r="E58" s="193">
        <v>324143.7895966699</v>
      </c>
      <c r="F58" s="176">
        <f t="shared" si="1"/>
        <v>97610936.61040333</v>
      </c>
      <c r="G58" s="130">
        <v>29.7</v>
      </c>
      <c r="H58" s="134">
        <v>46.3</v>
      </c>
      <c r="I58" s="139">
        <v>116.89657657260338</v>
      </c>
      <c r="J58" s="143">
        <v>31</v>
      </c>
      <c r="K58" s="147">
        <v>0</v>
      </c>
      <c r="L58" s="144">
        <v>41342</v>
      </c>
      <c r="M58" s="147">
        <v>351.912</v>
      </c>
      <c r="N58" s="151">
        <f t="shared" si="2"/>
        <v>97956591.13845834</v>
      </c>
      <c r="O58" s="10"/>
      <c r="P58" s="15"/>
    </row>
    <row r="59" spans="1:16" ht="12.75">
      <c r="A59" s="179">
        <v>36770</v>
      </c>
      <c r="B59" s="184">
        <v>93176991.19999999</v>
      </c>
      <c r="C59" s="189"/>
      <c r="D59" s="184"/>
      <c r="E59" s="193">
        <v>308395.5504751243</v>
      </c>
      <c r="F59" s="176">
        <f t="shared" si="1"/>
        <v>92868595.64952487</v>
      </c>
      <c r="G59" s="130">
        <v>134</v>
      </c>
      <c r="H59" s="134">
        <v>23.8</v>
      </c>
      <c r="I59" s="139">
        <v>117.43360628433041</v>
      </c>
      <c r="J59" s="143">
        <v>30</v>
      </c>
      <c r="K59" s="147">
        <v>1</v>
      </c>
      <c r="L59" s="144">
        <v>41431.5</v>
      </c>
      <c r="M59" s="147">
        <v>319.68</v>
      </c>
      <c r="N59" s="151">
        <f t="shared" si="2"/>
        <v>91209735.03677729</v>
      </c>
      <c r="O59" s="10"/>
      <c r="P59" s="15"/>
    </row>
    <row r="60" spans="1:16" ht="12.75">
      <c r="A60" s="179">
        <v>36800</v>
      </c>
      <c r="B60" s="184">
        <v>94348312.7</v>
      </c>
      <c r="C60" s="189"/>
      <c r="D60" s="184"/>
      <c r="E60" s="193">
        <v>312272.36957095115</v>
      </c>
      <c r="F60" s="176">
        <f t="shared" si="1"/>
        <v>94036040.33042905</v>
      </c>
      <c r="G60" s="130">
        <v>251.6</v>
      </c>
      <c r="H60" s="134">
        <v>0</v>
      </c>
      <c r="I60" s="139">
        <v>117.97310314197166</v>
      </c>
      <c r="J60" s="143">
        <v>31</v>
      </c>
      <c r="K60" s="147">
        <v>1</v>
      </c>
      <c r="L60" s="144">
        <v>41521</v>
      </c>
      <c r="M60" s="147">
        <v>336.288</v>
      </c>
      <c r="N60" s="151">
        <f t="shared" si="2"/>
        <v>93460529.30158673</v>
      </c>
      <c r="O60" s="10"/>
      <c r="P60" s="15"/>
    </row>
    <row r="61" spans="1:16" ht="12.75">
      <c r="A61" s="179">
        <v>36831</v>
      </c>
      <c r="B61" s="184">
        <v>100873405</v>
      </c>
      <c r="C61" s="189"/>
      <c r="D61" s="184"/>
      <c r="E61" s="193">
        <v>333869.0041675778</v>
      </c>
      <c r="F61" s="176">
        <f t="shared" si="1"/>
        <v>100539535.99583243</v>
      </c>
      <c r="G61" s="130">
        <v>470.9</v>
      </c>
      <c r="H61" s="134">
        <v>0</v>
      </c>
      <c r="I61" s="139">
        <v>118.51507847973981</v>
      </c>
      <c r="J61" s="143">
        <v>30</v>
      </c>
      <c r="K61" s="147">
        <v>1</v>
      </c>
      <c r="L61" s="144">
        <v>41610.5</v>
      </c>
      <c r="M61" s="147">
        <v>352.08</v>
      </c>
      <c r="N61" s="151">
        <f t="shared" si="2"/>
        <v>98853444.22201791</v>
      </c>
      <c r="O61" s="10"/>
      <c r="P61" s="15"/>
    </row>
    <row r="62" spans="1:16" ht="12.75">
      <c r="A62" s="179">
        <v>36861</v>
      </c>
      <c r="B62" s="184">
        <v>111445740.7</v>
      </c>
      <c r="C62" s="189"/>
      <c r="D62" s="184"/>
      <c r="E62" s="193">
        <v>368861.1330828686</v>
      </c>
      <c r="F62" s="176">
        <f t="shared" si="1"/>
        <v>111076879.56691714</v>
      </c>
      <c r="G62" s="130">
        <v>826.5</v>
      </c>
      <c r="H62" s="134">
        <v>0</v>
      </c>
      <c r="I62" s="139">
        <v>119.05954368391765</v>
      </c>
      <c r="J62" s="143">
        <v>31</v>
      </c>
      <c r="K62" s="147">
        <v>0</v>
      </c>
      <c r="L62" s="144">
        <v>41700</v>
      </c>
      <c r="M62" s="147">
        <v>304.296</v>
      </c>
      <c r="N62" s="151">
        <f t="shared" si="2"/>
        <v>110524969.24373046</v>
      </c>
      <c r="O62" s="10"/>
      <c r="P62" s="15"/>
    </row>
    <row r="63" spans="1:16" ht="12.75">
      <c r="A63" s="179">
        <v>36892</v>
      </c>
      <c r="B63" s="184">
        <v>112581869.30000001</v>
      </c>
      <c r="C63" s="189"/>
      <c r="D63" s="184"/>
      <c r="E63" s="193">
        <v>441336.55231777485</v>
      </c>
      <c r="F63" s="176">
        <f t="shared" si="1"/>
        <v>112140532.74768224</v>
      </c>
      <c r="G63" s="130">
        <v>715</v>
      </c>
      <c r="H63" s="134">
        <v>0</v>
      </c>
      <c r="I63" s="139">
        <v>119.23206305749976</v>
      </c>
      <c r="J63" s="143">
        <v>31</v>
      </c>
      <c r="K63" s="147">
        <v>0</v>
      </c>
      <c r="L63" s="144">
        <v>41817</v>
      </c>
      <c r="M63" s="147">
        <v>351.912</v>
      </c>
      <c r="N63" s="151">
        <f t="shared" si="2"/>
        <v>110336220.8171483</v>
      </c>
      <c r="O63" s="10"/>
      <c r="P63" s="15"/>
    </row>
    <row r="64" spans="1:16" ht="12.75">
      <c r="A64" s="179">
        <v>36925</v>
      </c>
      <c r="B64" s="184">
        <v>99788048.1</v>
      </c>
      <c r="C64" s="189">
        <v>104864.3489570705</v>
      </c>
      <c r="D64" s="184"/>
      <c r="E64" s="193">
        <v>390771.91482327355</v>
      </c>
      <c r="F64" s="176">
        <f t="shared" si="1"/>
        <v>99292411.83621964</v>
      </c>
      <c r="G64" s="130">
        <v>620.2</v>
      </c>
      <c r="H64" s="134">
        <v>0</v>
      </c>
      <c r="I64" s="139">
        <v>119.40483241468957</v>
      </c>
      <c r="J64" s="143">
        <v>28</v>
      </c>
      <c r="K64" s="147">
        <v>0</v>
      </c>
      <c r="L64" s="144">
        <v>41934</v>
      </c>
      <c r="M64" s="147">
        <v>319.872</v>
      </c>
      <c r="N64" s="151">
        <f t="shared" si="2"/>
        <v>100057360.67591506</v>
      </c>
      <c r="O64" s="10"/>
      <c r="P64" s="15"/>
    </row>
    <row r="65" spans="1:16" ht="12.75">
      <c r="A65" s="179">
        <v>36958</v>
      </c>
      <c r="B65" s="184">
        <v>106623824</v>
      </c>
      <c r="C65" s="189">
        <v>36279.64984732195</v>
      </c>
      <c r="D65" s="184"/>
      <c r="E65" s="193">
        <v>417837.9665926749</v>
      </c>
      <c r="F65" s="176">
        <f t="shared" si="1"/>
        <v>106169706.38356</v>
      </c>
      <c r="G65" s="130">
        <v>618.7</v>
      </c>
      <c r="H65" s="134">
        <v>0</v>
      </c>
      <c r="I65" s="139">
        <v>119.57785211771773</v>
      </c>
      <c r="J65" s="143">
        <v>31</v>
      </c>
      <c r="K65" s="147">
        <v>1</v>
      </c>
      <c r="L65" s="144">
        <v>42051</v>
      </c>
      <c r="M65" s="147">
        <v>351.912</v>
      </c>
      <c r="N65" s="151">
        <f t="shared" si="2"/>
        <v>106038979.27421907</v>
      </c>
      <c r="O65" s="10"/>
      <c r="P65" s="15"/>
    </row>
    <row r="66" spans="1:16" ht="12.75">
      <c r="A66" s="179">
        <v>36991</v>
      </c>
      <c r="B66" s="184">
        <v>91412386.1</v>
      </c>
      <c r="C66" s="189">
        <v>30915.95485549551</v>
      </c>
      <c r="D66" s="184"/>
      <c r="E66" s="193">
        <v>358228.04533578426</v>
      </c>
      <c r="F66" s="176">
        <f t="shared" si="1"/>
        <v>91023242.09980871</v>
      </c>
      <c r="G66" s="130">
        <v>324.6</v>
      </c>
      <c r="H66" s="134">
        <v>0</v>
      </c>
      <c r="I66" s="139">
        <v>119.75112252933975</v>
      </c>
      <c r="J66" s="143">
        <v>30</v>
      </c>
      <c r="K66" s="147">
        <v>1</v>
      </c>
      <c r="L66" s="144">
        <v>42168</v>
      </c>
      <c r="M66" s="147">
        <v>319.68</v>
      </c>
      <c r="N66" s="151">
        <f t="shared" si="2"/>
        <v>94090141.54522829</v>
      </c>
      <c r="O66" s="10"/>
      <c r="P66" s="15"/>
    </row>
    <row r="67" spans="1:16" ht="12.75">
      <c r="A67" s="179">
        <v>37024</v>
      </c>
      <c r="B67" s="184">
        <v>91851847.6</v>
      </c>
      <c r="C67" s="189">
        <v>77019.72006688669</v>
      </c>
      <c r="D67" s="184"/>
      <c r="E67" s="193">
        <v>359770.06224826357</v>
      </c>
      <c r="F67" s="176">
        <f t="shared" si="1"/>
        <v>91415057.81768484</v>
      </c>
      <c r="G67" s="130">
        <v>140.3</v>
      </c>
      <c r="H67" s="134">
        <v>7.7</v>
      </c>
      <c r="I67" s="139">
        <v>119.92464401283681</v>
      </c>
      <c r="J67" s="143">
        <v>31</v>
      </c>
      <c r="K67" s="147">
        <v>1</v>
      </c>
      <c r="L67" s="144">
        <v>42285</v>
      </c>
      <c r="M67" s="147">
        <v>351.912</v>
      </c>
      <c r="N67" s="151">
        <f aca="true" t="shared" si="3" ref="N67:N98">$R$18+G67*$R$19+H67*$R$20+I67*$R$21+J67*$R$22+K67*$R$23+L67*$R$24+M67*$R$25</f>
        <v>94343267.28132874</v>
      </c>
      <c r="O67" s="10"/>
      <c r="P67" s="15"/>
    </row>
    <row r="68" spans="1:16" ht="12.75">
      <c r="A68" s="179">
        <v>37057</v>
      </c>
      <c r="B68" s="184">
        <v>100764701.3</v>
      </c>
      <c r="C68" s="189">
        <v>366213.8910607103</v>
      </c>
      <c r="D68" s="184"/>
      <c r="E68" s="193">
        <v>393576.0044355631</v>
      </c>
      <c r="F68" s="176">
        <f aca="true" t="shared" si="4" ref="F68:F131">+B68-C68+D68-E68</f>
        <v>100004911.40450372</v>
      </c>
      <c r="G68" s="130">
        <v>47</v>
      </c>
      <c r="H68" s="134">
        <v>62.4</v>
      </c>
      <c r="I68" s="139">
        <v>120.09841693201646</v>
      </c>
      <c r="J68" s="143">
        <v>30</v>
      </c>
      <c r="K68" s="147">
        <v>0</v>
      </c>
      <c r="L68" s="144">
        <v>42402</v>
      </c>
      <c r="M68" s="147">
        <v>336.24</v>
      </c>
      <c r="N68" s="151">
        <f t="shared" si="3"/>
        <v>100982267.96460629</v>
      </c>
      <c r="O68" s="10"/>
      <c r="P68" s="15"/>
    </row>
    <row r="69" spans="1:16" ht="12.75">
      <c r="A69" s="179">
        <v>37090</v>
      </c>
      <c r="B69" s="184">
        <v>101480959.69999999</v>
      </c>
      <c r="C69" s="189">
        <v>460997.94065508654</v>
      </c>
      <c r="D69" s="184"/>
      <c r="E69" s="193">
        <v>396012.27014039934</v>
      </c>
      <c r="F69" s="176">
        <f t="shared" si="4"/>
        <v>100623949.48920451</v>
      </c>
      <c r="G69" s="130">
        <v>22.3</v>
      </c>
      <c r="H69" s="134">
        <v>65.7</v>
      </c>
      <c r="I69" s="139">
        <v>120.27244165121344</v>
      </c>
      <c r="J69" s="143">
        <v>31</v>
      </c>
      <c r="K69" s="147">
        <v>0</v>
      </c>
      <c r="L69" s="144">
        <v>42519</v>
      </c>
      <c r="M69" s="147">
        <v>336.288</v>
      </c>
      <c r="N69" s="151">
        <f t="shared" si="3"/>
        <v>103125597.0194224</v>
      </c>
      <c r="O69" s="10"/>
      <c r="P69" s="15"/>
    </row>
    <row r="70" spans="1:16" ht="12.75">
      <c r="A70" s="179">
        <v>37123</v>
      </c>
      <c r="B70" s="184">
        <v>108715738.19999999</v>
      </c>
      <c r="C70" s="189">
        <v>470718.801069656</v>
      </c>
      <c r="D70" s="184"/>
      <c r="E70" s="193">
        <v>424335.49881636724</v>
      </c>
      <c r="F70" s="176">
        <f t="shared" si="4"/>
        <v>107820683.90011396</v>
      </c>
      <c r="G70" s="130">
        <v>2.3</v>
      </c>
      <c r="H70" s="134">
        <v>94.2</v>
      </c>
      <c r="I70" s="139">
        <v>120.4467185352904</v>
      </c>
      <c r="J70" s="143">
        <v>31</v>
      </c>
      <c r="K70" s="147">
        <v>0</v>
      </c>
      <c r="L70" s="144">
        <v>42636</v>
      </c>
      <c r="M70" s="147">
        <v>351.912</v>
      </c>
      <c r="N70" s="151">
        <f t="shared" si="3"/>
        <v>108849092.35968912</v>
      </c>
      <c r="O70" s="10"/>
      <c r="P70" s="15"/>
    </row>
    <row r="71" spans="1:16" ht="12.75">
      <c r="A71" s="179">
        <v>37156</v>
      </c>
      <c r="B71" s="184">
        <v>94386425.6</v>
      </c>
      <c r="C71" s="189">
        <v>432815.5334787161</v>
      </c>
      <c r="D71" s="184"/>
      <c r="E71" s="193">
        <v>368311.1908017242</v>
      </c>
      <c r="F71" s="176">
        <f t="shared" si="4"/>
        <v>93585298.87571955</v>
      </c>
      <c r="G71" s="130">
        <v>118.8</v>
      </c>
      <c r="H71" s="134">
        <v>19.2</v>
      </c>
      <c r="I71" s="139">
        <v>120.62124794963869</v>
      </c>
      <c r="J71" s="143">
        <v>30</v>
      </c>
      <c r="K71" s="147">
        <v>1</v>
      </c>
      <c r="L71" s="144">
        <v>42753</v>
      </c>
      <c r="M71" s="147">
        <v>303.84</v>
      </c>
      <c r="N71" s="151">
        <f t="shared" si="3"/>
        <v>92041255.90951484</v>
      </c>
      <c r="O71" s="10"/>
      <c r="P71" s="15"/>
    </row>
    <row r="72" spans="1:16" ht="12.75">
      <c r="A72" s="179">
        <v>37189</v>
      </c>
      <c r="B72" s="184">
        <v>99648192.5</v>
      </c>
      <c r="C72" s="189">
        <v>450486.3991499989</v>
      </c>
      <c r="D72" s="184"/>
      <c r="E72" s="193">
        <v>388868.77505755745</v>
      </c>
      <c r="F72" s="176">
        <f t="shared" si="4"/>
        <v>98808837.32579245</v>
      </c>
      <c r="G72" s="130">
        <v>276.7</v>
      </c>
      <c r="H72" s="134">
        <v>0</v>
      </c>
      <c r="I72" s="139">
        <v>120.79603026017911</v>
      </c>
      <c r="J72" s="143">
        <v>31</v>
      </c>
      <c r="K72" s="147">
        <v>1</v>
      </c>
      <c r="L72" s="144">
        <v>42870</v>
      </c>
      <c r="M72" s="147">
        <v>351.912</v>
      </c>
      <c r="N72" s="151">
        <f t="shared" si="3"/>
        <v>98056344.60857648</v>
      </c>
      <c r="O72" s="10"/>
      <c r="P72" s="15"/>
    </row>
    <row r="73" spans="1:16" ht="12.75">
      <c r="A73" s="179">
        <v>37222</v>
      </c>
      <c r="B73" s="184">
        <v>101041155.9</v>
      </c>
      <c r="C73" s="189">
        <v>461530.3293000006</v>
      </c>
      <c r="D73" s="184"/>
      <c r="E73" s="193">
        <v>394286.09116890404</v>
      </c>
      <c r="F73" s="176">
        <f t="shared" si="4"/>
        <v>100185339.4795311</v>
      </c>
      <c r="G73" s="130">
        <v>370.8</v>
      </c>
      <c r="H73" s="134">
        <v>0</v>
      </c>
      <c r="I73" s="139">
        <v>120.9710658333627</v>
      </c>
      <c r="J73" s="143">
        <v>30</v>
      </c>
      <c r="K73" s="147">
        <v>1</v>
      </c>
      <c r="L73" s="144">
        <v>42987</v>
      </c>
      <c r="M73" s="147">
        <v>352.08</v>
      </c>
      <c r="N73" s="151">
        <f t="shared" si="3"/>
        <v>98984593.18854275</v>
      </c>
      <c r="O73" s="10"/>
      <c r="P73" s="15"/>
    </row>
    <row r="74" spans="1:16" ht="12.75">
      <c r="A74" s="179">
        <v>37255</v>
      </c>
      <c r="B74" s="184">
        <v>105627131.6</v>
      </c>
      <c r="C74" s="189">
        <v>437328.1543500022</v>
      </c>
      <c r="D74" s="184"/>
      <c r="E74" s="193">
        <v>412358.62826171383</v>
      </c>
      <c r="F74" s="176">
        <f t="shared" si="4"/>
        <v>104777444.81738828</v>
      </c>
      <c r="G74" s="130">
        <v>563.3</v>
      </c>
      <c r="H74" s="134">
        <v>0</v>
      </c>
      <c r="I74" s="139">
        <v>121.1463550361714</v>
      </c>
      <c r="J74" s="143">
        <v>31</v>
      </c>
      <c r="K74" s="147">
        <v>0</v>
      </c>
      <c r="L74" s="144">
        <v>43104</v>
      </c>
      <c r="M74" s="147">
        <v>304.296</v>
      </c>
      <c r="N74" s="151">
        <f t="shared" si="3"/>
        <v>106011042.68433762</v>
      </c>
      <c r="O74" s="10"/>
      <c r="P74" s="15"/>
    </row>
    <row r="75" spans="1:37" s="16" customFormat="1" ht="12.75">
      <c r="A75" s="180">
        <v>37275</v>
      </c>
      <c r="B75" s="184">
        <v>113024587.8</v>
      </c>
      <c r="C75" s="189">
        <v>462984.0970500016</v>
      </c>
      <c r="D75" s="184"/>
      <c r="E75" s="193">
        <v>105964.02553559632</v>
      </c>
      <c r="F75" s="176">
        <f t="shared" si="4"/>
        <v>112455639.6774144</v>
      </c>
      <c r="G75" s="130">
        <v>625.7</v>
      </c>
      <c r="H75" s="134">
        <v>0</v>
      </c>
      <c r="I75" s="139">
        <v>121.50450639216388</v>
      </c>
      <c r="J75" s="143">
        <v>31</v>
      </c>
      <c r="K75" s="147">
        <v>0</v>
      </c>
      <c r="L75" s="144">
        <v>43198.416666666664</v>
      </c>
      <c r="M75" s="147">
        <v>351.912</v>
      </c>
      <c r="N75" s="151">
        <f t="shared" si="3"/>
        <v>110750137.98618346</v>
      </c>
      <c r="O75" s="10"/>
      <c r="P75" s="15"/>
      <c r="Q75"/>
      <c r="R75"/>
      <c r="S75"/>
      <c r="T75"/>
      <c r="U75"/>
      <c r="V75"/>
      <c r="W75"/>
      <c r="X75"/>
      <c r="Y75"/>
      <c r="Z75"/>
      <c r="AA75"/>
      <c r="AB75"/>
      <c r="AC75" s="11"/>
      <c r="AD75" s="11"/>
      <c r="AE75" s="11"/>
      <c r="AF75" s="11"/>
      <c r="AG75" s="11"/>
      <c r="AH75" s="11"/>
      <c r="AI75" s="11"/>
      <c r="AJ75" s="11"/>
      <c r="AK75" s="11"/>
    </row>
    <row r="76" spans="1:16" ht="12.75">
      <c r="A76" s="179">
        <v>37308</v>
      </c>
      <c r="B76" s="184">
        <v>102515394.69999999</v>
      </c>
      <c r="C76" s="189">
        <v>411477.43500000006</v>
      </c>
      <c r="D76" s="184"/>
      <c r="E76" s="193">
        <v>96119.2959271006</v>
      </c>
      <c r="F76" s="176">
        <f t="shared" si="4"/>
        <v>102007797.96907288</v>
      </c>
      <c r="G76" s="130">
        <v>592</v>
      </c>
      <c r="H76" s="134">
        <v>0</v>
      </c>
      <c r="I76" s="139">
        <v>121.86371656989111</v>
      </c>
      <c r="J76" s="143">
        <v>28</v>
      </c>
      <c r="K76" s="147">
        <v>0</v>
      </c>
      <c r="L76" s="144">
        <v>43292.83333333333</v>
      </c>
      <c r="M76" s="147">
        <v>319.872</v>
      </c>
      <c r="N76" s="151">
        <f t="shared" si="3"/>
        <v>102197414.08808857</v>
      </c>
      <c r="O76" s="10"/>
      <c r="P76" s="15"/>
    </row>
    <row r="77" spans="1:16" ht="12.75">
      <c r="A77" s="179">
        <v>37341</v>
      </c>
      <c r="B77" s="184">
        <v>109462736.8</v>
      </c>
      <c r="C77" s="189">
        <v>484062.3179999981</v>
      </c>
      <c r="D77" s="184"/>
      <c r="E77" s="193">
        <v>102591.10270071111</v>
      </c>
      <c r="F77" s="176">
        <f t="shared" si="4"/>
        <v>108876083.37929928</v>
      </c>
      <c r="G77" s="130">
        <v>581.2</v>
      </c>
      <c r="H77" s="134">
        <v>0</v>
      </c>
      <c r="I77" s="139">
        <v>122.22398869960362</v>
      </c>
      <c r="J77" s="143">
        <v>31</v>
      </c>
      <c r="K77" s="147">
        <v>1</v>
      </c>
      <c r="L77" s="144">
        <v>43387.25</v>
      </c>
      <c r="M77" s="147">
        <v>319.92</v>
      </c>
      <c r="N77" s="151">
        <f t="shared" si="3"/>
        <v>106072757.22993901</v>
      </c>
      <c r="O77" s="10"/>
      <c r="P77" s="15"/>
    </row>
    <row r="78" spans="1:16" ht="12.75">
      <c r="A78" s="179">
        <v>37374</v>
      </c>
      <c r="B78" s="184">
        <v>101175171.19999999</v>
      </c>
      <c r="C78" s="189">
        <v>484651.3526999985</v>
      </c>
      <c r="D78" s="184"/>
      <c r="E78" s="193">
        <v>94788.74203364017</v>
      </c>
      <c r="F78" s="176">
        <f t="shared" si="4"/>
        <v>100595731.10526635</v>
      </c>
      <c r="G78" s="130">
        <v>356.2</v>
      </c>
      <c r="H78" s="134">
        <v>6.6</v>
      </c>
      <c r="I78" s="139">
        <v>122.58532592080604</v>
      </c>
      <c r="J78" s="143">
        <v>30</v>
      </c>
      <c r="K78" s="147">
        <v>1</v>
      </c>
      <c r="L78" s="144">
        <v>43481.66666666666</v>
      </c>
      <c r="M78" s="147">
        <v>352.08</v>
      </c>
      <c r="N78" s="151">
        <f t="shared" si="3"/>
        <v>100961677.84975669</v>
      </c>
      <c r="O78" s="10"/>
      <c r="P78" s="15"/>
    </row>
    <row r="79" spans="1:16" ht="12.75">
      <c r="A79" s="179">
        <v>37407</v>
      </c>
      <c r="B79" s="184">
        <v>99710889</v>
      </c>
      <c r="C79" s="189">
        <v>473869.00665000005</v>
      </c>
      <c r="D79" s="184"/>
      <c r="E79" s="193">
        <v>93420.43622976769</v>
      </c>
      <c r="F79" s="176">
        <f t="shared" si="4"/>
        <v>99143599.55712023</v>
      </c>
      <c r="G79" s="130">
        <v>266.8</v>
      </c>
      <c r="H79" s="134">
        <v>5.3</v>
      </c>
      <c r="I79" s="139">
        <v>122.9477313822845</v>
      </c>
      <c r="J79" s="143">
        <v>31</v>
      </c>
      <c r="K79" s="147">
        <v>1</v>
      </c>
      <c r="L79" s="144">
        <v>43576.08333333332</v>
      </c>
      <c r="M79" s="147">
        <v>351.912</v>
      </c>
      <c r="N79" s="151">
        <f t="shared" si="3"/>
        <v>100417192.29468825</v>
      </c>
      <c r="O79" s="10"/>
      <c r="P79" s="15"/>
    </row>
    <row r="80" spans="1:16" ht="12.75">
      <c r="A80" s="179">
        <v>37408</v>
      </c>
      <c r="B80" s="184">
        <v>104229282</v>
      </c>
      <c r="C80" s="189">
        <v>414659.7279</v>
      </c>
      <c r="D80" s="184"/>
      <c r="E80" s="193">
        <v>97729.7313073089</v>
      </c>
      <c r="F80" s="176">
        <f t="shared" si="4"/>
        <v>103716892.54079269</v>
      </c>
      <c r="G80" s="130">
        <v>53.1</v>
      </c>
      <c r="H80" s="134">
        <v>54.5</v>
      </c>
      <c r="I80" s="139">
        <v>123.31120824213403</v>
      </c>
      <c r="J80" s="143">
        <v>30</v>
      </c>
      <c r="K80" s="147">
        <v>0</v>
      </c>
      <c r="L80" s="144">
        <v>43670.5</v>
      </c>
      <c r="M80" s="147">
        <v>319.68</v>
      </c>
      <c r="N80" s="151">
        <f t="shared" si="3"/>
        <v>101687889.96365412</v>
      </c>
      <c r="O80" s="10"/>
      <c r="P80" s="15"/>
    </row>
    <row r="81" spans="1:16" ht="12.75">
      <c r="A81" s="179">
        <v>37440</v>
      </c>
      <c r="B81" s="184">
        <v>118623870</v>
      </c>
      <c r="C81" s="189">
        <v>434816.7588</v>
      </c>
      <c r="D81" s="184"/>
      <c r="E81" s="193">
        <v>111261.63312961263</v>
      </c>
      <c r="F81" s="176">
        <f t="shared" si="4"/>
        <v>118077791.60807039</v>
      </c>
      <c r="G81" s="130">
        <v>4.7</v>
      </c>
      <c r="H81" s="134">
        <v>129</v>
      </c>
      <c r="I81" s="139">
        <v>123.67575966778612</v>
      </c>
      <c r="J81" s="143">
        <v>31</v>
      </c>
      <c r="K81" s="147">
        <v>0</v>
      </c>
      <c r="L81" s="144">
        <v>43764.91666666665</v>
      </c>
      <c r="M81" s="147">
        <v>351.912</v>
      </c>
      <c r="N81" s="151">
        <f t="shared" si="3"/>
        <v>117859532.87357676</v>
      </c>
      <c r="O81" s="10"/>
      <c r="P81" s="15"/>
    </row>
    <row r="82" spans="1:16" ht="12.75">
      <c r="A82" s="179">
        <v>37473</v>
      </c>
      <c r="B82" s="184">
        <v>111583120</v>
      </c>
      <c r="C82" s="189">
        <v>449451.35415</v>
      </c>
      <c r="D82" s="184"/>
      <c r="E82" s="193">
        <v>104619.78609802556</v>
      </c>
      <c r="F82" s="176">
        <f t="shared" si="4"/>
        <v>111029048.85975198</v>
      </c>
      <c r="G82" s="130">
        <v>11</v>
      </c>
      <c r="H82" s="134">
        <v>72.3</v>
      </c>
      <c r="I82" s="139">
        <v>124.04138883603632</v>
      </c>
      <c r="J82" s="143">
        <v>31</v>
      </c>
      <c r="K82" s="147">
        <v>0</v>
      </c>
      <c r="L82" s="144">
        <v>43859.333333333314</v>
      </c>
      <c r="M82" s="147">
        <v>336.288</v>
      </c>
      <c r="N82" s="151">
        <f t="shared" si="3"/>
        <v>107138095.8437762</v>
      </c>
      <c r="O82" s="10"/>
      <c r="P82" s="15"/>
    </row>
    <row r="83" spans="1:16" ht="12.75">
      <c r="A83" s="179">
        <v>37506</v>
      </c>
      <c r="B83" s="184">
        <v>105982565.17205401</v>
      </c>
      <c r="C83" s="189">
        <v>448585.68015000003</v>
      </c>
      <c r="D83" s="184"/>
      <c r="E83" s="193">
        <v>99348.31176770217</v>
      </c>
      <c r="F83" s="176">
        <f t="shared" si="4"/>
        <v>105434631.18013631</v>
      </c>
      <c r="G83" s="130">
        <v>50.2</v>
      </c>
      <c r="H83" s="134">
        <v>47</v>
      </c>
      <c r="I83" s="139">
        <v>124.40809893307186</v>
      </c>
      <c r="J83" s="143">
        <v>30</v>
      </c>
      <c r="K83" s="147">
        <v>1</v>
      </c>
      <c r="L83" s="144">
        <v>43953.75</v>
      </c>
      <c r="M83" s="147">
        <v>319.68</v>
      </c>
      <c r="N83" s="151">
        <f t="shared" si="3"/>
        <v>98911868.03724506</v>
      </c>
      <c r="O83" s="10"/>
      <c r="P83" s="15"/>
    </row>
    <row r="84" spans="1:16" ht="12.75">
      <c r="A84" s="179">
        <v>37539</v>
      </c>
      <c r="B84" s="184">
        <v>105094244.00417101</v>
      </c>
      <c r="C84" s="189">
        <v>468666.49410000007</v>
      </c>
      <c r="D84" s="184"/>
      <c r="E84" s="193">
        <v>98493.15399069</v>
      </c>
      <c r="F84" s="176">
        <f t="shared" si="4"/>
        <v>104527084.35608032</v>
      </c>
      <c r="G84" s="130">
        <v>349.3</v>
      </c>
      <c r="H84" s="134">
        <v>1</v>
      </c>
      <c r="I84" s="139">
        <v>124.7758931544995</v>
      </c>
      <c r="J84" s="143">
        <v>31</v>
      </c>
      <c r="K84" s="147">
        <v>1</v>
      </c>
      <c r="L84" s="144">
        <v>44048.16666666664</v>
      </c>
      <c r="M84" s="147">
        <v>351.912</v>
      </c>
      <c r="N84" s="151">
        <f t="shared" si="3"/>
        <v>103177958.19152951</v>
      </c>
      <c r="O84" s="10"/>
      <c r="P84" s="15"/>
    </row>
    <row r="85" spans="1:16" ht="12.75">
      <c r="A85" s="179">
        <v>37572</v>
      </c>
      <c r="B85" s="184">
        <v>107844017</v>
      </c>
      <c r="C85" s="189">
        <v>482076.9135</v>
      </c>
      <c r="D85" s="184"/>
      <c r="E85" s="193">
        <v>101069.13002856316</v>
      </c>
      <c r="F85" s="176">
        <f t="shared" si="4"/>
        <v>107260870.95647144</v>
      </c>
      <c r="G85" s="130">
        <v>486.4</v>
      </c>
      <c r="H85" s="134">
        <v>0</v>
      </c>
      <c r="I85" s="139">
        <v>125.14477470537335</v>
      </c>
      <c r="J85" s="143">
        <v>30</v>
      </c>
      <c r="K85" s="147">
        <v>1</v>
      </c>
      <c r="L85" s="144">
        <v>44142.58333333331</v>
      </c>
      <c r="M85" s="147">
        <v>336.24</v>
      </c>
      <c r="N85" s="151">
        <f t="shared" si="3"/>
        <v>104231056.95346288</v>
      </c>
      <c r="O85" s="10"/>
      <c r="P85" s="15"/>
    </row>
    <row r="86" spans="1:37" s="37" customFormat="1" ht="12.75">
      <c r="A86" s="181">
        <v>37605</v>
      </c>
      <c r="B86" s="184">
        <v>113855250</v>
      </c>
      <c r="C86" s="189">
        <v>475039.54845000006</v>
      </c>
      <c r="D86" s="184"/>
      <c r="E86" s="193">
        <v>106734.65125128154</v>
      </c>
      <c r="F86" s="176">
        <f t="shared" si="4"/>
        <v>113273475.80029872</v>
      </c>
      <c r="G86" s="130">
        <v>675.6</v>
      </c>
      <c r="H86" s="134">
        <v>0</v>
      </c>
      <c r="I86" s="140">
        <v>125.51474680022261</v>
      </c>
      <c r="J86" s="144">
        <v>31</v>
      </c>
      <c r="K86" s="148">
        <v>0</v>
      </c>
      <c r="L86" s="144">
        <v>44237</v>
      </c>
      <c r="M86" s="148">
        <v>319.92</v>
      </c>
      <c r="N86" s="151">
        <f t="shared" si="3"/>
        <v>112961074.87124333</v>
      </c>
      <c r="O86" s="19"/>
      <c r="P86" s="35"/>
      <c r="Q86"/>
      <c r="R86"/>
      <c r="S86"/>
      <c r="T86"/>
      <c r="U86"/>
      <c r="V86"/>
      <c r="W86"/>
      <c r="X86"/>
      <c r="Y86"/>
      <c r="Z86"/>
      <c r="AA86"/>
      <c r="AB86"/>
      <c r="AC86" s="30"/>
      <c r="AD86" s="30"/>
      <c r="AE86" s="30"/>
      <c r="AF86" s="30"/>
      <c r="AG86" s="30"/>
      <c r="AH86" s="30"/>
      <c r="AI86" s="30"/>
      <c r="AJ86" s="30"/>
      <c r="AK86" s="30"/>
    </row>
    <row r="87" spans="1:31" ht="12.75">
      <c r="A87" s="179">
        <v>37622</v>
      </c>
      <c r="B87" s="185">
        <v>122281722</v>
      </c>
      <c r="C87" s="190">
        <v>568885.1967000001</v>
      </c>
      <c r="D87" s="185"/>
      <c r="E87" s="194">
        <v>197927.65919655657</v>
      </c>
      <c r="F87" s="176">
        <f t="shared" si="4"/>
        <v>121514909.14410344</v>
      </c>
      <c r="G87" s="130">
        <v>868.4</v>
      </c>
      <c r="H87" s="134">
        <v>0</v>
      </c>
      <c r="I87" s="139">
        <v>125.66024937363977</v>
      </c>
      <c r="J87" s="143">
        <v>31</v>
      </c>
      <c r="K87" s="147">
        <v>0</v>
      </c>
      <c r="L87" s="144">
        <v>43366.666666666664</v>
      </c>
      <c r="M87" s="147">
        <v>351.912</v>
      </c>
      <c r="N87" s="151">
        <f t="shared" si="3"/>
        <v>118692399.50929442</v>
      </c>
      <c r="O87" s="10"/>
      <c r="P87" s="15"/>
      <c r="AC87" s="11"/>
      <c r="AD87" s="11"/>
      <c r="AE87" s="11"/>
    </row>
    <row r="88" spans="1:16" ht="12.75">
      <c r="A88" s="179">
        <v>37653</v>
      </c>
      <c r="B88" s="185">
        <v>110139892</v>
      </c>
      <c r="C88" s="190">
        <v>488139.4543500001</v>
      </c>
      <c r="D88" s="185"/>
      <c r="E88" s="194">
        <v>178314.09798816007</v>
      </c>
      <c r="F88" s="176">
        <f t="shared" si="4"/>
        <v>109473438.44766185</v>
      </c>
      <c r="G88" s="130">
        <v>755.9</v>
      </c>
      <c r="H88" s="134">
        <v>0</v>
      </c>
      <c r="I88" s="139">
        <v>125.80592062045517</v>
      </c>
      <c r="J88" s="143">
        <v>28</v>
      </c>
      <c r="K88" s="147">
        <v>0</v>
      </c>
      <c r="L88" s="144">
        <v>43629.33333333333</v>
      </c>
      <c r="M88" s="147">
        <v>319.872</v>
      </c>
      <c r="N88" s="151">
        <f t="shared" si="3"/>
        <v>108174333.23595372</v>
      </c>
      <c r="O88" s="10"/>
      <c r="P88" s="15"/>
    </row>
    <row r="89" spans="1:16" ht="12.75">
      <c r="A89" s="179">
        <v>37681</v>
      </c>
      <c r="B89" s="185">
        <v>112160711</v>
      </c>
      <c r="C89" s="190">
        <v>521552.58885000006</v>
      </c>
      <c r="D89" s="185"/>
      <c r="E89" s="194">
        <v>181545.98873332143</v>
      </c>
      <c r="F89" s="176">
        <f t="shared" si="4"/>
        <v>111457612.42241667</v>
      </c>
      <c r="G89" s="130">
        <v>638.7</v>
      </c>
      <c r="H89" s="134">
        <v>0</v>
      </c>
      <c r="I89" s="139">
        <v>125.9517607362029</v>
      </c>
      <c r="J89" s="143">
        <v>31</v>
      </c>
      <c r="K89" s="147">
        <v>1</v>
      </c>
      <c r="L89" s="144">
        <v>43892</v>
      </c>
      <c r="M89" s="147">
        <v>336.288</v>
      </c>
      <c r="N89" s="151">
        <f t="shared" si="3"/>
        <v>110239189.53913762</v>
      </c>
      <c r="O89" s="10"/>
      <c r="P89" s="15"/>
    </row>
    <row r="90" spans="1:16" ht="12.75">
      <c r="A90" s="179">
        <v>37712</v>
      </c>
      <c r="B90" s="185">
        <v>101765882</v>
      </c>
      <c r="C90" s="190">
        <v>504137.4862500001</v>
      </c>
      <c r="D90" s="185"/>
      <c r="E90" s="194">
        <v>164670.38797359524</v>
      </c>
      <c r="F90" s="176">
        <f t="shared" si="4"/>
        <v>101097074.12577641</v>
      </c>
      <c r="G90" s="130">
        <v>397.4</v>
      </c>
      <c r="H90" s="134">
        <v>0.7</v>
      </c>
      <c r="I90" s="139">
        <v>126.09776991664374</v>
      </c>
      <c r="J90" s="143">
        <v>30</v>
      </c>
      <c r="K90" s="147">
        <v>1</v>
      </c>
      <c r="L90" s="144">
        <v>44154.66666666666</v>
      </c>
      <c r="M90" s="147">
        <v>336.24</v>
      </c>
      <c r="N90" s="151">
        <f t="shared" si="3"/>
        <v>102023984.80717532</v>
      </c>
      <c r="O90" s="10"/>
      <c r="P90" s="15"/>
    </row>
    <row r="91" spans="1:16" ht="12.75">
      <c r="A91" s="179">
        <v>37742</v>
      </c>
      <c r="B91" s="185">
        <v>96091846</v>
      </c>
      <c r="C91" s="190">
        <v>517449.1059</v>
      </c>
      <c r="D91" s="185"/>
      <c r="E91" s="194">
        <v>155421.7053287757</v>
      </c>
      <c r="F91" s="176">
        <f t="shared" si="4"/>
        <v>95418975.18877122</v>
      </c>
      <c r="G91" s="130">
        <v>217</v>
      </c>
      <c r="H91" s="134">
        <v>0</v>
      </c>
      <c r="I91" s="139">
        <v>126.2439483577654</v>
      </c>
      <c r="J91" s="143">
        <v>31</v>
      </c>
      <c r="K91" s="147">
        <v>1</v>
      </c>
      <c r="L91" s="144">
        <v>44417.33333333332</v>
      </c>
      <c r="M91" s="147">
        <v>336.288</v>
      </c>
      <c r="N91" s="151">
        <f t="shared" si="3"/>
        <v>99288158.81947304</v>
      </c>
      <c r="O91" s="10"/>
      <c r="P91" s="15"/>
    </row>
    <row r="92" spans="1:16" ht="12.75">
      <c r="A92" s="179">
        <v>37773</v>
      </c>
      <c r="B92" s="185">
        <v>100440873</v>
      </c>
      <c r="C92" s="190">
        <v>476663.62815</v>
      </c>
      <c r="D92" s="185"/>
      <c r="E92" s="194">
        <v>162560.3550460366</v>
      </c>
      <c r="F92" s="176">
        <f t="shared" si="4"/>
        <v>99801649.01680396</v>
      </c>
      <c r="G92" s="130">
        <v>65.3</v>
      </c>
      <c r="H92" s="134">
        <v>25.5</v>
      </c>
      <c r="I92" s="139">
        <v>126.3902962557828</v>
      </c>
      <c r="J92" s="143">
        <v>30</v>
      </c>
      <c r="K92" s="147">
        <v>0</v>
      </c>
      <c r="L92" s="144">
        <v>44680</v>
      </c>
      <c r="M92" s="147">
        <v>336.24</v>
      </c>
      <c r="N92" s="151">
        <f t="shared" si="3"/>
        <v>100153022.51703563</v>
      </c>
      <c r="O92" s="10"/>
      <c r="P92" s="15"/>
    </row>
    <row r="93" spans="1:16" ht="12.75">
      <c r="A93" s="179">
        <v>37803</v>
      </c>
      <c r="B93" s="185">
        <v>109723172</v>
      </c>
      <c r="C93" s="190">
        <v>519354.52965000004</v>
      </c>
      <c r="D93" s="185"/>
      <c r="E93" s="194">
        <v>177585.67243129425</v>
      </c>
      <c r="F93" s="176">
        <f t="shared" si="4"/>
        <v>109026231.7979187</v>
      </c>
      <c r="G93" s="130">
        <v>12.5</v>
      </c>
      <c r="H93" s="134">
        <v>50.1</v>
      </c>
      <c r="I93" s="139">
        <v>126.5368138071383</v>
      </c>
      <c r="J93" s="143">
        <v>31</v>
      </c>
      <c r="K93" s="147">
        <v>0</v>
      </c>
      <c r="L93" s="144">
        <v>44792.5</v>
      </c>
      <c r="M93" s="147">
        <v>351.912</v>
      </c>
      <c r="N93" s="151">
        <f t="shared" si="3"/>
        <v>106229455.13364333</v>
      </c>
      <c r="O93" s="10"/>
      <c r="P93" s="15"/>
    </row>
    <row r="94" spans="1:16" ht="12.75">
      <c r="A94" s="179">
        <v>37834</v>
      </c>
      <c r="B94" s="185">
        <v>104089100</v>
      </c>
      <c r="C94" s="190">
        <v>498723.2599500001</v>
      </c>
      <c r="D94" s="185"/>
      <c r="E94" s="194">
        <v>168457.1761036434</v>
      </c>
      <c r="F94" s="176">
        <f t="shared" si="4"/>
        <v>103421919.56394637</v>
      </c>
      <c r="G94" s="130">
        <v>18.9</v>
      </c>
      <c r="H94" s="134">
        <v>72.4</v>
      </c>
      <c r="I94" s="139">
        <v>126.683501208502</v>
      </c>
      <c r="J94" s="143">
        <v>31</v>
      </c>
      <c r="K94" s="147">
        <v>0</v>
      </c>
      <c r="L94" s="144">
        <v>44948</v>
      </c>
      <c r="M94" s="147">
        <v>319.92</v>
      </c>
      <c r="N94" s="151">
        <f t="shared" si="3"/>
        <v>108918088.46963307</v>
      </c>
      <c r="O94" s="10"/>
      <c r="P94" s="15"/>
    </row>
    <row r="95" spans="1:16" ht="12.75">
      <c r="A95" s="179">
        <v>37865</v>
      </c>
      <c r="B95" s="185">
        <v>98681486</v>
      </c>
      <c r="C95" s="190">
        <v>477820.99665000004</v>
      </c>
      <c r="D95" s="185"/>
      <c r="E95" s="194">
        <v>159697.38319425046</v>
      </c>
      <c r="F95" s="176">
        <f t="shared" si="4"/>
        <v>98043967.62015575</v>
      </c>
      <c r="G95" s="130">
        <v>104.1</v>
      </c>
      <c r="H95" s="134">
        <v>6</v>
      </c>
      <c r="I95" s="139">
        <v>126.83035865677196</v>
      </c>
      <c r="J95" s="143">
        <v>30</v>
      </c>
      <c r="K95" s="147">
        <v>1</v>
      </c>
      <c r="L95" s="144">
        <v>45072</v>
      </c>
      <c r="M95" s="147">
        <v>336.24</v>
      </c>
      <c r="N95" s="151">
        <f t="shared" si="3"/>
        <v>96475302.51412235</v>
      </c>
      <c r="O95" s="10"/>
      <c r="P95" s="15"/>
    </row>
    <row r="96" spans="1:16" ht="12.75">
      <c r="A96" s="179">
        <v>37895</v>
      </c>
      <c r="B96" s="185">
        <v>104199872</v>
      </c>
      <c r="C96" s="190">
        <v>511790.23260000005</v>
      </c>
      <c r="D96" s="185"/>
      <c r="E96" s="194">
        <v>168616.06260947988</v>
      </c>
      <c r="F96" s="176">
        <f t="shared" si="4"/>
        <v>103519465.70479052</v>
      </c>
      <c r="G96" s="130">
        <v>331.9</v>
      </c>
      <c r="H96" s="134">
        <v>0</v>
      </c>
      <c r="I96" s="139">
        <v>126.97738634907456</v>
      </c>
      <c r="J96" s="143">
        <v>31</v>
      </c>
      <c r="K96" s="147">
        <v>1</v>
      </c>
      <c r="L96" s="144">
        <v>45204</v>
      </c>
      <c r="M96" s="147">
        <v>351.912</v>
      </c>
      <c r="N96" s="151">
        <f t="shared" si="3"/>
        <v>105024288.06704724</v>
      </c>
      <c r="O96" s="10"/>
      <c r="P96" s="15"/>
    </row>
    <row r="97" spans="1:16" ht="12.75">
      <c r="A97" s="179">
        <v>37926</v>
      </c>
      <c r="B97" s="185">
        <v>105671242</v>
      </c>
      <c r="C97" s="190">
        <v>481979.99565000006</v>
      </c>
      <c r="D97" s="185"/>
      <c r="E97" s="194">
        <v>171057.26025251756</v>
      </c>
      <c r="F97" s="176">
        <f t="shared" si="4"/>
        <v>105018204.74409749</v>
      </c>
      <c r="G97" s="130">
        <v>434.4</v>
      </c>
      <c r="H97" s="134">
        <v>0</v>
      </c>
      <c r="I97" s="139">
        <v>127.12458448276465</v>
      </c>
      <c r="J97" s="143">
        <v>30</v>
      </c>
      <c r="K97" s="147">
        <v>1</v>
      </c>
      <c r="L97" s="144">
        <v>45375</v>
      </c>
      <c r="M97" s="147">
        <v>319.68</v>
      </c>
      <c r="N97" s="151">
        <f t="shared" si="3"/>
        <v>104427734.12931909</v>
      </c>
      <c r="O97" s="10"/>
      <c r="P97" s="15"/>
    </row>
    <row r="98" spans="1:16" ht="12.75">
      <c r="A98" s="179">
        <v>37956</v>
      </c>
      <c r="B98" s="185">
        <v>112870231</v>
      </c>
      <c r="C98" s="190">
        <v>507131.58915</v>
      </c>
      <c r="D98" s="185"/>
      <c r="E98" s="194">
        <v>182723.25114236874</v>
      </c>
      <c r="F98" s="176">
        <f t="shared" si="4"/>
        <v>112180376.15970764</v>
      </c>
      <c r="G98" s="130">
        <v>610</v>
      </c>
      <c r="H98" s="134">
        <v>0</v>
      </c>
      <c r="I98" s="139">
        <v>127.27195325542573</v>
      </c>
      <c r="J98" s="143">
        <v>31</v>
      </c>
      <c r="K98" s="147">
        <v>0</v>
      </c>
      <c r="L98" s="144">
        <v>45463</v>
      </c>
      <c r="M98" s="147">
        <v>336.288</v>
      </c>
      <c r="N98" s="151">
        <f t="shared" si="3"/>
        <v>114607979.18091498</v>
      </c>
      <c r="O98" s="10"/>
      <c r="P98" s="15"/>
    </row>
    <row r="99" spans="1:31" ht="12.75">
      <c r="A99" s="179">
        <v>37987</v>
      </c>
      <c r="B99" s="185">
        <v>123356627</v>
      </c>
      <c r="C99" s="190">
        <v>491162.72670000006</v>
      </c>
      <c r="D99" s="185"/>
      <c r="E99" s="194">
        <v>216043.5633978535</v>
      </c>
      <c r="F99" s="176">
        <f t="shared" si="4"/>
        <v>122649420.70990215</v>
      </c>
      <c r="G99" s="130">
        <v>879.2</v>
      </c>
      <c r="H99" s="134">
        <v>0</v>
      </c>
      <c r="I99" s="139">
        <v>127.53411264087498</v>
      </c>
      <c r="J99" s="143">
        <v>31</v>
      </c>
      <c r="K99" s="147">
        <v>0</v>
      </c>
      <c r="L99" s="144">
        <v>45553.333333333336</v>
      </c>
      <c r="M99" s="147">
        <v>336.288</v>
      </c>
      <c r="N99" s="151">
        <f aca="true" t="shared" si="5" ref="N99:N130">$R$18+G99*$R$19+H99*$R$20+I99*$R$21+J99*$R$22+K99*$R$23+L99*$R$24+M99*$R$25</f>
        <v>122462419.20315509</v>
      </c>
      <c r="O99" s="10"/>
      <c r="P99" s="15"/>
      <c r="AC99" s="11"/>
      <c r="AD99" s="11"/>
      <c r="AE99" s="11"/>
    </row>
    <row r="100" spans="1:16" ht="12.75">
      <c r="A100" s="179">
        <v>38018</v>
      </c>
      <c r="B100" s="185">
        <v>110886761</v>
      </c>
      <c r="C100" s="190">
        <v>454979.4354</v>
      </c>
      <c r="D100" s="185"/>
      <c r="E100" s="194">
        <v>194180.48629613317</v>
      </c>
      <c r="F100" s="176">
        <f t="shared" si="4"/>
        <v>110237601.07830387</v>
      </c>
      <c r="G100" s="130">
        <v>699.2</v>
      </c>
      <c r="H100" s="134">
        <v>0</v>
      </c>
      <c r="I100" s="139">
        <v>127.79681203173486</v>
      </c>
      <c r="J100" s="143">
        <v>29</v>
      </c>
      <c r="K100" s="147">
        <v>0</v>
      </c>
      <c r="L100" s="144">
        <v>45664.66666666667</v>
      </c>
      <c r="M100" s="147">
        <v>320.16</v>
      </c>
      <c r="N100" s="151">
        <f t="shared" si="5"/>
        <v>112682161.11703734</v>
      </c>
      <c r="O100" s="10"/>
      <c r="P100" s="15"/>
    </row>
    <row r="101" spans="1:16" ht="12.75">
      <c r="A101" s="179">
        <v>38047</v>
      </c>
      <c r="B101" s="185">
        <v>114371810</v>
      </c>
      <c r="C101" s="190">
        <v>479036.70405</v>
      </c>
      <c r="D101" s="185"/>
      <c r="E101" s="194">
        <v>200266.2077065706</v>
      </c>
      <c r="F101" s="176">
        <f t="shared" si="4"/>
        <v>113692507.08824342</v>
      </c>
      <c r="G101" s="130">
        <v>540.9</v>
      </c>
      <c r="H101" s="134">
        <v>0</v>
      </c>
      <c r="I101" s="139">
        <v>128.06005254032812</v>
      </c>
      <c r="J101" s="143">
        <v>31</v>
      </c>
      <c r="K101" s="147">
        <v>1</v>
      </c>
      <c r="L101" s="144">
        <v>45790</v>
      </c>
      <c r="M101" s="147">
        <v>368.28</v>
      </c>
      <c r="N101" s="151">
        <f t="shared" si="5"/>
        <v>113167333.6438238</v>
      </c>
      <c r="O101" s="10"/>
      <c r="P101" s="15"/>
    </row>
    <row r="102" spans="1:16" ht="12.75">
      <c r="A102" s="179">
        <v>38078</v>
      </c>
      <c r="B102" s="185">
        <v>100778720</v>
      </c>
      <c r="C102" s="190">
        <v>497337.2406000001</v>
      </c>
      <c r="D102" s="185"/>
      <c r="E102" s="194">
        <v>176332.27857759307</v>
      </c>
      <c r="F102" s="176">
        <f t="shared" si="4"/>
        <v>100105050.4808224</v>
      </c>
      <c r="G102" s="130">
        <v>354.1</v>
      </c>
      <c r="H102" s="134">
        <v>0</v>
      </c>
      <c r="I102" s="139">
        <v>128.32383528126866</v>
      </c>
      <c r="J102" s="143">
        <v>30</v>
      </c>
      <c r="K102" s="147">
        <v>1</v>
      </c>
      <c r="L102" s="144">
        <v>45875</v>
      </c>
      <c r="M102" s="147">
        <v>336.24</v>
      </c>
      <c r="N102" s="151">
        <f t="shared" si="5"/>
        <v>104232544.74388118</v>
      </c>
      <c r="O102" s="10"/>
      <c r="P102" s="15"/>
    </row>
    <row r="103" spans="1:16" ht="12.75">
      <c r="A103" s="179">
        <v>38108</v>
      </c>
      <c r="B103" s="185">
        <v>99917690</v>
      </c>
      <c r="C103" s="190">
        <v>502450.3629</v>
      </c>
      <c r="D103" s="185"/>
      <c r="E103" s="194">
        <v>174809.27414619323</v>
      </c>
      <c r="F103" s="176">
        <f t="shared" si="4"/>
        <v>99240430.3629538</v>
      </c>
      <c r="G103" s="130">
        <v>196.2</v>
      </c>
      <c r="H103" s="134">
        <v>6.7</v>
      </c>
      <c r="I103" s="139">
        <v>128.58816137146633</v>
      </c>
      <c r="J103" s="143">
        <v>31</v>
      </c>
      <c r="K103" s="147">
        <v>1</v>
      </c>
      <c r="L103" s="144">
        <v>45923</v>
      </c>
      <c r="M103" s="147">
        <v>319.92</v>
      </c>
      <c r="N103" s="151">
        <f t="shared" si="5"/>
        <v>102159953.8526569</v>
      </c>
      <c r="O103" s="10"/>
      <c r="P103" s="15"/>
    </row>
    <row r="104" spans="1:16" ht="12.75">
      <c r="A104" s="179">
        <v>38139</v>
      </c>
      <c r="B104" s="185">
        <v>101500696</v>
      </c>
      <c r="C104" s="190">
        <v>522270.5337000001</v>
      </c>
      <c r="D104" s="185"/>
      <c r="E104" s="194">
        <v>177557.94106240806</v>
      </c>
      <c r="F104" s="176">
        <f t="shared" si="4"/>
        <v>100800867.52523759</v>
      </c>
      <c r="G104" s="130">
        <v>92.5</v>
      </c>
      <c r="H104" s="134">
        <v>16.3</v>
      </c>
      <c r="I104" s="139">
        <v>128.85303193013166</v>
      </c>
      <c r="J104" s="143">
        <v>30</v>
      </c>
      <c r="K104" s="147">
        <v>0</v>
      </c>
      <c r="L104" s="144">
        <v>46112</v>
      </c>
      <c r="M104" s="147">
        <v>352.08</v>
      </c>
      <c r="N104" s="151">
        <f t="shared" si="5"/>
        <v>103247016.89737833</v>
      </c>
      <c r="O104" s="10"/>
      <c r="P104" s="15"/>
    </row>
    <row r="105" spans="1:16" ht="12.75">
      <c r="A105" s="179">
        <v>38169</v>
      </c>
      <c r="B105" s="185">
        <v>106988465</v>
      </c>
      <c r="C105" s="190">
        <v>546336.2709</v>
      </c>
      <c r="D105" s="185"/>
      <c r="E105" s="194">
        <v>187165.18040525657</v>
      </c>
      <c r="F105" s="176">
        <f t="shared" si="4"/>
        <v>106254963.54869474</v>
      </c>
      <c r="G105" s="130">
        <v>21.3</v>
      </c>
      <c r="H105" s="134">
        <v>49.3</v>
      </c>
      <c r="I105" s="139">
        <v>129.11844807878055</v>
      </c>
      <c r="J105" s="143">
        <v>31</v>
      </c>
      <c r="K105" s="147">
        <v>0</v>
      </c>
      <c r="L105" s="144">
        <v>46202</v>
      </c>
      <c r="M105" s="147">
        <v>336.288</v>
      </c>
      <c r="N105" s="151">
        <f t="shared" si="5"/>
        <v>108494640.91314411</v>
      </c>
      <c r="O105" s="10"/>
      <c r="P105" s="15"/>
    </row>
    <row r="106" spans="1:16" ht="12.75">
      <c r="A106" s="179">
        <v>38200</v>
      </c>
      <c r="B106" s="185">
        <v>105697735</v>
      </c>
      <c r="C106" s="190">
        <v>523277.35020000004</v>
      </c>
      <c r="D106" s="185"/>
      <c r="E106" s="194">
        <v>184936.139243786</v>
      </c>
      <c r="F106" s="176">
        <f t="shared" si="4"/>
        <v>104989521.51055622</v>
      </c>
      <c r="G106" s="130">
        <v>55</v>
      </c>
      <c r="H106" s="134">
        <v>30.6</v>
      </c>
      <c r="I106" s="139">
        <v>129.38441094123903</v>
      </c>
      <c r="J106" s="143">
        <v>31</v>
      </c>
      <c r="K106" s="147">
        <v>0</v>
      </c>
      <c r="L106" s="144">
        <v>46332</v>
      </c>
      <c r="M106" s="147">
        <v>336.288</v>
      </c>
      <c r="N106" s="151">
        <f t="shared" si="5"/>
        <v>106359625.166589</v>
      </c>
      <c r="O106" s="10"/>
      <c r="P106" s="15"/>
    </row>
    <row r="107" spans="1:16" ht="12.75">
      <c r="A107" s="179">
        <v>38231</v>
      </c>
      <c r="B107" s="185">
        <v>105959836</v>
      </c>
      <c r="C107" s="190">
        <v>531322.4727</v>
      </c>
      <c r="D107" s="185"/>
      <c r="E107" s="194">
        <v>185382.86475287762</v>
      </c>
      <c r="F107" s="176">
        <f t="shared" si="4"/>
        <v>105243130.66254713</v>
      </c>
      <c r="G107" s="130">
        <v>71.3</v>
      </c>
      <c r="H107" s="134">
        <v>13.7</v>
      </c>
      <c r="I107" s="139">
        <v>129.65092164364802</v>
      </c>
      <c r="J107" s="143">
        <v>30</v>
      </c>
      <c r="K107" s="147">
        <v>1</v>
      </c>
      <c r="L107" s="144">
        <v>46496.33333333333</v>
      </c>
      <c r="M107" s="147">
        <v>336.24</v>
      </c>
      <c r="N107" s="151">
        <f t="shared" si="5"/>
        <v>100061142.94140656</v>
      </c>
      <c r="O107" s="10"/>
      <c r="P107" s="15"/>
    </row>
    <row r="108" spans="1:16" ht="12.75">
      <c r="A108" s="179">
        <v>38261</v>
      </c>
      <c r="B108" s="185">
        <v>104738230</v>
      </c>
      <c r="C108" s="190">
        <v>546993.9949500001</v>
      </c>
      <c r="D108" s="185"/>
      <c r="E108" s="194">
        <v>183207.26686294196</v>
      </c>
      <c r="F108" s="176">
        <f t="shared" si="4"/>
        <v>104008028.73818706</v>
      </c>
      <c r="G108" s="130">
        <v>287.5</v>
      </c>
      <c r="H108" s="134">
        <v>0</v>
      </c>
      <c r="I108" s="139">
        <v>129.91798131446814</v>
      </c>
      <c r="J108" s="143">
        <v>31</v>
      </c>
      <c r="K108" s="147">
        <v>1</v>
      </c>
      <c r="L108" s="144">
        <v>46660.666666666664</v>
      </c>
      <c r="M108" s="147">
        <v>319.92</v>
      </c>
      <c r="N108" s="151">
        <f t="shared" si="5"/>
        <v>105136487.61928222</v>
      </c>
      <c r="O108" s="10"/>
      <c r="P108" s="15"/>
    </row>
    <row r="109" spans="1:16" ht="12.75">
      <c r="A109" s="179">
        <v>38292</v>
      </c>
      <c r="B109" s="185">
        <v>109633798</v>
      </c>
      <c r="C109" s="190">
        <v>550187.5792500001</v>
      </c>
      <c r="D109" s="185"/>
      <c r="E109" s="194">
        <v>191809.89583191913</v>
      </c>
      <c r="F109" s="176">
        <f t="shared" si="4"/>
        <v>108891800.5249181</v>
      </c>
      <c r="G109" s="130">
        <v>432.9</v>
      </c>
      <c r="H109" s="134">
        <v>0</v>
      </c>
      <c r="I109" s="139">
        <v>130.18559108448443</v>
      </c>
      <c r="J109" s="143">
        <v>30</v>
      </c>
      <c r="K109" s="147">
        <v>1</v>
      </c>
      <c r="L109" s="144">
        <v>46825</v>
      </c>
      <c r="M109" s="147">
        <v>352.08</v>
      </c>
      <c r="N109" s="151">
        <f t="shared" si="5"/>
        <v>109458803.36353028</v>
      </c>
      <c r="O109" s="10"/>
      <c r="P109" s="15"/>
    </row>
    <row r="110" spans="1:16" ht="12.75">
      <c r="A110" s="179">
        <v>38322</v>
      </c>
      <c r="B110" s="185">
        <v>118965070</v>
      </c>
      <c r="C110" s="190">
        <v>559781.50545</v>
      </c>
      <c r="D110" s="185"/>
      <c r="E110" s="194">
        <v>208200.9017164672</v>
      </c>
      <c r="F110" s="176">
        <f t="shared" si="4"/>
        <v>118197087.59283353</v>
      </c>
      <c r="G110" s="130">
        <v>700.1</v>
      </c>
      <c r="H110" s="134">
        <v>0</v>
      </c>
      <c r="I110" s="139">
        <v>130.45375208681136</v>
      </c>
      <c r="J110" s="143">
        <v>31</v>
      </c>
      <c r="K110" s="147">
        <v>0</v>
      </c>
      <c r="L110" s="144">
        <v>46881</v>
      </c>
      <c r="M110" s="147">
        <v>336.288</v>
      </c>
      <c r="N110" s="151">
        <f t="shared" si="5"/>
        <v>120344228.72684756</v>
      </c>
      <c r="O110" s="10"/>
      <c r="P110" s="15"/>
    </row>
    <row r="111" spans="1:31" ht="12.75">
      <c r="A111" s="179">
        <v>38353</v>
      </c>
      <c r="B111" s="185">
        <v>125529169</v>
      </c>
      <c r="C111" s="190">
        <v>560016.7429500001</v>
      </c>
      <c r="D111" s="185"/>
      <c r="E111" s="194">
        <v>169526.8285187015</v>
      </c>
      <c r="F111" s="176">
        <f t="shared" si="4"/>
        <v>124799625.42853129</v>
      </c>
      <c r="G111" s="130">
        <v>814.7</v>
      </c>
      <c r="H111" s="134">
        <v>0</v>
      </c>
      <c r="I111" s="139">
        <v>130.7437021568508</v>
      </c>
      <c r="J111" s="143">
        <v>31</v>
      </c>
      <c r="K111" s="147">
        <v>0</v>
      </c>
      <c r="L111" s="144">
        <v>46961</v>
      </c>
      <c r="M111" s="147">
        <v>319.92</v>
      </c>
      <c r="N111" s="151">
        <f t="shared" si="5"/>
        <v>122857823.93027297</v>
      </c>
      <c r="O111" s="10"/>
      <c r="P111" s="15"/>
      <c r="AC111" s="11"/>
      <c r="AD111" s="11"/>
      <c r="AE111" s="11"/>
    </row>
    <row r="112" spans="1:16" ht="12.75">
      <c r="A112" s="179">
        <v>38384</v>
      </c>
      <c r="B112" s="185">
        <v>110018389</v>
      </c>
      <c r="C112" s="190">
        <v>494481.45735000004</v>
      </c>
      <c r="D112" s="185">
        <v>1891</v>
      </c>
      <c r="E112" s="194">
        <v>148574.59106780085</v>
      </c>
      <c r="F112" s="176">
        <f t="shared" si="4"/>
        <v>109377223.9515822</v>
      </c>
      <c r="G112" s="130">
        <v>683.5</v>
      </c>
      <c r="H112" s="134">
        <v>0</v>
      </c>
      <c r="I112" s="139">
        <v>131.0342966778299</v>
      </c>
      <c r="J112" s="143">
        <v>28</v>
      </c>
      <c r="K112" s="147">
        <v>0</v>
      </c>
      <c r="L112" s="144">
        <v>47060</v>
      </c>
      <c r="M112" s="147">
        <v>319.872</v>
      </c>
      <c r="N112" s="151">
        <f t="shared" si="5"/>
        <v>113367937.02011916</v>
      </c>
      <c r="O112" s="10"/>
      <c r="P112" s="15"/>
    </row>
    <row r="113" spans="1:16" ht="12.75">
      <c r="A113" s="179">
        <v>38412</v>
      </c>
      <c r="B113" s="185">
        <v>117480987</v>
      </c>
      <c r="C113" s="190">
        <v>561214.5723</v>
      </c>
      <c r="D113" s="185">
        <v>993</v>
      </c>
      <c r="E113" s="194">
        <v>158607.4471404452</v>
      </c>
      <c r="F113" s="176">
        <f t="shared" si="4"/>
        <v>116762157.98055956</v>
      </c>
      <c r="G113" s="130">
        <v>680.5</v>
      </c>
      <c r="H113" s="134">
        <v>0</v>
      </c>
      <c r="I113" s="139">
        <v>131.32553708212293</v>
      </c>
      <c r="J113" s="143">
        <v>31</v>
      </c>
      <c r="K113" s="147">
        <v>1</v>
      </c>
      <c r="L113" s="144">
        <v>47156</v>
      </c>
      <c r="M113" s="147">
        <v>351.912</v>
      </c>
      <c r="N113" s="151">
        <f t="shared" si="5"/>
        <v>119289485.10199386</v>
      </c>
      <c r="O113" s="10"/>
      <c r="P113" s="15"/>
    </row>
    <row r="114" spans="1:16" ht="12.75">
      <c r="A114" s="179">
        <v>38443</v>
      </c>
      <c r="B114" s="185">
        <v>102655932</v>
      </c>
      <c r="C114" s="190">
        <v>533776.4703</v>
      </c>
      <c r="D114" s="185">
        <v>611</v>
      </c>
      <c r="E114" s="194">
        <v>138533.7488153358</v>
      </c>
      <c r="F114" s="176">
        <f t="shared" si="4"/>
        <v>101984232.78088465</v>
      </c>
      <c r="G114" s="130">
        <v>354.6</v>
      </c>
      <c r="H114" s="134">
        <v>0</v>
      </c>
      <c r="I114" s="139">
        <v>131.61742480528775</v>
      </c>
      <c r="J114" s="143">
        <v>30</v>
      </c>
      <c r="K114" s="147">
        <v>1</v>
      </c>
      <c r="L114" s="144">
        <v>47057</v>
      </c>
      <c r="M114" s="147">
        <v>336.24</v>
      </c>
      <c r="N114" s="151">
        <f t="shared" si="5"/>
        <v>107011185.82894522</v>
      </c>
      <c r="O114" s="10"/>
      <c r="P114" s="15"/>
    </row>
    <row r="115" spans="1:16" ht="12.75">
      <c r="A115" s="179">
        <v>38473</v>
      </c>
      <c r="B115" s="185">
        <v>101003739</v>
      </c>
      <c r="C115" s="190">
        <v>540498.6171</v>
      </c>
      <c r="D115" s="185">
        <v>1260</v>
      </c>
      <c r="E115" s="194">
        <v>136283.34846821512</v>
      </c>
      <c r="F115" s="176">
        <f t="shared" si="4"/>
        <v>100328217.03443179</v>
      </c>
      <c r="G115" s="130">
        <v>244.9</v>
      </c>
      <c r="H115" s="134">
        <v>0</v>
      </c>
      <c r="I115" s="139">
        <v>131.90996128607298</v>
      </c>
      <c r="J115" s="143">
        <v>31</v>
      </c>
      <c r="K115" s="147">
        <v>1</v>
      </c>
      <c r="L115" s="144">
        <v>47180</v>
      </c>
      <c r="M115" s="147">
        <v>336.288</v>
      </c>
      <c r="N115" s="151">
        <f t="shared" si="5"/>
        <v>106177826.58096854</v>
      </c>
      <c r="O115" s="10"/>
      <c r="P115" s="15"/>
    </row>
    <row r="116" spans="1:16" ht="12.75">
      <c r="A116" s="179">
        <v>38504</v>
      </c>
      <c r="B116" s="185">
        <v>120806868</v>
      </c>
      <c r="C116" s="190">
        <v>529090.5393000001</v>
      </c>
      <c r="D116" s="185">
        <v>1538</v>
      </c>
      <c r="E116" s="194">
        <v>163162.74685331664</v>
      </c>
      <c r="F116" s="176">
        <f t="shared" si="4"/>
        <v>120116152.71384668</v>
      </c>
      <c r="G116" s="130">
        <v>27.3</v>
      </c>
      <c r="H116" s="134">
        <v>104.8</v>
      </c>
      <c r="I116" s="139">
        <v>132.203147966425</v>
      </c>
      <c r="J116" s="143">
        <v>30</v>
      </c>
      <c r="K116" s="147">
        <v>0</v>
      </c>
      <c r="L116" s="144">
        <v>47430</v>
      </c>
      <c r="M116" s="147">
        <v>352.08</v>
      </c>
      <c r="N116" s="151">
        <f t="shared" si="5"/>
        <v>120409886.38773286</v>
      </c>
      <c r="O116" s="10"/>
      <c r="P116" s="15"/>
    </row>
    <row r="117" spans="1:16" ht="12.75">
      <c r="A117" s="179">
        <v>38534</v>
      </c>
      <c r="B117" s="185">
        <v>121659153</v>
      </c>
      <c r="C117" s="190">
        <v>513321.15825000004</v>
      </c>
      <c r="D117" s="185">
        <v>846</v>
      </c>
      <c r="E117" s="194">
        <v>164340.3055031383</v>
      </c>
      <c r="F117" s="176">
        <f t="shared" si="4"/>
        <v>120982337.53624685</v>
      </c>
      <c r="G117" s="130">
        <v>6.8</v>
      </c>
      <c r="H117" s="134">
        <v>105.4</v>
      </c>
      <c r="I117" s="139">
        <v>132.49698629149512</v>
      </c>
      <c r="J117" s="143">
        <v>31</v>
      </c>
      <c r="K117" s="147">
        <v>0</v>
      </c>
      <c r="L117" s="144">
        <v>47565</v>
      </c>
      <c r="M117" s="147">
        <v>319.92</v>
      </c>
      <c r="N117" s="151">
        <f t="shared" si="5"/>
        <v>120392580.30887628</v>
      </c>
      <c r="O117" s="10"/>
      <c r="P117" s="15"/>
    </row>
    <row r="118" spans="1:16" ht="12.75">
      <c r="A118" s="179">
        <v>38565</v>
      </c>
      <c r="B118" s="185">
        <v>118714206</v>
      </c>
      <c r="C118" s="190">
        <v>531068.4162000001</v>
      </c>
      <c r="D118" s="185">
        <v>976</v>
      </c>
      <c r="E118" s="194">
        <v>160321.26438499312</v>
      </c>
      <c r="F118" s="176">
        <f t="shared" si="4"/>
        <v>118023792.319415</v>
      </c>
      <c r="G118" s="130">
        <v>11.9</v>
      </c>
      <c r="H118" s="134">
        <v>67.9</v>
      </c>
      <c r="I118" s="139">
        <v>132.79147770964664</v>
      </c>
      <c r="J118" s="143">
        <v>31</v>
      </c>
      <c r="K118" s="147">
        <v>0</v>
      </c>
      <c r="L118" s="144">
        <v>47605</v>
      </c>
      <c r="M118" s="147">
        <v>351.912</v>
      </c>
      <c r="N118" s="151">
        <f t="shared" si="5"/>
        <v>115722988.08469093</v>
      </c>
      <c r="O118" s="10"/>
      <c r="P118" s="15"/>
    </row>
    <row r="119" spans="1:16" ht="12.75">
      <c r="A119" s="179">
        <v>38596</v>
      </c>
      <c r="B119" s="185">
        <v>107398525</v>
      </c>
      <c r="C119" s="190">
        <v>513110.38545000006</v>
      </c>
      <c r="D119" s="185">
        <v>1756</v>
      </c>
      <c r="E119" s="194">
        <v>144995.34506915818</v>
      </c>
      <c r="F119" s="176">
        <f t="shared" si="4"/>
        <v>106742175.26948084</v>
      </c>
      <c r="G119" s="130">
        <v>63.4</v>
      </c>
      <c r="H119" s="134">
        <v>13.7</v>
      </c>
      <c r="I119" s="139">
        <v>133.0866236724621</v>
      </c>
      <c r="J119" s="143">
        <v>30</v>
      </c>
      <c r="K119" s="147">
        <v>1</v>
      </c>
      <c r="L119" s="144">
        <v>47806</v>
      </c>
      <c r="M119" s="147">
        <v>336.24</v>
      </c>
      <c r="N119" s="151">
        <f t="shared" si="5"/>
        <v>102861711.57354093</v>
      </c>
      <c r="O119" s="10"/>
      <c r="P119" s="15"/>
    </row>
    <row r="120" spans="1:16" ht="12.75">
      <c r="A120" s="179">
        <v>38626</v>
      </c>
      <c r="B120" s="185">
        <v>108114071</v>
      </c>
      <c r="C120" s="190">
        <v>569068.6819500001</v>
      </c>
      <c r="D120" s="185">
        <v>2427</v>
      </c>
      <c r="E120" s="194">
        <v>145890.10837261958</v>
      </c>
      <c r="F120" s="176">
        <f t="shared" si="4"/>
        <v>107401539.20967738</v>
      </c>
      <c r="G120" s="130">
        <v>259.9</v>
      </c>
      <c r="H120" s="134">
        <v>2.6</v>
      </c>
      <c r="I120" s="139">
        <v>133.38242563475035</v>
      </c>
      <c r="J120" s="143">
        <v>31</v>
      </c>
      <c r="K120" s="147">
        <v>1</v>
      </c>
      <c r="L120" s="144">
        <v>47911</v>
      </c>
      <c r="M120" s="147">
        <v>319.92</v>
      </c>
      <c r="N120" s="151">
        <f t="shared" si="5"/>
        <v>107743549.01239622</v>
      </c>
      <c r="O120" s="10"/>
      <c r="P120" s="15"/>
    </row>
    <row r="121" spans="1:16" ht="12.75">
      <c r="A121" s="179">
        <v>38657</v>
      </c>
      <c r="B121" s="185">
        <v>112273619</v>
      </c>
      <c r="C121" s="190">
        <v>544497.6546</v>
      </c>
      <c r="D121" s="185">
        <v>536</v>
      </c>
      <c r="E121" s="194">
        <v>151566.0725288971</v>
      </c>
      <c r="F121" s="176">
        <f t="shared" si="4"/>
        <v>111578091.2728711</v>
      </c>
      <c r="G121" s="130">
        <v>433.1</v>
      </c>
      <c r="H121" s="134">
        <v>0</v>
      </c>
      <c r="I121" s="139">
        <v>133.6788850545537</v>
      </c>
      <c r="J121" s="143">
        <v>30</v>
      </c>
      <c r="K121" s="147">
        <v>1</v>
      </c>
      <c r="L121" s="144">
        <v>48010</v>
      </c>
      <c r="M121" s="147">
        <v>352.08</v>
      </c>
      <c r="N121" s="151">
        <f t="shared" si="5"/>
        <v>112270180.95354813</v>
      </c>
      <c r="O121" s="10"/>
      <c r="P121" s="15"/>
    </row>
    <row r="122" spans="1:16" ht="12.75">
      <c r="A122" s="179">
        <v>38687</v>
      </c>
      <c r="B122" s="185">
        <v>121150930</v>
      </c>
      <c r="C122" s="190">
        <v>531516.3084</v>
      </c>
      <c r="D122" s="185">
        <v>5480</v>
      </c>
      <c r="E122" s="194">
        <v>163626.1932773784</v>
      </c>
      <c r="F122" s="176">
        <f t="shared" si="4"/>
        <v>120461267.49832262</v>
      </c>
      <c r="G122" s="130">
        <v>721.6</v>
      </c>
      <c r="H122" s="134">
        <v>0</v>
      </c>
      <c r="I122" s="139">
        <v>133.97600339315525</v>
      </c>
      <c r="J122" s="143">
        <v>31</v>
      </c>
      <c r="K122" s="147">
        <v>0</v>
      </c>
      <c r="L122" s="144">
        <v>48041</v>
      </c>
      <c r="M122" s="147">
        <v>319.92</v>
      </c>
      <c r="N122" s="151">
        <f t="shared" si="5"/>
        <v>122780939.39723092</v>
      </c>
      <c r="O122" s="10"/>
      <c r="P122" s="15"/>
    </row>
    <row r="123" spans="1:31" ht="12.75">
      <c r="A123" s="179">
        <v>38718</v>
      </c>
      <c r="B123" s="184">
        <v>120719775</v>
      </c>
      <c r="C123" s="189">
        <v>495201.28410000005</v>
      </c>
      <c r="D123" s="184">
        <v>3630</v>
      </c>
      <c r="E123" s="193">
        <v>196929.25153642692</v>
      </c>
      <c r="F123" s="176">
        <f t="shared" si="4"/>
        <v>120031274.46436357</v>
      </c>
      <c r="G123" s="130">
        <v>590.6</v>
      </c>
      <c r="H123" s="134">
        <v>0</v>
      </c>
      <c r="I123" s="139">
        <v>134.25197202423305</v>
      </c>
      <c r="J123" s="143">
        <v>31</v>
      </c>
      <c r="K123" s="147">
        <v>0</v>
      </c>
      <c r="L123" s="144">
        <v>48141</v>
      </c>
      <c r="M123" s="147">
        <v>336.288</v>
      </c>
      <c r="N123" s="151">
        <f t="shared" si="5"/>
        <v>120234323.4841018</v>
      </c>
      <c r="O123" s="10"/>
      <c r="P123" s="15"/>
      <c r="AC123" s="11"/>
      <c r="AD123" s="11"/>
      <c r="AE123" s="11"/>
    </row>
    <row r="124" spans="1:16" ht="12.75">
      <c r="A124" s="179">
        <v>38749</v>
      </c>
      <c r="B124" s="184">
        <v>111241852</v>
      </c>
      <c r="C124" s="189">
        <v>462157.00200000004</v>
      </c>
      <c r="D124" s="184">
        <v>4968</v>
      </c>
      <c r="E124" s="193">
        <v>181458.43022859978</v>
      </c>
      <c r="F124" s="176">
        <f t="shared" si="4"/>
        <v>110603204.56777139</v>
      </c>
      <c r="G124" s="130">
        <v>651.2</v>
      </c>
      <c r="H124" s="134">
        <v>0</v>
      </c>
      <c r="I124" s="139">
        <v>134.5285091055065</v>
      </c>
      <c r="J124" s="143">
        <v>28</v>
      </c>
      <c r="K124" s="147">
        <v>0</v>
      </c>
      <c r="L124" s="144">
        <v>48205</v>
      </c>
      <c r="M124" s="147">
        <v>319.872</v>
      </c>
      <c r="N124" s="151">
        <f t="shared" si="5"/>
        <v>115183350.15179431</v>
      </c>
      <c r="O124" s="10"/>
      <c r="P124" s="15"/>
    </row>
    <row r="125" spans="1:16" ht="12.75">
      <c r="A125" s="179">
        <v>38777</v>
      </c>
      <c r="B125" s="184">
        <v>118804708</v>
      </c>
      <c r="C125" s="189">
        <v>502980.11775000003</v>
      </c>
      <c r="D125" s="184">
        <v>3065</v>
      </c>
      <c r="E125" s="193">
        <v>193779.60767297313</v>
      </c>
      <c r="F125" s="176">
        <f t="shared" si="4"/>
        <v>118111013.27457702</v>
      </c>
      <c r="G125" s="130">
        <v>562.4</v>
      </c>
      <c r="H125" s="134">
        <v>0</v>
      </c>
      <c r="I125" s="139">
        <v>134.80561580788986</v>
      </c>
      <c r="J125" s="143">
        <v>31</v>
      </c>
      <c r="K125" s="147">
        <v>1</v>
      </c>
      <c r="L125" s="144">
        <v>48263</v>
      </c>
      <c r="M125" s="147">
        <v>368.28</v>
      </c>
      <c r="N125" s="151">
        <f t="shared" si="5"/>
        <v>119535436.40348116</v>
      </c>
      <c r="O125" s="10"/>
      <c r="P125" s="15"/>
    </row>
    <row r="126" spans="1:16" ht="12.75">
      <c r="A126" s="179">
        <v>38808</v>
      </c>
      <c r="B126" s="184">
        <v>101928394</v>
      </c>
      <c r="C126" s="189">
        <v>459428.24700000085</v>
      </c>
      <c r="D126" s="184">
        <v>2611</v>
      </c>
      <c r="E126" s="193">
        <v>166207.34731930206</v>
      </c>
      <c r="F126" s="176">
        <f t="shared" si="4"/>
        <v>101305369.4056807</v>
      </c>
      <c r="G126" s="130">
        <v>322.5</v>
      </c>
      <c r="H126" s="134">
        <v>0</v>
      </c>
      <c r="I126" s="139">
        <v>135.08329330470943</v>
      </c>
      <c r="J126" s="143">
        <v>30</v>
      </c>
      <c r="K126" s="147">
        <v>1</v>
      </c>
      <c r="L126" s="144">
        <v>48272</v>
      </c>
      <c r="M126" s="147">
        <v>303.84</v>
      </c>
      <c r="N126" s="151">
        <f t="shared" si="5"/>
        <v>107098390.78838482</v>
      </c>
      <c r="O126" s="10"/>
      <c r="P126" s="15"/>
    </row>
    <row r="127" spans="1:16" ht="12.75">
      <c r="A127" s="179">
        <v>38838</v>
      </c>
      <c r="B127" s="184">
        <v>109352162</v>
      </c>
      <c r="C127" s="189"/>
      <c r="D127" s="184">
        <v>2275</v>
      </c>
      <c r="E127" s="193">
        <v>179120.11455693017</v>
      </c>
      <c r="F127" s="176">
        <f t="shared" si="4"/>
        <v>109175316.88544308</v>
      </c>
      <c r="G127" s="130">
        <v>177.8</v>
      </c>
      <c r="H127" s="134">
        <v>17.7</v>
      </c>
      <c r="I127" s="139">
        <v>135.3615427717083</v>
      </c>
      <c r="J127" s="143">
        <v>31</v>
      </c>
      <c r="K127" s="147">
        <v>1</v>
      </c>
      <c r="L127" s="144">
        <v>48222</v>
      </c>
      <c r="M127" s="147">
        <v>351.912</v>
      </c>
      <c r="N127" s="151">
        <f t="shared" si="5"/>
        <v>110901803.53770989</v>
      </c>
      <c r="O127" s="10"/>
      <c r="P127" s="15"/>
    </row>
    <row r="128" spans="1:16" ht="12.75">
      <c r="A128" s="179">
        <v>38869</v>
      </c>
      <c r="B128" s="184">
        <v>114158685</v>
      </c>
      <c r="C128" s="189"/>
      <c r="D128" s="184">
        <v>1302</v>
      </c>
      <c r="E128" s="193">
        <v>186993.25519388</v>
      </c>
      <c r="F128" s="176">
        <f t="shared" si="4"/>
        <v>113972993.74480613</v>
      </c>
      <c r="G128" s="130">
        <v>44.1</v>
      </c>
      <c r="H128" s="134">
        <v>32.2</v>
      </c>
      <c r="I128" s="139">
        <v>135.64036538705133</v>
      </c>
      <c r="J128" s="143">
        <v>30</v>
      </c>
      <c r="K128" s="147">
        <v>0</v>
      </c>
      <c r="L128" s="144">
        <v>48352</v>
      </c>
      <c r="M128" s="147">
        <v>352.08</v>
      </c>
      <c r="N128" s="151">
        <f t="shared" si="5"/>
        <v>110082247.82549646</v>
      </c>
      <c r="O128" s="10"/>
      <c r="P128" s="15"/>
    </row>
    <row r="129" spans="1:16" ht="12.75">
      <c r="A129" s="179">
        <v>38899</v>
      </c>
      <c r="B129" s="184">
        <v>126395645</v>
      </c>
      <c r="C129" s="189"/>
      <c r="D129" s="184">
        <v>1987</v>
      </c>
      <c r="E129" s="193">
        <v>207037.53815033924</v>
      </c>
      <c r="F129" s="176">
        <f t="shared" si="4"/>
        <v>126190594.46184966</v>
      </c>
      <c r="G129" s="130">
        <v>6.5</v>
      </c>
      <c r="H129" s="134">
        <v>117.2</v>
      </c>
      <c r="I129" s="139">
        <v>135.9197623313303</v>
      </c>
      <c r="J129" s="143">
        <v>31</v>
      </c>
      <c r="K129" s="147">
        <v>0</v>
      </c>
      <c r="L129" s="144">
        <v>48357</v>
      </c>
      <c r="M129" s="147">
        <v>319.92</v>
      </c>
      <c r="N129" s="151">
        <f t="shared" si="5"/>
        <v>124585770.13915926</v>
      </c>
      <c r="O129" s="10"/>
      <c r="P129" s="15"/>
    </row>
    <row r="130" spans="1:16" ht="12.75">
      <c r="A130" s="179">
        <v>38930</v>
      </c>
      <c r="B130" s="184">
        <v>119390829</v>
      </c>
      <c r="C130" s="189"/>
      <c r="D130" s="184">
        <v>1149</v>
      </c>
      <c r="E130" s="193">
        <v>195563.56798438847</v>
      </c>
      <c r="F130" s="176">
        <f t="shared" si="4"/>
        <v>119196414.43201561</v>
      </c>
      <c r="G130" s="130">
        <v>27.5</v>
      </c>
      <c r="H130" s="134">
        <v>45.5</v>
      </c>
      <c r="I130" s="139">
        <v>136.1997347875688</v>
      </c>
      <c r="J130" s="143">
        <v>31</v>
      </c>
      <c r="K130" s="147">
        <v>0</v>
      </c>
      <c r="L130" s="144">
        <v>48485</v>
      </c>
      <c r="M130" s="147">
        <v>351.912</v>
      </c>
      <c r="N130" s="151">
        <f t="shared" si="5"/>
        <v>114348141.5897749</v>
      </c>
      <c r="O130" s="10"/>
      <c r="P130" s="15"/>
    </row>
    <row r="131" spans="1:16" ht="12.75">
      <c r="A131" s="179">
        <v>38961</v>
      </c>
      <c r="B131" s="184">
        <v>106375052</v>
      </c>
      <c r="C131" s="189"/>
      <c r="D131" s="184">
        <v>2095</v>
      </c>
      <c r="E131" s="193">
        <v>174243.57371406522</v>
      </c>
      <c r="F131" s="176">
        <f t="shared" si="4"/>
        <v>106202903.42628594</v>
      </c>
      <c r="G131" s="130">
        <v>130.3</v>
      </c>
      <c r="H131" s="134">
        <v>2.3</v>
      </c>
      <c r="I131" s="139">
        <v>136.48028394122719</v>
      </c>
      <c r="J131" s="143">
        <v>30</v>
      </c>
      <c r="K131" s="147">
        <v>1</v>
      </c>
      <c r="L131" s="144">
        <v>48589</v>
      </c>
      <c r="M131" s="147">
        <v>319.68</v>
      </c>
      <c r="N131" s="151">
        <f aca="true" t="shared" si="6" ref="N131:N162">$R$18+G131*$R$19+H131*$R$20+I131*$R$21+J131*$R$22+K131*$R$23+L131*$R$24+M131*$R$25</f>
        <v>103799759.33564481</v>
      </c>
      <c r="O131" s="10"/>
      <c r="P131" s="15"/>
    </row>
    <row r="132" spans="1:16" ht="12.75">
      <c r="A132" s="179">
        <v>38991</v>
      </c>
      <c r="B132" s="184">
        <v>113289697</v>
      </c>
      <c r="C132" s="189"/>
      <c r="D132" s="184">
        <v>4051</v>
      </c>
      <c r="E132" s="193">
        <v>185569.84273214376</v>
      </c>
      <c r="F132" s="176">
        <f aca="true" t="shared" si="7" ref="F132:F170">+B132-C132+D132-E132</f>
        <v>113108178.15726785</v>
      </c>
      <c r="G132" s="130">
        <v>335.1</v>
      </c>
      <c r="H132" s="134">
        <v>0</v>
      </c>
      <c r="I132" s="139">
        <v>136.76141098020776</v>
      </c>
      <c r="J132" s="143">
        <v>31</v>
      </c>
      <c r="K132" s="147">
        <v>1</v>
      </c>
      <c r="L132" s="144">
        <v>48653</v>
      </c>
      <c r="M132" s="147">
        <v>336.288</v>
      </c>
      <c r="N132" s="151">
        <f t="shared" si="6"/>
        <v>112316863.49016397</v>
      </c>
      <c r="O132" s="10"/>
      <c r="P132" s="15"/>
    </row>
    <row r="133" spans="1:16" ht="12.75">
      <c r="A133" s="179">
        <v>39022</v>
      </c>
      <c r="B133" s="184">
        <v>115282364</v>
      </c>
      <c r="C133" s="189"/>
      <c r="D133" s="184">
        <v>2083</v>
      </c>
      <c r="E133" s="193">
        <v>188833.85447901546</v>
      </c>
      <c r="F133" s="176">
        <f t="shared" si="7"/>
        <v>115095613.14552099</v>
      </c>
      <c r="G133" s="130">
        <v>415.9</v>
      </c>
      <c r="H133" s="134">
        <v>0</v>
      </c>
      <c r="I133" s="139">
        <v>137.04311709485967</v>
      </c>
      <c r="J133" s="143">
        <v>30</v>
      </c>
      <c r="K133" s="147">
        <v>1</v>
      </c>
      <c r="L133" s="144">
        <v>48727</v>
      </c>
      <c r="M133" s="147">
        <v>352.08</v>
      </c>
      <c r="N133" s="151">
        <f t="shared" si="6"/>
        <v>113703334.88573426</v>
      </c>
      <c r="O133" s="10"/>
      <c r="P133" s="15"/>
    </row>
    <row r="134" spans="1:16" ht="12.75">
      <c r="A134" s="179">
        <v>39052</v>
      </c>
      <c r="B134" s="184">
        <v>119730905</v>
      </c>
      <c r="C134" s="189"/>
      <c r="D134" s="184">
        <v>5460</v>
      </c>
      <c r="E134" s="193">
        <v>196120.61643193595</v>
      </c>
      <c r="F134" s="176">
        <f t="shared" si="7"/>
        <v>119540244.38356806</v>
      </c>
      <c r="G134" s="130">
        <v>545.2</v>
      </c>
      <c r="H134" s="134">
        <v>0</v>
      </c>
      <c r="I134" s="139">
        <v>137.3254034779841</v>
      </c>
      <c r="J134" s="143">
        <v>31</v>
      </c>
      <c r="K134" s="147">
        <v>0</v>
      </c>
      <c r="L134" s="144">
        <v>48779</v>
      </c>
      <c r="M134" s="147">
        <v>304.296</v>
      </c>
      <c r="N134" s="151">
        <f t="shared" si="6"/>
        <v>118835367.75157204</v>
      </c>
      <c r="O134" s="10"/>
      <c r="P134" s="15"/>
    </row>
    <row r="135" spans="1:31" ht="12.75">
      <c r="A135" s="179">
        <v>39083</v>
      </c>
      <c r="B135" s="184">
        <v>127521206</v>
      </c>
      <c r="C135" s="189"/>
      <c r="D135" s="184">
        <v>3907</v>
      </c>
      <c r="E135" s="193">
        <v>220175.70785256205</v>
      </c>
      <c r="F135" s="176">
        <f t="shared" si="7"/>
        <v>127304937.29214744</v>
      </c>
      <c r="G135" s="130">
        <v>698.3</v>
      </c>
      <c r="H135" s="134">
        <v>0</v>
      </c>
      <c r="I135" s="139">
        <v>137.5858759607308</v>
      </c>
      <c r="J135" s="143">
        <v>31</v>
      </c>
      <c r="K135" s="147">
        <v>0</v>
      </c>
      <c r="L135" s="144">
        <v>48826</v>
      </c>
      <c r="M135" s="147">
        <v>351.912</v>
      </c>
      <c r="N135" s="151">
        <f t="shared" si="6"/>
        <v>126044267.47774896</v>
      </c>
      <c r="O135" s="10"/>
      <c r="P135" s="15"/>
      <c r="AC135" s="11"/>
      <c r="AD135" s="11"/>
      <c r="AE135" s="11"/>
    </row>
    <row r="136" spans="1:16" ht="12.75">
      <c r="A136" s="179">
        <v>39114</v>
      </c>
      <c r="B136" s="184">
        <v>121012861</v>
      </c>
      <c r="C136" s="189"/>
      <c r="D136" s="184">
        <v>4243</v>
      </c>
      <c r="E136" s="193">
        <v>208938.52219323194</v>
      </c>
      <c r="F136" s="176">
        <f t="shared" si="7"/>
        <v>120808165.47780676</v>
      </c>
      <c r="G136" s="130">
        <v>785.1</v>
      </c>
      <c r="H136" s="134">
        <v>0</v>
      </c>
      <c r="I136" s="139">
        <v>137.84684249565245</v>
      </c>
      <c r="J136" s="143">
        <v>28</v>
      </c>
      <c r="K136" s="147">
        <v>0</v>
      </c>
      <c r="L136" s="144">
        <v>48864</v>
      </c>
      <c r="M136" s="147">
        <v>319.872</v>
      </c>
      <c r="N136" s="151">
        <f t="shared" si="6"/>
        <v>120790564.25274187</v>
      </c>
      <c r="O136" s="10"/>
      <c r="P136" s="15"/>
    </row>
    <row r="137" spans="1:16" ht="12.75">
      <c r="A137" s="179">
        <v>39142</v>
      </c>
      <c r="B137" s="184">
        <v>122882865</v>
      </c>
      <c r="C137" s="189"/>
      <c r="D137" s="184">
        <v>0</v>
      </c>
      <c r="E137" s="193">
        <v>212167.23581116245</v>
      </c>
      <c r="F137" s="176">
        <f t="shared" si="7"/>
        <v>122670697.76418884</v>
      </c>
      <c r="G137" s="130">
        <v>582</v>
      </c>
      <c r="H137" s="134">
        <v>0</v>
      </c>
      <c r="I137" s="139">
        <v>138.10830401984444</v>
      </c>
      <c r="J137" s="143">
        <v>31</v>
      </c>
      <c r="K137" s="147">
        <v>1</v>
      </c>
      <c r="L137" s="144">
        <v>48982</v>
      </c>
      <c r="M137" s="147">
        <v>351.912</v>
      </c>
      <c r="N137" s="151">
        <f t="shared" si="6"/>
        <v>121067387.94826388</v>
      </c>
      <c r="O137" s="10"/>
      <c r="P137" s="15"/>
    </row>
    <row r="138" spans="1:16" ht="12.75">
      <c r="A138" s="179">
        <v>39173</v>
      </c>
      <c r="B138" s="184">
        <v>110585850</v>
      </c>
      <c r="C138" s="189"/>
      <c r="D138" s="184">
        <v>0</v>
      </c>
      <c r="E138" s="193">
        <v>190935.44176665996</v>
      </c>
      <c r="F138" s="176">
        <f t="shared" si="7"/>
        <v>110394914.55823334</v>
      </c>
      <c r="G138" s="130">
        <v>403</v>
      </c>
      <c r="H138" s="134">
        <v>0</v>
      </c>
      <c r="I138" s="139">
        <v>138.37026147217955</v>
      </c>
      <c r="J138" s="143">
        <v>30</v>
      </c>
      <c r="K138" s="147">
        <v>1</v>
      </c>
      <c r="L138" s="144">
        <v>48695</v>
      </c>
      <c r="M138" s="147">
        <v>319.68</v>
      </c>
      <c r="N138" s="151">
        <f t="shared" si="6"/>
        <v>111658102.31790723</v>
      </c>
      <c r="O138" s="10"/>
      <c r="P138" s="15"/>
    </row>
    <row r="139" spans="1:16" ht="12.75">
      <c r="A139" s="179">
        <v>39203</v>
      </c>
      <c r="B139" s="184">
        <v>110694689</v>
      </c>
      <c r="C139" s="189"/>
      <c r="D139" s="184">
        <v>437</v>
      </c>
      <c r="E139" s="193">
        <v>191123.36113018112</v>
      </c>
      <c r="F139" s="176">
        <f t="shared" si="7"/>
        <v>110504002.63886982</v>
      </c>
      <c r="G139" s="130">
        <v>166.4</v>
      </c>
      <c r="H139" s="134">
        <v>11.2</v>
      </c>
      <c r="I139" s="139">
        <v>138.63271579331135</v>
      </c>
      <c r="J139" s="143">
        <v>31</v>
      </c>
      <c r="K139" s="147">
        <v>1</v>
      </c>
      <c r="L139" s="144">
        <v>48892</v>
      </c>
      <c r="M139" s="147">
        <v>351.912</v>
      </c>
      <c r="N139" s="151">
        <f t="shared" si="6"/>
        <v>111222135.44674024</v>
      </c>
      <c r="O139" s="10"/>
      <c r="P139" s="15"/>
    </row>
    <row r="140" spans="1:16" ht="12.75">
      <c r="A140" s="179">
        <v>39234</v>
      </c>
      <c r="B140" s="184">
        <v>119622506</v>
      </c>
      <c r="C140" s="189"/>
      <c r="D140" s="184">
        <v>2419</v>
      </c>
      <c r="E140" s="193">
        <v>206537.96148734158</v>
      </c>
      <c r="F140" s="176">
        <f t="shared" si="7"/>
        <v>119418387.03851266</v>
      </c>
      <c r="G140" s="130">
        <v>35.5</v>
      </c>
      <c r="H140" s="134">
        <v>51.2</v>
      </c>
      <c r="I140" s="139">
        <v>138.89566792567766</v>
      </c>
      <c r="J140" s="143">
        <v>30</v>
      </c>
      <c r="K140" s="147">
        <v>0</v>
      </c>
      <c r="L140" s="144">
        <v>48942</v>
      </c>
      <c r="M140" s="147">
        <v>336.24</v>
      </c>
      <c r="N140" s="151">
        <f t="shared" si="6"/>
        <v>114030753.78508607</v>
      </c>
      <c r="O140" s="10"/>
      <c r="P140" s="15"/>
    </row>
    <row r="141" spans="1:16" ht="12.75">
      <c r="A141" s="179">
        <v>39264</v>
      </c>
      <c r="B141" s="184">
        <v>118464242</v>
      </c>
      <c r="C141" s="189"/>
      <c r="D141" s="184">
        <v>1419</v>
      </c>
      <c r="E141" s="193">
        <v>204538.12472230865</v>
      </c>
      <c r="F141" s="176">
        <f t="shared" si="7"/>
        <v>118261122.8752777</v>
      </c>
      <c r="G141" s="130">
        <v>28</v>
      </c>
      <c r="H141" s="134">
        <v>53.8</v>
      </c>
      <c r="I141" s="139">
        <v>139.1591188135038</v>
      </c>
      <c r="J141" s="143">
        <v>31</v>
      </c>
      <c r="K141" s="147">
        <v>0</v>
      </c>
      <c r="L141" s="144">
        <v>49055</v>
      </c>
      <c r="M141" s="147">
        <v>336.288</v>
      </c>
      <c r="N141" s="151">
        <f t="shared" si="6"/>
        <v>116544483.14003961</v>
      </c>
      <c r="O141" s="10"/>
      <c r="P141" s="15"/>
    </row>
    <row r="142" spans="1:16" ht="12.75">
      <c r="A142" s="179">
        <v>39295</v>
      </c>
      <c r="B142" s="184">
        <v>122840707</v>
      </c>
      <c r="C142" s="189"/>
      <c r="D142" s="184">
        <v>1451</v>
      </c>
      <c r="E142" s="193">
        <v>212094.44660391757</v>
      </c>
      <c r="F142" s="176">
        <f t="shared" si="7"/>
        <v>122630063.55339608</v>
      </c>
      <c r="G142" s="130">
        <v>19.7</v>
      </c>
      <c r="H142" s="134">
        <v>65.1</v>
      </c>
      <c r="I142" s="139">
        <v>139.4230694028061</v>
      </c>
      <c r="J142" s="143">
        <v>31</v>
      </c>
      <c r="K142" s="147">
        <v>0</v>
      </c>
      <c r="L142" s="144">
        <v>49140</v>
      </c>
      <c r="M142" s="147">
        <v>351.912</v>
      </c>
      <c r="N142" s="151">
        <f t="shared" si="6"/>
        <v>119449824.19288832</v>
      </c>
      <c r="O142" s="10"/>
      <c r="P142" s="15"/>
    </row>
    <row r="143" spans="1:16" ht="12.75">
      <c r="A143" s="179">
        <v>39326</v>
      </c>
      <c r="B143" s="184">
        <v>112981597</v>
      </c>
      <c r="C143" s="189"/>
      <c r="D143" s="184">
        <v>5240</v>
      </c>
      <c r="E143" s="193">
        <v>195071.89332720003</v>
      </c>
      <c r="F143" s="176">
        <f t="shared" si="7"/>
        <v>112791765.1066728</v>
      </c>
      <c r="G143" s="130">
        <v>74.7</v>
      </c>
      <c r="H143" s="134">
        <v>28</v>
      </c>
      <c r="I143" s="139">
        <v>139.68752064139528</v>
      </c>
      <c r="J143" s="143">
        <v>30</v>
      </c>
      <c r="K143" s="147">
        <v>1</v>
      </c>
      <c r="L143" s="144">
        <v>49319</v>
      </c>
      <c r="M143" s="147">
        <v>303.84</v>
      </c>
      <c r="N143" s="151">
        <f t="shared" si="6"/>
        <v>107873640.67355072</v>
      </c>
      <c r="O143" s="10"/>
      <c r="P143" s="15"/>
    </row>
    <row r="144" spans="1:16" ht="12.75">
      <c r="A144" s="179">
        <v>39356</v>
      </c>
      <c r="B144" s="184">
        <v>115330216</v>
      </c>
      <c r="C144" s="189"/>
      <c r="D144" s="184">
        <v>8370</v>
      </c>
      <c r="E144" s="193">
        <v>199126.97457228313</v>
      </c>
      <c r="F144" s="176">
        <f t="shared" si="7"/>
        <v>115139459.02542771</v>
      </c>
      <c r="G144" s="130">
        <v>184.7</v>
      </c>
      <c r="H144" s="134">
        <v>10.9</v>
      </c>
      <c r="I144" s="139">
        <v>139.95247347887977</v>
      </c>
      <c r="J144" s="143">
        <v>31</v>
      </c>
      <c r="K144" s="147">
        <v>1</v>
      </c>
      <c r="L144" s="144">
        <v>49435</v>
      </c>
      <c r="M144" s="147">
        <v>351.912</v>
      </c>
      <c r="N144" s="151">
        <f t="shared" si="6"/>
        <v>112922764.88996387</v>
      </c>
      <c r="O144" s="10"/>
      <c r="P144" s="15"/>
    </row>
    <row r="145" spans="1:16" ht="12.75">
      <c r="A145" s="179">
        <v>39387</v>
      </c>
      <c r="B145" s="184">
        <v>118785032</v>
      </c>
      <c r="C145" s="189"/>
      <c r="D145" s="184">
        <v>9857</v>
      </c>
      <c r="E145" s="193">
        <v>205091.99468274505</v>
      </c>
      <c r="F145" s="176">
        <f t="shared" si="7"/>
        <v>118589797.00531726</v>
      </c>
      <c r="G145" s="130">
        <v>511.8</v>
      </c>
      <c r="H145" s="134">
        <v>0</v>
      </c>
      <c r="I145" s="139">
        <v>140.21792886666915</v>
      </c>
      <c r="J145" s="143">
        <v>30</v>
      </c>
      <c r="K145" s="147">
        <v>1</v>
      </c>
      <c r="L145" s="144">
        <v>49527</v>
      </c>
      <c r="M145" s="147">
        <v>352.08</v>
      </c>
      <c r="N145" s="151">
        <f t="shared" si="6"/>
        <v>118465704.60476723</v>
      </c>
      <c r="O145" s="10"/>
      <c r="P145" s="15"/>
    </row>
    <row r="146" spans="1:16" ht="12.75">
      <c r="A146" s="179">
        <v>39417</v>
      </c>
      <c r="B146" s="184">
        <v>125267404</v>
      </c>
      <c r="C146" s="189"/>
      <c r="D146" s="184">
        <v>4607</v>
      </c>
      <c r="E146" s="193">
        <v>216284.33585040644</v>
      </c>
      <c r="F146" s="176">
        <f t="shared" si="7"/>
        <v>125055726.6641496</v>
      </c>
      <c r="G146" s="130">
        <v>686.6</v>
      </c>
      <c r="H146" s="134">
        <v>0</v>
      </c>
      <c r="I146" s="139">
        <v>140.48388775797773</v>
      </c>
      <c r="J146" s="143">
        <v>31</v>
      </c>
      <c r="K146" s="147">
        <v>0</v>
      </c>
      <c r="L146" s="144">
        <v>49558</v>
      </c>
      <c r="M146" s="147">
        <v>304.296</v>
      </c>
      <c r="N146" s="151">
        <f t="shared" si="6"/>
        <v>124847698.50713116</v>
      </c>
      <c r="O146" s="10"/>
      <c r="P146" s="15"/>
    </row>
    <row r="147" spans="1:14" ht="12.75">
      <c r="A147" s="179">
        <v>39448</v>
      </c>
      <c r="B147" s="186">
        <v>129540752</v>
      </c>
      <c r="C147" s="144"/>
      <c r="D147" s="186">
        <v>22682</v>
      </c>
      <c r="E147" s="195">
        <v>180694.08408251102</v>
      </c>
      <c r="F147" s="176">
        <f t="shared" si="7"/>
        <v>129382739.91591749</v>
      </c>
      <c r="G147" s="131">
        <v>676.8</v>
      </c>
      <c r="H147" s="135">
        <v>0</v>
      </c>
      <c r="I147" s="138">
        <v>140.42521823206457</v>
      </c>
      <c r="J147" s="143">
        <v>31</v>
      </c>
      <c r="K147" s="147">
        <v>0</v>
      </c>
      <c r="L147" s="144">
        <v>49631</v>
      </c>
      <c r="M147" s="153">
        <v>352</v>
      </c>
      <c r="N147" s="151">
        <f t="shared" si="6"/>
        <v>127428436.96115355</v>
      </c>
    </row>
    <row r="148" spans="1:14" ht="12.75">
      <c r="A148" s="179">
        <v>39479</v>
      </c>
      <c r="B148" s="186">
        <v>121546289</v>
      </c>
      <c r="C148" s="144"/>
      <c r="D148" s="186">
        <v>12657</v>
      </c>
      <c r="E148" s="195">
        <v>169542.75025733357</v>
      </c>
      <c r="F148" s="176">
        <f t="shared" si="7"/>
        <v>121389403.24974267</v>
      </c>
      <c r="G148" s="131">
        <v>651.2</v>
      </c>
      <c r="H148" s="135">
        <v>0</v>
      </c>
      <c r="I148" s="138">
        <v>140.36657320798807</v>
      </c>
      <c r="J148" s="143">
        <v>29</v>
      </c>
      <c r="K148" s="147">
        <v>0</v>
      </c>
      <c r="L148" s="144">
        <v>49649</v>
      </c>
      <c r="M148" s="153">
        <v>320</v>
      </c>
      <c r="N148" s="151">
        <f t="shared" si="6"/>
        <v>120891596.131684</v>
      </c>
    </row>
    <row r="149" spans="1:14" ht="12.75">
      <c r="A149" s="179">
        <v>39508</v>
      </c>
      <c r="B149" s="186">
        <v>123025577</v>
      </c>
      <c r="C149" s="144"/>
      <c r="D149" s="186">
        <v>11617</v>
      </c>
      <c r="E149" s="195">
        <v>171606.18269945995</v>
      </c>
      <c r="F149" s="176">
        <f t="shared" si="7"/>
        <v>122865587.81730054</v>
      </c>
      <c r="G149" s="131">
        <v>686.1</v>
      </c>
      <c r="H149" s="135">
        <v>0</v>
      </c>
      <c r="I149" s="138">
        <v>140.30795267551565</v>
      </c>
      <c r="J149" s="143">
        <v>31</v>
      </c>
      <c r="K149" s="147">
        <v>1</v>
      </c>
      <c r="L149" s="144">
        <v>49699</v>
      </c>
      <c r="M149" s="153">
        <v>304</v>
      </c>
      <c r="N149" s="151">
        <f t="shared" si="6"/>
        <v>122988300.37747262</v>
      </c>
    </row>
    <row r="150" spans="1:14" ht="12.75">
      <c r="A150" s="179">
        <v>39539</v>
      </c>
      <c r="B150" s="186">
        <v>110354711</v>
      </c>
      <c r="C150" s="144"/>
      <c r="D150" s="186">
        <v>8264</v>
      </c>
      <c r="E150" s="195">
        <v>153931.81775210943</v>
      </c>
      <c r="F150" s="176">
        <f t="shared" si="7"/>
        <v>110209043.18224789</v>
      </c>
      <c r="G150" s="131">
        <v>297.9</v>
      </c>
      <c r="H150" s="135">
        <v>0</v>
      </c>
      <c r="I150" s="138">
        <v>140.24935662441902</v>
      </c>
      <c r="J150" s="143">
        <v>30</v>
      </c>
      <c r="K150" s="147">
        <v>1</v>
      </c>
      <c r="L150" s="144">
        <v>49603</v>
      </c>
      <c r="M150" s="153">
        <v>352</v>
      </c>
      <c r="N150" s="151">
        <f t="shared" si="6"/>
        <v>112535001.26183555</v>
      </c>
    </row>
    <row r="151" spans="1:14" ht="12.75">
      <c r="A151" s="179">
        <v>39569</v>
      </c>
      <c r="B151" s="186">
        <v>107757169</v>
      </c>
      <c r="C151" s="144"/>
      <c r="D151" s="186">
        <v>8874</v>
      </c>
      <c r="E151" s="195">
        <v>150308.5527539577</v>
      </c>
      <c r="F151" s="176">
        <f t="shared" si="7"/>
        <v>107615734.44724604</v>
      </c>
      <c r="G151" s="131">
        <v>243.1</v>
      </c>
      <c r="H151" s="135">
        <v>0.7</v>
      </c>
      <c r="I151" s="138">
        <v>140.19078504447415</v>
      </c>
      <c r="J151" s="143">
        <v>31</v>
      </c>
      <c r="K151" s="147">
        <v>1</v>
      </c>
      <c r="L151" s="144">
        <v>49718</v>
      </c>
      <c r="M151" s="153">
        <v>336</v>
      </c>
      <c r="N151" s="151">
        <f t="shared" si="6"/>
        <v>112388812.15074307</v>
      </c>
    </row>
    <row r="152" spans="1:14" ht="12.75">
      <c r="A152" s="179">
        <v>39600</v>
      </c>
      <c r="B152" s="186">
        <v>115141214</v>
      </c>
      <c r="C152" s="144"/>
      <c r="D152" s="186">
        <v>6366</v>
      </c>
      <c r="E152" s="195">
        <v>160608.42540020452</v>
      </c>
      <c r="F152" s="176">
        <f t="shared" si="7"/>
        <v>114986971.5745998</v>
      </c>
      <c r="G152" s="131">
        <v>40.6</v>
      </c>
      <c r="H152" s="135">
        <v>53</v>
      </c>
      <c r="I152" s="138">
        <v>140.1322379254613</v>
      </c>
      <c r="J152" s="143">
        <v>30</v>
      </c>
      <c r="K152" s="147">
        <v>0</v>
      </c>
      <c r="L152" s="144">
        <v>49781</v>
      </c>
      <c r="M152" s="153">
        <v>336</v>
      </c>
      <c r="N152" s="151">
        <f t="shared" si="6"/>
        <v>116252157.17231739</v>
      </c>
    </row>
    <row r="153" spans="1:14" ht="12.75">
      <c r="A153" s="179">
        <v>39630</v>
      </c>
      <c r="B153" s="186">
        <v>125482805</v>
      </c>
      <c r="C153" s="144"/>
      <c r="D153" s="186">
        <v>4505</v>
      </c>
      <c r="E153" s="195">
        <v>175033.72620207837</v>
      </c>
      <c r="F153" s="176">
        <f t="shared" si="7"/>
        <v>125312276.27379791</v>
      </c>
      <c r="G153" s="131">
        <v>7.6</v>
      </c>
      <c r="H153" s="135">
        <v>75.8</v>
      </c>
      <c r="I153" s="138">
        <v>140.073715257165</v>
      </c>
      <c r="J153" s="143">
        <v>31</v>
      </c>
      <c r="K153" s="147">
        <v>0</v>
      </c>
      <c r="L153" s="144">
        <v>49843</v>
      </c>
      <c r="M153" s="153">
        <v>352</v>
      </c>
      <c r="N153" s="151">
        <f t="shared" si="6"/>
        <v>122454609.9141119</v>
      </c>
    </row>
    <row r="154" spans="1:14" ht="12.75">
      <c r="A154" s="179">
        <v>39661</v>
      </c>
      <c r="B154" s="186">
        <v>116642720</v>
      </c>
      <c r="C154" s="144"/>
      <c r="D154" s="186">
        <v>3345</v>
      </c>
      <c r="E154" s="195">
        <v>162702.84933418318</v>
      </c>
      <c r="F154" s="176">
        <f t="shared" si="7"/>
        <v>116483362.15066582</v>
      </c>
      <c r="G154" s="131">
        <v>36.2</v>
      </c>
      <c r="H154" s="135">
        <v>29.5</v>
      </c>
      <c r="I154" s="138">
        <v>140.01521702937399</v>
      </c>
      <c r="J154" s="143">
        <v>31</v>
      </c>
      <c r="K154" s="147">
        <v>0</v>
      </c>
      <c r="L154" s="144">
        <v>49932</v>
      </c>
      <c r="M154" s="153">
        <v>320</v>
      </c>
      <c r="N154" s="151">
        <f t="shared" si="6"/>
        <v>113220308.04445156</v>
      </c>
    </row>
    <row r="155" spans="1:14" ht="12.75">
      <c r="A155" s="179">
        <v>39692</v>
      </c>
      <c r="B155" s="186">
        <v>113785450</v>
      </c>
      <c r="C155" s="144"/>
      <c r="D155" s="186">
        <v>3183</v>
      </c>
      <c r="E155" s="195">
        <v>158717.2943821289</v>
      </c>
      <c r="F155" s="176">
        <f t="shared" si="7"/>
        <v>113629915.70561787</v>
      </c>
      <c r="G155" s="131">
        <v>93.2</v>
      </c>
      <c r="H155" s="135">
        <v>12</v>
      </c>
      <c r="I155" s="138">
        <v>139.95674323188132</v>
      </c>
      <c r="J155" s="143">
        <v>30</v>
      </c>
      <c r="K155" s="147">
        <v>1</v>
      </c>
      <c r="L155" s="144">
        <v>50197</v>
      </c>
      <c r="M155" s="153">
        <v>336</v>
      </c>
      <c r="N155" s="151">
        <f t="shared" si="6"/>
        <v>109015909.49981737</v>
      </c>
    </row>
    <row r="156" spans="1:14" ht="12.75">
      <c r="A156" s="179">
        <v>39722</v>
      </c>
      <c r="B156" s="186">
        <v>114890260</v>
      </c>
      <c r="C156" s="144"/>
      <c r="D156" s="186">
        <v>8696</v>
      </c>
      <c r="E156" s="195">
        <v>160258.37414238226</v>
      </c>
      <c r="F156" s="176">
        <f t="shared" si="7"/>
        <v>114738697.62585762</v>
      </c>
      <c r="G156" s="131">
        <v>325.7</v>
      </c>
      <c r="H156" s="135">
        <v>0</v>
      </c>
      <c r="I156" s="138">
        <v>139.8982938544843</v>
      </c>
      <c r="J156" s="143">
        <v>31</v>
      </c>
      <c r="K156" s="147">
        <v>1</v>
      </c>
      <c r="L156" s="144">
        <v>50286</v>
      </c>
      <c r="M156" s="153">
        <v>352</v>
      </c>
      <c r="N156" s="151">
        <f t="shared" si="6"/>
        <v>116517233.81465195</v>
      </c>
    </row>
    <row r="157" spans="1:14" ht="12.75">
      <c r="A157" s="179">
        <v>39753</v>
      </c>
      <c r="B157" s="186">
        <v>117556400</v>
      </c>
      <c r="C157" s="144"/>
      <c r="D157" s="186">
        <v>7348</v>
      </c>
      <c r="E157" s="195">
        <v>163977.32526701174</v>
      </c>
      <c r="F157" s="176">
        <f t="shared" si="7"/>
        <v>117399770.67473298</v>
      </c>
      <c r="G157" s="132">
        <v>499.7</v>
      </c>
      <c r="H157" s="136">
        <v>0</v>
      </c>
      <c r="I157" s="138">
        <v>139.83986888698453</v>
      </c>
      <c r="J157" s="143">
        <v>30</v>
      </c>
      <c r="K157" s="147">
        <v>1</v>
      </c>
      <c r="L157" s="144">
        <v>50341</v>
      </c>
      <c r="M157" s="153">
        <v>304</v>
      </c>
      <c r="N157" s="151">
        <f t="shared" si="6"/>
        <v>116795918.66621062</v>
      </c>
    </row>
    <row r="158" spans="1:16" ht="12.75">
      <c r="A158" s="179">
        <v>39783</v>
      </c>
      <c r="B158" s="186">
        <v>127583980</v>
      </c>
      <c r="C158" s="144"/>
      <c r="D158" s="186">
        <v>10165</v>
      </c>
      <c r="E158" s="195">
        <v>177964.61772663947</v>
      </c>
      <c r="F158" s="176">
        <f t="shared" si="7"/>
        <v>127416180.38227336</v>
      </c>
      <c r="G158" s="132">
        <v>694</v>
      </c>
      <c r="H158" s="136">
        <v>0</v>
      </c>
      <c r="I158" s="138">
        <v>139.78146831918784</v>
      </c>
      <c r="J158" s="143">
        <v>31</v>
      </c>
      <c r="K158" s="147">
        <v>0</v>
      </c>
      <c r="L158" s="144">
        <v>50478</v>
      </c>
      <c r="M158" s="153">
        <v>336</v>
      </c>
      <c r="N158" s="151">
        <f t="shared" si="6"/>
        <v>128442811.14130995</v>
      </c>
      <c r="O158" s="60"/>
      <c r="P158" s="26"/>
    </row>
    <row r="159" spans="1:15" ht="12.75">
      <c r="A159" s="179">
        <v>39814</v>
      </c>
      <c r="B159" s="184">
        <v>133644440</v>
      </c>
      <c r="C159" s="189"/>
      <c r="D159" s="184">
        <v>5405</v>
      </c>
      <c r="E159" s="193">
        <v>201793.81042380023</v>
      </c>
      <c r="F159" s="176">
        <f t="shared" si="7"/>
        <v>133448051.1895762</v>
      </c>
      <c r="G159" s="132">
        <v>891.8</v>
      </c>
      <c r="H159" s="136">
        <v>0</v>
      </c>
      <c r="I159" s="138">
        <v>139.3791116068711</v>
      </c>
      <c r="J159" s="143">
        <v>31</v>
      </c>
      <c r="K159" s="147">
        <v>0</v>
      </c>
      <c r="L159" s="144">
        <v>50522</v>
      </c>
      <c r="M159" s="153">
        <v>336</v>
      </c>
      <c r="N159" s="151">
        <f t="shared" si="6"/>
        <v>134066386.66259438</v>
      </c>
      <c r="O159" s="57"/>
    </row>
    <row r="160" spans="1:15" ht="12.75">
      <c r="A160" s="179">
        <v>39845</v>
      </c>
      <c r="B160" s="184">
        <v>116396740</v>
      </c>
      <c r="C160" s="189"/>
      <c r="D160" s="184">
        <v>7542</v>
      </c>
      <c r="E160" s="193">
        <v>175750.98287297523</v>
      </c>
      <c r="F160" s="176">
        <f t="shared" si="7"/>
        <v>116228531.01712702</v>
      </c>
      <c r="G160" s="132">
        <v>649.6</v>
      </c>
      <c r="H160" s="136">
        <v>0</v>
      </c>
      <c r="I160" s="138">
        <v>138.97791306613385</v>
      </c>
      <c r="J160" s="143">
        <v>28</v>
      </c>
      <c r="K160" s="147">
        <v>0</v>
      </c>
      <c r="L160" s="144">
        <v>50567</v>
      </c>
      <c r="M160" s="153">
        <v>304</v>
      </c>
      <c r="N160" s="151">
        <f t="shared" si="6"/>
        <v>119370647.4367009</v>
      </c>
      <c r="O160" s="57"/>
    </row>
    <row r="161" spans="1:15" ht="12.75">
      <c r="A161" s="179">
        <v>39873</v>
      </c>
      <c r="B161" s="184">
        <v>122514006</v>
      </c>
      <c r="C161" s="189"/>
      <c r="D161" s="184">
        <v>7052</v>
      </c>
      <c r="E161" s="193">
        <v>184987.62912265057</v>
      </c>
      <c r="F161" s="176">
        <f t="shared" si="7"/>
        <v>122336070.37087736</v>
      </c>
      <c r="G161" s="132">
        <v>562.6</v>
      </c>
      <c r="H161" s="136">
        <v>0</v>
      </c>
      <c r="I161" s="138">
        <v>138.57786936321438</v>
      </c>
      <c r="J161" s="143">
        <v>31</v>
      </c>
      <c r="K161" s="147">
        <v>1</v>
      </c>
      <c r="L161" s="144">
        <v>50570</v>
      </c>
      <c r="M161" s="153">
        <v>352</v>
      </c>
      <c r="N161" s="151">
        <f t="shared" si="6"/>
        <v>123528065.28249563</v>
      </c>
      <c r="O161" s="57"/>
    </row>
    <row r="162" spans="1:16" ht="12.75">
      <c r="A162" s="179">
        <v>39904</v>
      </c>
      <c r="B162" s="184">
        <v>109450364</v>
      </c>
      <c r="C162" s="189"/>
      <c r="D162" s="184">
        <v>9944</v>
      </c>
      <c r="E162" s="193">
        <v>165262.43818173005</v>
      </c>
      <c r="F162" s="176">
        <f t="shared" si="7"/>
        <v>109295045.56181827</v>
      </c>
      <c r="G162" s="132">
        <v>341.5</v>
      </c>
      <c r="H162" s="136">
        <v>3.2</v>
      </c>
      <c r="I162" s="138">
        <v>138.17897717394706</v>
      </c>
      <c r="J162" s="143">
        <v>30</v>
      </c>
      <c r="K162" s="147">
        <v>1</v>
      </c>
      <c r="L162" s="144">
        <v>50379</v>
      </c>
      <c r="M162" s="153">
        <v>320</v>
      </c>
      <c r="N162" s="151">
        <f t="shared" si="6"/>
        <v>113573610.32783183</v>
      </c>
      <c r="O162" s="57"/>
      <c r="P162" s="57"/>
    </row>
    <row r="163" spans="1:15" ht="12.75">
      <c r="A163" s="179">
        <v>39934</v>
      </c>
      <c r="B163" s="184">
        <v>106688597.4</v>
      </c>
      <c r="C163" s="189"/>
      <c r="D163" s="184">
        <v>7866</v>
      </c>
      <c r="E163" s="193">
        <v>161092.3626760436</v>
      </c>
      <c r="F163" s="176">
        <f t="shared" si="7"/>
        <v>106535371.03732397</v>
      </c>
      <c r="G163" s="132">
        <v>192.8</v>
      </c>
      <c r="H163" s="136">
        <v>2.3</v>
      </c>
      <c r="I163" s="138">
        <v>137.78123318373483</v>
      </c>
      <c r="J163" s="143">
        <v>31</v>
      </c>
      <c r="K163" s="147">
        <v>1</v>
      </c>
      <c r="L163" s="144">
        <v>50556</v>
      </c>
      <c r="M163" s="153">
        <v>320</v>
      </c>
      <c r="N163" s="151">
        <f aca="true" t="shared" si="8" ref="N163:N194">$R$18+G163*$R$19+H163*$R$20+I163*$R$21+J163*$R$22+K163*$R$23+L163*$R$24+M163*$R$25</f>
        <v>111443744.92091385</v>
      </c>
      <c r="O163" s="57"/>
    </row>
    <row r="164" spans="1:15" ht="12.75">
      <c r="A164" s="179">
        <v>39965</v>
      </c>
      <c r="B164" s="184">
        <v>112029483.9</v>
      </c>
      <c r="C164" s="189"/>
      <c r="D164" s="184">
        <v>3162</v>
      </c>
      <c r="E164" s="193">
        <v>169156.72987213518</v>
      </c>
      <c r="F164" s="176">
        <f t="shared" si="7"/>
        <v>111863489.17012787</v>
      </c>
      <c r="G164" s="132">
        <v>75.7</v>
      </c>
      <c r="H164" s="136">
        <v>26.2</v>
      </c>
      <c r="I164" s="138">
        <v>137.38463408752156</v>
      </c>
      <c r="J164" s="143">
        <v>30</v>
      </c>
      <c r="K164" s="147">
        <v>0</v>
      </c>
      <c r="L164" s="144">
        <v>50618</v>
      </c>
      <c r="M164" s="153">
        <v>352</v>
      </c>
      <c r="N164" s="151">
        <f t="shared" si="8"/>
        <v>114372705.23155446</v>
      </c>
      <c r="O164" s="57"/>
    </row>
    <row r="165" spans="1:15" ht="12.75">
      <c r="A165" s="179">
        <v>39995</v>
      </c>
      <c r="B165" s="184">
        <v>113742744.5</v>
      </c>
      <c r="C165" s="189"/>
      <c r="D165" s="184">
        <v>3355</v>
      </c>
      <c r="E165" s="193">
        <v>171743.63423361082</v>
      </c>
      <c r="F165" s="176">
        <f t="shared" si="7"/>
        <v>113574355.86576639</v>
      </c>
      <c r="G165" s="132">
        <v>37.6</v>
      </c>
      <c r="H165" s="136">
        <v>14.5</v>
      </c>
      <c r="I165" s="138">
        <v>136.98917658976464</v>
      </c>
      <c r="J165" s="143">
        <v>31</v>
      </c>
      <c r="K165" s="147">
        <v>0</v>
      </c>
      <c r="L165" s="144">
        <v>50688</v>
      </c>
      <c r="M165" s="153">
        <v>352</v>
      </c>
      <c r="N165" s="151">
        <f t="shared" si="8"/>
        <v>113234579.05849983</v>
      </c>
      <c r="O165" s="57"/>
    </row>
    <row r="166" spans="1:15" ht="12.75">
      <c r="A166" s="179">
        <v>40026</v>
      </c>
      <c r="B166" s="184">
        <v>121976828.7</v>
      </c>
      <c r="C166" s="189"/>
      <c r="D166" s="184">
        <v>3504</v>
      </c>
      <c r="E166" s="193">
        <v>184176.528756334</v>
      </c>
      <c r="F166" s="176">
        <f t="shared" si="7"/>
        <v>121796156.17124367</v>
      </c>
      <c r="G166" s="132">
        <v>18.2</v>
      </c>
      <c r="H166" s="136">
        <v>57.3</v>
      </c>
      <c r="I166" s="138">
        <v>136.59485740440758</v>
      </c>
      <c r="J166" s="143">
        <v>31</v>
      </c>
      <c r="K166" s="147">
        <v>0</v>
      </c>
      <c r="L166" s="144">
        <v>50788</v>
      </c>
      <c r="M166" s="153">
        <v>320</v>
      </c>
      <c r="N166" s="151">
        <f t="shared" si="8"/>
        <v>118695093.7912091</v>
      </c>
      <c r="O166" s="57"/>
    </row>
    <row r="167" spans="1:15" ht="12.75">
      <c r="A167" s="179">
        <v>40057</v>
      </c>
      <c r="B167" s="184">
        <v>113325953.3</v>
      </c>
      <c r="C167" s="189"/>
      <c r="D167" s="184">
        <v>3212</v>
      </c>
      <c r="E167" s="193">
        <v>171114.30850633694</v>
      </c>
      <c r="F167" s="176">
        <f t="shared" si="7"/>
        <v>113158050.99149366</v>
      </c>
      <c r="G167" s="132">
        <v>88.8</v>
      </c>
      <c r="H167" s="136">
        <v>5.5</v>
      </c>
      <c r="I167" s="138">
        <v>136.20167325485272</v>
      </c>
      <c r="J167" s="143">
        <v>30</v>
      </c>
      <c r="K167" s="147">
        <v>1</v>
      </c>
      <c r="L167" s="144">
        <v>50947</v>
      </c>
      <c r="M167" s="153">
        <v>336</v>
      </c>
      <c r="N167" s="151">
        <f t="shared" si="8"/>
        <v>108425012.31141534</v>
      </c>
      <c r="O167" s="57"/>
    </row>
    <row r="168" spans="1:15" ht="12.75">
      <c r="A168" s="179">
        <v>40087</v>
      </c>
      <c r="B168" s="184">
        <v>117459965.8</v>
      </c>
      <c r="C168" s="189"/>
      <c r="D168" s="184">
        <v>4686</v>
      </c>
      <c r="E168" s="193">
        <v>177356.37989153352</v>
      </c>
      <c r="F168" s="176">
        <f t="shared" si="7"/>
        <v>117287295.42010847</v>
      </c>
      <c r="G168" s="132">
        <v>329.1</v>
      </c>
      <c r="H168" s="136">
        <v>0</v>
      </c>
      <c r="I168" s="138">
        <v>135.80962087393394</v>
      </c>
      <c r="J168" s="143">
        <v>31</v>
      </c>
      <c r="K168" s="147">
        <v>1</v>
      </c>
      <c r="L168" s="144">
        <v>51006</v>
      </c>
      <c r="M168" s="153">
        <v>336</v>
      </c>
      <c r="N168" s="151">
        <f t="shared" si="8"/>
        <v>116289812.4873065</v>
      </c>
      <c r="O168" s="57"/>
    </row>
    <row r="169" spans="1:15" ht="12.75">
      <c r="A169" s="179">
        <v>40118</v>
      </c>
      <c r="B169" s="184">
        <v>117285788.9</v>
      </c>
      <c r="C169" s="189"/>
      <c r="D169" s="184">
        <v>2430</v>
      </c>
      <c r="E169" s="193">
        <v>177093.3848852407</v>
      </c>
      <c r="F169" s="176">
        <f t="shared" si="7"/>
        <v>117111125.51511477</v>
      </c>
      <c r="G169" s="132">
        <v>396.5</v>
      </c>
      <c r="H169" s="136">
        <v>0</v>
      </c>
      <c r="I169" s="138">
        <v>135.41869700388958</v>
      </c>
      <c r="J169" s="143">
        <v>30</v>
      </c>
      <c r="K169" s="147">
        <v>1</v>
      </c>
      <c r="L169" s="144">
        <v>51052</v>
      </c>
      <c r="M169" s="153">
        <v>320</v>
      </c>
      <c r="N169" s="151">
        <f t="shared" si="8"/>
        <v>115301276.72916484</v>
      </c>
      <c r="O169" s="57"/>
    </row>
    <row r="170" spans="1:15" ht="12.75">
      <c r="A170" s="179">
        <v>40148</v>
      </c>
      <c r="B170" s="184">
        <v>129320399.9</v>
      </c>
      <c r="C170" s="189"/>
      <c r="D170" s="184">
        <v>6003</v>
      </c>
      <c r="E170" s="193">
        <v>195264.81057760902</v>
      </c>
      <c r="F170" s="176">
        <f t="shared" si="7"/>
        <v>129131138.08942239</v>
      </c>
      <c r="G170" s="132">
        <v>669.5</v>
      </c>
      <c r="H170" s="136">
        <v>0</v>
      </c>
      <c r="I170" s="138">
        <v>135.02889839633545</v>
      </c>
      <c r="J170" s="143">
        <v>31</v>
      </c>
      <c r="K170" s="147">
        <v>0</v>
      </c>
      <c r="L170" s="144">
        <v>51089</v>
      </c>
      <c r="M170" s="153">
        <v>352</v>
      </c>
      <c r="N170" s="151">
        <f t="shared" si="8"/>
        <v>128938768.14610991</v>
      </c>
      <c r="O170" s="57"/>
    </row>
    <row r="171" spans="1:15" ht="12.75">
      <c r="A171" s="179">
        <v>40179</v>
      </c>
      <c r="B171" s="184"/>
      <c r="C171" s="189"/>
      <c r="D171" s="184"/>
      <c r="E171" s="193"/>
      <c r="F171" s="176"/>
      <c r="G171" s="132">
        <f aca="true" t="shared" si="9" ref="G171:H182">(+G3+G15+G27+G39+G51+G63+G75+G87+G99+G111+G123+G135+G147+G159)/14</f>
        <v>753.0857142857141</v>
      </c>
      <c r="H171" s="136">
        <f t="shared" si="9"/>
        <v>0</v>
      </c>
      <c r="I171" s="138">
        <v>135.32901731143812</v>
      </c>
      <c r="J171" s="143">
        <v>31</v>
      </c>
      <c r="K171" s="147">
        <v>0</v>
      </c>
      <c r="L171" s="144">
        <v>51157</v>
      </c>
      <c r="M171" s="153">
        <v>320</v>
      </c>
      <c r="N171" s="151">
        <f t="shared" si="8"/>
        <v>129655503.59118757</v>
      </c>
      <c r="O171" s="57"/>
    </row>
    <row r="172" spans="1:15" ht="12.75">
      <c r="A172" s="179">
        <v>40210</v>
      </c>
      <c r="B172" s="184"/>
      <c r="C172" s="189"/>
      <c r="D172" s="184"/>
      <c r="E172" s="193"/>
      <c r="F172" s="176"/>
      <c r="G172" s="132">
        <f t="shared" si="9"/>
        <v>656.0571428571428</v>
      </c>
      <c r="H172" s="136">
        <f t="shared" si="9"/>
        <v>0</v>
      </c>
      <c r="I172" s="138">
        <v>135.62980327903304</v>
      </c>
      <c r="J172" s="143">
        <v>28</v>
      </c>
      <c r="K172" s="147">
        <v>0</v>
      </c>
      <c r="L172" s="144">
        <v>51179</v>
      </c>
      <c r="M172" s="153">
        <v>304</v>
      </c>
      <c r="N172" s="151">
        <f t="shared" si="8"/>
        <v>120081109.34963979</v>
      </c>
      <c r="O172" s="57"/>
    </row>
    <row r="173" spans="1:15" ht="12.75">
      <c r="A173" s="179">
        <v>40238</v>
      </c>
      <c r="B173" s="184"/>
      <c r="C173" s="189"/>
      <c r="D173" s="184"/>
      <c r="E173" s="193"/>
      <c r="F173" s="176"/>
      <c r="G173" s="132">
        <f t="shared" si="9"/>
        <v>591.9357142857142</v>
      </c>
      <c r="H173" s="136">
        <f t="shared" si="9"/>
        <v>0</v>
      </c>
      <c r="I173" s="138">
        <v>135.9312577817293</v>
      </c>
      <c r="J173" s="143">
        <v>31</v>
      </c>
      <c r="K173" s="147">
        <v>1</v>
      </c>
      <c r="L173" s="144">
        <v>51224</v>
      </c>
      <c r="M173" s="153">
        <v>368</v>
      </c>
      <c r="N173" s="151">
        <f t="shared" si="8"/>
        <v>126008091.31847161</v>
      </c>
      <c r="O173" s="57"/>
    </row>
    <row r="174" spans="1:15" ht="12.75">
      <c r="A174" s="179">
        <v>40269</v>
      </c>
      <c r="B174" s="184"/>
      <c r="C174" s="189"/>
      <c r="D174" s="184"/>
      <c r="E174" s="193"/>
      <c r="F174" s="176"/>
      <c r="G174" s="132">
        <f t="shared" si="9"/>
        <v>354.89285714285717</v>
      </c>
      <c r="H174" s="136">
        <f t="shared" si="9"/>
        <v>0.75</v>
      </c>
      <c r="I174" s="138">
        <v>136.23338230543126</v>
      </c>
      <c r="J174" s="143">
        <v>30</v>
      </c>
      <c r="K174" s="147">
        <v>1</v>
      </c>
      <c r="L174" s="144">
        <f>+L173+36</f>
        <v>51260</v>
      </c>
      <c r="M174" s="154">
        <v>320</v>
      </c>
      <c r="N174" s="151">
        <f t="shared" si="8"/>
        <v>114784279.90948594</v>
      </c>
      <c r="O174" s="57"/>
    </row>
    <row r="175" spans="1:15" ht="12.75">
      <c r="A175" s="179">
        <v>40299</v>
      </c>
      <c r="B175" s="184"/>
      <c r="C175" s="189"/>
      <c r="D175" s="184"/>
      <c r="E175" s="193"/>
      <c r="F175" s="176"/>
      <c r="G175" s="132">
        <f t="shared" si="9"/>
        <v>193.32857142857145</v>
      </c>
      <c r="H175" s="136">
        <f t="shared" si="9"/>
        <v>7.685714285714286</v>
      </c>
      <c r="I175" s="138">
        <v>136.5361783393459</v>
      </c>
      <c r="J175" s="143">
        <v>31</v>
      </c>
      <c r="K175" s="147">
        <v>1</v>
      </c>
      <c r="L175" s="144">
        <f aca="true" t="shared" si="10" ref="L175:L181">+L174+36</f>
        <v>51296</v>
      </c>
      <c r="M175" s="154">
        <v>320</v>
      </c>
      <c r="N175" s="151">
        <f t="shared" si="8"/>
        <v>113570758.03587335</v>
      </c>
      <c r="O175" s="57"/>
    </row>
    <row r="176" spans="1:15" ht="12.75">
      <c r="A176" s="179">
        <v>40330</v>
      </c>
      <c r="B176" s="184"/>
      <c r="C176" s="189"/>
      <c r="D176" s="184"/>
      <c r="E176" s="193"/>
      <c r="F176" s="176"/>
      <c r="G176" s="132">
        <f t="shared" si="9"/>
        <v>49.50714285714287</v>
      </c>
      <c r="H176" s="136">
        <f t="shared" si="9"/>
        <v>49.33571428571429</v>
      </c>
      <c r="I176" s="138">
        <v>136.83964737599013</v>
      </c>
      <c r="J176" s="143">
        <v>30</v>
      </c>
      <c r="K176" s="147">
        <v>0</v>
      </c>
      <c r="L176" s="144">
        <f t="shared" si="10"/>
        <v>51332</v>
      </c>
      <c r="M176" s="154">
        <v>352</v>
      </c>
      <c r="N176" s="151">
        <f>$R$18+G176*$R$19+H176*$R$20+I176*$R$21+J176*$R$22+K176*$R$23+L176*$R$24+M176*$R$25</f>
        <v>119025419.37724434</v>
      </c>
      <c r="O176" s="57"/>
    </row>
    <row r="177" spans="1:15" ht="12.75">
      <c r="A177" s="179">
        <v>40360</v>
      </c>
      <c r="B177" s="184"/>
      <c r="C177" s="189"/>
      <c r="D177" s="184"/>
      <c r="E177" s="193"/>
      <c r="F177" s="176"/>
      <c r="G177" s="132">
        <f t="shared" si="9"/>
        <v>15.5</v>
      </c>
      <c r="H177" s="136">
        <f t="shared" si="9"/>
        <v>72.21428571428571</v>
      </c>
      <c r="I177" s="138">
        <v>137.1437909111982</v>
      </c>
      <c r="J177" s="143">
        <v>31</v>
      </c>
      <c r="K177" s="147">
        <v>0</v>
      </c>
      <c r="L177" s="144">
        <f t="shared" si="10"/>
        <v>51368</v>
      </c>
      <c r="M177" s="154">
        <v>336</v>
      </c>
      <c r="N177" s="151">
        <f t="shared" si="8"/>
        <v>123395825.32645053</v>
      </c>
      <c r="O177" s="57"/>
    </row>
    <row r="178" spans="1:15" ht="12.75">
      <c r="A178" s="179">
        <v>40391</v>
      </c>
      <c r="B178" s="184"/>
      <c r="C178" s="189"/>
      <c r="D178" s="184"/>
      <c r="E178" s="193"/>
      <c r="F178" s="176"/>
      <c r="G178" s="132">
        <f t="shared" si="9"/>
        <v>23.349999999999998</v>
      </c>
      <c r="H178" s="136">
        <f t="shared" si="9"/>
        <v>55.15714285714285</v>
      </c>
      <c r="I178" s="138">
        <v>137.44861044412903</v>
      </c>
      <c r="J178" s="143">
        <v>31</v>
      </c>
      <c r="K178" s="147">
        <v>0</v>
      </c>
      <c r="L178" s="144">
        <f t="shared" si="10"/>
        <v>51404</v>
      </c>
      <c r="M178" s="154">
        <v>336</v>
      </c>
      <c r="N178" s="151">
        <f t="shared" si="8"/>
        <v>120657827.08551478</v>
      </c>
      <c r="O178" s="57"/>
    </row>
    <row r="179" spans="1:15" ht="12.75">
      <c r="A179" s="179">
        <v>40422</v>
      </c>
      <c r="B179" s="184"/>
      <c r="C179" s="189"/>
      <c r="D179" s="184"/>
      <c r="E179" s="193"/>
      <c r="F179" s="176"/>
      <c r="G179" s="132">
        <f t="shared" si="9"/>
        <v>92.72142857142856</v>
      </c>
      <c r="H179" s="136">
        <f t="shared" si="9"/>
        <v>17.349999999999998</v>
      </c>
      <c r="I179" s="138">
        <v>137.7541074772736</v>
      </c>
      <c r="J179" s="143">
        <v>30</v>
      </c>
      <c r="K179" s="147">
        <v>1</v>
      </c>
      <c r="L179" s="144">
        <f t="shared" si="10"/>
        <v>51440</v>
      </c>
      <c r="M179" s="154">
        <v>336</v>
      </c>
      <c r="N179" s="151">
        <f t="shared" si="8"/>
        <v>111862187.94082507</v>
      </c>
      <c r="O179" s="57"/>
    </row>
    <row r="180" spans="1:15" ht="12.75">
      <c r="A180" s="179">
        <v>40452</v>
      </c>
      <c r="B180" s="184"/>
      <c r="C180" s="189"/>
      <c r="D180" s="184"/>
      <c r="E180" s="193"/>
      <c r="F180" s="176"/>
      <c r="G180" s="132">
        <f t="shared" si="9"/>
        <v>292.74285714285713</v>
      </c>
      <c r="H180" s="136">
        <f t="shared" si="9"/>
        <v>1.1500000000000001</v>
      </c>
      <c r="I180" s="138">
        <v>138.0602835164624</v>
      </c>
      <c r="J180" s="143">
        <v>31</v>
      </c>
      <c r="K180" s="147">
        <v>1</v>
      </c>
      <c r="L180" s="144">
        <f t="shared" si="10"/>
        <v>51476</v>
      </c>
      <c r="M180" s="154">
        <v>320</v>
      </c>
      <c r="N180" s="151">
        <f t="shared" si="8"/>
        <v>115815823.2407139</v>
      </c>
      <c r="O180" s="57"/>
    </row>
    <row r="181" spans="1:15" ht="12.75">
      <c r="A181" s="179">
        <v>40483</v>
      </c>
      <c r="B181" s="184"/>
      <c r="C181" s="189"/>
      <c r="D181" s="184"/>
      <c r="E181" s="193"/>
      <c r="F181" s="176"/>
      <c r="G181" s="132">
        <f t="shared" si="9"/>
        <v>451.2214285714286</v>
      </c>
      <c r="H181" s="136">
        <f t="shared" si="9"/>
        <v>0</v>
      </c>
      <c r="I181" s="138">
        <v>138.36714007087275</v>
      </c>
      <c r="J181" s="143">
        <v>30</v>
      </c>
      <c r="K181" s="147">
        <v>1</v>
      </c>
      <c r="L181" s="144">
        <f t="shared" si="10"/>
        <v>51512</v>
      </c>
      <c r="M181" s="154">
        <v>336</v>
      </c>
      <c r="N181" s="151">
        <f t="shared" si="8"/>
        <v>119145950.74075684</v>
      </c>
      <c r="O181" s="57"/>
    </row>
    <row r="182" spans="1:15" ht="12.75">
      <c r="A182" s="179">
        <v>40513</v>
      </c>
      <c r="B182" s="184"/>
      <c r="C182" s="189"/>
      <c r="D182" s="184"/>
      <c r="E182" s="193"/>
      <c r="F182" s="176"/>
      <c r="G182" s="132">
        <f t="shared" si="9"/>
        <v>651.1000000000001</v>
      </c>
      <c r="H182" s="136">
        <f t="shared" si="9"/>
        <v>0</v>
      </c>
      <c r="I182" s="138">
        <v>138.6746786530365</v>
      </c>
      <c r="J182" s="143">
        <v>31</v>
      </c>
      <c r="K182" s="147">
        <v>0</v>
      </c>
      <c r="L182" s="144">
        <f>+L181+36+1</f>
        <v>51549</v>
      </c>
      <c r="M182" s="154">
        <v>368</v>
      </c>
      <c r="N182" s="151">
        <f t="shared" si="8"/>
        <v>130832643.16477568</v>
      </c>
      <c r="O182" s="57"/>
    </row>
    <row r="183" spans="1:14" ht="12.75">
      <c r="A183" s="179">
        <v>40544</v>
      </c>
      <c r="B183" s="184"/>
      <c r="C183" s="189"/>
      <c r="D183" s="184"/>
      <c r="E183" s="193"/>
      <c r="F183" s="176"/>
      <c r="G183" s="132">
        <f>+G171</f>
        <v>753.0857142857141</v>
      </c>
      <c r="H183" s="136">
        <f>+H171</f>
        <v>0</v>
      </c>
      <c r="I183" s="141">
        <v>139.03916243618784</v>
      </c>
      <c r="J183" s="145">
        <f>'Do Not Use Purchase Power Model'!J183</f>
        <v>31</v>
      </c>
      <c r="K183" s="147">
        <v>0</v>
      </c>
      <c r="L183" s="144">
        <f>+L182+38</f>
        <v>51587</v>
      </c>
      <c r="M183" s="154">
        <v>320</v>
      </c>
      <c r="N183" s="151">
        <f t="shared" si="8"/>
        <v>131110627.57306018</v>
      </c>
    </row>
    <row r="184" spans="1:14" ht="12.75">
      <c r="A184" s="179">
        <v>40575</v>
      </c>
      <c r="B184" s="184"/>
      <c r="C184" s="189"/>
      <c r="D184" s="184"/>
      <c r="E184" s="193"/>
      <c r="F184" s="176"/>
      <c r="G184" s="132">
        <f aca="true" t="shared" si="11" ref="G184:H194">+G172</f>
        <v>656.0571428571428</v>
      </c>
      <c r="H184" s="136">
        <f t="shared" si="11"/>
        <v>0</v>
      </c>
      <c r="I184" s="141">
        <v>139.4046042055373</v>
      </c>
      <c r="J184" s="145">
        <f>'Do Not Use Purchase Power Model'!J184</f>
        <v>28</v>
      </c>
      <c r="K184" s="147">
        <v>0</v>
      </c>
      <c r="L184" s="144">
        <f aca="true" t="shared" si="12" ref="L184:L193">+L183+38</f>
        <v>51625</v>
      </c>
      <c r="M184" s="154">
        <v>304</v>
      </c>
      <c r="N184" s="151">
        <f t="shared" si="8"/>
        <v>121577245.35540934</v>
      </c>
    </row>
    <row r="185" spans="1:14" ht="12.75">
      <c r="A185" s="179">
        <v>40603</v>
      </c>
      <c r="B185" s="184"/>
      <c r="C185" s="189"/>
      <c r="D185" s="184"/>
      <c r="E185" s="193"/>
      <c r="F185" s="176"/>
      <c r="G185" s="132">
        <f t="shared" si="11"/>
        <v>591.9357142857142</v>
      </c>
      <c r="H185" s="136">
        <f t="shared" si="11"/>
        <v>0</v>
      </c>
      <c r="I185" s="141">
        <v>139.77100647899545</v>
      </c>
      <c r="J185" s="145">
        <f>'Do Not Use Purchase Power Model'!J185</f>
        <v>31</v>
      </c>
      <c r="K185" s="147">
        <v>1</v>
      </c>
      <c r="L185" s="144">
        <f t="shared" si="12"/>
        <v>51663</v>
      </c>
      <c r="M185" s="154">
        <v>368</v>
      </c>
      <c r="N185" s="151">
        <f t="shared" si="8"/>
        <v>127502966.23068689</v>
      </c>
    </row>
    <row r="186" spans="1:14" ht="12.75">
      <c r="A186" s="179">
        <v>40634</v>
      </c>
      <c r="B186" s="184"/>
      <c r="C186" s="189"/>
      <c r="D186" s="184"/>
      <c r="E186" s="193"/>
      <c r="F186" s="176"/>
      <c r="G186" s="132">
        <f t="shared" si="11"/>
        <v>354.89285714285717</v>
      </c>
      <c r="H186" s="136">
        <f t="shared" si="11"/>
        <v>0.75</v>
      </c>
      <c r="I186" s="141">
        <v>140.1383717810907</v>
      </c>
      <c r="J186" s="145">
        <f>'Do Not Use Purchase Power Model'!J186</f>
        <v>30</v>
      </c>
      <c r="K186" s="147">
        <v>1</v>
      </c>
      <c r="L186" s="144">
        <f t="shared" si="12"/>
        <v>51701</v>
      </c>
      <c r="M186" s="154">
        <v>320</v>
      </c>
      <c r="N186" s="151">
        <f t="shared" si="8"/>
        <v>116294508.24962416</v>
      </c>
    </row>
    <row r="187" spans="1:14" ht="12.75">
      <c r="A187" s="179">
        <v>40664</v>
      </c>
      <c r="B187" s="184"/>
      <c r="C187" s="189"/>
      <c r="D187" s="184"/>
      <c r="E187" s="193"/>
      <c r="F187" s="176"/>
      <c r="G187" s="132">
        <f t="shared" si="11"/>
        <v>193.32857142857145</v>
      </c>
      <c r="H187" s="136">
        <f t="shared" si="11"/>
        <v>7.685714285714286</v>
      </c>
      <c r="I187" s="141">
        <v>140.50670264298682</v>
      </c>
      <c r="J187" s="145">
        <f>'Do Not Use Purchase Power Model'!J187</f>
        <v>31</v>
      </c>
      <c r="K187" s="147">
        <v>1</v>
      </c>
      <c r="L187" s="144">
        <f t="shared" si="12"/>
        <v>51739</v>
      </c>
      <c r="M187" s="154">
        <v>320</v>
      </c>
      <c r="N187" s="151">
        <f t="shared" si="8"/>
        <v>115096392.4156566</v>
      </c>
    </row>
    <row r="188" spans="1:14" ht="12.75">
      <c r="A188" s="179">
        <v>40695</v>
      </c>
      <c r="B188" s="184"/>
      <c r="C188" s="189"/>
      <c r="D188" s="184"/>
      <c r="E188" s="193"/>
      <c r="F188" s="176"/>
      <c r="G188" s="132">
        <f t="shared" si="11"/>
        <v>49.50714285714287</v>
      </c>
      <c r="H188" s="136">
        <f t="shared" si="11"/>
        <v>49.33571428571429</v>
      </c>
      <c r="I188" s="141">
        <v>140.87600160250034</v>
      </c>
      <c r="J188" s="145">
        <f>'Do Not Use Purchase Power Model'!J188</f>
        <v>30</v>
      </c>
      <c r="K188" s="147">
        <v>0</v>
      </c>
      <c r="L188" s="144">
        <f t="shared" si="12"/>
        <v>51777</v>
      </c>
      <c r="M188" s="154">
        <v>352</v>
      </c>
      <c r="N188" s="151">
        <f t="shared" si="8"/>
        <v>120566512.595421</v>
      </c>
    </row>
    <row r="189" spans="1:14" ht="12.75">
      <c r="A189" s="179">
        <v>40725</v>
      </c>
      <c r="B189" s="184"/>
      <c r="C189" s="189"/>
      <c r="D189" s="184"/>
      <c r="E189" s="193"/>
      <c r="F189" s="176"/>
      <c r="G189" s="132">
        <f t="shared" si="11"/>
        <v>15.5</v>
      </c>
      <c r="H189" s="136">
        <f t="shared" si="11"/>
        <v>72.21428571428571</v>
      </c>
      <c r="I189" s="141">
        <v>141.246271204118</v>
      </c>
      <c r="J189" s="145">
        <f>'Do Not Use Purchase Power Model'!J189</f>
        <v>31</v>
      </c>
      <c r="K189" s="147">
        <v>0</v>
      </c>
      <c r="L189" s="144">
        <f t="shared" si="12"/>
        <v>51815</v>
      </c>
      <c r="M189" s="154">
        <v>336</v>
      </c>
      <c r="N189" s="151">
        <f t="shared" si="8"/>
        <v>124952430.3693952</v>
      </c>
    </row>
    <row r="190" spans="1:14" ht="12.75">
      <c r="A190" s="179">
        <v>40756</v>
      </c>
      <c r="B190" s="184"/>
      <c r="C190" s="189"/>
      <c r="D190" s="184"/>
      <c r="E190" s="193"/>
      <c r="F190" s="176"/>
      <c r="G190" s="132">
        <f t="shared" si="11"/>
        <v>23.349999999999998</v>
      </c>
      <c r="H190" s="136">
        <f t="shared" si="11"/>
        <v>55.15714285714285</v>
      </c>
      <c r="I190" s="141">
        <v>141.61751399901428</v>
      </c>
      <c r="J190" s="145">
        <f>'Do Not Use Purchase Power Model'!J190</f>
        <v>31</v>
      </c>
      <c r="K190" s="147">
        <v>0</v>
      </c>
      <c r="L190" s="144">
        <f t="shared" si="12"/>
        <v>51853</v>
      </c>
      <c r="M190" s="154">
        <v>336</v>
      </c>
      <c r="N190" s="151">
        <f t="shared" si="8"/>
        <v>122229997.12783</v>
      </c>
    </row>
    <row r="191" spans="1:14" ht="12.75">
      <c r="A191" s="179">
        <v>40787</v>
      </c>
      <c r="B191" s="184"/>
      <c r="C191" s="189"/>
      <c r="D191" s="184"/>
      <c r="E191" s="193"/>
      <c r="F191" s="176"/>
      <c r="G191" s="132">
        <f t="shared" si="11"/>
        <v>92.72142857142856</v>
      </c>
      <c r="H191" s="136">
        <f t="shared" si="11"/>
        <v>17.349999999999998</v>
      </c>
      <c r="I191" s="141">
        <v>141.98973254506907</v>
      </c>
      <c r="J191" s="145">
        <f>'Do Not Use Purchase Power Model'!J191</f>
        <v>30</v>
      </c>
      <c r="K191" s="147">
        <v>1</v>
      </c>
      <c r="L191" s="144">
        <f t="shared" si="12"/>
        <v>51891</v>
      </c>
      <c r="M191" s="154">
        <v>336</v>
      </c>
      <c r="N191" s="151">
        <f t="shared" si="8"/>
        <v>113449976.34594488</v>
      </c>
    </row>
    <row r="192" spans="1:14" ht="12.75">
      <c r="A192" s="179">
        <v>40817</v>
      </c>
      <c r="B192" s="184"/>
      <c r="C192" s="189"/>
      <c r="D192" s="184"/>
      <c r="E192" s="193"/>
      <c r="F192" s="176"/>
      <c r="G192" s="132">
        <f t="shared" si="11"/>
        <v>292.74285714285713</v>
      </c>
      <c r="H192" s="136">
        <f t="shared" si="11"/>
        <v>1.1500000000000001</v>
      </c>
      <c r="I192" s="141">
        <v>142.3629294068852</v>
      </c>
      <c r="J192" s="145">
        <f>'Do Not Use Purchase Power Model'!J192</f>
        <v>31</v>
      </c>
      <c r="K192" s="147">
        <v>1</v>
      </c>
      <c r="L192" s="144">
        <f t="shared" si="12"/>
        <v>51929</v>
      </c>
      <c r="M192" s="154">
        <v>320</v>
      </c>
      <c r="N192" s="151">
        <f t="shared" si="8"/>
        <v>117419283.56150931</v>
      </c>
    </row>
    <row r="193" spans="1:14" ht="12.75">
      <c r="A193" s="179">
        <v>40848</v>
      </c>
      <c r="B193" s="184"/>
      <c r="C193" s="189"/>
      <c r="D193" s="184"/>
      <c r="E193" s="193"/>
      <c r="F193" s="176"/>
      <c r="G193" s="132">
        <f t="shared" si="11"/>
        <v>451.2214285714286</v>
      </c>
      <c r="H193" s="136">
        <f t="shared" si="11"/>
        <v>0</v>
      </c>
      <c r="I193" s="141">
        <v>142.73710715580614</v>
      </c>
      <c r="J193" s="145">
        <f>'Do Not Use Purchase Power Model'!J193</f>
        <v>30</v>
      </c>
      <c r="K193" s="147">
        <v>1</v>
      </c>
      <c r="L193" s="144">
        <f t="shared" si="12"/>
        <v>51967</v>
      </c>
      <c r="M193" s="154">
        <v>336</v>
      </c>
      <c r="N193" s="151">
        <f t="shared" si="8"/>
        <v>120765136.72014284</v>
      </c>
    </row>
    <row r="194" spans="1:14" ht="13.5" thickBot="1">
      <c r="A194" s="182">
        <v>40878</v>
      </c>
      <c r="B194" s="187"/>
      <c r="C194" s="191"/>
      <c r="D194" s="187"/>
      <c r="E194" s="196"/>
      <c r="F194" s="177"/>
      <c r="G194" s="133">
        <f t="shared" si="11"/>
        <v>651.1000000000001</v>
      </c>
      <c r="H194" s="137">
        <f t="shared" si="11"/>
        <v>0</v>
      </c>
      <c r="I194" s="142">
        <v>143.11226836993367</v>
      </c>
      <c r="J194" s="146">
        <f>'Do Not Use Purchase Power Model'!J194</f>
        <v>31</v>
      </c>
      <c r="K194" s="149">
        <v>0</v>
      </c>
      <c r="L194" s="150">
        <f>+L193+38+4</f>
        <v>52009</v>
      </c>
      <c r="M194" s="155">
        <v>368</v>
      </c>
      <c r="N194" s="152">
        <f t="shared" si="8"/>
        <v>132473129.43504825</v>
      </c>
    </row>
    <row r="195" ht="12.75">
      <c r="A195" s="3"/>
    </row>
    <row r="196" spans="1:14" ht="13.5" thickBot="1">
      <c r="A196" s="3"/>
      <c r="B196" s="74">
        <f>SUM(B3:B195)</f>
        <v>17638339528.376232</v>
      </c>
      <c r="C196" s="74">
        <f>SUM(C3:C195)</f>
        <v>29439703.304890953</v>
      </c>
      <c r="D196" s="74"/>
      <c r="E196" s="74"/>
      <c r="F196" s="74">
        <f>SUM(F3:F195)</f>
        <v>17566484413.07134</v>
      </c>
      <c r="G196" s="20"/>
      <c r="H196" s="1" t="s">
        <v>80</v>
      </c>
      <c r="N196" s="57">
        <f>SUM(N3:N194)</f>
        <v>20474758038.131992</v>
      </c>
    </row>
    <row r="197" ht="12.75">
      <c r="A197" s="3"/>
    </row>
    <row r="198" spans="1:16" ht="12.75">
      <c r="A198">
        <v>1996</v>
      </c>
      <c r="B198" s="6">
        <f>SUM(B3:B14)</f>
        <v>1059497511</v>
      </c>
      <c r="C198" s="6">
        <f>SUM(C3:C14)</f>
        <v>0</v>
      </c>
      <c r="D198" s="6">
        <f>SUM(D3:D14)</f>
        <v>0</v>
      </c>
      <c r="E198" s="6">
        <f>SUM(E3:E14)</f>
        <v>4913358</v>
      </c>
      <c r="F198" s="6">
        <f>SUM(F3:F14)</f>
        <v>1054584152.9999999</v>
      </c>
      <c r="N198" s="6">
        <f>SUM(N3:N14)</f>
        <v>1047289955.0669311</v>
      </c>
      <c r="O198" s="42">
        <f>N198-F198</f>
        <v>-7294197.933068752</v>
      </c>
      <c r="P198" s="5">
        <f aca="true" t="shared" si="13" ref="P198:P211">O198/B198</f>
        <v>-0.006884582415096162</v>
      </c>
    </row>
    <row r="199" spans="1:16" ht="12.75">
      <c r="A199" s="18">
        <v>1997</v>
      </c>
      <c r="B199" s="6">
        <f>SUM(B15:B26)</f>
        <v>1072059465.3</v>
      </c>
      <c r="C199" s="6">
        <f>SUM(C15:C26)</f>
        <v>0</v>
      </c>
      <c r="D199" s="6">
        <f>SUM(D15:D26)</f>
        <v>0</v>
      </c>
      <c r="E199" s="6">
        <f>SUM(E15:E26)</f>
        <v>4630646</v>
      </c>
      <c r="F199" s="6">
        <f>SUM(F15:F26)</f>
        <v>1067428819.3</v>
      </c>
      <c r="H199" s="89"/>
      <c r="N199" s="6">
        <f>SUM(N15:N26)</f>
        <v>1061595523.2587776</v>
      </c>
      <c r="O199" s="42">
        <f aca="true" t="shared" si="14" ref="O199:O211">N199-F199</f>
        <v>-5833296.041222334</v>
      </c>
      <c r="P199" s="5">
        <f t="shared" si="13"/>
        <v>-0.005441205670051122</v>
      </c>
    </row>
    <row r="200" spans="1:16" ht="12.75">
      <c r="A200">
        <v>1998</v>
      </c>
      <c r="B200" s="6">
        <f>SUM(B27:B38)</f>
        <v>1093993314</v>
      </c>
      <c r="C200" s="6">
        <f>SUM(C27:C38)</f>
        <v>0</v>
      </c>
      <c r="D200" s="6">
        <f>SUM(D27:D38)</f>
        <v>0</v>
      </c>
      <c r="E200" s="6">
        <f>SUM(E27:E38)</f>
        <v>4054720.0000000005</v>
      </c>
      <c r="F200" s="6">
        <f>SUM(F27:F38)</f>
        <v>1089938594.0000002</v>
      </c>
      <c r="N200" s="6">
        <f>SUM(N27:N38)</f>
        <v>1093841807.3222425</v>
      </c>
      <c r="O200" s="42">
        <f t="shared" si="14"/>
        <v>3903213.32224226</v>
      </c>
      <c r="P200" s="5">
        <f t="shared" si="13"/>
        <v>0.0035678584798391737</v>
      </c>
    </row>
    <row r="201" spans="1:16" ht="12.75">
      <c r="A201" s="18">
        <v>1999</v>
      </c>
      <c r="B201" s="6">
        <f>SUM(B39:B50)</f>
        <v>1140837106.1</v>
      </c>
      <c r="C201" s="6">
        <f>SUM(C39:C50)</f>
        <v>0</v>
      </c>
      <c r="D201" s="6">
        <f>SUM(D39:D50)</f>
        <v>0</v>
      </c>
      <c r="E201" s="6">
        <f>SUM(E39:E50)</f>
        <v>4200709.000000001</v>
      </c>
      <c r="F201" s="6">
        <f>SUM(F39:F50)</f>
        <v>1136636397.1000001</v>
      </c>
      <c r="H201" s="89"/>
      <c r="N201" s="6">
        <f>SUM(N39:N50)</f>
        <v>1147417464.1825104</v>
      </c>
      <c r="O201" s="42">
        <f t="shared" si="14"/>
        <v>10781067.082510233</v>
      </c>
      <c r="P201" s="5">
        <f t="shared" si="13"/>
        <v>0.009450137118493426</v>
      </c>
    </row>
    <row r="202" spans="1:16" ht="12.75">
      <c r="A202">
        <v>2000</v>
      </c>
      <c r="B202" s="6">
        <f>SUM(B51:B62)</f>
        <v>1177409787.0000002</v>
      </c>
      <c r="C202" s="6">
        <f>SUM(C51:C62)</f>
        <v>0</v>
      </c>
      <c r="D202" s="6">
        <f>SUM(D51:D62)</f>
        <v>0</v>
      </c>
      <c r="E202" s="6">
        <f>SUM(E51:E62)</f>
        <v>3896969.9999999986</v>
      </c>
      <c r="F202" s="6">
        <f>SUM(F51:F62)</f>
        <v>1173512817</v>
      </c>
      <c r="N202" s="6">
        <f>SUM(N51:N62)</f>
        <v>1172397541.2960057</v>
      </c>
      <c r="O202" s="42">
        <f t="shared" si="14"/>
        <v>-1115275.7039942741</v>
      </c>
      <c r="P202" s="5">
        <f t="shared" si="13"/>
        <v>-0.0009472281582064631</v>
      </c>
    </row>
    <row r="203" spans="1:16" ht="12.75">
      <c r="A203" s="18">
        <v>2001</v>
      </c>
      <c r="B203" s="6">
        <f>SUM(B63:B74)</f>
        <v>1213922279.8999999</v>
      </c>
      <c r="C203" s="6">
        <f>SUM(C63:C74)</f>
        <v>3329170.7227909453</v>
      </c>
      <c r="D203" s="6">
        <f>SUM(D63:D74)</f>
        <v>0</v>
      </c>
      <c r="E203" s="6">
        <f>SUM(E63:E74)</f>
        <v>4745693.000000001</v>
      </c>
      <c r="F203" s="6">
        <f>SUM(F63:F74)</f>
        <v>1205847416.177209</v>
      </c>
      <c r="K203" s="92"/>
      <c r="L203" s="57"/>
      <c r="M203" s="92"/>
      <c r="N203" s="6">
        <f>SUM(N63:N74)</f>
        <v>1212916163.3285291</v>
      </c>
      <c r="O203" s="42">
        <f t="shared" si="14"/>
        <v>7068747.151320219</v>
      </c>
      <c r="P203" s="5">
        <f t="shared" si="13"/>
        <v>0.005823064020130289</v>
      </c>
    </row>
    <row r="204" spans="1:16" ht="12.75">
      <c r="A204">
        <v>2002</v>
      </c>
      <c r="B204" s="6">
        <f>SUM(B75:B86)</f>
        <v>1293101127.6762252</v>
      </c>
      <c r="C204" s="6">
        <f>SUM(C75:C86)</f>
        <v>5490340.686449997</v>
      </c>
      <c r="D204" s="6">
        <f>SUM(D75:D86)</f>
        <v>0</v>
      </c>
      <c r="E204" s="6">
        <f>SUM(E75:E86)</f>
        <v>1212140</v>
      </c>
      <c r="F204" s="6">
        <f>SUM(F75:F86)</f>
        <v>1286398646.989775</v>
      </c>
      <c r="K204" s="92"/>
      <c r="L204" s="92"/>
      <c r="N204" s="6">
        <f>SUM(N75:N86)</f>
        <v>1266366656.1831439</v>
      </c>
      <c r="O204" s="42">
        <f t="shared" si="14"/>
        <v>-20031990.80663109</v>
      </c>
      <c r="P204" s="5">
        <f t="shared" si="13"/>
        <v>-0.015491434024676549</v>
      </c>
    </row>
    <row r="205" spans="1:16" ht="12.75">
      <c r="A205" s="18">
        <v>2003</v>
      </c>
      <c r="B205" s="6">
        <f>SUM(B87:B98)</f>
        <v>1278116029</v>
      </c>
      <c r="C205" s="6">
        <f>SUM(C87:C98)</f>
        <v>6073628.0638500005</v>
      </c>
      <c r="D205" s="6">
        <f>SUM(D87:D98)</f>
        <v>0</v>
      </c>
      <c r="E205" s="6">
        <f>SUM(E87:E98)</f>
        <v>2068577</v>
      </c>
      <c r="F205" s="6">
        <f>SUM(F87:F98)</f>
        <v>1269973823.93615</v>
      </c>
      <c r="K205" s="92"/>
      <c r="N205" s="6">
        <f>SUM(N87:N98)</f>
        <v>1274253935.9227498</v>
      </c>
      <c r="O205" s="42">
        <f t="shared" si="14"/>
        <v>4280111.986599684</v>
      </c>
      <c r="P205" s="5">
        <f t="shared" si="13"/>
        <v>0.0033487663791748625</v>
      </c>
    </row>
    <row r="206" spans="1:16" ht="12.75">
      <c r="A206">
        <v>2004</v>
      </c>
      <c r="B206" s="6">
        <f>SUM(B99:B110)</f>
        <v>1302795438</v>
      </c>
      <c r="C206" s="6">
        <f>SUM(C99:C110)</f>
        <v>6205136.176800001</v>
      </c>
      <c r="D206" s="6">
        <f>SUM(D99:D110)</f>
        <v>0</v>
      </c>
      <c r="E206" s="6">
        <f>SUM(E99:E110)</f>
        <v>2279892</v>
      </c>
      <c r="F206" s="6">
        <f>SUM(F99:F110)</f>
        <v>1294310409.8232</v>
      </c>
      <c r="N206" s="6">
        <f>SUM(N99:N110)</f>
        <v>1307806358.1887326</v>
      </c>
      <c r="O206" s="42">
        <f t="shared" si="14"/>
        <v>13495948.365532637</v>
      </c>
      <c r="P206" s="5">
        <f t="shared" si="13"/>
        <v>0.010359222923171332</v>
      </c>
    </row>
    <row r="207" spans="1:16" ht="12.75">
      <c r="A207" s="18">
        <v>2005</v>
      </c>
      <c r="B207" s="6">
        <f>SUM(B111:B122)</f>
        <v>1366805588</v>
      </c>
      <c r="C207" s="6">
        <f>SUM(C111:C122)</f>
        <v>6421661.004150001</v>
      </c>
      <c r="D207" s="6">
        <f>SUM(D111:D122)</f>
        <v>18314</v>
      </c>
      <c r="E207" s="6">
        <f>SUM(E111:E122)</f>
        <v>1845427.9999999998</v>
      </c>
      <c r="F207" s="6">
        <f>SUM(F111:F122)</f>
        <v>1358556812.99585</v>
      </c>
      <c r="N207" s="6">
        <f>SUM(N111:N122)</f>
        <v>1370886094.180316</v>
      </c>
      <c r="O207" s="42">
        <f t="shared" si="14"/>
        <v>12329281.184465885</v>
      </c>
      <c r="P207" s="5">
        <f t="shared" si="13"/>
        <v>0.0090205083244552</v>
      </c>
    </row>
    <row r="208" spans="1:16" ht="12.75">
      <c r="A208">
        <v>2006</v>
      </c>
      <c r="B208" s="6">
        <f>SUM(B123:B134)</f>
        <v>1376670068</v>
      </c>
      <c r="C208" s="6">
        <f>SUM(C123:C134)</f>
        <v>1919766.650850001</v>
      </c>
      <c r="D208" s="6">
        <f>SUM(D123:D134)</f>
        <v>34676</v>
      </c>
      <c r="E208" s="6">
        <f>SUM(E123:E134)</f>
        <v>2251857</v>
      </c>
      <c r="F208" s="6">
        <f>SUM(F123:F134)</f>
        <v>1372533120.3491502</v>
      </c>
      <c r="N208" s="6">
        <f>SUM(N123:N134)</f>
        <v>1370624789.3830178</v>
      </c>
      <c r="O208" s="42">
        <f t="shared" si="14"/>
        <v>-1908330.9661324024</v>
      </c>
      <c r="P208" s="5">
        <f t="shared" si="13"/>
        <v>-0.0013861934028280205</v>
      </c>
    </row>
    <row r="209" spans="1:16" ht="12.75">
      <c r="A209" s="18">
        <v>2007</v>
      </c>
      <c r="B209" s="6">
        <f>SUM(B135:B146)</f>
        <v>1425989175</v>
      </c>
      <c r="C209" s="6">
        <f>SUM(C135:C146)</f>
        <v>0</v>
      </c>
      <c r="D209" s="6">
        <f>SUM(D135:D146)</f>
        <v>41950</v>
      </c>
      <c r="E209" s="6">
        <f>SUM(E135:E146)</f>
        <v>2462086</v>
      </c>
      <c r="F209" s="6">
        <f>SUM(F135:F146)</f>
        <v>1423569039</v>
      </c>
      <c r="N209" s="6">
        <f>SUM(N135:N146)</f>
        <v>1404917327.2368293</v>
      </c>
      <c r="O209" s="42">
        <f t="shared" si="14"/>
        <v>-18651711.76317072</v>
      </c>
      <c r="P209" s="5">
        <f t="shared" si="13"/>
        <v>-0.013079841060624264</v>
      </c>
    </row>
    <row r="210" spans="1:16" ht="12.75">
      <c r="A210">
        <v>2008</v>
      </c>
      <c r="B210" s="6">
        <f>SUM(B147:B158)</f>
        <v>1423307327</v>
      </c>
      <c r="C210" s="6">
        <f>SUM(C147:C158)</f>
        <v>0</v>
      </c>
      <c r="D210" s="6">
        <f>SUM(D147:D158)</f>
        <v>107702</v>
      </c>
      <c r="E210" s="6">
        <f>SUM(E147:E158)</f>
        <v>1985346</v>
      </c>
      <c r="F210" s="6">
        <f>SUM(F147:F158)</f>
        <v>1421429683</v>
      </c>
      <c r="N210" s="6">
        <f>SUM(N147:N158)</f>
        <v>1418931095.1357596</v>
      </c>
      <c r="O210" s="42">
        <f t="shared" si="14"/>
        <v>-2498587.864240408</v>
      </c>
      <c r="P210" s="5">
        <f t="shared" si="13"/>
        <v>-0.0017554802233097813</v>
      </c>
    </row>
    <row r="211" spans="1:16" ht="12.75">
      <c r="A211" s="18">
        <v>2009</v>
      </c>
      <c r="B211" s="6">
        <f>SUM(B159:B170)</f>
        <v>1413835312.4</v>
      </c>
      <c r="C211" s="6">
        <f>SUM(C159:C170)</f>
        <v>0</v>
      </c>
      <c r="D211" s="6">
        <f>SUM(D159:D170)</f>
        <v>64161</v>
      </c>
      <c r="E211" s="6">
        <f>SUM(E159:E170)</f>
        <v>2134793</v>
      </c>
      <c r="F211" s="6">
        <f>SUM(F159:F170)</f>
        <v>1411764680.4</v>
      </c>
      <c r="N211" s="6">
        <f>SUM(N159:N170)</f>
        <v>1417239702.3857965</v>
      </c>
      <c r="O211" s="42">
        <f t="shared" si="14"/>
        <v>5475021.985796452</v>
      </c>
      <c r="P211" s="5">
        <f t="shared" si="13"/>
        <v>0.003872460913783901</v>
      </c>
    </row>
    <row r="212" spans="1:14" ht="12.75">
      <c r="A212">
        <v>2010</v>
      </c>
      <c r="B212" s="6">
        <f>SUM(B171:B182)</f>
        <v>0</v>
      </c>
      <c r="C212" s="6">
        <f>SUM(C171:C182)</f>
        <v>0</v>
      </c>
      <c r="D212" s="6">
        <f>SUM(D171:D182)</f>
        <v>0</v>
      </c>
      <c r="E212" s="6">
        <f>SUM(E171:E182)</f>
        <v>0</v>
      </c>
      <c r="F212" s="6">
        <f>SUM(F171:F182)</f>
        <v>0</v>
      </c>
      <c r="N212" s="6">
        <f>SUM(N171:N182)</f>
        <v>1444835419.080939</v>
      </c>
    </row>
    <row r="213" spans="1:14" ht="12.75">
      <c r="A213">
        <v>2011</v>
      </c>
      <c r="B213" s="6">
        <f>SUM(B183:B194)</f>
        <v>0</v>
      </c>
      <c r="C213" s="6">
        <f>SUM(C183:C194)</f>
        <v>0</v>
      </c>
      <c r="D213" s="6">
        <f>SUM(D183:D194)</f>
        <v>0</v>
      </c>
      <c r="E213" s="6">
        <f>SUM(E183:E194)</f>
        <v>0</v>
      </c>
      <c r="F213" s="6">
        <f>SUM(F183:F194)</f>
        <v>0</v>
      </c>
      <c r="N213" s="6">
        <f>SUM(N183:N194)</f>
        <v>1463438205.9797287</v>
      </c>
    </row>
    <row r="214" ht="12.75">
      <c r="N214" s="6"/>
    </row>
    <row r="215" spans="1:15" ht="12.75">
      <c r="A215" s="173" t="s">
        <v>82</v>
      </c>
      <c r="B215" s="6">
        <f>SUM(B198:B211)</f>
        <v>17638339528.376225</v>
      </c>
      <c r="C215" s="6">
        <f>SUM(C198:C211)</f>
        <v>29439703.30489095</v>
      </c>
      <c r="D215" s="6">
        <f>SUM(D198:D211)</f>
        <v>266803</v>
      </c>
      <c r="E215" s="6">
        <f>SUM(E198:E211)</f>
        <v>42682215</v>
      </c>
      <c r="F215" s="6">
        <f>SUM(F198:F211)</f>
        <v>17566484413.071335</v>
      </c>
      <c r="N215" s="6">
        <f>SUM(N198:N211)</f>
        <v>17566484413.071342</v>
      </c>
      <c r="O215" s="120">
        <f>N215-F215</f>
        <v>0</v>
      </c>
    </row>
    <row r="217" spans="14:15" ht="12.75">
      <c r="N217" s="6">
        <f>SUM(N198:N213)</f>
        <v>20474758038.13201</v>
      </c>
      <c r="O217" s="57">
        <f>N196-N217</f>
        <v>0</v>
      </c>
    </row>
    <row r="218" spans="14:16" ht="12.75">
      <c r="N218" s="20"/>
      <c r="O218" s="20" t="s">
        <v>93</v>
      </c>
      <c r="P218" s="20"/>
    </row>
    <row r="222" spans="6:12" ht="12.75">
      <c r="F222" s="88"/>
      <c r="L222" s="57"/>
    </row>
    <row r="223" ht="12.75">
      <c r="F223" s="88"/>
    </row>
    <row r="225" ht="12.75">
      <c r="F225" s="88"/>
    </row>
    <row r="226" ht="12.75">
      <c r="F226" s="88"/>
    </row>
    <row r="227" spans="6:14" ht="12.75">
      <c r="F227" s="88"/>
      <c r="G227" s="6"/>
      <c r="H227" s="6"/>
      <c r="I227" s="6"/>
      <c r="J227" s="6"/>
      <c r="K227" s="6"/>
      <c r="L227" s="6"/>
      <c r="M227" s="6"/>
      <c r="N227" s="6"/>
    </row>
    <row r="228" ht="12.75">
      <c r="N228" s="6"/>
    </row>
  </sheetData>
  <sheetProtection/>
  <printOptions/>
  <pageMargins left="0.38" right="0.75" top="0.73" bottom="0.74" header="0.5" footer="0.5"/>
  <pageSetup fitToHeight="0" fitToWidth="1" horizontalDpi="600" verticalDpi="600" orientation="landscape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08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33" sqref="D33"/>
    </sheetView>
  </sheetViews>
  <sheetFormatPr defaultColWidth="9.140625" defaultRowHeight="12.75"/>
  <cols>
    <col min="1" max="1" width="11.00390625" style="0" customWidth="1"/>
    <col min="2" max="5" width="18.00390625" style="1" customWidth="1"/>
    <col min="6" max="6" width="15.7109375" style="1" customWidth="1"/>
    <col min="7" max="7" width="15.7109375" style="6" customWidth="1"/>
    <col min="8" max="8" width="15.00390625" style="6" customWidth="1"/>
    <col min="9" max="10" width="14.140625" style="6" bestFit="1" customWidth="1"/>
    <col min="11" max="12" width="14.140625" style="6" customWidth="1"/>
    <col min="13" max="13" width="14.7109375" style="6" customWidth="1"/>
    <col min="14" max="14" width="12.57421875" style="6" customWidth="1"/>
    <col min="15" max="15" width="12.7109375" style="6" bestFit="1" customWidth="1"/>
    <col min="16" max="16" width="11.140625" style="6" bestFit="1" customWidth="1"/>
    <col min="17" max="17" width="11.7109375" style="6" bestFit="1" customWidth="1"/>
    <col min="18" max="18" width="10.7109375" style="6" bestFit="1" customWidth="1"/>
    <col min="19" max="19" width="9.140625" style="6" customWidth="1"/>
    <col min="20" max="20" width="11.140625" style="6" bestFit="1" customWidth="1"/>
  </cols>
  <sheetData>
    <row r="2" spans="2:14" ht="42" customHeight="1">
      <c r="B2" s="2" t="s">
        <v>8</v>
      </c>
      <c r="C2" s="2" t="s">
        <v>9</v>
      </c>
      <c r="D2" s="2" t="s">
        <v>45</v>
      </c>
      <c r="E2" s="2" t="s">
        <v>10</v>
      </c>
      <c r="F2" s="2" t="s">
        <v>1</v>
      </c>
      <c r="G2" s="7" t="s">
        <v>2</v>
      </c>
      <c r="H2" s="54" t="s">
        <v>76</v>
      </c>
      <c r="I2" s="55" t="s">
        <v>77</v>
      </c>
      <c r="J2" s="55" t="s">
        <v>78</v>
      </c>
      <c r="K2" s="55" t="s">
        <v>89</v>
      </c>
      <c r="L2" s="55" t="s">
        <v>90</v>
      </c>
      <c r="M2" s="55" t="s">
        <v>81</v>
      </c>
      <c r="N2" s="56" t="s">
        <v>79</v>
      </c>
    </row>
    <row r="4" spans="1:2" ht="12.75">
      <c r="A4" s="20"/>
      <c r="B4" s="46" t="s">
        <v>47</v>
      </c>
    </row>
    <row r="5" spans="2:20" ht="12.75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</row>
    <row r="7" spans="1:5" ht="12.75">
      <c r="A7">
        <f>'Do Not Use Purchase Power Model'!A198</f>
        <v>1996</v>
      </c>
      <c r="B7" s="120">
        <f>'Purchased Power Model - Cust'!F198</f>
        <v>1054584152.9999999</v>
      </c>
      <c r="C7" s="120">
        <f>'Purchased Power Model - Cust'!N198</f>
        <v>1047289955.0669311</v>
      </c>
      <c r="D7" s="229">
        <f>C7-B7</f>
        <v>-7294197.933068752</v>
      </c>
      <c r="E7" s="5">
        <f>D7/B7</f>
        <v>-0.006916658013795086</v>
      </c>
    </row>
    <row r="8" spans="1:5" ht="12.75">
      <c r="A8">
        <f>'Do Not Use Purchase Power Model'!A199</f>
        <v>1997</v>
      </c>
      <c r="B8" s="120">
        <f>'Purchased Power Model - Cust'!F199</f>
        <v>1067428819.3</v>
      </c>
      <c r="C8" s="120">
        <f>'Purchased Power Model - Cust'!N199</f>
        <v>1061595523.2587776</v>
      </c>
      <c r="D8" s="229">
        <f aca="true" t="shared" si="0" ref="D8:D20">C8-B8</f>
        <v>-5833296.041222334</v>
      </c>
      <c r="E8" s="5">
        <f aca="true" t="shared" si="1" ref="E8:E20">D8/B8</f>
        <v>-0.005464810332784252</v>
      </c>
    </row>
    <row r="9" spans="1:5" ht="12.75">
      <c r="A9">
        <f>'Do Not Use Purchase Power Model'!A200</f>
        <v>1998</v>
      </c>
      <c r="B9" s="120">
        <f>'Purchased Power Model - Cust'!F200</f>
        <v>1089938594.0000002</v>
      </c>
      <c r="C9" s="120">
        <f>'Purchased Power Model - Cust'!N200</f>
        <v>1093841807.3222425</v>
      </c>
      <c r="D9" s="229">
        <f t="shared" si="0"/>
        <v>3903213.32224226</v>
      </c>
      <c r="E9" s="5">
        <f t="shared" si="1"/>
        <v>0.0035811313992632683</v>
      </c>
    </row>
    <row r="10" spans="1:14" ht="12.75">
      <c r="A10">
        <f>'Do Not Use Purchase Power Model'!A201</f>
        <v>1999</v>
      </c>
      <c r="B10" s="120">
        <f>'Purchased Power Model - Cust'!F201</f>
        <v>1136636397.1000001</v>
      </c>
      <c r="C10" s="120">
        <f>'Purchased Power Model - Cust'!N201</f>
        <v>1147417464.1825104</v>
      </c>
      <c r="D10" s="229">
        <f t="shared" si="0"/>
        <v>10781067.082510233</v>
      </c>
      <c r="E10" s="5">
        <f t="shared" si="1"/>
        <v>0.009485062338331688</v>
      </c>
      <c r="F10" s="27"/>
      <c r="H10" s="30"/>
      <c r="I10" s="30"/>
      <c r="J10" s="30"/>
      <c r="K10" s="30"/>
      <c r="L10" s="30"/>
      <c r="M10" s="30"/>
      <c r="N10" s="30"/>
    </row>
    <row r="11" spans="1:14" ht="12.75">
      <c r="A11">
        <f>'Do Not Use Purchase Power Model'!A202</f>
        <v>2000</v>
      </c>
      <c r="B11" s="120">
        <f>'Purchased Power Model - Cust'!F202</f>
        <v>1173512817</v>
      </c>
      <c r="C11" s="120">
        <f>'Purchased Power Model - Cust'!N202</f>
        <v>1172397541.2960057</v>
      </c>
      <c r="D11" s="229">
        <f t="shared" si="0"/>
        <v>-1115275.7039942741</v>
      </c>
      <c r="E11" s="5">
        <f t="shared" si="1"/>
        <v>-0.0009503736881591078</v>
      </c>
      <c r="F11" s="27"/>
      <c r="G11" s="30"/>
      <c r="H11" s="30"/>
      <c r="I11" s="30"/>
      <c r="J11" s="30"/>
      <c r="K11" s="30"/>
      <c r="L11" s="30"/>
      <c r="M11" s="30"/>
      <c r="N11" s="30"/>
    </row>
    <row r="12" spans="1:14" ht="12.75">
      <c r="A12">
        <f>'Do Not Use Purchase Power Model'!A203</f>
        <v>2001</v>
      </c>
      <c r="B12" s="120">
        <f>'Purchased Power Model - Cust'!F203</f>
        <v>1205847416.177209</v>
      </c>
      <c r="C12" s="120">
        <f>'Purchased Power Model - Cust'!N203</f>
        <v>1212916163.3285291</v>
      </c>
      <c r="D12" s="229">
        <f t="shared" si="0"/>
        <v>7068747.151320219</v>
      </c>
      <c r="E12" s="5">
        <f t="shared" si="1"/>
        <v>0.005862057716829249</v>
      </c>
      <c r="F12" s="27"/>
      <c r="G12" s="30"/>
      <c r="H12" s="30"/>
      <c r="I12" s="30"/>
      <c r="J12" s="30"/>
      <c r="K12" s="30"/>
      <c r="L12" s="30"/>
      <c r="M12" s="30"/>
      <c r="N12" s="30"/>
    </row>
    <row r="13" spans="1:14" ht="12.75">
      <c r="A13">
        <f>'Do Not Use Purchase Power Model'!A204</f>
        <v>2002</v>
      </c>
      <c r="B13" s="120">
        <f>'Purchased Power Model - Cust'!F204</f>
        <v>1286398646.989775</v>
      </c>
      <c r="C13" s="120">
        <f>'Purchased Power Model - Cust'!N204</f>
        <v>1266366656.1831439</v>
      </c>
      <c r="D13" s="229">
        <f t="shared" si="0"/>
        <v>-20031990.80663109</v>
      </c>
      <c r="E13" s="5">
        <f t="shared" si="1"/>
        <v>-0.015572148535375686</v>
      </c>
      <c r="F13" s="27"/>
      <c r="G13" s="30"/>
      <c r="H13" s="30"/>
      <c r="I13" s="30"/>
      <c r="J13" s="30"/>
      <c r="K13" s="30"/>
      <c r="L13" s="30"/>
      <c r="M13" s="30"/>
      <c r="N13" s="30"/>
    </row>
    <row r="14" spans="1:14" ht="12.75">
      <c r="A14">
        <f>'Do Not Use Purchase Power Model'!A205</f>
        <v>2003</v>
      </c>
      <c r="B14" s="120">
        <f>'Purchased Power Model - Cust'!F205</f>
        <v>1269973823.93615</v>
      </c>
      <c r="C14" s="120">
        <f>'Purchased Power Model - Cust'!N205</f>
        <v>1274253935.9227498</v>
      </c>
      <c r="D14" s="229">
        <f t="shared" si="0"/>
        <v>4280111.986599684</v>
      </c>
      <c r="E14" s="5">
        <f t="shared" si="1"/>
        <v>0.003370236382773566</v>
      </c>
      <c r="F14" s="63">
        <f aca="true" t="shared" si="2" ref="F14:F20">1+(B14-G14)/G14</f>
        <v>1.0439373756623385</v>
      </c>
      <c r="G14" s="65">
        <f aca="true" t="shared" si="3" ref="G14:G19">SUM(H14:N14)</f>
        <v>1216522996.0565405</v>
      </c>
      <c r="H14" s="44">
        <v>381172837.66807127</v>
      </c>
      <c r="I14" s="44">
        <v>178733408.91393787</v>
      </c>
      <c r="J14" s="44">
        <v>581134405.3200765</v>
      </c>
      <c r="K14" s="44">
        <v>65433585.88302638</v>
      </c>
      <c r="L14" s="44"/>
      <c r="M14" s="44">
        <v>6845381.300000001</v>
      </c>
      <c r="N14" s="44">
        <v>3203376.9714285713</v>
      </c>
    </row>
    <row r="15" spans="1:14" ht="12.75">
      <c r="A15">
        <f>'Do Not Use Purchase Power Model'!A206</f>
        <v>2004</v>
      </c>
      <c r="B15" s="120">
        <f>'Purchased Power Model - Cust'!F206</f>
        <v>1294310409.8232</v>
      </c>
      <c r="C15" s="120">
        <f>'Purchased Power Model - Cust'!N206</f>
        <v>1307806358.1887326</v>
      </c>
      <c r="D15" s="229">
        <f t="shared" si="0"/>
        <v>13495948.365532637</v>
      </c>
      <c r="E15" s="5">
        <f t="shared" si="1"/>
        <v>0.010427134219971355</v>
      </c>
      <c r="F15" s="27">
        <f t="shared" si="2"/>
        <v>1.0359788820401405</v>
      </c>
      <c r="G15" s="65">
        <f t="shared" si="3"/>
        <v>1249359839.5310242</v>
      </c>
      <c r="H15" s="44">
        <v>385085949.0911344</v>
      </c>
      <c r="I15" s="44">
        <v>181654717.71144453</v>
      </c>
      <c r="J15" s="44">
        <v>606602562.8291459</v>
      </c>
      <c r="K15" s="44">
        <v>66067057.488522306</v>
      </c>
      <c r="L15" s="44"/>
      <c r="M15" s="44">
        <v>6727156.649813486</v>
      </c>
      <c r="N15" s="44">
        <v>3222395.760963709</v>
      </c>
    </row>
    <row r="16" spans="1:14" ht="12.75">
      <c r="A16">
        <f>'Do Not Use Purchase Power Model'!A207</f>
        <v>2005</v>
      </c>
      <c r="B16" s="120">
        <f>'Purchased Power Model - Cust'!F207</f>
        <v>1358556812.99585</v>
      </c>
      <c r="C16" s="120">
        <f>'Purchased Power Model - Cust'!N207</f>
        <v>1370886094.180316</v>
      </c>
      <c r="D16" s="229">
        <f t="shared" si="0"/>
        <v>12329281.184465885</v>
      </c>
      <c r="E16" s="5">
        <f t="shared" si="1"/>
        <v>0.009075278314844788</v>
      </c>
      <c r="F16" s="27">
        <f t="shared" si="2"/>
        <v>1.0416727624210749</v>
      </c>
      <c r="G16" s="65">
        <f t="shared" si="3"/>
        <v>1304206908.3560057</v>
      </c>
      <c r="H16" s="44">
        <v>408053980.685318</v>
      </c>
      <c r="I16" s="44">
        <v>187375741.76912484</v>
      </c>
      <c r="J16" s="44">
        <v>627713059.1572262</v>
      </c>
      <c r="K16" s="44">
        <v>70553959.95619713</v>
      </c>
      <c r="L16" s="44"/>
      <c r="M16" s="44">
        <v>7324552.788139647</v>
      </c>
      <c r="N16" s="44">
        <v>3185614</v>
      </c>
    </row>
    <row r="17" spans="1:14" ht="12.75">
      <c r="A17">
        <f>'Do Not Use Purchase Power Model'!A208</f>
        <v>2006</v>
      </c>
      <c r="B17" s="120">
        <f>'Purchased Power Model - Cust'!F208</f>
        <v>1372533120.3491502</v>
      </c>
      <c r="C17" s="120">
        <f>'Purchased Power Model - Cust'!N208</f>
        <v>1370624789.3830178</v>
      </c>
      <c r="D17" s="229">
        <f t="shared" si="0"/>
        <v>-1908330.9661324024</v>
      </c>
      <c r="E17" s="5">
        <f t="shared" si="1"/>
        <v>-0.0013903715238922278</v>
      </c>
      <c r="F17" s="27">
        <f t="shared" si="2"/>
        <v>1.0353272624984577</v>
      </c>
      <c r="G17" s="65">
        <f t="shared" si="3"/>
        <v>1325699776.3556862</v>
      </c>
      <c r="H17" s="44">
        <v>391947394.9774737</v>
      </c>
      <c r="I17" s="44">
        <v>189284333.47635177</v>
      </c>
      <c r="J17" s="44">
        <v>660327537.8039035</v>
      </c>
      <c r="K17" s="44">
        <v>73668917.5599801</v>
      </c>
      <c r="L17" s="44"/>
      <c r="M17" s="44">
        <v>7335287.537976969</v>
      </c>
      <c r="N17" s="44">
        <v>3136305</v>
      </c>
    </row>
    <row r="18" spans="1:14" ht="12.75">
      <c r="A18">
        <f>'Do Not Use Purchase Power Model'!A209</f>
        <v>2007</v>
      </c>
      <c r="B18" s="120">
        <f>'Purchased Power Model - Cust'!F209</f>
        <v>1423569039</v>
      </c>
      <c r="C18" s="120">
        <f>'Purchased Power Model - Cust'!N209</f>
        <v>1404917327.2368293</v>
      </c>
      <c r="D18" s="229">
        <f t="shared" si="0"/>
        <v>-18651711.76317072</v>
      </c>
      <c r="E18" s="5">
        <f t="shared" si="1"/>
        <v>-0.013102077421038038</v>
      </c>
      <c r="F18" s="27">
        <f t="shared" si="2"/>
        <v>1.041268035360164</v>
      </c>
      <c r="G18" s="65">
        <f t="shared" si="3"/>
        <v>1367149466.4748852</v>
      </c>
      <c r="H18" s="44">
        <v>405071611.60313827</v>
      </c>
      <c r="I18" s="44">
        <v>192047824.5759105</v>
      </c>
      <c r="J18" s="44">
        <v>682785512.3488585</v>
      </c>
      <c r="K18" s="44">
        <v>77115460.57823667</v>
      </c>
      <c r="L18" s="44"/>
      <c r="M18" s="44">
        <v>7356113.368741208</v>
      </c>
      <c r="N18" s="44">
        <v>2772944</v>
      </c>
    </row>
    <row r="19" spans="1:14" ht="12.75">
      <c r="A19">
        <f>'Do Not Use Purchase Power Model'!A210</f>
        <v>2008</v>
      </c>
      <c r="B19" s="120">
        <f>'Purchased Power Model - Cust'!F210</f>
        <v>1421429683</v>
      </c>
      <c r="C19" s="120">
        <f>'Purchased Power Model - Cust'!N210</f>
        <v>1418931095.1357596</v>
      </c>
      <c r="D19" s="229">
        <f t="shared" si="0"/>
        <v>-2498587.864240408</v>
      </c>
      <c r="E19" s="5">
        <f t="shared" si="1"/>
        <v>-0.0017577991328892263</v>
      </c>
      <c r="F19" s="27">
        <f t="shared" si="2"/>
        <v>1.0373585754955226</v>
      </c>
      <c r="G19" s="65">
        <f t="shared" si="3"/>
        <v>1370239487.6535487</v>
      </c>
      <c r="H19" s="44">
        <v>405533476.4792728</v>
      </c>
      <c r="I19" s="44">
        <v>185031934.17948633</v>
      </c>
      <c r="J19" s="44">
        <v>693615296.4854753</v>
      </c>
      <c r="K19" s="44">
        <v>76733607.73291159</v>
      </c>
      <c r="L19" s="44"/>
      <c r="M19" s="44">
        <v>7547792.776402799</v>
      </c>
      <c r="N19" s="44">
        <v>1777380</v>
      </c>
    </row>
    <row r="20" spans="1:14" ht="12.75">
      <c r="A20">
        <f>'Do Not Use Purchase Power Model'!A211</f>
        <v>2009</v>
      </c>
      <c r="B20" s="120">
        <f>'Purchased Power Model - Cust'!F211</f>
        <v>1411764680.4</v>
      </c>
      <c r="C20" s="120">
        <f>'Purchased Power Model - Cust'!N211</f>
        <v>1417239702.3857965</v>
      </c>
      <c r="D20" s="229">
        <f t="shared" si="0"/>
        <v>5475021.985796452</v>
      </c>
      <c r="E20" s="5">
        <f t="shared" si="1"/>
        <v>0.003878140643272925</v>
      </c>
      <c r="F20" s="27">
        <f t="shared" si="2"/>
        <v>1.0380434551785442</v>
      </c>
      <c r="G20" s="65">
        <f>SUM(H20:N20)</f>
        <v>1360024643.8210773</v>
      </c>
      <c r="H20" s="44">
        <v>397106489.36571515</v>
      </c>
      <c r="I20" s="44">
        <v>179794279.15883675</v>
      </c>
      <c r="J20" s="44">
        <v>697125703.1172078</v>
      </c>
      <c r="K20" s="44">
        <v>76507951.36112295</v>
      </c>
      <c r="L20" s="44"/>
      <c r="M20" s="44">
        <v>7543733.8181949835</v>
      </c>
      <c r="N20" s="44">
        <v>1946487</v>
      </c>
    </row>
    <row r="21" spans="1:9" ht="12.75">
      <c r="A21">
        <f>'Do Not Use Purchase Power Model'!A212</f>
        <v>2010</v>
      </c>
      <c r="B21" s="120"/>
      <c r="C21" s="120">
        <f>+Summary!L5</f>
        <v>1435675075.3326707</v>
      </c>
      <c r="D21" s="230"/>
      <c r="G21" s="203">
        <f>+C21/F24</f>
        <v>1379926062.411256</v>
      </c>
      <c r="H21" s="96"/>
      <c r="I21" s="120"/>
    </row>
    <row r="22" spans="1:9" ht="12.75">
      <c r="A22">
        <f>'Do Not Use Purchase Power Model'!A213</f>
        <v>2011</v>
      </c>
      <c r="B22" s="120"/>
      <c r="C22" s="120">
        <f>+Summary!M5</f>
        <v>1429182623.7775447</v>
      </c>
      <c r="D22" s="230"/>
      <c r="G22" s="203">
        <f>+C22/F24</f>
        <v>1373685720.6627688</v>
      </c>
      <c r="H22" s="96"/>
      <c r="I22" s="120"/>
    </row>
    <row r="23" ht="12.75">
      <c r="H23" s="94"/>
    </row>
    <row r="24" spans="1:6" ht="12.75">
      <c r="A24" s="21" t="s">
        <v>15</v>
      </c>
      <c r="C24" s="26"/>
      <c r="D24" s="26"/>
      <c r="E24" s="216" t="s">
        <v>105</v>
      </c>
      <c r="F24" s="231">
        <v>1.0404</v>
      </c>
    </row>
    <row r="25" ht="12.75">
      <c r="F25" s="119"/>
    </row>
    <row r="26" ht="12.75">
      <c r="G26" s="93">
        <f>+G21/G20</f>
        <v>1.0146331308631764</v>
      </c>
    </row>
    <row r="27" spans="1:7" ht="12.75">
      <c r="A27" s="24" t="s">
        <v>17</v>
      </c>
      <c r="B27" s="13"/>
      <c r="G27" s="93">
        <f>+G22/G21</f>
        <v>0.995477770933913</v>
      </c>
    </row>
    <row r="29" ht="12.75">
      <c r="A29">
        <f aca="true" t="shared" si="4" ref="A29:A41">A10</f>
        <v>1999</v>
      </c>
    </row>
    <row r="30" spans="1:14" ht="12.75">
      <c r="A30">
        <f t="shared" si="4"/>
        <v>2000</v>
      </c>
      <c r="H30" s="30"/>
      <c r="I30" s="30"/>
      <c r="J30" s="30"/>
      <c r="K30" s="30"/>
      <c r="L30" s="30"/>
      <c r="M30" s="30"/>
      <c r="N30" s="30"/>
    </row>
    <row r="31" spans="1:14" ht="12.75">
      <c r="A31">
        <f t="shared" si="4"/>
        <v>2001</v>
      </c>
      <c r="H31" s="30"/>
      <c r="I31" s="30"/>
      <c r="J31" s="30"/>
      <c r="K31" s="30"/>
      <c r="L31" s="30"/>
      <c r="M31" s="30"/>
      <c r="N31" s="30"/>
    </row>
    <row r="32" spans="1:14" ht="12.75">
      <c r="A32">
        <f t="shared" si="4"/>
        <v>2002</v>
      </c>
      <c r="D32" s="6"/>
      <c r="H32" s="30"/>
      <c r="I32" s="30"/>
      <c r="J32" s="30"/>
      <c r="K32" s="30"/>
      <c r="L32" s="30"/>
      <c r="M32" s="30"/>
      <c r="N32" s="30"/>
    </row>
    <row r="33" spans="1:14" ht="12.75">
      <c r="A33">
        <f t="shared" si="4"/>
        <v>2003</v>
      </c>
      <c r="H33" s="30">
        <f>H14/'Rate Class Customer Model'!B7</f>
        <v>9565.910549553824</v>
      </c>
      <c r="I33" s="30">
        <f>I14/'Rate Class Customer Model'!C7</f>
        <v>35911.87641429332</v>
      </c>
      <c r="J33" s="30">
        <f>J14/'Rate Class Customer Model'!D7</f>
        <v>912298.9094506695</v>
      </c>
      <c r="K33" s="30">
        <f>K14/'Rate Class Customer Model'!E7</f>
        <v>65433585.88302638</v>
      </c>
      <c r="L33" s="30"/>
      <c r="M33" s="30">
        <f>M14/'Rate Class Customer Model'!G7</f>
        <v>587.8386689566338</v>
      </c>
      <c r="N33" s="30">
        <f>N14/'Rate Class Customer Model'!H7</f>
        <v>6604.900972017673</v>
      </c>
    </row>
    <row r="34" spans="1:14" ht="12.75">
      <c r="A34">
        <f t="shared" si="4"/>
        <v>2004</v>
      </c>
      <c r="G34" s="98"/>
      <c r="H34" s="30">
        <f>H15/'Rate Class Customer Model'!B8</f>
        <v>9343.344634020003</v>
      </c>
      <c r="I34" s="30">
        <f>I15/'Rate Class Customer Model'!C8</f>
        <v>36150.19257939194</v>
      </c>
      <c r="J34" s="30">
        <f>J15/'Rate Class Customer Model'!D8</f>
        <v>969013.6786408082</v>
      </c>
      <c r="K34" s="30">
        <f>K15/'Rate Class Customer Model'!E8</f>
        <v>66067057.488522306</v>
      </c>
      <c r="L34" s="30"/>
      <c r="M34" s="30">
        <f>M15/'Rate Class Customer Model'!G8</f>
        <v>556.3771937650721</v>
      </c>
      <c r="N34" s="30">
        <f>N15/'Rate Class Customer Model'!H8</f>
        <v>6509.890426189311</v>
      </c>
    </row>
    <row r="35" spans="1:14" ht="12.75">
      <c r="A35">
        <f t="shared" si="4"/>
        <v>2005</v>
      </c>
      <c r="G35" s="98"/>
      <c r="H35" s="30">
        <f>H16/'Rate Class Customer Model'!B9</f>
        <v>9641.65163946217</v>
      </c>
      <c r="I35" s="30">
        <f>I16/'Rate Class Customer Model'!C9</f>
        <v>36754.75515282951</v>
      </c>
      <c r="J35" s="30">
        <f>J16/'Rate Class Customer Model'!D9</f>
        <v>1014076.0244866336</v>
      </c>
      <c r="K35" s="30">
        <f>K16/'Rate Class Customer Model'!E9</f>
        <v>70553959.95619713</v>
      </c>
      <c r="L35" s="30"/>
      <c r="M35" s="30">
        <f>M16/'Rate Class Customer Model'!G9</f>
        <v>591.739601562421</v>
      </c>
      <c r="N35" s="30">
        <f>N16/'Rate Class Customer Model'!H9</f>
        <v>6554.761316872428</v>
      </c>
    </row>
    <row r="36" spans="1:14" ht="12.75">
      <c r="A36">
        <f t="shared" si="4"/>
        <v>2006</v>
      </c>
      <c r="G36" s="98"/>
      <c r="H36" s="30">
        <f>H17/'Rate Class Customer Model'!B10</f>
        <v>9112.300815508652</v>
      </c>
      <c r="I36" s="30">
        <f>I17/'Rate Class Customer Model'!C10</f>
        <v>36825.7458125198</v>
      </c>
      <c r="J36" s="30">
        <f>J17/'Rate Class Customer Model'!D10</f>
        <v>1058217.2080190761</v>
      </c>
      <c r="K36" s="30">
        <f>K17/'Rate Class Customer Model'!E10</f>
        <v>73668917.5599801</v>
      </c>
      <c r="L36" s="30"/>
      <c r="M36" s="30">
        <f>M17/'Rate Class Customer Model'!G10</f>
        <v>583.323064650256</v>
      </c>
      <c r="N36" s="30">
        <f>N17/'Rate Class Customer Model'!H10</f>
        <v>5463.945993031359</v>
      </c>
    </row>
    <row r="37" spans="1:14" ht="12.75">
      <c r="A37">
        <f t="shared" si="4"/>
        <v>2007</v>
      </c>
      <c r="G37" s="98"/>
      <c r="H37" s="30">
        <f>H18/'Rate Class Customer Model'!B11</f>
        <v>9258.779693786017</v>
      </c>
      <c r="I37" s="30">
        <f>I18/'Rate Class Customer Model'!C11</f>
        <v>37204.150440897036</v>
      </c>
      <c r="J37" s="30">
        <f>J18/'Rate Class Customer Model'!D11</f>
        <v>1083786.5275378707</v>
      </c>
      <c r="K37" s="30">
        <f>K18/'Rate Class Customer Model'!E11</f>
        <v>77115460.57823667</v>
      </c>
      <c r="L37" s="30"/>
      <c r="M37" s="30">
        <f>M18/'Rate Class Customer Model'!G11</f>
        <v>577.4029331821985</v>
      </c>
      <c r="N37" s="30">
        <f>N18/'Rate Class Customer Model'!H11</f>
        <v>5202.521575984991</v>
      </c>
    </row>
    <row r="38" spans="1:14" ht="12.75">
      <c r="A38">
        <f t="shared" si="4"/>
        <v>2008</v>
      </c>
      <c r="G38" s="98"/>
      <c r="H38" s="30">
        <f>H19/'Rate Class Customer Model'!B12</f>
        <v>9094.10617090738</v>
      </c>
      <c r="I38" s="30">
        <f>I19/'Rate Class Customer Model'!C12</f>
        <v>35548.882647355684</v>
      </c>
      <c r="J38" s="30">
        <f>J19/'Rate Class Customer Model'!D12</f>
        <v>1044601.3501287278</v>
      </c>
      <c r="K38" s="30">
        <f>K19/'Rate Class Customer Model'!E12</f>
        <v>76733607.73291159</v>
      </c>
      <c r="L38" s="30"/>
      <c r="M38" s="30">
        <f>M19/'Rate Class Customer Model'!G12</f>
        <v>590.7327836270485</v>
      </c>
      <c r="N38" s="30">
        <f>N19/'Rate Class Customer Model'!H12</f>
        <v>3328.4269662921347</v>
      </c>
    </row>
    <row r="39" spans="1:14" ht="12.75">
      <c r="A39">
        <f t="shared" si="4"/>
        <v>2009</v>
      </c>
      <c r="G39" s="98"/>
      <c r="H39" s="30">
        <f>H20/'Rate Class Customer Model'!B13</f>
        <v>8802.484635597613</v>
      </c>
      <c r="I39" s="30">
        <f>I20/'Rate Class Customer Model'!C13</f>
        <v>33923.44889789373</v>
      </c>
      <c r="J39" s="30">
        <f>J20/'Rate Class Customer Model'!D13</f>
        <v>1054653.1060774701</v>
      </c>
      <c r="K39" s="30">
        <f>K20/'Rate Class Customer Model'!E13</f>
        <v>76507951.36112295</v>
      </c>
      <c r="L39" s="30"/>
      <c r="M39" s="30">
        <f>M20/'Rate Class Customer Model'!G13</f>
        <v>583.9255219595157</v>
      </c>
      <c r="N39" s="30">
        <f>N20/'Rate Class Customer Model'!H13</f>
        <v>3645.1067415730336</v>
      </c>
    </row>
    <row r="40" spans="1:14" ht="12.75">
      <c r="A40">
        <f t="shared" si="4"/>
        <v>2010</v>
      </c>
      <c r="G40" s="98"/>
      <c r="H40" s="23">
        <f>H39*H55</f>
        <v>8681.306756232007</v>
      </c>
      <c r="I40" s="23">
        <f aca="true" t="shared" si="5" ref="I40:N40">I39*I55</f>
        <v>33602.91728000594</v>
      </c>
      <c r="J40" s="23">
        <f t="shared" si="5"/>
        <v>1080450.9344203428</v>
      </c>
      <c r="K40" s="23">
        <f>K39*K55</f>
        <v>78527941.84688777</v>
      </c>
      <c r="L40" s="23"/>
      <c r="M40" s="23">
        <f t="shared" si="5"/>
        <v>583.2758680505316</v>
      </c>
      <c r="N40" s="23">
        <f t="shared" si="5"/>
        <v>3301.2942882948605</v>
      </c>
    </row>
    <row r="41" spans="1:14" ht="12.75">
      <c r="A41">
        <f t="shared" si="4"/>
        <v>2011</v>
      </c>
      <c r="G41" s="98"/>
      <c r="H41" s="23">
        <f aca="true" t="shared" si="6" ref="H41:N41">H40*H55</f>
        <v>8561.79705114394</v>
      </c>
      <c r="I41" s="23">
        <f t="shared" si="6"/>
        <v>33285.41426096065</v>
      </c>
      <c r="J41" s="23">
        <f t="shared" si="6"/>
        <v>1106879.8024324423</v>
      </c>
      <c r="K41" s="23">
        <f t="shared" si="6"/>
        <v>80601264.84894648</v>
      </c>
      <c r="L41" s="23"/>
      <c r="M41" s="23">
        <f t="shared" si="6"/>
        <v>582.6269369224254</v>
      </c>
      <c r="N41" s="23">
        <f t="shared" si="6"/>
        <v>2989.9107901638677</v>
      </c>
    </row>
    <row r="43" spans="1:14" ht="12.75">
      <c r="A43" s="43">
        <v>1999</v>
      </c>
      <c r="D43" s="6"/>
      <c r="H43" s="28"/>
      <c r="I43" s="28"/>
      <c r="J43" s="28"/>
      <c r="K43" s="28"/>
      <c r="L43" s="28"/>
      <c r="M43" s="28"/>
      <c r="N43" s="28"/>
    </row>
    <row r="44" spans="1:14" ht="12.75">
      <c r="A44" s="43">
        <v>2000</v>
      </c>
      <c r="D44" s="6"/>
      <c r="H44" s="28"/>
      <c r="I44" s="28"/>
      <c r="J44" s="28"/>
      <c r="K44" s="28"/>
      <c r="L44" s="28"/>
      <c r="M44" s="28"/>
      <c r="N44" s="28"/>
    </row>
    <row r="45" spans="1:14" ht="12.75">
      <c r="A45" s="43">
        <v>2001</v>
      </c>
      <c r="D45" s="6"/>
      <c r="H45" s="28"/>
      <c r="I45" s="28"/>
      <c r="J45" s="28"/>
      <c r="K45" s="28"/>
      <c r="L45" s="28"/>
      <c r="M45" s="28"/>
      <c r="N45" s="28"/>
    </row>
    <row r="46" spans="1:14" ht="12.75">
      <c r="A46" s="43">
        <v>2002</v>
      </c>
      <c r="D46" s="6"/>
      <c r="H46" s="28"/>
      <c r="I46" s="28"/>
      <c r="J46" s="28"/>
      <c r="K46" s="28"/>
      <c r="L46" s="28"/>
      <c r="M46" s="28"/>
      <c r="N46" s="28"/>
    </row>
    <row r="47" spans="1:14" ht="12.75">
      <c r="A47" s="43">
        <v>2003</v>
      </c>
      <c r="D47" s="6"/>
      <c r="H47" s="28"/>
      <c r="I47" s="28"/>
      <c r="J47" s="28"/>
      <c r="K47" s="28"/>
      <c r="L47" s="28"/>
      <c r="M47" s="28"/>
      <c r="N47" s="28"/>
    </row>
    <row r="48" spans="1:14" ht="12.75">
      <c r="A48" s="43">
        <v>2004</v>
      </c>
      <c r="D48" s="6"/>
      <c r="H48" s="28">
        <f>H34/H33</f>
        <v>0.9767334312420262</v>
      </c>
      <c r="I48" s="28">
        <f aca="true" t="shared" si="7" ref="H48:N50">I34/I33</f>
        <v>1.0066361379268884</v>
      </c>
      <c r="J48" s="28">
        <f t="shared" si="7"/>
        <v>1.0621668716279502</v>
      </c>
      <c r="K48" s="28">
        <f aca="true" t="shared" si="8" ref="K48:K53">K34/K33</f>
        <v>1.0096811384695983</v>
      </c>
      <c r="L48" s="28"/>
      <c r="M48" s="28">
        <f t="shared" si="7"/>
        <v>0.946479405229664</v>
      </c>
      <c r="N48" s="28">
        <f t="shared" si="7"/>
        <v>0.9856151445372333</v>
      </c>
    </row>
    <row r="49" spans="1:14" ht="12.75">
      <c r="A49" s="43">
        <v>2005</v>
      </c>
      <c r="D49" s="6"/>
      <c r="H49" s="28">
        <f t="shared" si="7"/>
        <v>1.031927218477632</v>
      </c>
      <c r="I49" s="28">
        <f t="shared" si="7"/>
        <v>1.0167236335493883</v>
      </c>
      <c r="J49" s="28">
        <f t="shared" si="7"/>
        <v>1.0465033124290177</v>
      </c>
      <c r="K49" s="28">
        <f t="shared" si="8"/>
        <v>1.0679143681925645</v>
      </c>
      <c r="L49" s="28"/>
      <c r="M49" s="28">
        <f t="shared" si="7"/>
        <v>1.063558334514122</v>
      </c>
      <c r="N49" s="28">
        <f t="shared" si="7"/>
        <v>1.0068927259516691</v>
      </c>
    </row>
    <row r="50" spans="1:14" ht="12.75">
      <c r="A50" s="43">
        <v>2006</v>
      </c>
      <c r="D50" s="6"/>
      <c r="H50" s="28">
        <f t="shared" si="7"/>
        <v>0.9450974953516318</v>
      </c>
      <c r="I50" s="28">
        <f t="shared" si="7"/>
        <v>1.001931468714595</v>
      </c>
      <c r="J50" s="28">
        <f t="shared" si="7"/>
        <v>1.04352847564342</v>
      </c>
      <c r="K50" s="28">
        <f t="shared" si="8"/>
        <v>1.0441500038511922</v>
      </c>
      <c r="L50" s="28"/>
      <c r="M50" s="28">
        <f t="shared" si="7"/>
        <v>0.9857766205102008</v>
      </c>
      <c r="N50" s="28">
        <f t="shared" si="7"/>
        <v>0.8335842800205048</v>
      </c>
    </row>
    <row r="51" spans="1:14" ht="12.75">
      <c r="A51" s="43">
        <v>2007</v>
      </c>
      <c r="D51" s="6"/>
      <c r="H51" s="28">
        <f aca="true" t="shared" si="9" ref="H51:N53">H37/H36</f>
        <v>1.0160748510439939</v>
      </c>
      <c r="I51" s="28">
        <f t="shared" si="9"/>
        <v>1.0102755455464145</v>
      </c>
      <c r="J51" s="28">
        <f t="shared" si="9"/>
        <v>1.0241626381852729</v>
      </c>
      <c r="K51" s="28">
        <f t="shared" si="8"/>
        <v>1.0467842223343442</v>
      </c>
      <c r="L51" s="28"/>
      <c r="M51" s="28">
        <f t="shared" si="9"/>
        <v>0.9898510245405655</v>
      </c>
      <c r="N51" s="28">
        <f t="shared" si="9"/>
        <v>0.952154648420796</v>
      </c>
    </row>
    <row r="52" spans="1:14" ht="12.75">
      <c r="A52" s="43">
        <v>2008</v>
      </c>
      <c r="D52" s="6"/>
      <c r="H52" s="28">
        <f t="shared" si="9"/>
        <v>0.982214338355069</v>
      </c>
      <c r="I52" s="28">
        <f t="shared" si="9"/>
        <v>0.9555085178958479</v>
      </c>
      <c r="J52" s="28">
        <f t="shared" si="9"/>
        <v>0.9638441921785436</v>
      </c>
      <c r="K52" s="28">
        <f t="shared" si="8"/>
        <v>0.9950482971577707</v>
      </c>
      <c r="L52" s="28"/>
      <c r="M52" s="28">
        <f t="shared" si="9"/>
        <v>1.0230858724104261</v>
      </c>
      <c r="N52" s="28">
        <f t="shared" si="9"/>
        <v>0.6397718717124139</v>
      </c>
    </row>
    <row r="53" spans="1:14" ht="12.75">
      <c r="A53" s="43">
        <v>2009</v>
      </c>
      <c r="D53" s="6"/>
      <c r="H53" s="28">
        <f t="shared" si="9"/>
        <v>0.9679329084322017</v>
      </c>
      <c r="I53" s="28">
        <f t="shared" si="9"/>
        <v>0.9542760945375912</v>
      </c>
      <c r="J53" s="28">
        <f t="shared" si="9"/>
        <v>1.0096225760645472</v>
      </c>
      <c r="K53" s="28">
        <f t="shared" si="8"/>
        <v>0.9970592237422997</v>
      </c>
      <c r="L53" s="28"/>
      <c r="M53" s="28">
        <f t="shared" si="9"/>
        <v>0.9884765805179512</v>
      </c>
      <c r="N53" s="28">
        <f t="shared" si="9"/>
        <v>1.095143975964622</v>
      </c>
    </row>
    <row r="54" spans="1:6" ht="12.75">
      <c r="A54" s="3"/>
      <c r="D54" s="6"/>
      <c r="E54" s="6"/>
      <c r="F54" s="6"/>
    </row>
    <row r="55" spans="1:14" ht="12.75">
      <c r="A55" t="s">
        <v>19</v>
      </c>
      <c r="D55" s="6"/>
      <c r="H55" s="28">
        <f aca="true" t="shared" si="10" ref="H55:N55">H57</f>
        <v>0.9862336732886124</v>
      </c>
      <c r="I55" s="28">
        <f t="shared" si="10"/>
        <v>0.9905513257554514</v>
      </c>
      <c r="J55" s="28">
        <f t="shared" si="10"/>
        <v>1.024460960854533</v>
      </c>
      <c r="K55" s="28">
        <f t="shared" si="10"/>
        <v>1.026402360144638</v>
      </c>
      <c r="L55" s="28"/>
      <c r="M55" s="28">
        <f t="shared" si="10"/>
        <v>0.9988874370368261</v>
      </c>
      <c r="N55" s="28">
        <f t="shared" si="10"/>
        <v>0.9056783579594704</v>
      </c>
    </row>
    <row r="56" spans="1:14" ht="12.75">
      <c r="A56" s="3"/>
      <c r="D56" s="6"/>
      <c r="H56" s="13"/>
      <c r="I56" s="13"/>
      <c r="M56" s="11"/>
      <c r="N56" s="11"/>
    </row>
    <row r="57" spans="1:14" ht="12.75">
      <c r="A57" t="s">
        <v>16</v>
      </c>
      <c r="D57" s="6"/>
      <c r="H57" s="28">
        <f aca="true" t="shared" si="11" ref="H57:N57">GEOMEAN(H45:H53)</f>
        <v>0.9862336732886124</v>
      </c>
      <c r="I57" s="28">
        <f t="shared" si="11"/>
        <v>0.9905513257554514</v>
      </c>
      <c r="J57" s="28">
        <f t="shared" si="11"/>
        <v>1.024460960854533</v>
      </c>
      <c r="K57" s="28">
        <f t="shared" si="11"/>
        <v>1.026402360144638</v>
      </c>
      <c r="L57" s="28"/>
      <c r="M57" s="28">
        <f t="shared" si="11"/>
        <v>0.9988874370368261</v>
      </c>
      <c r="N57" s="28">
        <f t="shared" si="11"/>
        <v>0.9056783579594704</v>
      </c>
    </row>
    <row r="58" spans="4:14" ht="12.75">
      <c r="D58" s="6"/>
      <c r="H58" s="28"/>
      <c r="I58" s="28"/>
      <c r="J58" s="28"/>
      <c r="K58" s="28"/>
      <c r="L58" s="28"/>
      <c r="M58" s="28"/>
      <c r="N58" s="28"/>
    </row>
    <row r="59" ht="12.75">
      <c r="A59" s="21" t="s">
        <v>49</v>
      </c>
    </row>
    <row r="60" spans="1:15" ht="12.75">
      <c r="A60">
        <v>2010</v>
      </c>
      <c r="G60" s="42">
        <f>SUM(H60:N60)</f>
        <v>1381664099.9501252</v>
      </c>
      <c r="H60" s="42">
        <f>H40*'Rate Class Customer Model'!B14</f>
        <v>395112314.39638734</v>
      </c>
      <c r="I60" s="42">
        <f>I40*'Rate Class Customer Model'!C14</f>
        <v>179971702.04705167</v>
      </c>
      <c r="J60" s="42">
        <f>J40*'Rate Class Customer Model'!D14</f>
        <v>718593878.8117372</v>
      </c>
      <c r="K60" s="42">
        <f>K40*'Rate Class Customer Model'!E14</f>
        <v>78527941.84688777</v>
      </c>
      <c r="L60" s="42">
        <f>L40*'Rate Class Customer Model'!F14</f>
        <v>0</v>
      </c>
      <c r="M60" s="42">
        <f>M40*'Rate Class Customer Model'!G14</f>
        <v>7666864.8525008885</v>
      </c>
      <c r="N60" s="42">
        <f>N40*'Rate Class Customer Model'!H14</f>
        <v>1791397.9955603846</v>
      </c>
      <c r="O60" s="42"/>
    </row>
    <row r="61" spans="1:15" ht="12.75">
      <c r="A61">
        <v>2011</v>
      </c>
      <c r="G61" s="42">
        <f>SUM(H61:N61)</f>
        <v>1404012197.2803314</v>
      </c>
      <c r="H61" s="42">
        <f>H41*'Rate Class Customer Model'!B15</f>
        <v>393097788.0091717</v>
      </c>
      <c r="I61" s="42">
        <f>I41*'Rate Class Customer Model'!C15</f>
        <v>180149300.0180412</v>
      </c>
      <c r="J61" s="42">
        <f>J41*'Rate Class Customer Model'!D15</f>
        <v>740723172.8176277</v>
      </c>
      <c r="K61" s="42">
        <f>K41*'Rate Class Customer Model'!E15</f>
        <v>80601264.84894648</v>
      </c>
      <c r="L61" s="42">
        <f>L41*'Rate Class Customer Model'!F15</f>
        <v>0</v>
      </c>
      <c r="M61" s="42">
        <f>M41*'Rate Class Customer Model'!G15</f>
        <v>7792005.667636106</v>
      </c>
      <c r="N61" s="42">
        <f>N41*'Rate Class Customer Model'!H15</f>
        <v>1648665.9189081476</v>
      </c>
      <c r="O61" s="42"/>
    </row>
    <row r="62" spans="7:15" ht="12.75"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.75">
      <c r="A63" s="21" t="s">
        <v>48</v>
      </c>
      <c r="G63" s="42"/>
      <c r="H63" s="42"/>
      <c r="I63" s="42"/>
      <c r="J63" s="42"/>
      <c r="K63" s="42"/>
      <c r="L63" s="42"/>
      <c r="M63" s="42"/>
      <c r="N63" s="42"/>
      <c r="O63" s="42" t="s">
        <v>18</v>
      </c>
    </row>
    <row r="64" spans="1:15" ht="12.75">
      <c r="A64">
        <v>2010</v>
      </c>
      <c r="C64" s="22"/>
      <c r="G64" s="66">
        <f>G21</f>
        <v>1379926062.411256</v>
      </c>
      <c r="H64" s="42">
        <f>H60+H72</f>
        <v>394497566.80702156</v>
      </c>
      <c r="I64" s="42">
        <f aca="true" t="shared" si="12" ref="I64:N65">I60+I72</f>
        <v>179691687.56520364</v>
      </c>
      <c r="J64" s="42">
        <f>J60+J72</f>
        <v>717861719.8937085</v>
      </c>
      <c r="K64" s="42">
        <f>K60+K72</f>
        <v>78416825.29726115</v>
      </c>
      <c r="L64" s="42">
        <f>L60+L72</f>
        <v>0</v>
      </c>
      <c r="M64" s="42">
        <f t="shared" si="12"/>
        <v>7666864.8525008885</v>
      </c>
      <c r="N64" s="42">
        <f t="shared" si="12"/>
        <v>1791397.9955603846</v>
      </c>
      <c r="O64" s="42">
        <f>SUM(H64:N64)</f>
        <v>1379926062.411256</v>
      </c>
    </row>
    <row r="65" spans="1:15" ht="12.75">
      <c r="A65">
        <v>2011</v>
      </c>
      <c r="C65" s="220"/>
      <c r="G65" s="66">
        <f>G22</f>
        <v>1373685720.6627688</v>
      </c>
      <c r="H65" s="42">
        <f>H61+H73</f>
        <v>382563061.61122465</v>
      </c>
      <c r="I65" s="42">
        <f t="shared" si="12"/>
        <v>175321433.65918124</v>
      </c>
      <c r="J65" s="42">
        <f t="shared" si="12"/>
        <v>727723747.1067349</v>
      </c>
      <c r="K65" s="42">
        <f>K61+K73</f>
        <v>78636806.69908373</v>
      </c>
      <c r="L65" s="42">
        <f>L61+L73</f>
        <v>0</v>
      </c>
      <c r="M65" s="42">
        <f t="shared" si="12"/>
        <v>7792005.667636106</v>
      </c>
      <c r="N65" s="42">
        <f t="shared" si="12"/>
        <v>1648665.9189081476</v>
      </c>
      <c r="O65" s="42">
        <f>SUM(H65:N65)</f>
        <v>1373685720.6627688</v>
      </c>
    </row>
    <row r="66" spans="3:15" ht="12.75">
      <c r="C66" s="22"/>
      <c r="G66" s="42"/>
      <c r="H66" s="42"/>
      <c r="I66" s="42"/>
      <c r="J66" s="42"/>
      <c r="K66" s="42"/>
      <c r="L66" s="42"/>
      <c r="M66" s="42"/>
      <c r="N66" s="42"/>
      <c r="O66" s="42"/>
    </row>
    <row r="67" spans="1:15" ht="12.75">
      <c r="A67" s="61" t="s">
        <v>50</v>
      </c>
      <c r="C67" s="22"/>
      <c r="G67" s="42"/>
      <c r="H67" s="217">
        <f>+(1+0.524)/2</f>
        <v>0.762</v>
      </c>
      <c r="I67" s="217">
        <f>+(1+0.524)/2</f>
        <v>0.762</v>
      </c>
      <c r="J67" s="218">
        <v>0.499</v>
      </c>
      <c r="K67" s="218">
        <v>0.693</v>
      </c>
      <c r="L67" s="218">
        <v>0</v>
      </c>
      <c r="M67" s="218">
        <v>0</v>
      </c>
      <c r="N67" s="218">
        <v>0</v>
      </c>
      <c r="O67" s="42" t="s">
        <v>18</v>
      </c>
    </row>
    <row r="68" spans="1:15" ht="12.75">
      <c r="A68">
        <v>2010</v>
      </c>
      <c r="C68" s="90"/>
      <c r="G68" s="42">
        <f>G64-G60</f>
        <v>-1738037.5388691425</v>
      </c>
      <c r="H68" s="42">
        <f>H60*H67</f>
        <v>301075583.57004714</v>
      </c>
      <c r="I68" s="42">
        <f aca="true" t="shared" si="13" ref="I68:N68">I60*I67</f>
        <v>137138436.95985338</v>
      </c>
      <c r="J68" s="42">
        <f>J60*J67</f>
        <v>358578345.5270569</v>
      </c>
      <c r="K68" s="42">
        <f>K60*K67</f>
        <v>54419863.69989322</v>
      </c>
      <c r="L68" s="42">
        <f t="shared" si="13"/>
        <v>0</v>
      </c>
      <c r="M68" s="42">
        <f t="shared" si="13"/>
        <v>0</v>
      </c>
      <c r="N68" s="42">
        <f t="shared" si="13"/>
        <v>0</v>
      </c>
      <c r="O68" s="42">
        <f>SUM(H68:N68)</f>
        <v>851212229.7568507</v>
      </c>
    </row>
    <row r="69" spans="1:15" ht="12.75">
      <c r="A69">
        <v>2011</v>
      </c>
      <c r="C69" s="90"/>
      <c r="G69" s="42">
        <f>G65-G61</f>
        <v>-30326476.617562532</v>
      </c>
      <c r="H69" s="42">
        <f aca="true" t="shared" si="14" ref="H69:N69">H61*H67</f>
        <v>299540514.46298885</v>
      </c>
      <c r="I69" s="42">
        <f t="shared" si="14"/>
        <v>137273766.6137474</v>
      </c>
      <c r="J69" s="42">
        <f t="shared" si="14"/>
        <v>369620863.2359962</v>
      </c>
      <c r="K69" s="42">
        <f t="shared" si="14"/>
        <v>55856676.540319905</v>
      </c>
      <c r="L69" s="42">
        <f t="shared" si="14"/>
        <v>0</v>
      </c>
      <c r="M69" s="42">
        <f t="shared" si="14"/>
        <v>0</v>
      </c>
      <c r="N69" s="42">
        <f t="shared" si="14"/>
        <v>0</v>
      </c>
      <c r="O69" s="42">
        <f>SUM(H69:N69)</f>
        <v>862291820.8530524</v>
      </c>
    </row>
    <row r="70" spans="3:15" ht="12" customHeight="1">
      <c r="C70" s="90"/>
      <c r="G70" s="42"/>
      <c r="H70" s="42"/>
      <c r="I70" s="42"/>
      <c r="J70" s="42"/>
      <c r="K70" s="42"/>
      <c r="L70" s="42"/>
      <c r="M70" s="42"/>
      <c r="N70" s="42"/>
      <c r="O70" s="42"/>
    </row>
    <row r="71" spans="1:15" ht="12.75">
      <c r="A71" t="s">
        <v>51</v>
      </c>
      <c r="G71" s="42"/>
      <c r="H71" s="42"/>
      <c r="I71" s="42"/>
      <c r="J71" s="42"/>
      <c r="K71" s="42"/>
      <c r="L71" s="42"/>
      <c r="M71" s="42"/>
      <c r="N71" s="42"/>
      <c r="O71" s="42"/>
    </row>
    <row r="72" spans="1:15" ht="12.75">
      <c r="A72">
        <v>2010</v>
      </c>
      <c r="G72" s="42"/>
      <c r="H72" s="42">
        <f>H68/$O$68*$G$68</f>
        <v>-614747.5893657578</v>
      </c>
      <c r="I72" s="42">
        <f aca="true" t="shared" si="15" ref="I72:N72">I68/$O$68*$G$68</f>
        <v>-280014.4818480227</v>
      </c>
      <c r="J72" s="42">
        <f>J68/$O$68*$G$68</f>
        <v>-732158.9180287493</v>
      </c>
      <c r="K72" s="42">
        <f t="shared" si="15"/>
        <v>-111116.54962661253</v>
      </c>
      <c r="L72" s="42">
        <f t="shared" si="15"/>
        <v>0</v>
      </c>
      <c r="M72" s="42">
        <f t="shared" si="15"/>
        <v>0</v>
      </c>
      <c r="N72" s="42">
        <f t="shared" si="15"/>
        <v>0</v>
      </c>
      <c r="O72" s="42">
        <f>SUM(H72:N72)</f>
        <v>-1738037.5388691423</v>
      </c>
    </row>
    <row r="73" spans="1:15" ht="12.75">
      <c r="A73">
        <v>2011</v>
      </c>
      <c r="G73" s="42"/>
      <c r="H73" s="42">
        <f>H69/$O$69*$G$69</f>
        <v>-10534726.397947054</v>
      </c>
      <c r="I73" s="42">
        <f aca="true" t="shared" si="16" ref="I73:N73">I69/$O$69*$G$69</f>
        <v>-4827866.358859955</v>
      </c>
      <c r="J73" s="42">
        <f t="shared" si="16"/>
        <v>-12999425.710892776</v>
      </c>
      <c r="K73" s="42">
        <f t="shared" si="16"/>
        <v>-1964458.1498627455</v>
      </c>
      <c r="L73" s="42">
        <f t="shared" si="16"/>
        <v>0</v>
      </c>
      <c r="M73" s="42">
        <f t="shared" si="16"/>
        <v>0</v>
      </c>
      <c r="N73" s="42">
        <f t="shared" si="16"/>
        <v>0</v>
      </c>
      <c r="O73" s="42">
        <f>SUM(H73:N73)</f>
        <v>-30326476.617562532</v>
      </c>
    </row>
    <row r="74" spans="3:15" ht="12.75">
      <c r="C74" s="26"/>
      <c r="D74" s="26"/>
      <c r="E74" s="26"/>
      <c r="F74" s="26"/>
      <c r="G74" s="219"/>
      <c r="H74" s="42"/>
      <c r="I74" s="42"/>
      <c r="J74" s="42"/>
      <c r="K74" s="42"/>
      <c r="L74" s="42"/>
      <c r="M74" s="42"/>
      <c r="N74" s="42"/>
      <c r="O74" s="42"/>
    </row>
    <row r="75" spans="9:12" ht="12.75">
      <c r="I75" s="30"/>
      <c r="J75" s="30"/>
      <c r="K75" s="30"/>
      <c r="L75" s="30"/>
    </row>
    <row r="76" spans="9:12" ht="12.75">
      <c r="I76" s="30"/>
      <c r="J76" s="30"/>
      <c r="K76" s="30"/>
      <c r="L76" s="30"/>
    </row>
    <row r="77" spans="7:12" ht="12.75">
      <c r="G77" s="30"/>
      <c r="H77" s="113"/>
      <c r="I77" s="30"/>
      <c r="J77" s="30"/>
      <c r="K77" s="30"/>
      <c r="L77" s="30"/>
    </row>
    <row r="78" spans="7:9" ht="12.75">
      <c r="G78" s="30"/>
      <c r="H78" s="113"/>
      <c r="I78" s="30"/>
    </row>
    <row r="79" spans="3:10" ht="12.75">
      <c r="C79" s="117"/>
      <c r="D79" s="117"/>
      <c r="E79" s="117"/>
      <c r="F79" s="117"/>
      <c r="G79" s="221"/>
      <c r="H79" s="222"/>
      <c r="I79" s="221"/>
      <c r="J79" s="223"/>
    </row>
    <row r="80" spans="3:10" ht="12.75">
      <c r="C80" s="117"/>
      <c r="D80" s="117"/>
      <c r="E80" s="204"/>
      <c r="F80" s="205"/>
      <c r="G80" s="221"/>
      <c r="H80" s="222"/>
      <c r="I80" s="221"/>
      <c r="J80" s="223"/>
    </row>
    <row r="81" spans="3:10" ht="12.75">
      <c r="C81" s="209"/>
      <c r="D81" s="116"/>
      <c r="E81" s="207"/>
      <c r="F81" s="117"/>
      <c r="G81" s="221"/>
      <c r="H81" s="222"/>
      <c r="I81" s="221"/>
      <c r="J81" s="223"/>
    </row>
    <row r="82" spans="3:10" ht="12.75">
      <c r="C82" s="209"/>
      <c r="D82" s="116"/>
      <c r="E82" s="208"/>
      <c r="F82" s="209"/>
      <c r="G82" s="221"/>
      <c r="H82" s="222"/>
      <c r="I82" s="221"/>
      <c r="J82" s="223"/>
    </row>
    <row r="83" spans="3:10" ht="12.75">
      <c r="C83" s="117"/>
      <c r="D83" s="117"/>
      <c r="E83" s="208"/>
      <c r="F83" s="117"/>
      <c r="G83" s="221"/>
      <c r="H83" s="222"/>
      <c r="I83" s="221"/>
      <c r="J83" s="223"/>
    </row>
    <row r="84" spans="3:10" ht="12.75">
      <c r="C84" s="209"/>
      <c r="D84" s="116"/>
      <c r="E84" s="117"/>
      <c r="F84" s="117"/>
      <c r="G84" s="221"/>
      <c r="H84" s="222"/>
      <c r="I84" s="221"/>
      <c r="J84" s="223"/>
    </row>
    <row r="85" spans="3:10" ht="12.75">
      <c r="C85" s="117"/>
      <c r="D85" s="116"/>
      <c r="E85" s="117"/>
      <c r="F85" s="117"/>
      <c r="G85" s="221"/>
      <c r="H85" s="222"/>
      <c r="I85" s="221"/>
      <c r="J85" s="223"/>
    </row>
    <row r="86" spans="3:10" ht="12.75">
      <c r="C86" s="117"/>
      <c r="D86" s="117"/>
      <c r="E86" s="117"/>
      <c r="F86" s="117"/>
      <c r="G86" s="221"/>
      <c r="H86" s="221"/>
      <c r="I86" s="221"/>
      <c r="J86" s="223"/>
    </row>
    <row r="87" spans="3:10" ht="12.75">
      <c r="C87" s="209"/>
      <c r="D87" s="224"/>
      <c r="E87" s="117"/>
      <c r="F87" s="117"/>
      <c r="G87" s="223"/>
      <c r="H87" s="223"/>
      <c r="I87" s="223"/>
      <c r="J87" s="223"/>
    </row>
    <row r="88" spans="3:10" ht="12.75">
      <c r="C88" s="117"/>
      <c r="D88" s="117"/>
      <c r="E88" s="117"/>
      <c r="F88" s="117"/>
      <c r="G88" s="223"/>
      <c r="H88" s="223"/>
      <c r="I88" s="223"/>
      <c r="J88" s="223"/>
    </row>
    <row r="89" spans="3:10" ht="12.75">
      <c r="C89" s="209"/>
      <c r="D89" s="116"/>
      <c r="E89" s="117"/>
      <c r="F89" s="117"/>
      <c r="G89" s="223"/>
      <c r="H89" s="223"/>
      <c r="I89" s="223"/>
      <c r="J89" s="223"/>
    </row>
    <row r="90" spans="3:10" ht="12.75">
      <c r="C90" s="209"/>
      <c r="D90" s="116"/>
      <c r="E90" s="117"/>
      <c r="F90" s="117"/>
      <c r="G90" s="223"/>
      <c r="H90" s="223"/>
      <c r="I90" s="223"/>
      <c r="J90" s="223"/>
    </row>
    <row r="91" spans="3:10" ht="12.75">
      <c r="C91" s="117"/>
      <c r="D91" s="117"/>
      <c r="E91" s="117"/>
      <c r="F91" s="117"/>
      <c r="G91" s="223"/>
      <c r="H91" s="223"/>
      <c r="I91" s="223"/>
      <c r="J91" s="223"/>
    </row>
    <row r="92" spans="3:10" ht="12.75">
      <c r="C92" s="117"/>
      <c r="D92" s="225"/>
      <c r="E92" s="117"/>
      <c r="F92" s="117"/>
      <c r="G92" s="226"/>
      <c r="H92" s="223"/>
      <c r="I92" s="223"/>
      <c r="J92" s="223"/>
    </row>
    <row r="93" spans="3:10" ht="12.75">
      <c r="C93" s="117"/>
      <c r="D93" s="117"/>
      <c r="E93" s="117"/>
      <c r="F93" s="117"/>
      <c r="G93" s="223"/>
      <c r="H93" s="223"/>
      <c r="I93" s="223"/>
      <c r="J93" s="223"/>
    </row>
    <row r="94" spans="3:10" ht="12.75">
      <c r="C94" s="117"/>
      <c r="D94" s="224"/>
      <c r="E94" s="117"/>
      <c r="F94" s="117"/>
      <c r="G94" s="223"/>
      <c r="H94" s="223"/>
      <c r="I94" s="223"/>
      <c r="J94" s="223"/>
    </row>
    <row r="95" spans="3:10" ht="12.75">
      <c r="C95" s="117"/>
      <c r="D95" s="227"/>
      <c r="E95" s="117"/>
      <c r="F95" s="117"/>
      <c r="G95" s="223"/>
      <c r="H95" s="223"/>
      <c r="I95" s="223"/>
      <c r="J95" s="223"/>
    </row>
    <row r="96" spans="3:10" ht="12.75">
      <c r="C96" s="117"/>
      <c r="D96" s="117"/>
      <c r="E96" s="117"/>
      <c r="F96" s="117"/>
      <c r="G96" s="223"/>
      <c r="H96" s="223"/>
      <c r="I96" s="223"/>
      <c r="J96" s="223"/>
    </row>
    <row r="97" spans="3:10" ht="12.75">
      <c r="C97" s="117"/>
      <c r="D97" s="117"/>
      <c r="E97" s="117"/>
      <c r="F97" s="117"/>
      <c r="G97" s="223"/>
      <c r="H97" s="223"/>
      <c r="I97" s="223"/>
      <c r="J97" s="223"/>
    </row>
    <row r="98" spans="3:10" ht="12.75">
      <c r="C98" s="117"/>
      <c r="D98" s="117"/>
      <c r="E98" s="117"/>
      <c r="F98" s="117"/>
      <c r="G98" s="223"/>
      <c r="H98" s="223"/>
      <c r="I98" s="223"/>
      <c r="J98" s="223"/>
    </row>
    <row r="99" spans="3:10" ht="12.75">
      <c r="C99" s="117"/>
      <c r="D99" s="117"/>
      <c r="E99" s="117"/>
      <c r="F99" s="117"/>
      <c r="G99" s="223"/>
      <c r="H99" s="223"/>
      <c r="I99" s="223"/>
      <c r="J99" s="223"/>
    </row>
    <row r="100" spans="3:10" ht="12.75">
      <c r="C100" s="117"/>
      <c r="D100" s="116"/>
      <c r="E100" s="117"/>
      <c r="F100" s="117"/>
      <c r="G100" s="223"/>
      <c r="H100" s="223"/>
      <c r="I100" s="223"/>
      <c r="J100" s="223"/>
    </row>
    <row r="101" spans="3:10" ht="12.75">
      <c r="C101" s="117"/>
      <c r="D101" s="116"/>
      <c r="E101" s="117"/>
      <c r="F101" s="117"/>
      <c r="G101" s="223"/>
      <c r="H101" s="223"/>
      <c r="I101" s="223"/>
      <c r="J101" s="223"/>
    </row>
    <row r="102" spans="3:10" ht="12.75">
      <c r="C102" s="117"/>
      <c r="D102" s="117"/>
      <c r="E102" s="117"/>
      <c r="F102" s="117"/>
      <c r="G102" s="223"/>
      <c r="H102" s="223"/>
      <c r="I102" s="223"/>
      <c r="J102" s="223"/>
    </row>
    <row r="103" spans="3:10" ht="12.75">
      <c r="C103" s="117"/>
      <c r="D103" s="117"/>
      <c r="E103" s="117"/>
      <c r="F103" s="117"/>
      <c r="G103" s="223"/>
      <c r="H103" s="223"/>
      <c r="I103" s="223"/>
      <c r="J103" s="223"/>
    </row>
    <row r="104" spans="3:10" ht="12.75">
      <c r="C104" s="117"/>
      <c r="D104" s="228"/>
      <c r="E104" s="117"/>
      <c r="F104" s="117"/>
      <c r="G104" s="223"/>
      <c r="H104" s="223"/>
      <c r="I104" s="223"/>
      <c r="J104" s="223"/>
    </row>
    <row r="105" spans="3:10" ht="12.75">
      <c r="C105" s="117"/>
      <c r="D105" s="116"/>
      <c r="E105" s="117"/>
      <c r="F105" s="117"/>
      <c r="G105" s="223"/>
      <c r="H105" s="223"/>
      <c r="I105" s="223"/>
      <c r="J105" s="223"/>
    </row>
    <row r="106" spans="3:10" ht="12.75">
      <c r="C106" s="117"/>
      <c r="D106" s="117"/>
      <c r="E106" s="117"/>
      <c r="F106" s="117"/>
      <c r="G106" s="223"/>
      <c r="H106" s="223"/>
      <c r="I106" s="223"/>
      <c r="J106" s="223"/>
    </row>
    <row r="107" spans="3:10" ht="12.75">
      <c r="C107" s="117"/>
      <c r="D107" s="117"/>
      <c r="E107" s="117"/>
      <c r="F107" s="117"/>
      <c r="G107" s="223"/>
      <c r="H107" s="223"/>
      <c r="I107" s="223"/>
      <c r="J107" s="223"/>
    </row>
    <row r="108" spans="3:10" ht="12.75">
      <c r="C108" s="117"/>
      <c r="D108" s="117"/>
      <c r="E108" s="117"/>
      <c r="F108" s="117"/>
      <c r="G108" s="223"/>
      <c r="H108" s="223"/>
      <c r="I108" s="223"/>
      <c r="J108" s="223"/>
    </row>
  </sheetData>
  <sheetProtection/>
  <mergeCells count="1">
    <mergeCell ref="E80:F80"/>
  </mergeCells>
  <printOptions/>
  <pageMargins left="0.38" right="0.75" top="0.73" bottom="0.74" header="0.5" footer="0.5"/>
  <pageSetup fitToHeight="1" fitToWidth="1" horizontalDpi="600" verticalDpi="600" orientation="portrait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8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55" sqref="C55"/>
    </sheetView>
  </sheetViews>
  <sheetFormatPr defaultColWidth="9.140625" defaultRowHeight="12.75"/>
  <cols>
    <col min="1" max="1" width="11.00390625" style="0" customWidth="1"/>
    <col min="2" max="2" width="15.00390625" style="6" customWidth="1"/>
    <col min="3" max="4" width="14.140625" style="6" bestFit="1" customWidth="1"/>
    <col min="5" max="6" width="14.140625" style="6" customWidth="1"/>
    <col min="7" max="7" width="17.57421875" style="6" customWidth="1"/>
    <col min="8" max="8" width="12.57421875" style="6" customWidth="1"/>
    <col min="9" max="10" width="12.7109375" style="6" bestFit="1" customWidth="1"/>
    <col min="11" max="11" width="11.7109375" style="6" bestFit="1" customWidth="1"/>
    <col min="12" max="12" width="10.7109375" style="6" bestFit="1" customWidth="1"/>
    <col min="13" max="14" width="9.140625" style="6" customWidth="1"/>
  </cols>
  <sheetData>
    <row r="2" spans="2:9" ht="42" customHeight="1">
      <c r="B2" s="9" t="str">
        <f>'Rate Class Energy Model'!H2</f>
        <v>Residential</v>
      </c>
      <c r="C2" s="9" t="str">
        <f>'Rate Class Energy Model'!I2</f>
        <v>GS&lt;50</v>
      </c>
      <c r="D2" s="9" t="str">
        <f>'Rate Class Energy Model'!J2</f>
        <v>GS&gt;50</v>
      </c>
      <c r="E2" s="9" t="str">
        <f>'Rate Class Energy Model'!K2</f>
        <v>Large User</v>
      </c>
      <c r="F2" s="9" t="str">
        <f>'Rate Class Energy Model'!L2</f>
        <v>Sentinels</v>
      </c>
      <c r="G2" s="9" t="str">
        <f>'Rate Class Energy Model'!M2</f>
        <v>Streetlights</v>
      </c>
      <c r="H2" s="9" t="str">
        <f>'Rate Class Energy Model'!N2</f>
        <v>USL</v>
      </c>
      <c r="I2" s="6" t="s">
        <v>11</v>
      </c>
    </row>
    <row r="3" spans="1:9" ht="12.75">
      <c r="A3" s="4">
        <v>1999</v>
      </c>
      <c r="B3" s="45"/>
      <c r="C3" s="45"/>
      <c r="D3" s="45"/>
      <c r="E3" s="45"/>
      <c r="F3" s="45"/>
      <c r="G3" s="45"/>
      <c r="H3" s="45"/>
      <c r="I3" s="44"/>
    </row>
    <row r="4" spans="1:9" ht="12.75">
      <c r="A4" s="4">
        <v>2000</v>
      </c>
      <c r="B4" s="44"/>
      <c r="C4" s="44"/>
      <c r="D4" s="44"/>
      <c r="E4" s="44"/>
      <c r="F4" s="44"/>
      <c r="G4" s="45"/>
      <c r="H4" s="45"/>
      <c r="I4" s="44"/>
    </row>
    <row r="5" spans="1:9" ht="12.75">
      <c r="A5" s="4">
        <v>2001</v>
      </c>
      <c r="B5" s="45"/>
      <c r="C5" s="45"/>
      <c r="D5" s="45"/>
      <c r="E5" s="45"/>
      <c r="F5" s="45"/>
      <c r="G5" s="45"/>
      <c r="H5" s="45"/>
      <c r="I5" s="44"/>
    </row>
    <row r="6" spans="1:9" ht="12.75">
      <c r="A6" s="4">
        <v>2002</v>
      </c>
      <c r="B6" s="45"/>
      <c r="C6" s="45"/>
      <c r="D6" s="45"/>
      <c r="E6" s="45"/>
      <c r="F6" s="45"/>
      <c r="G6" s="45"/>
      <c r="H6" s="45"/>
      <c r="I6" s="44"/>
    </row>
    <row r="7" spans="1:12" ht="12.75">
      <c r="A7" s="4">
        <v>2003</v>
      </c>
      <c r="B7" s="45">
        <v>39847</v>
      </c>
      <c r="C7" s="45">
        <v>4977</v>
      </c>
      <c r="D7" s="45">
        <v>637</v>
      </c>
      <c r="E7" s="65">
        <v>1</v>
      </c>
      <c r="F7" s="44"/>
      <c r="G7" s="45">
        <v>11645</v>
      </c>
      <c r="H7" s="45">
        <v>485</v>
      </c>
      <c r="I7" s="44">
        <f aca="true" t="shared" si="0" ref="I7:I15">SUM(B7:H7)</f>
        <v>57592</v>
      </c>
      <c r="L7"/>
    </row>
    <row r="8" spans="1:12" ht="12.75">
      <c r="A8" s="4">
        <v>2004</v>
      </c>
      <c r="B8" s="45">
        <v>41215</v>
      </c>
      <c r="C8" s="45">
        <v>5025</v>
      </c>
      <c r="D8" s="45">
        <v>626</v>
      </c>
      <c r="E8" s="65">
        <v>1</v>
      </c>
      <c r="F8" s="44"/>
      <c r="G8" s="45">
        <v>12091</v>
      </c>
      <c r="H8" s="45">
        <v>495</v>
      </c>
      <c r="I8" s="44">
        <f t="shared" si="0"/>
        <v>59453</v>
      </c>
      <c r="L8"/>
    </row>
    <row r="9" spans="1:12" ht="12.75">
      <c r="A9" s="4">
        <v>2005</v>
      </c>
      <c r="B9" s="45">
        <v>42322</v>
      </c>
      <c r="C9" s="45">
        <v>5098</v>
      </c>
      <c r="D9" s="45">
        <v>619</v>
      </c>
      <c r="E9" s="65">
        <v>1</v>
      </c>
      <c r="F9" s="44"/>
      <c r="G9" s="45">
        <v>12378</v>
      </c>
      <c r="H9" s="45">
        <v>486</v>
      </c>
      <c r="I9" s="44">
        <f t="shared" si="0"/>
        <v>60904</v>
      </c>
      <c r="L9"/>
    </row>
    <row r="10" spans="1:12" ht="12.75">
      <c r="A10" s="4">
        <v>2006</v>
      </c>
      <c r="B10" s="45">
        <v>43013</v>
      </c>
      <c r="C10" s="45">
        <v>5140</v>
      </c>
      <c r="D10" s="45">
        <v>624</v>
      </c>
      <c r="E10" s="65">
        <v>1</v>
      </c>
      <c r="F10" s="44"/>
      <c r="G10" s="45">
        <v>12575</v>
      </c>
      <c r="H10" s="45">
        <v>574</v>
      </c>
      <c r="I10" s="44">
        <f t="shared" si="0"/>
        <v>61927</v>
      </c>
      <c r="L10"/>
    </row>
    <row r="11" spans="1:12" ht="12.75">
      <c r="A11" s="4">
        <v>2007</v>
      </c>
      <c r="B11" s="45">
        <v>43750</v>
      </c>
      <c r="C11" s="45">
        <v>5162</v>
      </c>
      <c r="D11" s="45">
        <v>630</v>
      </c>
      <c r="E11" s="65">
        <v>1</v>
      </c>
      <c r="F11" s="44"/>
      <c r="G11" s="45">
        <v>12740</v>
      </c>
      <c r="H11" s="45">
        <v>533</v>
      </c>
      <c r="I11" s="44">
        <f t="shared" si="0"/>
        <v>62816</v>
      </c>
      <c r="L11"/>
    </row>
    <row r="12" spans="1:12" ht="12.75">
      <c r="A12" s="4">
        <v>2008</v>
      </c>
      <c r="B12" s="45">
        <v>44593</v>
      </c>
      <c r="C12" s="45">
        <v>5205</v>
      </c>
      <c r="D12" s="45">
        <v>664</v>
      </c>
      <c r="E12" s="65">
        <v>1</v>
      </c>
      <c r="F12" s="44"/>
      <c r="G12" s="45">
        <v>12777</v>
      </c>
      <c r="H12" s="45">
        <v>534</v>
      </c>
      <c r="I12" s="44">
        <f t="shared" si="0"/>
        <v>63774</v>
      </c>
      <c r="L12"/>
    </row>
    <row r="13" spans="1:12" ht="12.75">
      <c r="A13" s="4">
        <v>2009</v>
      </c>
      <c r="B13" s="44">
        <v>45113</v>
      </c>
      <c r="C13" s="44">
        <v>5300</v>
      </c>
      <c r="D13" s="45">
        <v>661</v>
      </c>
      <c r="E13" s="65">
        <v>1</v>
      </c>
      <c r="F13" s="44"/>
      <c r="G13" s="45">
        <v>12919</v>
      </c>
      <c r="H13" s="45">
        <v>534</v>
      </c>
      <c r="I13" s="44">
        <f t="shared" si="0"/>
        <v>64528</v>
      </c>
      <c r="L13" s="62"/>
    </row>
    <row r="14" spans="1:12" ht="12.75">
      <c r="A14" s="4">
        <v>2010</v>
      </c>
      <c r="B14" s="23">
        <f>+B13+400</f>
        <v>45513</v>
      </c>
      <c r="C14" s="23">
        <f aca="true" t="shared" si="1" ref="C14:H14">C13*C30</f>
        <v>5355.835642107674</v>
      </c>
      <c r="D14" s="23">
        <f t="shared" si="1"/>
        <v>665.087007581015</v>
      </c>
      <c r="E14" s="203">
        <f t="shared" si="1"/>
        <v>1</v>
      </c>
      <c r="F14" s="23"/>
      <c r="G14" s="23">
        <f t="shared" si="1"/>
        <v>13144.491779037011</v>
      </c>
      <c r="H14" s="23">
        <f t="shared" si="1"/>
        <v>542.6350513227504</v>
      </c>
      <c r="I14" s="23">
        <f t="shared" si="0"/>
        <v>65222.04948004845</v>
      </c>
      <c r="L14" s="62"/>
    </row>
    <row r="15" spans="1:12" ht="12.75">
      <c r="A15" s="4">
        <v>2011</v>
      </c>
      <c r="B15" s="23">
        <f>+B14+400</f>
        <v>45913</v>
      </c>
      <c r="C15" s="23">
        <f aca="true" t="shared" si="2" ref="C15:H15">C14*C30</f>
        <v>5412.25951420206</v>
      </c>
      <c r="D15" s="23">
        <f t="shared" si="2"/>
        <v>669.1992854055508</v>
      </c>
      <c r="E15" s="203">
        <f t="shared" si="2"/>
        <v>1</v>
      </c>
      <c r="F15" s="23"/>
      <c r="G15" s="23">
        <f t="shared" si="2"/>
        <v>13373.919353601019</v>
      </c>
      <c r="H15" s="23">
        <f t="shared" si="2"/>
        <v>551.4097358128165</v>
      </c>
      <c r="I15" s="23">
        <f t="shared" si="0"/>
        <v>65920.78788902145</v>
      </c>
      <c r="L15" s="62"/>
    </row>
    <row r="16" spans="1:12" ht="12.75">
      <c r="A16" s="22"/>
      <c r="E16" s="120"/>
      <c r="L16" s="62"/>
    </row>
    <row r="17" spans="1:8" ht="12.75">
      <c r="A17" s="21" t="s">
        <v>46</v>
      </c>
      <c r="B17" s="5"/>
      <c r="C17" s="5"/>
      <c r="D17" s="5"/>
      <c r="E17" s="5"/>
      <c r="F17" s="5"/>
      <c r="G17" s="5"/>
      <c r="H17" s="5"/>
    </row>
    <row r="18" spans="1:8" ht="12.75">
      <c r="A18" s="4">
        <v>1999</v>
      </c>
      <c r="B18" s="27"/>
      <c r="C18" s="27"/>
      <c r="D18" s="27"/>
      <c r="E18" s="27"/>
      <c r="F18" s="27"/>
      <c r="G18" s="27"/>
      <c r="H18" s="27"/>
    </row>
    <row r="19" spans="1:8" ht="12.75">
      <c r="A19" s="4">
        <v>2000</v>
      </c>
      <c r="B19" s="27"/>
      <c r="C19" s="27"/>
      <c r="D19" s="27"/>
      <c r="E19" s="27"/>
      <c r="F19" s="27"/>
      <c r="G19" s="27"/>
      <c r="H19" s="27"/>
    </row>
    <row r="20" spans="1:8" ht="12.75">
      <c r="A20" s="4">
        <v>2001</v>
      </c>
      <c r="B20" s="27"/>
      <c r="C20" s="27"/>
      <c r="D20" s="27"/>
      <c r="E20" s="27"/>
      <c r="F20" s="27"/>
      <c r="G20" s="27"/>
      <c r="H20" s="27"/>
    </row>
    <row r="21" spans="1:8" ht="12.75">
      <c r="A21" s="4">
        <v>2002</v>
      </c>
      <c r="B21" s="27"/>
      <c r="C21" s="27"/>
      <c r="D21" s="27"/>
      <c r="E21" s="27"/>
      <c r="F21" s="27"/>
      <c r="G21" s="27"/>
      <c r="H21" s="27"/>
    </row>
    <row r="22" spans="1:8" ht="12.75">
      <c r="A22" s="4">
        <v>2003</v>
      </c>
      <c r="B22" s="27"/>
      <c r="C22" s="27"/>
      <c r="D22" s="27"/>
      <c r="E22" s="27"/>
      <c r="F22" s="27"/>
      <c r="G22" s="27"/>
      <c r="H22" s="27"/>
    </row>
    <row r="23" spans="1:8" ht="12.75">
      <c r="A23" s="4">
        <v>2004</v>
      </c>
      <c r="B23" s="27">
        <f aca="true" t="shared" si="3" ref="B23:D28">B8/B7</f>
        <v>1.034331317288629</v>
      </c>
      <c r="C23" s="27">
        <f t="shared" si="3"/>
        <v>1.009644364074744</v>
      </c>
      <c r="D23" s="27">
        <f t="shared" si="3"/>
        <v>0.9827315541601256</v>
      </c>
      <c r="E23" s="27">
        <f aca="true" t="shared" si="4" ref="E23:E28">E8/E7</f>
        <v>1</v>
      </c>
      <c r="F23" s="27"/>
      <c r="G23" s="27">
        <f aca="true" t="shared" si="5" ref="G23:H28">G8/G7</f>
        <v>1.0382996994418205</v>
      </c>
      <c r="H23" s="27">
        <f t="shared" si="5"/>
        <v>1.0206185567010309</v>
      </c>
    </row>
    <row r="24" spans="1:8" ht="12.75">
      <c r="A24" s="4">
        <v>2005</v>
      </c>
      <c r="B24" s="27">
        <f t="shared" si="3"/>
        <v>1.0268591532209148</v>
      </c>
      <c r="C24" s="27">
        <f t="shared" si="3"/>
        <v>1.0145273631840797</v>
      </c>
      <c r="D24" s="27">
        <f t="shared" si="3"/>
        <v>0.9888178913738019</v>
      </c>
      <c r="E24" s="27">
        <f t="shared" si="4"/>
        <v>1</v>
      </c>
      <c r="F24" s="27"/>
      <c r="G24" s="27">
        <f t="shared" si="5"/>
        <v>1.023736663634108</v>
      </c>
      <c r="H24" s="27">
        <f t="shared" si="5"/>
        <v>0.9818181818181818</v>
      </c>
    </row>
    <row r="25" spans="1:8" ht="12.75">
      <c r="A25" s="4">
        <v>2006</v>
      </c>
      <c r="B25" s="27">
        <f t="shared" si="3"/>
        <v>1.016327205708615</v>
      </c>
      <c r="C25" s="27">
        <f t="shared" si="3"/>
        <v>1.00823852491173</v>
      </c>
      <c r="D25" s="27">
        <f t="shared" si="3"/>
        <v>1.0080775444264944</v>
      </c>
      <c r="E25" s="27">
        <f t="shared" si="4"/>
        <v>1</v>
      </c>
      <c r="F25" s="27"/>
      <c r="G25" s="27">
        <f t="shared" si="5"/>
        <v>1.0159153336564872</v>
      </c>
      <c r="H25" s="27">
        <f t="shared" si="5"/>
        <v>1.1810699588477367</v>
      </c>
    </row>
    <row r="26" spans="1:8" ht="12.75">
      <c r="A26" s="4">
        <v>2007</v>
      </c>
      <c r="B26" s="27">
        <f t="shared" si="3"/>
        <v>1.0171343547299654</v>
      </c>
      <c r="C26" s="27">
        <f t="shared" si="3"/>
        <v>1.0042801556420233</v>
      </c>
      <c r="D26" s="27">
        <f t="shared" si="3"/>
        <v>1.0096153846153846</v>
      </c>
      <c r="E26" s="27">
        <f t="shared" si="4"/>
        <v>1</v>
      </c>
      <c r="F26" s="27"/>
      <c r="G26" s="27">
        <f t="shared" si="5"/>
        <v>1.0131212723658052</v>
      </c>
      <c r="H26" s="27">
        <f t="shared" si="5"/>
        <v>0.9285714285714286</v>
      </c>
    </row>
    <row r="27" spans="1:8" ht="12.75">
      <c r="A27" s="4">
        <v>2008</v>
      </c>
      <c r="B27" s="27">
        <f t="shared" si="3"/>
        <v>1.0192685714285714</v>
      </c>
      <c r="C27" s="27">
        <f t="shared" si="3"/>
        <v>1.0083301046106161</v>
      </c>
      <c r="D27" s="27">
        <f t="shared" si="3"/>
        <v>1.053968253968254</v>
      </c>
      <c r="E27" s="27">
        <f t="shared" si="4"/>
        <v>1</v>
      </c>
      <c r="F27" s="27"/>
      <c r="G27" s="27">
        <f t="shared" si="5"/>
        <v>1.0029042386185243</v>
      </c>
      <c r="H27" s="27">
        <f t="shared" si="5"/>
        <v>1.00187617260788</v>
      </c>
    </row>
    <row r="28" spans="1:8" ht="12.75">
      <c r="A28" s="4">
        <v>2009</v>
      </c>
      <c r="B28" s="27">
        <f t="shared" si="3"/>
        <v>1.0116610230305205</v>
      </c>
      <c r="C28" s="27">
        <f t="shared" si="3"/>
        <v>1.0182516810758886</v>
      </c>
      <c r="D28" s="27">
        <f t="shared" si="3"/>
        <v>0.9954819277108434</v>
      </c>
      <c r="E28" s="27">
        <f t="shared" si="4"/>
        <v>1</v>
      </c>
      <c r="F28" s="27"/>
      <c r="G28" s="27">
        <f t="shared" si="5"/>
        <v>1.011113719965563</v>
      </c>
      <c r="H28" s="27">
        <f t="shared" si="5"/>
        <v>1</v>
      </c>
    </row>
    <row r="30" spans="1:8" ht="12.75">
      <c r="A30" t="s">
        <v>69</v>
      </c>
      <c r="B30" s="28">
        <f aca="true" t="shared" si="6" ref="B30:H30">B32</f>
        <v>1.0209026860015376</v>
      </c>
      <c r="C30" s="28">
        <f t="shared" si="6"/>
        <v>1.0105350268127686</v>
      </c>
      <c r="D30" s="28">
        <f t="shared" si="6"/>
        <v>1.0061830674448033</v>
      </c>
      <c r="E30" s="28">
        <f t="shared" si="6"/>
        <v>1</v>
      </c>
      <c r="F30" s="28"/>
      <c r="G30" s="28">
        <f t="shared" si="6"/>
        <v>1.0174542750241513</v>
      </c>
      <c r="H30" s="28">
        <f t="shared" si="6"/>
        <v>1.0161705080950383</v>
      </c>
    </row>
    <row r="31" spans="2:8" ht="12.75">
      <c r="B31" s="28"/>
      <c r="C31" s="28"/>
      <c r="D31" s="28"/>
      <c r="E31" s="28"/>
      <c r="F31" s="28"/>
      <c r="G31" s="28"/>
      <c r="H31" s="28"/>
    </row>
    <row r="32" spans="1:8" ht="12.75">
      <c r="A32" t="s">
        <v>16</v>
      </c>
      <c r="B32" s="28">
        <f aca="true" t="shared" si="7" ref="B32:H32">GEOMEAN(B23:B28)</f>
        <v>1.0209026860015376</v>
      </c>
      <c r="C32" s="28">
        <f t="shared" si="7"/>
        <v>1.0105350268127686</v>
      </c>
      <c r="D32" s="28">
        <f t="shared" si="7"/>
        <v>1.0061830674448033</v>
      </c>
      <c r="E32" s="28">
        <f t="shared" si="7"/>
        <v>1</v>
      </c>
      <c r="F32" s="28"/>
      <c r="G32" s="28">
        <f t="shared" si="7"/>
        <v>1.0174542750241513</v>
      </c>
      <c r="H32" s="28">
        <f t="shared" si="7"/>
        <v>1.0161705080950383</v>
      </c>
    </row>
    <row r="33" spans="1:8" ht="12.75">
      <c r="A33" s="4"/>
      <c r="B33" s="28"/>
      <c r="C33" s="28"/>
      <c r="D33" s="28"/>
      <c r="E33" s="28"/>
      <c r="F33" s="28"/>
      <c r="G33" s="28"/>
      <c r="H33" s="28"/>
    </row>
    <row r="34" spans="1:8" ht="12.75">
      <c r="A34" s="4"/>
      <c r="B34" s="28"/>
      <c r="C34" s="28"/>
      <c r="D34" s="28"/>
      <c r="E34" s="28"/>
      <c r="F34" s="28"/>
      <c r="G34" s="28"/>
      <c r="H34" s="28"/>
    </row>
    <row r="35" spans="1:8" ht="12.75">
      <c r="A35" s="4"/>
      <c r="B35" s="28"/>
      <c r="C35" s="28"/>
      <c r="D35" s="28"/>
      <c r="E35" s="28"/>
      <c r="F35" s="28"/>
      <c r="G35" s="28"/>
      <c r="H35" s="28"/>
    </row>
    <row r="36" spans="1:8" ht="12.75">
      <c r="A36" s="4"/>
      <c r="B36" s="28"/>
      <c r="C36" s="28"/>
      <c r="D36" s="28"/>
      <c r="E36" s="28"/>
      <c r="F36" s="28"/>
      <c r="G36" s="91"/>
      <c r="H36" s="28"/>
    </row>
    <row r="37" spans="1:8" ht="12.75">
      <c r="A37" s="4"/>
      <c r="B37" s="28"/>
      <c r="C37" s="28"/>
      <c r="D37" s="28"/>
      <c r="E37" s="28"/>
      <c r="F37" s="28"/>
      <c r="G37" s="91"/>
      <c r="H37" s="28"/>
    </row>
    <row r="38" spans="1:8" ht="12.75">
      <c r="A38" s="4"/>
      <c r="B38" s="28"/>
      <c r="C38" s="28"/>
      <c r="D38" s="28"/>
      <c r="E38" s="28"/>
      <c r="F38" s="28"/>
      <c r="G38" s="28"/>
      <c r="H38" s="28"/>
    </row>
    <row r="39" spans="1:8" ht="12.75">
      <c r="A39" s="4"/>
      <c r="B39" s="28"/>
      <c r="C39" s="28"/>
      <c r="D39" s="28"/>
      <c r="E39" s="28"/>
      <c r="F39" s="28"/>
      <c r="G39" s="28"/>
      <c r="H39" s="28"/>
    </row>
    <row r="40" spans="1:8" ht="12.75">
      <c r="A40" s="4"/>
      <c r="B40" s="82"/>
      <c r="C40" s="28"/>
      <c r="D40" s="28"/>
      <c r="E40" s="28"/>
      <c r="F40" s="28"/>
      <c r="G40" s="28"/>
      <c r="H40" s="28"/>
    </row>
    <row r="41" spans="2:8" ht="12.75">
      <c r="B41" s="82"/>
      <c r="C41" s="28"/>
      <c r="D41" s="28"/>
      <c r="E41" s="28"/>
      <c r="F41" s="28"/>
      <c r="G41" s="28"/>
      <c r="H41" s="28"/>
    </row>
    <row r="42" spans="2:8" ht="12.75">
      <c r="B42" s="82"/>
      <c r="C42" s="28"/>
      <c r="D42" s="28"/>
      <c r="E42" s="28"/>
      <c r="F42" s="28"/>
      <c r="G42" s="28"/>
      <c r="H42" s="28"/>
    </row>
    <row r="43" spans="1:8" ht="12.75">
      <c r="A43" s="37"/>
      <c r="B43" s="83"/>
      <c r="C43" s="28"/>
      <c r="D43" s="28"/>
      <c r="E43" s="28"/>
      <c r="F43" s="28"/>
      <c r="G43" s="28"/>
      <c r="H43" s="28"/>
    </row>
    <row r="44" spans="1:8" ht="12.75">
      <c r="A44" s="37"/>
      <c r="B44" s="84"/>
      <c r="C44" s="28"/>
      <c r="D44" s="28"/>
      <c r="E44" s="28"/>
      <c r="F44" s="28"/>
      <c r="G44" s="28"/>
      <c r="H44" s="28"/>
    </row>
    <row r="45" spans="1:8" ht="12.75">
      <c r="A45" s="37"/>
      <c r="B45" s="85"/>
      <c r="C45" s="28"/>
      <c r="D45" s="28"/>
      <c r="E45" s="28"/>
      <c r="F45" s="28"/>
      <c r="G45" s="28"/>
      <c r="H45" s="28"/>
    </row>
    <row r="46" spans="1:8" ht="12.75">
      <c r="A46" s="37"/>
      <c r="B46" s="84"/>
      <c r="C46" s="28"/>
      <c r="D46" s="28"/>
      <c r="E46" s="28"/>
      <c r="F46" s="28"/>
      <c r="G46" s="28"/>
      <c r="H46" s="28"/>
    </row>
    <row r="47" spans="1:8" ht="12.75">
      <c r="A47" s="37"/>
      <c r="B47" s="84"/>
      <c r="C47" s="28"/>
      <c r="D47" s="28"/>
      <c r="E47" s="28"/>
      <c r="F47" s="28"/>
      <c r="G47" s="28"/>
      <c r="H47" s="28"/>
    </row>
    <row r="48" spans="1:8" ht="12.75">
      <c r="A48" s="37"/>
      <c r="B48" s="84"/>
      <c r="C48" s="28"/>
      <c r="D48" s="28"/>
      <c r="E48" s="28"/>
      <c r="F48" s="28"/>
      <c r="G48" s="28"/>
      <c r="H48" s="28"/>
    </row>
    <row r="49" spans="1:8" ht="12.75">
      <c r="A49" s="37"/>
      <c r="B49" s="84"/>
      <c r="C49" s="28"/>
      <c r="D49" s="28"/>
      <c r="E49" s="28"/>
      <c r="F49" s="28"/>
      <c r="G49" s="28"/>
      <c r="H49" s="28"/>
    </row>
    <row r="50" spans="2:8" ht="12.75">
      <c r="B50" s="87"/>
      <c r="C50" s="28"/>
      <c r="D50" s="28"/>
      <c r="E50" s="28"/>
      <c r="F50" s="28"/>
      <c r="G50" s="28"/>
      <c r="H50" s="28"/>
    </row>
    <row r="51" spans="2:8" ht="12.75">
      <c r="B51" s="87"/>
      <c r="C51" s="28"/>
      <c r="D51" s="28"/>
      <c r="E51" s="28"/>
      <c r="F51" s="28"/>
      <c r="G51" s="28"/>
      <c r="H51" s="28"/>
    </row>
    <row r="52" spans="2:8" ht="12.75">
      <c r="B52" s="86"/>
      <c r="C52" s="28"/>
      <c r="D52" s="28"/>
      <c r="E52" s="28"/>
      <c r="F52" s="28"/>
      <c r="G52" s="28"/>
      <c r="H52" s="28"/>
    </row>
    <row r="53" spans="2:8" ht="12.75">
      <c r="B53" s="86"/>
      <c r="C53" s="28"/>
      <c r="D53" s="28"/>
      <c r="E53" s="28"/>
      <c r="F53" s="28"/>
      <c r="G53" s="28"/>
      <c r="H53" s="28"/>
    </row>
    <row r="54" spans="2:8" ht="12.75">
      <c r="B54" s="86"/>
      <c r="C54" s="28"/>
      <c r="D54" s="28"/>
      <c r="E54" s="28"/>
      <c r="F54" s="28"/>
      <c r="G54" s="28"/>
      <c r="H54" s="28"/>
    </row>
    <row r="55" spans="2:8" ht="12.75">
      <c r="B55" s="86"/>
      <c r="C55" s="28"/>
      <c r="D55" s="28"/>
      <c r="E55" s="28"/>
      <c r="F55" s="28"/>
      <c r="G55" s="28"/>
      <c r="H55" s="28"/>
    </row>
    <row r="56" spans="2:8" ht="12.75">
      <c r="B56" s="86"/>
      <c r="C56" s="28"/>
      <c r="D56" s="28"/>
      <c r="E56" s="28"/>
      <c r="F56" s="28"/>
      <c r="G56" s="28"/>
      <c r="H56" s="28"/>
    </row>
    <row r="57" spans="2:8" ht="12.75">
      <c r="B57" s="86"/>
      <c r="C57" s="28"/>
      <c r="D57" s="28"/>
      <c r="E57" s="28"/>
      <c r="F57" s="28"/>
      <c r="G57" s="28"/>
      <c r="H57" s="28"/>
    </row>
    <row r="58" spans="2:8" ht="12.75">
      <c r="B58" s="86"/>
      <c r="C58" s="28"/>
      <c r="D58" s="28"/>
      <c r="E58" s="28"/>
      <c r="F58" s="28"/>
      <c r="G58" s="28"/>
      <c r="H58" s="28"/>
    </row>
  </sheetData>
  <sheetProtection/>
  <printOptions/>
  <pageMargins left="0.38" right="0.75" top="0.73" bottom="0.74" header="0.5" footer="0.5"/>
  <pageSetup fitToHeight="1" fitToWidth="1" horizontalDpi="600" verticalDpi="600" orientation="portrait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9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37" sqref="G37"/>
    </sheetView>
  </sheetViews>
  <sheetFormatPr defaultColWidth="9.140625" defaultRowHeight="12.75"/>
  <cols>
    <col min="1" max="1" width="11.00390625" style="0" customWidth="1"/>
    <col min="2" max="2" width="14.140625" style="6" bestFit="1" customWidth="1"/>
    <col min="3" max="4" width="14.140625" style="6" customWidth="1"/>
    <col min="5" max="5" width="17.7109375" style="6" customWidth="1"/>
    <col min="6" max="7" width="12.7109375" style="6" bestFit="1" customWidth="1"/>
    <col min="8" max="8" width="11.8515625" style="6" bestFit="1" customWidth="1"/>
    <col min="9" max="9" width="11.8515625" style="6" customWidth="1"/>
    <col min="10" max="10" width="10.7109375" style="6" bestFit="1" customWidth="1"/>
    <col min="11" max="11" width="9.8515625" style="6" bestFit="1" customWidth="1"/>
    <col min="12" max="12" width="9.140625" style="6" customWidth="1"/>
    <col min="13" max="13" width="9.8515625" style="0" bestFit="1" customWidth="1"/>
    <col min="15" max="15" width="10.8515625" style="0" bestFit="1" customWidth="1"/>
    <col min="17" max="17" width="10.8515625" style="0" bestFit="1" customWidth="1"/>
    <col min="19" max="19" width="10.8515625" style="0" bestFit="1" customWidth="1"/>
    <col min="21" max="21" width="9.8515625" style="0" bestFit="1" customWidth="1"/>
  </cols>
  <sheetData>
    <row r="1" spans="2:16" ht="42" customHeight="1">
      <c r="B1" s="8" t="str">
        <f>'Rate Class Customer Model'!D2</f>
        <v>GS&gt;50</v>
      </c>
      <c r="C1" s="8" t="str">
        <f>'Rate Class Customer Model'!E2</f>
        <v>Large User</v>
      </c>
      <c r="D1" s="8" t="str">
        <f>'Rate Class Customer Model'!F2</f>
        <v>Sentinels</v>
      </c>
      <c r="E1" s="8" t="str">
        <f>'Rate Class Customer Model'!G2</f>
        <v>Streetlights</v>
      </c>
      <c r="F1" s="6" t="s">
        <v>11</v>
      </c>
      <c r="G1" s="120"/>
      <c r="H1" s="120"/>
      <c r="I1" s="121"/>
      <c r="M1" s="121"/>
      <c r="N1" s="121"/>
      <c r="O1" s="124"/>
      <c r="P1" s="124"/>
    </row>
    <row r="2" spans="1:13" ht="12.75">
      <c r="A2" s="33">
        <v>1999</v>
      </c>
      <c r="B2" s="25"/>
      <c r="C2" s="25"/>
      <c r="D2" s="25"/>
      <c r="E2" s="25"/>
      <c r="M2" s="125"/>
    </row>
    <row r="3" spans="1:5" ht="12.75">
      <c r="A3" s="33">
        <v>2000</v>
      </c>
      <c r="B3" s="52"/>
      <c r="C3" s="52"/>
      <c r="D3" s="52"/>
      <c r="E3" s="52"/>
    </row>
    <row r="4" spans="1:5" ht="12.75">
      <c r="A4" s="33">
        <v>2001</v>
      </c>
      <c r="B4" s="53"/>
      <c r="C4" s="53"/>
      <c r="D4" s="53"/>
      <c r="E4" s="53"/>
    </row>
    <row r="5" spans="1:25" ht="12.75">
      <c r="A5" s="33">
        <v>2002</v>
      </c>
      <c r="B5" s="53"/>
      <c r="C5" s="53"/>
      <c r="D5" s="53"/>
      <c r="E5" s="53"/>
      <c r="H5" s="92"/>
      <c r="I5" s="92"/>
      <c r="J5" s="92"/>
      <c r="K5" s="92"/>
      <c r="L5" s="92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</row>
    <row r="6" spans="1:25" ht="12.75">
      <c r="A6" s="33">
        <v>2003</v>
      </c>
      <c r="B6" s="53">
        <f>1585832.96-7441.74</f>
        <v>1578391.22</v>
      </c>
      <c r="C6" s="52">
        <v>120390.91</v>
      </c>
      <c r="D6" s="52"/>
      <c r="E6" s="53">
        <v>19110.75</v>
      </c>
      <c r="F6" s="6">
        <f aca="true" t="shared" si="0" ref="F6:F14">SUM(B6:E6)</f>
        <v>1717892.88</v>
      </c>
      <c r="H6" s="92"/>
      <c r="I6" s="92"/>
      <c r="J6" s="92"/>
      <c r="K6" s="92"/>
      <c r="L6" s="92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</row>
    <row r="7" spans="1:6" ht="12.75">
      <c r="A7" s="33">
        <v>2004</v>
      </c>
      <c r="B7" s="53">
        <f>1586420.03-8043.15</f>
        <v>1578376.8800000001</v>
      </c>
      <c r="C7" s="52">
        <v>136143.48</v>
      </c>
      <c r="D7" s="52"/>
      <c r="E7" s="53">
        <v>19526.026</v>
      </c>
      <c r="F7" s="6">
        <f t="shared" si="0"/>
        <v>1734046.3860000002</v>
      </c>
    </row>
    <row r="8" spans="1:6" ht="12.75">
      <c r="A8" s="33">
        <v>2005</v>
      </c>
      <c r="B8" s="53">
        <f>1619073.42-9186.87</f>
        <v>1609886.5499999998</v>
      </c>
      <c r="C8" s="52">
        <v>138634.15</v>
      </c>
      <c r="D8" s="52"/>
      <c r="E8" s="53">
        <v>20182.885999999995</v>
      </c>
      <c r="F8" s="6">
        <f t="shared" si="0"/>
        <v>1768703.5859999997</v>
      </c>
    </row>
    <row r="9" spans="1:6" ht="12.75">
      <c r="A9" s="33">
        <v>2006</v>
      </c>
      <c r="B9" s="53">
        <f>1642060.31-16586.37</f>
        <v>1625473.94</v>
      </c>
      <c r="C9" s="52">
        <v>144512.38</v>
      </c>
      <c r="D9" s="52"/>
      <c r="E9" s="53">
        <v>20477.79</v>
      </c>
      <c r="F9" s="6">
        <f t="shared" si="0"/>
        <v>1790464.1099999999</v>
      </c>
    </row>
    <row r="10" spans="1:6" ht="12.75">
      <c r="A10" s="33">
        <v>2007</v>
      </c>
      <c r="B10" s="53">
        <f>1676145.33526434-25224.81</f>
        <v>1650920.52526434</v>
      </c>
      <c r="C10" s="52">
        <v>147257.8654595636</v>
      </c>
      <c r="D10" s="52"/>
      <c r="E10" s="53">
        <v>20687.995</v>
      </c>
      <c r="F10" s="6">
        <f t="shared" si="0"/>
        <v>1818866.3857239038</v>
      </c>
    </row>
    <row r="11" spans="1:6" ht="12.75">
      <c r="A11" s="33">
        <v>2008</v>
      </c>
      <c r="B11" s="53">
        <f>1679480.04760419-13834.56</f>
        <v>1665645.48760419</v>
      </c>
      <c r="C11" s="52">
        <v>145766.057511031</v>
      </c>
      <c r="D11" s="52"/>
      <c r="E11" s="53">
        <v>20906.075</v>
      </c>
      <c r="F11" s="6">
        <f t="shared" si="0"/>
        <v>1832317.6201152208</v>
      </c>
    </row>
    <row r="12" spans="1:6" ht="12.75">
      <c r="A12" s="33">
        <v>2009</v>
      </c>
      <c r="B12" s="53">
        <f>1685376.57640683-3261.57</f>
        <v>1682115.00640683</v>
      </c>
      <c r="C12" s="52">
        <v>144355.31891495423</v>
      </c>
      <c r="D12" s="52"/>
      <c r="E12" s="53">
        <v>21063.297000000002</v>
      </c>
      <c r="F12" s="6">
        <f t="shared" si="0"/>
        <v>1847533.6223217843</v>
      </c>
    </row>
    <row r="13" spans="1:17" ht="12.75">
      <c r="A13" s="33">
        <v>2010</v>
      </c>
      <c r="B13" s="34">
        <f>'Rate Class Energy Model'!J64*B28</f>
        <v>1653057.6404847605</v>
      </c>
      <c r="C13" s="34">
        <f>'Rate Class Energy Model'!K64*C28</f>
        <v>148840.09682443476</v>
      </c>
      <c r="D13" s="34"/>
      <c r="E13" s="34">
        <f>'Rate Class Energy Model'!M64*E28</f>
        <v>21257.355203495397</v>
      </c>
      <c r="F13" s="6">
        <f t="shared" si="0"/>
        <v>1823155.0925126907</v>
      </c>
      <c r="G13" s="92"/>
      <c r="I13" s="92"/>
      <c r="M13" s="123"/>
      <c r="N13" s="123"/>
      <c r="O13" s="128"/>
      <c r="P13" s="129"/>
      <c r="Q13" s="127">
        <f>SUM(O13:P13)-I13</f>
        <v>0</v>
      </c>
    </row>
    <row r="14" spans="1:17" ht="12.75">
      <c r="A14" s="33">
        <v>2011</v>
      </c>
      <c r="B14" s="34">
        <f>'Rate Class Energy Model'!J65*B29</f>
        <v>1637891.2302565128</v>
      </c>
      <c r="C14" s="34">
        <f>'Rate Class Energy Model'!K65*C29</f>
        <v>148592.76624794592</v>
      </c>
      <c r="D14" s="34"/>
      <c r="E14" s="34">
        <f>'Rate Class Energy Model'!M65*E29</f>
        <v>21546.58413545903</v>
      </c>
      <c r="F14" s="6">
        <f t="shared" si="0"/>
        <v>1808030.5806399176</v>
      </c>
      <c r="G14" s="92"/>
      <c r="H14" s="122"/>
      <c r="I14" s="126"/>
      <c r="M14" s="123"/>
      <c r="N14" s="123"/>
      <c r="O14" s="128"/>
      <c r="P14" s="129"/>
      <c r="Q14" s="127">
        <f>SUM(O14:P14)-I14</f>
        <v>0</v>
      </c>
    </row>
    <row r="15" spans="1:16" ht="12.75">
      <c r="A15" s="22"/>
      <c r="O15" s="21"/>
      <c r="P15" s="21"/>
    </row>
    <row r="16" spans="1:5" ht="12.75">
      <c r="A16" s="21" t="s">
        <v>70</v>
      </c>
      <c r="B16" s="5"/>
      <c r="C16" s="5"/>
      <c r="D16" s="5"/>
      <c r="E16" s="5"/>
    </row>
    <row r="17" spans="1:6" ht="12.75">
      <c r="A17" s="4">
        <v>1999</v>
      </c>
      <c r="B17" s="31"/>
      <c r="C17" s="31"/>
      <c r="D17" s="31"/>
      <c r="E17" s="31"/>
      <c r="F17" s="168">
        <f>+F13/F12</f>
        <v>0.9868048248137118</v>
      </c>
    </row>
    <row r="18" spans="1:6" ht="12.75">
      <c r="A18" s="4">
        <v>2000</v>
      </c>
      <c r="B18" s="31"/>
      <c r="C18" s="31"/>
      <c r="D18" s="31"/>
      <c r="E18" s="31"/>
      <c r="F18" s="169">
        <f>+F14/F13</f>
        <v>0.9917042099518103</v>
      </c>
    </row>
    <row r="19" spans="1:5" ht="12.75">
      <c r="A19" s="4">
        <v>2001</v>
      </c>
      <c r="B19" s="31"/>
      <c r="C19" s="31"/>
      <c r="D19" s="31"/>
      <c r="E19" s="31"/>
    </row>
    <row r="20" spans="1:5" ht="12.75">
      <c r="A20" s="4">
        <v>2002</v>
      </c>
      <c r="B20" s="31"/>
      <c r="C20" s="31"/>
      <c r="D20" s="31"/>
      <c r="E20" s="31"/>
    </row>
    <row r="21" spans="1:5" ht="12.75">
      <c r="A21" s="4">
        <v>2003</v>
      </c>
      <c r="B21" s="31">
        <f>B6/'Rate Class Energy Model'!J14</f>
        <v>0.0027160519245640873</v>
      </c>
      <c r="C21" s="31">
        <f>C6/'Rate Class Energy Model'!K14</f>
        <v>0.0018398947325799805</v>
      </c>
      <c r="D21" s="31"/>
      <c r="E21" s="31">
        <f>E6/'Rate Class Energy Model'!M14</f>
        <v>0.002791772899487717</v>
      </c>
    </row>
    <row r="22" spans="1:5" ht="12.75">
      <c r="A22" s="4">
        <v>2004</v>
      </c>
      <c r="B22" s="31">
        <f>B7/'Rate Class Energy Model'!J15</f>
        <v>0.002601995073411125</v>
      </c>
      <c r="C22" s="31">
        <f>C7/'Rate Class Energy Model'!K15</f>
        <v>0.002060686296247596</v>
      </c>
      <c r="D22" s="31"/>
      <c r="E22" s="31">
        <f>E7/'Rate Class Energy Model'!M15</f>
        <v>0.0029025674614759226</v>
      </c>
    </row>
    <row r="23" spans="1:5" ht="12.75">
      <c r="A23" s="4">
        <v>2005</v>
      </c>
      <c r="B23" s="31">
        <f>B8/'Rate Class Energy Model'!J16</f>
        <v>0.0025646854506443588</v>
      </c>
      <c r="C23" s="31">
        <f>C8/'Rate Class Energy Model'!K16</f>
        <v>0.001964937901232899</v>
      </c>
      <c r="D23" s="31"/>
      <c r="E23" s="31">
        <f>E8/'Rate Class Energy Model'!M16</f>
        <v>0.0027555110303363953</v>
      </c>
    </row>
    <row r="24" spans="1:5" ht="12.75">
      <c r="A24" s="4">
        <v>2006</v>
      </c>
      <c r="B24" s="31">
        <f>B9/'Rate Class Energy Model'!J17</f>
        <v>0.002461617677502819</v>
      </c>
      <c r="C24" s="31">
        <f>C9/'Rate Class Energy Model'!K17</f>
        <v>0.001961646577504553</v>
      </c>
      <c r="D24" s="31"/>
      <c r="E24" s="31">
        <f>E9/'Rate Class Energy Model'!M17</f>
        <v>0.0027916819748347124</v>
      </c>
    </row>
    <row r="25" spans="1:5" ht="12.75">
      <c r="A25" s="4">
        <v>2007</v>
      </c>
      <c r="B25" s="31">
        <f>B10/'Rate Class Energy Model'!J18</f>
        <v>0.002417919676685858</v>
      </c>
      <c r="C25" s="31">
        <f>C10/'Rate Class Energy Model'!K18</f>
        <v>0.001909576424174562</v>
      </c>
      <c r="D25" s="31"/>
      <c r="E25" s="31">
        <f>E10/'Rate Class Energy Model'!M18</f>
        <v>0.002812354019435153</v>
      </c>
    </row>
    <row r="26" spans="1:5" ht="12.75">
      <c r="A26" s="4">
        <v>2008</v>
      </c>
      <c r="B26" s="31">
        <f>B11/'Rate Class Energy Model'!J19</f>
        <v>0.0024013967051245235</v>
      </c>
      <c r="C26" s="31">
        <f>C11/'Rate Class Energy Model'!K19</f>
        <v>0.0018996377443688327</v>
      </c>
      <c r="D26" s="31"/>
      <c r="E26" s="31">
        <f>E11/'Rate Class Energy Model'!M19</f>
        <v>0.002769826308077793</v>
      </c>
    </row>
    <row r="27" spans="1:5" ht="12.75">
      <c r="A27" s="4">
        <v>2009</v>
      </c>
      <c r="B27" s="31">
        <f>B12/'Rate Class Energy Model'!J20</f>
        <v>0.0024129292592214406</v>
      </c>
      <c r="C27" s="31">
        <f>C12/'Rate Class Energy Model'!K20</f>
        <v>0.001886801519930744</v>
      </c>
      <c r="D27" s="31"/>
      <c r="E27" s="31">
        <f>E12/'Rate Class Energy Model'!M20</f>
        <v>0.0027921580357457383</v>
      </c>
    </row>
    <row r="28" spans="1:12" ht="12.75">
      <c r="A28" s="4">
        <v>2010</v>
      </c>
      <c r="B28" s="234">
        <f>TREND(B21:B27,$A$21:$A$27,$A$28)</f>
        <v>0.002302752180084938</v>
      </c>
      <c r="C28" s="31">
        <f>TREND(C21:C27,$A$21:$A$27,$A$28)</f>
        <v>0.0018980632824679433</v>
      </c>
      <c r="D28" s="31"/>
      <c r="E28" s="31">
        <f>TREND(E21:E27,$A$21:$A$27,$A$28)</f>
        <v>0.0027726268314957146</v>
      </c>
      <c r="L28"/>
    </row>
    <row r="29" spans="1:12" ht="12.75">
      <c r="A29" s="4">
        <v>2011</v>
      </c>
      <c r="B29" s="234">
        <f>TREND(B21:B28,$A$21:$A$28,$A$29)</f>
        <v>0.002250704661993508</v>
      </c>
      <c r="C29" s="31">
        <f>TREND(C21:C28,$A$21:$A$28,$A$29)</f>
        <v>0.0018896083460835308</v>
      </c>
      <c r="D29" s="31"/>
      <c r="E29" s="31">
        <f>TREND(E21:E28,$A$21:$A$28,$A$29)</f>
        <v>0.0027652166918913073</v>
      </c>
      <c r="F29" s="232"/>
      <c r="G29" s="233"/>
      <c r="H29" s="233"/>
      <c r="I29" s="233"/>
      <c r="J29" s="233"/>
      <c r="L29"/>
    </row>
    <row r="31" spans="1:5" ht="12.75">
      <c r="A31" t="s">
        <v>15</v>
      </c>
      <c r="B31" s="31">
        <f>AVERAGE(B18:B27)</f>
        <v>0.0025109422524506016</v>
      </c>
      <c r="C31" s="31">
        <f>AVERAGE(C18:C27)</f>
        <v>0.0019318830280055954</v>
      </c>
      <c r="D31" s="31"/>
      <c r="E31" s="31">
        <f>AVERAGE(E18:E27)</f>
        <v>0.0028022673899133475</v>
      </c>
    </row>
    <row r="34" ht="12.75">
      <c r="B34" s="94"/>
    </row>
    <row r="37" spans="1:2" ht="12.75">
      <c r="A37" s="37"/>
      <c r="B37" s="96"/>
    </row>
    <row r="38" spans="2:5" ht="12.75">
      <c r="B38" s="29"/>
      <c r="C38" s="29"/>
      <c r="D38" s="29"/>
      <c r="E38" s="29"/>
    </row>
    <row r="39" spans="2:5" ht="12.75">
      <c r="B39" s="29"/>
      <c r="C39" s="29"/>
      <c r="D39" s="29"/>
      <c r="E39" s="29"/>
    </row>
    <row r="58" spans="2:5" ht="12.75">
      <c r="B58" s="17"/>
      <c r="C58" s="17"/>
      <c r="D58" s="17"/>
      <c r="E58" s="17"/>
    </row>
    <row r="59" spans="2:5" ht="12.75">
      <c r="B59" s="17"/>
      <c r="C59" s="17"/>
      <c r="D59" s="17"/>
      <c r="E59" s="17"/>
    </row>
  </sheetData>
  <sheetProtection/>
  <printOptions/>
  <pageMargins left="0.38" right="0.75" top="0.73" bottom="0.74" header="0.5" footer="0.5"/>
  <pageSetup fitToHeight="1" fitToWidth="1" horizontalDpi="600" verticalDpi="600" orientation="portrait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21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11.8515625" style="0" customWidth="1"/>
    <col min="2" max="2" width="18.00390625" style="6" customWidth="1"/>
    <col min="3" max="6" width="18.00390625" style="73" customWidth="1"/>
    <col min="7" max="7" width="11.7109375" style="1" customWidth="1"/>
    <col min="8" max="8" width="13.421875" style="1" customWidth="1"/>
    <col min="9" max="9" width="14.421875" style="39" customWidth="1"/>
    <col min="10" max="10" width="10.140625" style="1" customWidth="1"/>
    <col min="11" max="11" width="12.421875" style="1" customWidth="1"/>
    <col min="12" max="12" width="12.421875" style="26" customWidth="1"/>
    <col min="13" max="13" width="13.00390625" style="1" customWidth="1"/>
    <col min="14" max="14" width="15.421875" style="1" bestFit="1" customWidth="1"/>
    <col min="15" max="15" width="17.00390625" style="1" customWidth="1"/>
    <col min="16" max="16" width="12.421875" style="1" customWidth="1"/>
    <col min="17" max="17" width="25.8515625" style="0" bestFit="1" customWidth="1"/>
    <col min="18" max="20" width="18.00390625" style="0" customWidth="1"/>
    <col min="21" max="21" width="17.140625" style="0" customWidth="1"/>
    <col min="22" max="23" width="15.7109375" style="0" customWidth="1"/>
    <col min="24" max="24" width="15.00390625" style="0" customWidth="1"/>
    <col min="25" max="26" width="14.140625" style="0" bestFit="1" customWidth="1"/>
    <col min="27" max="27" width="11.7109375" style="0" bestFit="1" customWidth="1"/>
    <col min="28" max="28" width="11.8515625" style="0" bestFit="1" customWidth="1"/>
    <col min="29" max="29" width="12.57421875" style="6" customWidth="1"/>
    <col min="30" max="30" width="11.28125" style="6" customWidth="1"/>
    <col min="31" max="31" width="11.57421875" style="6" customWidth="1"/>
    <col min="32" max="32" width="9.28125" style="6" customWidth="1"/>
    <col min="33" max="33" width="9.140625" style="6" customWidth="1"/>
    <col min="34" max="34" width="11.7109375" style="6" bestFit="1" customWidth="1"/>
    <col min="35" max="35" width="10.7109375" style="6" bestFit="1" customWidth="1"/>
    <col min="36" max="37" width="9.140625" style="6" customWidth="1"/>
  </cols>
  <sheetData>
    <row r="2" spans="2:31" ht="42" customHeight="1">
      <c r="B2" s="7" t="s">
        <v>0</v>
      </c>
      <c r="C2" s="71" t="s">
        <v>91</v>
      </c>
      <c r="D2" s="9" t="s">
        <v>94</v>
      </c>
      <c r="E2" s="9" t="s">
        <v>95</v>
      </c>
      <c r="F2" s="72" t="s">
        <v>92</v>
      </c>
      <c r="G2" s="12" t="s">
        <v>3</v>
      </c>
      <c r="H2" s="12" t="s">
        <v>4</v>
      </c>
      <c r="I2" s="79" t="s">
        <v>7</v>
      </c>
      <c r="J2" s="12" t="s">
        <v>5</v>
      </c>
      <c r="K2" s="12" t="s">
        <v>20</v>
      </c>
      <c r="L2" s="172" t="s">
        <v>21</v>
      </c>
      <c r="M2" s="12" t="s">
        <v>6</v>
      </c>
      <c r="N2" s="12" t="s">
        <v>12</v>
      </c>
      <c r="O2" s="12" t="s">
        <v>13</v>
      </c>
      <c r="P2" s="12" t="s">
        <v>14</v>
      </c>
      <c r="Q2" t="s">
        <v>22</v>
      </c>
      <c r="AC2" s="9"/>
      <c r="AD2" s="9"/>
      <c r="AE2" s="9"/>
    </row>
    <row r="3" spans="1:16" ht="13.5" thickBot="1">
      <c r="A3" s="3">
        <v>35065</v>
      </c>
      <c r="B3" s="30"/>
      <c r="C3" s="30"/>
      <c r="D3" s="30"/>
      <c r="E3" s="30"/>
      <c r="F3" s="30"/>
      <c r="G3" s="75"/>
      <c r="H3" s="75"/>
      <c r="I3" s="38"/>
      <c r="J3" s="10">
        <v>31</v>
      </c>
      <c r="K3" s="10">
        <v>0</v>
      </c>
      <c r="L3" s="19"/>
      <c r="M3" s="19">
        <v>352</v>
      </c>
      <c r="N3" s="10"/>
      <c r="O3" s="10"/>
      <c r="P3" s="15"/>
    </row>
    <row r="4" spans="1:18" ht="12.75">
      <c r="A4" s="3">
        <v>35096</v>
      </c>
      <c r="B4" s="30"/>
      <c r="C4" s="30"/>
      <c r="D4" s="30"/>
      <c r="E4" s="30"/>
      <c r="F4" s="30"/>
      <c r="G4" s="75"/>
      <c r="H4" s="75"/>
      <c r="I4" s="38"/>
      <c r="J4" s="10">
        <v>29</v>
      </c>
      <c r="K4" s="10">
        <v>0</v>
      </c>
      <c r="L4" s="19"/>
      <c r="M4" s="19">
        <v>336</v>
      </c>
      <c r="N4" s="10"/>
      <c r="O4" s="10"/>
      <c r="P4" s="15"/>
      <c r="Q4" s="81" t="s">
        <v>23</v>
      </c>
      <c r="R4" s="81"/>
    </row>
    <row r="5" spans="1:18" ht="12.75">
      <c r="A5" s="3">
        <v>35125</v>
      </c>
      <c r="B5" s="30"/>
      <c r="C5" s="30"/>
      <c r="D5" s="30"/>
      <c r="E5" s="30"/>
      <c r="F5" s="30"/>
      <c r="G5" s="75"/>
      <c r="H5" s="75"/>
      <c r="I5" s="38"/>
      <c r="J5" s="10">
        <v>31</v>
      </c>
      <c r="K5" s="10">
        <v>1</v>
      </c>
      <c r="L5" s="19"/>
      <c r="M5" s="19">
        <v>336</v>
      </c>
      <c r="N5" s="10"/>
      <c r="O5" s="10"/>
      <c r="P5" s="15"/>
      <c r="Q5" s="41" t="s">
        <v>24</v>
      </c>
      <c r="R5" s="41"/>
    </row>
    <row r="6" spans="1:18" ht="12.75">
      <c r="A6" s="3">
        <v>35156</v>
      </c>
      <c r="B6" s="30"/>
      <c r="C6" s="30"/>
      <c r="D6" s="30"/>
      <c r="E6" s="30"/>
      <c r="F6" s="30"/>
      <c r="G6" s="75"/>
      <c r="H6" s="75"/>
      <c r="I6" s="38"/>
      <c r="J6" s="10">
        <v>30</v>
      </c>
      <c r="K6" s="10">
        <v>1</v>
      </c>
      <c r="L6" s="19"/>
      <c r="M6" s="19">
        <v>336</v>
      </c>
      <c r="N6" s="10"/>
      <c r="O6" s="10"/>
      <c r="P6" s="15"/>
      <c r="Q6" s="41" t="s">
        <v>25</v>
      </c>
      <c r="R6" s="41"/>
    </row>
    <row r="7" spans="1:18" ht="12.75">
      <c r="A7" s="3">
        <v>35186</v>
      </c>
      <c r="B7" s="30"/>
      <c r="C7" s="30"/>
      <c r="D7" s="30"/>
      <c r="E7" s="30"/>
      <c r="F7" s="30"/>
      <c r="G7" s="75"/>
      <c r="H7" s="75"/>
      <c r="I7" s="38"/>
      <c r="J7" s="10">
        <v>31</v>
      </c>
      <c r="K7" s="10">
        <v>1</v>
      </c>
      <c r="L7" s="19"/>
      <c r="M7" s="19">
        <v>352</v>
      </c>
      <c r="N7" s="10"/>
      <c r="O7" s="10"/>
      <c r="P7" s="15"/>
      <c r="Q7" s="41" t="s">
        <v>26</v>
      </c>
      <c r="R7" s="41"/>
    </row>
    <row r="8" spans="1:18" ht="12.75">
      <c r="A8" s="3">
        <v>35217</v>
      </c>
      <c r="B8" s="30"/>
      <c r="C8" s="30"/>
      <c r="D8" s="30"/>
      <c r="E8" s="30"/>
      <c r="F8" s="30"/>
      <c r="G8" s="75"/>
      <c r="H8" s="75"/>
      <c r="I8" s="38"/>
      <c r="J8" s="10">
        <v>30</v>
      </c>
      <c r="K8" s="10">
        <v>0</v>
      </c>
      <c r="L8" s="19"/>
      <c r="M8" s="19">
        <v>320</v>
      </c>
      <c r="N8" s="10"/>
      <c r="O8" s="10"/>
      <c r="P8" s="15"/>
      <c r="Q8" s="41" t="s">
        <v>27</v>
      </c>
      <c r="R8" s="41"/>
    </row>
    <row r="9" spans="1:18" ht="13.5" thickBot="1">
      <c r="A9" s="3">
        <v>35247</v>
      </c>
      <c r="B9" s="30"/>
      <c r="C9" s="30"/>
      <c r="D9" s="30"/>
      <c r="E9" s="30"/>
      <c r="F9" s="30"/>
      <c r="G9" s="75"/>
      <c r="H9" s="75"/>
      <c r="I9" s="38"/>
      <c r="J9" s="10">
        <v>31</v>
      </c>
      <c r="K9" s="10">
        <v>0</v>
      </c>
      <c r="L9" s="19"/>
      <c r="M9" s="19">
        <v>352</v>
      </c>
      <c r="N9" s="10"/>
      <c r="O9" s="10"/>
      <c r="P9" s="15"/>
      <c r="Q9" s="64" t="s">
        <v>28</v>
      </c>
      <c r="R9" s="64"/>
    </row>
    <row r="10" spans="1:16" ht="12.75">
      <c r="A10" s="3">
        <v>35278</v>
      </c>
      <c r="B10" s="30"/>
      <c r="C10" s="30"/>
      <c r="D10" s="30"/>
      <c r="E10" s="30"/>
      <c r="F10" s="30"/>
      <c r="G10" s="75"/>
      <c r="H10" s="75"/>
      <c r="I10" s="38"/>
      <c r="J10" s="10">
        <v>31</v>
      </c>
      <c r="K10" s="10">
        <v>0</v>
      </c>
      <c r="L10" s="19"/>
      <c r="M10" s="19">
        <v>336</v>
      </c>
      <c r="N10" s="10"/>
      <c r="O10" s="10"/>
      <c r="P10" s="15"/>
    </row>
    <row r="11" spans="1:17" ht="13.5" thickBot="1">
      <c r="A11" s="3">
        <v>35309</v>
      </c>
      <c r="B11" s="30"/>
      <c r="C11" s="30"/>
      <c r="D11" s="30"/>
      <c r="E11" s="30"/>
      <c r="F11" s="30"/>
      <c r="G11" s="75"/>
      <c r="H11" s="75"/>
      <c r="I11" s="38"/>
      <c r="J11" s="10">
        <v>30</v>
      </c>
      <c r="K11" s="10">
        <v>1</v>
      </c>
      <c r="L11" s="19"/>
      <c r="M11" s="19">
        <v>320</v>
      </c>
      <c r="N11" s="10"/>
      <c r="O11" s="10"/>
      <c r="P11" s="15"/>
      <c r="Q11" t="s">
        <v>29</v>
      </c>
    </row>
    <row r="12" spans="1:22" ht="12.75">
      <c r="A12" s="3">
        <v>35339</v>
      </c>
      <c r="B12" s="30"/>
      <c r="C12" s="30"/>
      <c r="D12" s="30"/>
      <c r="E12" s="30"/>
      <c r="F12" s="30"/>
      <c r="G12" s="75"/>
      <c r="H12" s="75"/>
      <c r="I12" s="38"/>
      <c r="J12" s="10">
        <v>31</v>
      </c>
      <c r="K12" s="10">
        <v>1</v>
      </c>
      <c r="L12" s="19"/>
      <c r="M12" s="19">
        <v>352</v>
      </c>
      <c r="N12" s="10"/>
      <c r="O12" s="10"/>
      <c r="P12" s="15"/>
      <c r="Q12" s="80"/>
      <c r="R12" s="80" t="s">
        <v>33</v>
      </c>
      <c r="S12" s="80" t="s">
        <v>34</v>
      </c>
      <c r="T12" s="80" t="s">
        <v>35</v>
      </c>
      <c r="U12" s="80" t="s">
        <v>36</v>
      </c>
      <c r="V12" s="80" t="s">
        <v>37</v>
      </c>
    </row>
    <row r="13" spans="1:22" ht="12.75">
      <c r="A13" s="3">
        <v>35370</v>
      </c>
      <c r="B13" s="30"/>
      <c r="C13" s="30"/>
      <c r="D13" s="30"/>
      <c r="E13" s="30"/>
      <c r="F13" s="30"/>
      <c r="G13" s="75"/>
      <c r="H13" s="75"/>
      <c r="I13" s="38"/>
      <c r="J13" s="10">
        <v>30</v>
      </c>
      <c r="K13" s="10">
        <v>1</v>
      </c>
      <c r="L13" s="19"/>
      <c r="M13" s="19">
        <v>320</v>
      </c>
      <c r="N13" s="10"/>
      <c r="O13" s="10"/>
      <c r="P13" s="15"/>
      <c r="Q13" s="41" t="s">
        <v>30</v>
      </c>
      <c r="R13" s="41"/>
      <c r="S13" s="41"/>
      <c r="T13" s="41"/>
      <c r="U13" s="41"/>
      <c r="V13" s="41"/>
    </row>
    <row r="14" spans="1:22" ht="12.75">
      <c r="A14" s="3">
        <v>35400</v>
      </c>
      <c r="B14" s="30"/>
      <c r="C14" s="30"/>
      <c r="D14" s="30"/>
      <c r="E14" s="30"/>
      <c r="F14" s="30"/>
      <c r="G14" s="75"/>
      <c r="H14" s="75"/>
      <c r="I14" s="38"/>
      <c r="J14" s="10">
        <v>31</v>
      </c>
      <c r="K14" s="10">
        <v>0</v>
      </c>
      <c r="L14" s="19"/>
      <c r="M14" s="19">
        <v>320</v>
      </c>
      <c r="N14" s="10"/>
      <c r="O14" s="10"/>
      <c r="P14" s="15"/>
      <c r="Q14" s="41" t="s">
        <v>31</v>
      </c>
      <c r="R14" s="41"/>
      <c r="S14" s="41"/>
      <c r="T14" s="41"/>
      <c r="U14" s="41"/>
      <c r="V14" s="41"/>
    </row>
    <row r="15" spans="1:22" ht="13.5" thickBot="1">
      <c r="A15" s="3">
        <v>35431</v>
      </c>
      <c r="B15" s="30"/>
      <c r="C15" s="30"/>
      <c r="D15" s="30"/>
      <c r="E15" s="30"/>
      <c r="F15" s="30"/>
      <c r="G15" s="75"/>
      <c r="H15" s="75"/>
      <c r="I15" s="38"/>
      <c r="J15" s="10">
        <v>31</v>
      </c>
      <c r="K15" s="10">
        <v>0</v>
      </c>
      <c r="L15" s="19"/>
      <c r="M15" s="19">
        <v>352</v>
      </c>
      <c r="N15" s="10"/>
      <c r="O15" s="10"/>
      <c r="P15" s="15"/>
      <c r="Q15" s="64" t="s">
        <v>11</v>
      </c>
      <c r="R15" s="64"/>
      <c r="S15" s="64"/>
      <c r="T15" s="64"/>
      <c r="U15" s="64"/>
      <c r="V15" s="64"/>
    </row>
    <row r="16" spans="1:16" ht="13.5" thickBot="1">
      <c r="A16" s="3">
        <v>35462</v>
      </c>
      <c r="B16" s="30"/>
      <c r="C16" s="30"/>
      <c r="D16" s="30"/>
      <c r="E16" s="30"/>
      <c r="F16" s="30"/>
      <c r="G16" s="75"/>
      <c r="H16" s="75"/>
      <c r="I16" s="38"/>
      <c r="J16" s="10">
        <v>28</v>
      </c>
      <c r="K16" s="10">
        <v>0</v>
      </c>
      <c r="L16" s="19"/>
      <c r="M16" s="19">
        <v>320</v>
      </c>
      <c r="N16" s="10"/>
      <c r="O16" s="10"/>
      <c r="P16" s="15"/>
    </row>
    <row r="17" spans="1:25" ht="12.75">
      <c r="A17" s="3">
        <v>35490</v>
      </c>
      <c r="B17" s="30"/>
      <c r="C17" s="30"/>
      <c r="D17" s="30"/>
      <c r="E17" s="30"/>
      <c r="F17" s="30"/>
      <c r="G17" s="75"/>
      <c r="H17" s="75"/>
      <c r="I17" s="38"/>
      <c r="J17" s="10">
        <v>31</v>
      </c>
      <c r="K17" s="10">
        <v>1</v>
      </c>
      <c r="L17" s="19"/>
      <c r="M17" s="19">
        <v>304</v>
      </c>
      <c r="N17" s="10"/>
      <c r="O17" s="10"/>
      <c r="P17" s="15"/>
      <c r="Q17" s="80"/>
      <c r="R17" s="80" t="s">
        <v>38</v>
      </c>
      <c r="S17" s="80" t="s">
        <v>27</v>
      </c>
      <c r="T17" s="80" t="s">
        <v>39</v>
      </c>
      <c r="U17" s="80" t="s">
        <v>40</v>
      </c>
      <c r="V17" s="80" t="s">
        <v>41</v>
      </c>
      <c r="W17" s="80" t="s">
        <v>42</v>
      </c>
      <c r="X17" s="80" t="s">
        <v>43</v>
      </c>
      <c r="Y17" s="80" t="s">
        <v>44</v>
      </c>
    </row>
    <row r="18" spans="1:25" ht="12.75">
      <c r="A18" s="3">
        <v>35521</v>
      </c>
      <c r="B18" s="30"/>
      <c r="C18" s="30"/>
      <c r="D18" s="30"/>
      <c r="E18" s="30"/>
      <c r="F18" s="30"/>
      <c r="G18" s="75"/>
      <c r="H18" s="75"/>
      <c r="I18" s="38"/>
      <c r="J18" s="10">
        <v>30</v>
      </c>
      <c r="K18" s="10">
        <v>1</v>
      </c>
      <c r="L18" s="19"/>
      <c r="M18" s="19">
        <v>352</v>
      </c>
      <c r="N18" s="10"/>
      <c r="O18" s="10"/>
      <c r="P18" s="15"/>
      <c r="Q18" s="41" t="s">
        <v>32</v>
      </c>
      <c r="R18" s="41"/>
      <c r="S18" s="41"/>
      <c r="T18" s="41"/>
      <c r="U18" s="41"/>
      <c r="V18" s="41"/>
      <c r="W18" s="41"/>
      <c r="X18" s="41"/>
      <c r="Y18" s="41"/>
    </row>
    <row r="19" spans="1:25" ht="12.75">
      <c r="A19" s="3">
        <v>35551</v>
      </c>
      <c r="B19" s="30"/>
      <c r="C19" s="30"/>
      <c r="D19" s="30"/>
      <c r="E19" s="30"/>
      <c r="F19" s="30"/>
      <c r="G19" s="75"/>
      <c r="H19" s="75"/>
      <c r="I19" s="38"/>
      <c r="J19" s="10">
        <v>31</v>
      </c>
      <c r="K19" s="10">
        <v>1</v>
      </c>
      <c r="L19" s="19"/>
      <c r="M19" s="19">
        <v>336</v>
      </c>
      <c r="N19" s="10"/>
      <c r="O19" s="10"/>
      <c r="P19" s="15"/>
      <c r="Q19" s="99" t="s">
        <v>3</v>
      </c>
      <c r="R19" s="41"/>
      <c r="S19" s="41"/>
      <c r="T19" s="41"/>
      <c r="U19" s="41"/>
      <c r="V19" s="41"/>
      <c r="W19" s="41"/>
      <c r="X19" s="41"/>
      <c r="Y19" s="41"/>
    </row>
    <row r="20" spans="1:25" ht="12.75">
      <c r="A20" s="3">
        <v>35582</v>
      </c>
      <c r="B20" s="30"/>
      <c r="C20" s="30"/>
      <c r="D20" s="30"/>
      <c r="E20" s="30"/>
      <c r="F20" s="30"/>
      <c r="G20" s="75"/>
      <c r="H20" s="75"/>
      <c r="I20" s="38"/>
      <c r="J20" s="10">
        <v>30</v>
      </c>
      <c r="K20" s="10">
        <v>0</v>
      </c>
      <c r="L20" s="19"/>
      <c r="M20" s="19">
        <v>336</v>
      </c>
      <c r="N20" s="10"/>
      <c r="O20" s="10"/>
      <c r="P20" s="15"/>
      <c r="Q20" s="99" t="s">
        <v>4</v>
      </c>
      <c r="R20" s="41"/>
      <c r="S20" s="41"/>
      <c r="T20" s="41"/>
      <c r="U20" s="41"/>
      <c r="V20" s="41"/>
      <c r="W20" s="41"/>
      <c r="X20" s="41"/>
      <c r="Y20" s="41"/>
    </row>
    <row r="21" spans="1:25" ht="12.75">
      <c r="A21" s="3">
        <v>35612</v>
      </c>
      <c r="B21" s="30"/>
      <c r="C21" s="30"/>
      <c r="D21" s="30"/>
      <c r="E21" s="30"/>
      <c r="F21" s="30"/>
      <c r="G21" s="75"/>
      <c r="H21" s="75"/>
      <c r="I21" s="38"/>
      <c r="J21" s="10">
        <v>31</v>
      </c>
      <c r="K21" s="10">
        <v>0</v>
      </c>
      <c r="L21" s="19"/>
      <c r="M21" s="19">
        <v>352</v>
      </c>
      <c r="N21" s="10"/>
      <c r="O21" s="10"/>
      <c r="P21" s="15"/>
      <c r="Q21" s="100" t="s">
        <v>7</v>
      </c>
      <c r="R21" s="41"/>
      <c r="S21" s="41"/>
      <c r="T21" s="41"/>
      <c r="U21" s="41"/>
      <c r="V21" s="41"/>
      <c r="W21" s="41"/>
      <c r="X21" s="41"/>
      <c r="Y21" s="41"/>
    </row>
    <row r="22" spans="1:25" ht="12.75">
      <c r="A22" s="3">
        <v>35643</v>
      </c>
      <c r="B22" s="30"/>
      <c r="C22" s="30"/>
      <c r="D22" s="30"/>
      <c r="E22" s="30"/>
      <c r="F22" s="30"/>
      <c r="G22" s="75"/>
      <c r="H22" s="75"/>
      <c r="I22" s="38"/>
      <c r="J22" s="10">
        <v>31</v>
      </c>
      <c r="K22" s="10">
        <v>0</v>
      </c>
      <c r="L22" s="19"/>
      <c r="M22" s="19">
        <v>320</v>
      </c>
      <c r="N22" s="10"/>
      <c r="O22" s="10"/>
      <c r="P22" s="15"/>
      <c r="Q22" s="99" t="s">
        <v>5</v>
      </c>
      <c r="R22" s="41"/>
      <c r="S22" s="41"/>
      <c r="T22" s="41"/>
      <c r="U22" s="41"/>
      <c r="V22" s="41"/>
      <c r="W22" s="41"/>
      <c r="X22" s="41"/>
      <c r="Y22" s="41"/>
    </row>
    <row r="23" spans="1:25" ht="12.75">
      <c r="A23" s="3">
        <v>35674</v>
      </c>
      <c r="B23" s="30"/>
      <c r="C23" s="30"/>
      <c r="D23" s="30"/>
      <c r="E23" s="30"/>
      <c r="F23" s="30"/>
      <c r="G23" s="75"/>
      <c r="H23" s="75"/>
      <c r="I23" s="38"/>
      <c r="J23" s="10">
        <v>30</v>
      </c>
      <c r="K23" s="10">
        <v>1</v>
      </c>
      <c r="L23" s="19"/>
      <c r="M23" s="19">
        <v>336</v>
      </c>
      <c r="N23" s="10"/>
      <c r="O23" s="10"/>
      <c r="P23" s="15"/>
      <c r="Q23" s="99" t="s">
        <v>20</v>
      </c>
      <c r="R23" s="41"/>
      <c r="S23" s="41"/>
      <c r="T23" s="41"/>
      <c r="U23" s="41"/>
      <c r="V23" s="41"/>
      <c r="W23" s="41"/>
      <c r="X23" s="41"/>
      <c r="Y23" s="41"/>
    </row>
    <row r="24" spans="1:25" ht="12.75">
      <c r="A24" s="3">
        <v>35704</v>
      </c>
      <c r="B24" s="30"/>
      <c r="C24" s="30"/>
      <c r="D24" s="30"/>
      <c r="E24" s="30"/>
      <c r="F24" s="30"/>
      <c r="G24" s="75"/>
      <c r="H24" s="75"/>
      <c r="I24" s="38"/>
      <c r="J24" s="10">
        <v>31</v>
      </c>
      <c r="K24" s="10">
        <v>1</v>
      </c>
      <c r="L24" s="19"/>
      <c r="M24" s="19">
        <v>352</v>
      </c>
      <c r="N24" s="10"/>
      <c r="O24" s="10"/>
      <c r="P24" s="15"/>
      <c r="Q24" s="99" t="s">
        <v>21</v>
      </c>
      <c r="R24" s="41"/>
      <c r="S24" s="41"/>
      <c r="T24" s="41"/>
      <c r="U24" s="41"/>
      <c r="V24" s="41"/>
      <c r="W24" s="41"/>
      <c r="X24" s="41"/>
      <c r="Y24" s="41"/>
    </row>
    <row r="25" spans="1:25" ht="13.5" thickBot="1">
      <c r="A25" s="3">
        <v>35735</v>
      </c>
      <c r="B25" s="30"/>
      <c r="C25" s="30"/>
      <c r="D25" s="30"/>
      <c r="E25" s="30"/>
      <c r="F25" s="30"/>
      <c r="G25" s="75"/>
      <c r="H25" s="75"/>
      <c r="I25" s="38"/>
      <c r="J25" s="10">
        <v>30</v>
      </c>
      <c r="K25" s="10">
        <v>1</v>
      </c>
      <c r="L25" s="19"/>
      <c r="M25" s="19">
        <v>304</v>
      </c>
      <c r="N25" s="10"/>
      <c r="O25" s="10"/>
      <c r="P25" s="15"/>
      <c r="Q25" s="99" t="s">
        <v>6</v>
      </c>
      <c r="R25" s="64"/>
      <c r="S25" s="64"/>
      <c r="T25" s="64"/>
      <c r="U25" s="64"/>
      <c r="V25" s="64"/>
      <c r="W25" s="64"/>
      <c r="X25" s="64"/>
      <c r="Y25" s="64"/>
    </row>
    <row r="26" spans="1:16" ht="12.75">
      <c r="A26" s="3">
        <v>35765</v>
      </c>
      <c r="B26" s="30"/>
      <c r="C26" s="30"/>
      <c r="D26" s="30"/>
      <c r="E26" s="30"/>
      <c r="F26" s="30"/>
      <c r="G26" s="75"/>
      <c r="H26" s="75"/>
      <c r="I26" s="38"/>
      <c r="J26" s="10">
        <v>31</v>
      </c>
      <c r="K26" s="10">
        <v>0</v>
      </c>
      <c r="L26" s="19"/>
      <c r="M26" s="19">
        <v>336</v>
      </c>
      <c r="N26" s="10"/>
      <c r="O26" s="10"/>
      <c r="P26" s="15"/>
    </row>
    <row r="27" spans="1:16" ht="12.75">
      <c r="A27" s="3">
        <v>35796</v>
      </c>
      <c r="B27" s="30"/>
      <c r="C27" s="30"/>
      <c r="D27" s="30"/>
      <c r="E27" s="30"/>
      <c r="F27" s="30"/>
      <c r="G27" s="75"/>
      <c r="H27" s="75"/>
      <c r="J27" s="10">
        <v>31</v>
      </c>
      <c r="K27" s="10">
        <v>0</v>
      </c>
      <c r="L27" s="19"/>
      <c r="M27" s="10">
        <v>336.288</v>
      </c>
      <c r="N27" s="10"/>
      <c r="O27" s="10"/>
      <c r="P27" s="15"/>
    </row>
    <row r="28" spans="1:16" ht="12.75">
      <c r="A28" s="3">
        <v>35827</v>
      </c>
      <c r="B28" s="30"/>
      <c r="C28" s="30"/>
      <c r="D28" s="30"/>
      <c r="E28" s="30"/>
      <c r="F28" s="30"/>
      <c r="G28" s="75"/>
      <c r="H28" s="75"/>
      <c r="J28" s="10">
        <v>28</v>
      </c>
      <c r="K28" s="10">
        <v>0</v>
      </c>
      <c r="L28" s="19"/>
      <c r="M28" s="10">
        <v>319.872</v>
      </c>
      <c r="N28" s="10"/>
      <c r="O28" s="10"/>
      <c r="P28" s="15"/>
    </row>
    <row r="29" spans="1:20" ht="12.75">
      <c r="A29" s="3">
        <v>35855</v>
      </c>
      <c r="B29" s="30"/>
      <c r="C29" s="30"/>
      <c r="D29" s="30"/>
      <c r="E29" s="30"/>
      <c r="F29" s="30"/>
      <c r="G29" s="75"/>
      <c r="H29" s="75"/>
      <c r="J29" s="10">
        <v>31</v>
      </c>
      <c r="K29" s="10">
        <v>1</v>
      </c>
      <c r="L29" s="19"/>
      <c r="M29" s="10">
        <v>351.912</v>
      </c>
      <c r="N29" s="10"/>
      <c r="O29" s="10"/>
      <c r="P29" s="15"/>
      <c r="T29" s="37"/>
    </row>
    <row r="30" spans="1:16" ht="12.75">
      <c r="A30" s="3">
        <v>35886</v>
      </c>
      <c r="B30" s="30"/>
      <c r="C30" s="30"/>
      <c r="D30" s="30"/>
      <c r="E30" s="30"/>
      <c r="F30" s="30"/>
      <c r="G30" s="75"/>
      <c r="H30" s="75"/>
      <c r="J30" s="10">
        <v>30</v>
      </c>
      <c r="K30" s="10">
        <v>1</v>
      </c>
      <c r="L30" s="19"/>
      <c r="M30" s="10">
        <v>336.24</v>
      </c>
      <c r="N30" s="10"/>
      <c r="O30" s="10"/>
      <c r="P30" s="15"/>
    </row>
    <row r="31" spans="1:16" ht="12.75">
      <c r="A31" s="3">
        <v>35916</v>
      </c>
      <c r="B31" s="30"/>
      <c r="C31" s="30"/>
      <c r="D31" s="30"/>
      <c r="E31" s="30"/>
      <c r="F31" s="30"/>
      <c r="G31" s="75"/>
      <c r="H31" s="75"/>
      <c r="J31" s="10">
        <v>31</v>
      </c>
      <c r="K31" s="10">
        <v>1</v>
      </c>
      <c r="L31" s="19"/>
      <c r="M31" s="10">
        <v>319.92</v>
      </c>
      <c r="N31" s="10"/>
      <c r="O31" s="10"/>
      <c r="P31" s="15"/>
    </row>
    <row r="32" spans="1:16" ht="12.75">
      <c r="A32" s="3">
        <v>35947</v>
      </c>
      <c r="B32" s="30"/>
      <c r="C32" s="30"/>
      <c r="D32" s="30"/>
      <c r="E32" s="30"/>
      <c r="F32" s="30"/>
      <c r="G32" s="75"/>
      <c r="H32" s="75"/>
      <c r="J32" s="10">
        <v>30</v>
      </c>
      <c r="K32" s="10">
        <v>0</v>
      </c>
      <c r="L32" s="19"/>
      <c r="M32" s="10">
        <v>352.08</v>
      </c>
      <c r="N32" s="10"/>
      <c r="O32" s="10"/>
      <c r="P32" s="15"/>
    </row>
    <row r="33" spans="1:16" ht="12.75">
      <c r="A33" s="3">
        <v>35977</v>
      </c>
      <c r="B33" s="30"/>
      <c r="C33" s="30"/>
      <c r="D33" s="30"/>
      <c r="E33" s="30"/>
      <c r="F33" s="30"/>
      <c r="G33" s="75"/>
      <c r="H33" s="75"/>
      <c r="J33" s="10">
        <v>31</v>
      </c>
      <c r="K33" s="10">
        <v>0</v>
      </c>
      <c r="L33" s="19"/>
      <c r="M33" s="10">
        <v>351.912</v>
      </c>
      <c r="N33" s="10"/>
      <c r="O33" s="10"/>
      <c r="P33" s="15"/>
    </row>
    <row r="34" spans="1:16" ht="12.75">
      <c r="A34" s="3">
        <v>36008</v>
      </c>
      <c r="B34" s="30"/>
      <c r="C34" s="30"/>
      <c r="D34" s="30"/>
      <c r="E34" s="30"/>
      <c r="F34" s="30"/>
      <c r="G34" s="75"/>
      <c r="H34" s="75"/>
      <c r="J34" s="10">
        <v>31</v>
      </c>
      <c r="K34" s="10">
        <v>0</v>
      </c>
      <c r="L34" s="19"/>
      <c r="M34" s="10">
        <v>319.92</v>
      </c>
      <c r="N34" s="10"/>
      <c r="O34" s="10"/>
      <c r="P34" s="15"/>
    </row>
    <row r="35" spans="1:16" ht="12.75">
      <c r="A35" s="3">
        <v>36039</v>
      </c>
      <c r="B35" s="30"/>
      <c r="C35" s="30"/>
      <c r="D35" s="30"/>
      <c r="E35" s="30"/>
      <c r="F35" s="30"/>
      <c r="G35" s="75"/>
      <c r="H35" s="75"/>
      <c r="J35" s="10">
        <v>30</v>
      </c>
      <c r="K35" s="10">
        <v>1</v>
      </c>
      <c r="L35" s="19"/>
      <c r="M35" s="10">
        <v>336.24</v>
      </c>
      <c r="N35" s="10"/>
      <c r="O35" s="10"/>
      <c r="P35" s="15"/>
    </row>
    <row r="36" spans="1:16" ht="12.75">
      <c r="A36" s="3">
        <v>36069</v>
      </c>
      <c r="B36" s="30"/>
      <c r="C36" s="30"/>
      <c r="D36" s="30"/>
      <c r="E36" s="30"/>
      <c r="F36" s="30"/>
      <c r="G36" s="75"/>
      <c r="H36" s="75"/>
      <c r="J36" s="10">
        <v>31</v>
      </c>
      <c r="K36" s="10">
        <v>1</v>
      </c>
      <c r="L36" s="19"/>
      <c r="M36" s="10">
        <v>336.288</v>
      </c>
      <c r="N36" s="10"/>
      <c r="O36" s="10"/>
      <c r="P36" s="15"/>
    </row>
    <row r="37" spans="1:16" ht="12.75">
      <c r="A37" s="3">
        <v>36100</v>
      </c>
      <c r="B37" s="30"/>
      <c r="C37" s="30"/>
      <c r="D37" s="30"/>
      <c r="E37" s="30"/>
      <c r="F37" s="30"/>
      <c r="G37" s="75"/>
      <c r="H37" s="75"/>
      <c r="J37" s="10">
        <v>30</v>
      </c>
      <c r="K37" s="10">
        <v>1</v>
      </c>
      <c r="L37" s="19"/>
      <c r="M37" s="10">
        <v>336.24</v>
      </c>
      <c r="N37" s="10"/>
      <c r="O37" s="10"/>
      <c r="P37" s="15"/>
    </row>
    <row r="38" spans="1:16" ht="12.75">
      <c r="A38" s="3">
        <v>36130</v>
      </c>
      <c r="B38" s="30"/>
      <c r="C38" s="30"/>
      <c r="D38" s="30"/>
      <c r="E38" s="30"/>
      <c r="F38" s="30"/>
      <c r="G38" s="75"/>
      <c r="H38" s="75"/>
      <c r="J38" s="10">
        <v>31</v>
      </c>
      <c r="K38" s="10">
        <v>0</v>
      </c>
      <c r="L38" s="19"/>
      <c r="M38" s="10">
        <v>336.288</v>
      </c>
      <c r="N38" s="10"/>
      <c r="O38" s="10"/>
      <c r="P38" s="15"/>
    </row>
    <row r="39" spans="1:16" ht="12.75">
      <c r="A39" s="3">
        <v>36161</v>
      </c>
      <c r="B39" s="30"/>
      <c r="C39" s="30"/>
      <c r="D39" s="30"/>
      <c r="E39" s="30"/>
      <c r="F39" s="30"/>
      <c r="G39" s="75"/>
      <c r="H39" s="75"/>
      <c r="J39" s="10">
        <v>31</v>
      </c>
      <c r="K39" s="10">
        <v>0</v>
      </c>
      <c r="L39" s="19"/>
      <c r="M39" s="10">
        <v>319.92</v>
      </c>
      <c r="N39" s="10"/>
      <c r="O39" s="10"/>
      <c r="P39" s="15"/>
    </row>
    <row r="40" spans="1:16" ht="12.75">
      <c r="A40" s="3">
        <v>36192</v>
      </c>
      <c r="B40" s="30"/>
      <c r="C40" s="30"/>
      <c r="D40" s="30"/>
      <c r="E40" s="30"/>
      <c r="F40" s="30"/>
      <c r="G40" s="75"/>
      <c r="H40" s="75"/>
      <c r="J40" s="10">
        <v>28</v>
      </c>
      <c r="K40" s="10">
        <v>0</v>
      </c>
      <c r="L40" s="19"/>
      <c r="M40" s="10">
        <v>319.872</v>
      </c>
      <c r="N40" s="10"/>
      <c r="O40" s="10"/>
      <c r="P40" s="15"/>
    </row>
    <row r="41" spans="1:16" ht="12.75">
      <c r="A41" s="3">
        <v>36220</v>
      </c>
      <c r="B41" s="30"/>
      <c r="C41" s="30"/>
      <c r="D41" s="30"/>
      <c r="E41" s="30"/>
      <c r="F41" s="30"/>
      <c r="G41" s="75"/>
      <c r="H41" s="75"/>
      <c r="J41" s="10">
        <v>31</v>
      </c>
      <c r="K41" s="10">
        <v>1</v>
      </c>
      <c r="L41" s="19"/>
      <c r="M41" s="10">
        <v>368.28</v>
      </c>
      <c r="N41" s="10"/>
      <c r="O41" s="10"/>
      <c r="P41" s="15"/>
    </row>
    <row r="42" spans="1:16" ht="12.75">
      <c r="A42" s="3">
        <v>36251</v>
      </c>
      <c r="B42" s="30"/>
      <c r="C42" s="30"/>
      <c r="D42" s="30"/>
      <c r="E42" s="30"/>
      <c r="F42" s="30"/>
      <c r="G42" s="75"/>
      <c r="H42" s="75"/>
      <c r="J42" s="10">
        <v>30</v>
      </c>
      <c r="K42" s="10">
        <v>1</v>
      </c>
      <c r="L42" s="19"/>
      <c r="M42" s="10">
        <v>336.24</v>
      </c>
      <c r="N42" s="10"/>
      <c r="O42" s="10"/>
      <c r="P42" s="15"/>
    </row>
    <row r="43" spans="1:16" ht="12.75">
      <c r="A43" s="3">
        <v>36281</v>
      </c>
      <c r="B43" s="30"/>
      <c r="C43" s="30"/>
      <c r="D43" s="30"/>
      <c r="E43" s="30"/>
      <c r="F43" s="30"/>
      <c r="G43" s="75"/>
      <c r="H43" s="75"/>
      <c r="J43" s="10">
        <v>31</v>
      </c>
      <c r="K43" s="10">
        <v>1</v>
      </c>
      <c r="L43" s="19"/>
      <c r="M43" s="10">
        <v>319.92</v>
      </c>
      <c r="N43" s="10"/>
      <c r="O43" s="10"/>
      <c r="P43" s="15"/>
    </row>
    <row r="44" spans="1:16" ht="12.75">
      <c r="A44" s="3">
        <v>36312</v>
      </c>
      <c r="B44" s="30"/>
      <c r="C44" s="30"/>
      <c r="D44" s="30"/>
      <c r="E44" s="30"/>
      <c r="F44" s="30"/>
      <c r="G44" s="75"/>
      <c r="H44" s="75"/>
      <c r="J44" s="10">
        <v>30</v>
      </c>
      <c r="K44" s="10">
        <v>0</v>
      </c>
      <c r="L44" s="19"/>
      <c r="M44" s="10">
        <v>352.08</v>
      </c>
      <c r="N44" s="10"/>
      <c r="O44" s="10"/>
      <c r="P44" s="15"/>
    </row>
    <row r="45" spans="1:16" ht="12.75">
      <c r="A45" s="3">
        <v>36342</v>
      </c>
      <c r="B45" s="30"/>
      <c r="C45" s="30"/>
      <c r="D45" s="30"/>
      <c r="E45" s="30"/>
      <c r="F45" s="30"/>
      <c r="G45" s="75"/>
      <c r="H45" s="75"/>
      <c r="J45" s="10">
        <v>31</v>
      </c>
      <c r="K45" s="10">
        <v>0</v>
      </c>
      <c r="L45" s="19"/>
      <c r="M45" s="10">
        <v>336.288</v>
      </c>
      <c r="N45" s="10"/>
      <c r="O45" s="10"/>
      <c r="P45" s="15"/>
    </row>
    <row r="46" spans="1:16" ht="12.75">
      <c r="A46" s="3">
        <v>36373</v>
      </c>
      <c r="B46" s="30"/>
      <c r="C46" s="30"/>
      <c r="D46" s="30"/>
      <c r="E46" s="30"/>
      <c r="F46" s="30"/>
      <c r="G46" s="75"/>
      <c r="H46" s="75"/>
      <c r="J46" s="10">
        <v>31</v>
      </c>
      <c r="K46" s="10">
        <v>0</v>
      </c>
      <c r="L46" s="19"/>
      <c r="M46" s="10">
        <v>336.288</v>
      </c>
      <c r="N46" s="10"/>
      <c r="O46" s="10"/>
      <c r="P46" s="15"/>
    </row>
    <row r="47" spans="1:16" ht="12.75">
      <c r="A47" s="3">
        <v>36404</v>
      </c>
      <c r="B47" s="30"/>
      <c r="C47" s="30"/>
      <c r="D47" s="30"/>
      <c r="E47" s="30"/>
      <c r="F47" s="30"/>
      <c r="G47" s="75"/>
      <c r="H47" s="75"/>
      <c r="J47" s="10">
        <v>30</v>
      </c>
      <c r="K47" s="10">
        <v>1</v>
      </c>
      <c r="L47" s="19"/>
      <c r="M47" s="10">
        <v>336.24</v>
      </c>
      <c r="N47" s="10"/>
      <c r="O47" s="10"/>
      <c r="P47" s="15"/>
    </row>
    <row r="48" spans="1:16" ht="12.75">
      <c r="A48" s="3">
        <v>36434</v>
      </c>
      <c r="B48" s="30"/>
      <c r="C48" s="30"/>
      <c r="D48" s="30"/>
      <c r="E48" s="30"/>
      <c r="F48" s="30"/>
      <c r="G48" s="75"/>
      <c r="H48" s="75"/>
      <c r="J48" s="10">
        <v>31</v>
      </c>
      <c r="K48" s="10">
        <v>1</v>
      </c>
      <c r="L48" s="19"/>
      <c r="M48" s="10">
        <v>319.92</v>
      </c>
      <c r="N48" s="10"/>
      <c r="O48" s="10"/>
      <c r="P48" s="15"/>
    </row>
    <row r="49" spans="1:16" ht="12.75">
      <c r="A49" s="3">
        <v>36465</v>
      </c>
      <c r="B49" s="30"/>
      <c r="C49" s="30"/>
      <c r="D49" s="30"/>
      <c r="E49" s="30"/>
      <c r="F49" s="30"/>
      <c r="G49" s="75"/>
      <c r="H49" s="75"/>
      <c r="J49" s="10">
        <v>30</v>
      </c>
      <c r="K49" s="10">
        <v>1</v>
      </c>
      <c r="L49" s="19"/>
      <c r="M49" s="10">
        <v>352.08</v>
      </c>
      <c r="N49" s="10"/>
      <c r="O49" s="10"/>
      <c r="P49" s="15"/>
    </row>
    <row r="50" spans="1:16" ht="12.75">
      <c r="A50" s="3">
        <v>36495</v>
      </c>
      <c r="B50" s="30"/>
      <c r="C50" s="30"/>
      <c r="D50" s="30"/>
      <c r="E50" s="30"/>
      <c r="F50" s="30"/>
      <c r="G50" s="75"/>
      <c r="H50" s="75"/>
      <c r="J50" s="10">
        <v>31</v>
      </c>
      <c r="K50" s="10">
        <v>0</v>
      </c>
      <c r="L50" s="19"/>
      <c r="M50" s="10">
        <v>336.288</v>
      </c>
      <c r="N50" s="10"/>
      <c r="O50" s="10"/>
      <c r="P50" s="15"/>
    </row>
    <row r="51" spans="1:16" ht="12.75">
      <c r="A51" s="3">
        <v>36526</v>
      </c>
      <c r="B51" s="30"/>
      <c r="C51" s="30"/>
      <c r="D51" s="30"/>
      <c r="E51" s="30"/>
      <c r="F51" s="30"/>
      <c r="G51" s="75"/>
      <c r="H51" s="75"/>
      <c r="J51" s="10">
        <v>31</v>
      </c>
      <c r="K51" s="10">
        <v>0</v>
      </c>
      <c r="L51" s="19"/>
      <c r="M51" s="10">
        <v>319.92</v>
      </c>
      <c r="N51" s="10"/>
      <c r="O51" s="10"/>
      <c r="P51" s="15"/>
    </row>
    <row r="52" spans="1:16" ht="12.75">
      <c r="A52" s="3">
        <v>36557</v>
      </c>
      <c r="B52" s="30"/>
      <c r="C52" s="30"/>
      <c r="D52" s="30"/>
      <c r="E52" s="30"/>
      <c r="F52" s="30"/>
      <c r="G52" s="75"/>
      <c r="H52" s="75"/>
      <c r="J52" s="10">
        <v>29</v>
      </c>
      <c r="K52" s="10">
        <v>0</v>
      </c>
      <c r="L52" s="19"/>
      <c r="M52" s="10">
        <v>336.16799999999995</v>
      </c>
      <c r="N52" s="10"/>
      <c r="O52" s="10"/>
      <c r="P52" s="15"/>
    </row>
    <row r="53" spans="1:16" ht="12.75">
      <c r="A53" s="3">
        <v>36586</v>
      </c>
      <c r="B53" s="30"/>
      <c r="C53" s="30"/>
      <c r="D53" s="30"/>
      <c r="E53" s="30"/>
      <c r="F53" s="30"/>
      <c r="G53" s="75"/>
      <c r="H53" s="75"/>
      <c r="J53" s="10">
        <v>31</v>
      </c>
      <c r="K53" s="10">
        <v>1</v>
      </c>
      <c r="L53" s="19"/>
      <c r="M53" s="10">
        <v>368.28</v>
      </c>
      <c r="N53" s="10"/>
      <c r="O53" s="10"/>
      <c r="P53" s="15"/>
    </row>
    <row r="54" spans="1:16" ht="12.75">
      <c r="A54" s="3">
        <v>36617</v>
      </c>
      <c r="B54" s="30"/>
      <c r="C54" s="30"/>
      <c r="D54" s="30"/>
      <c r="E54" s="30"/>
      <c r="F54" s="30"/>
      <c r="G54" s="75"/>
      <c r="H54" s="75"/>
      <c r="J54" s="10">
        <v>30</v>
      </c>
      <c r="K54" s="10">
        <v>1</v>
      </c>
      <c r="L54" s="19"/>
      <c r="M54" s="10">
        <v>303.84</v>
      </c>
      <c r="N54" s="10"/>
      <c r="O54" s="10"/>
      <c r="P54" s="15"/>
    </row>
    <row r="55" spans="1:16" ht="12.75">
      <c r="A55" s="3">
        <v>36647</v>
      </c>
      <c r="B55" s="30"/>
      <c r="C55" s="30"/>
      <c r="D55" s="30"/>
      <c r="E55" s="30"/>
      <c r="F55" s="30"/>
      <c r="G55" s="75"/>
      <c r="H55" s="75"/>
      <c r="J55" s="10">
        <v>31</v>
      </c>
      <c r="K55" s="10">
        <v>1</v>
      </c>
      <c r="L55" s="19"/>
      <c r="M55" s="10">
        <v>351.912</v>
      </c>
      <c r="N55" s="10"/>
      <c r="O55" s="10"/>
      <c r="P55" s="15"/>
    </row>
    <row r="56" spans="1:16" ht="12.75">
      <c r="A56" s="3">
        <v>36678</v>
      </c>
      <c r="B56" s="30"/>
      <c r="C56" s="30"/>
      <c r="D56" s="30"/>
      <c r="E56" s="30"/>
      <c r="F56" s="30"/>
      <c r="G56" s="75"/>
      <c r="H56" s="75"/>
      <c r="J56" s="10">
        <v>30</v>
      </c>
      <c r="K56" s="10">
        <v>0</v>
      </c>
      <c r="L56" s="19"/>
      <c r="M56" s="10">
        <v>352.08</v>
      </c>
      <c r="N56" s="10"/>
      <c r="O56" s="10"/>
      <c r="P56" s="15"/>
    </row>
    <row r="57" spans="1:16" ht="12.75">
      <c r="A57" s="3">
        <v>36708</v>
      </c>
      <c r="B57" s="30"/>
      <c r="C57" s="30"/>
      <c r="D57" s="30"/>
      <c r="E57" s="30"/>
      <c r="F57" s="30"/>
      <c r="G57" s="75"/>
      <c r="H57" s="75"/>
      <c r="J57" s="10">
        <v>31</v>
      </c>
      <c r="K57" s="10">
        <v>0</v>
      </c>
      <c r="L57" s="19"/>
      <c r="M57" s="10">
        <v>319.92</v>
      </c>
      <c r="N57" s="10"/>
      <c r="O57" s="10"/>
      <c r="P57" s="15"/>
    </row>
    <row r="58" spans="1:16" ht="12.75">
      <c r="A58" s="3">
        <v>36739</v>
      </c>
      <c r="B58" s="30"/>
      <c r="C58" s="30"/>
      <c r="D58" s="30"/>
      <c r="E58" s="30"/>
      <c r="F58" s="30"/>
      <c r="G58" s="75"/>
      <c r="H58" s="75"/>
      <c r="J58" s="10">
        <v>31</v>
      </c>
      <c r="K58" s="10">
        <v>0</v>
      </c>
      <c r="L58" s="19"/>
      <c r="M58" s="10">
        <v>351.912</v>
      </c>
      <c r="N58" s="10"/>
      <c r="O58" s="10"/>
      <c r="P58" s="15"/>
    </row>
    <row r="59" spans="1:16" ht="12.75">
      <c r="A59" s="3">
        <v>36770</v>
      </c>
      <c r="B59" s="30"/>
      <c r="C59" s="30"/>
      <c r="D59" s="30"/>
      <c r="E59" s="30"/>
      <c r="F59" s="30"/>
      <c r="G59" s="75"/>
      <c r="H59" s="75"/>
      <c r="J59" s="10">
        <v>30</v>
      </c>
      <c r="K59" s="10">
        <v>1</v>
      </c>
      <c r="L59" s="19"/>
      <c r="M59" s="10">
        <v>319.68</v>
      </c>
      <c r="N59" s="10"/>
      <c r="O59" s="10"/>
      <c r="P59" s="15"/>
    </row>
    <row r="60" spans="1:16" ht="12.75">
      <c r="A60" s="3">
        <v>36800</v>
      </c>
      <c r="B60" s="30"/>
      <c r="C60" s="30"/>
      <c r="D60" s="30"/>
      <c r="E60" s="30"/>
      <c r="F60" s="30"/>
      <c r="G60" s="75"/>
      <c r="H60" s="75"/>
      <c r="J60" s="10">
        <v>31</v>
      </c>
      <c r="K60" s="10">
        <v>1</v>
      </c>
      <c r="L60" s="19"/>
      <c r="M60" s="10">
        <v>336.288</v>
      </c>
      <c r="N60" s="10"/>
      <c r="O60" s="10"/>
      <c r="P60" s="15"/>
    </row>
    <row r="61" spans="1:16" ht="12.75">
      <c r="A61" s="3">
        <v>36831</v>
      </c>
      <c r="B61" s="30"/>
      <c r="C61" s="30"/>
      <c r="D61" s="30"/>
      <c r="E61" s="30"/>
      <c r="F61" s="30"/>
      <c r="G61" s="75"/>
      <c r="H61" s="75"/>
      <c r="J61" s="10">
        <v>30</v>
      </c>
      <c r="K61" s="10">
        <v>1</v>
      </c>
      <c r="L61" s="19"/>
      <c r="M61" s="10">
        <v>352.08</v>
      </c>
      <c r="N61" s="10"/>
      <c r="O61" s="10"/>
      <c r="P61" s="15"/>
    </row>
    <row r="62" spans="1:16" ht="12.75">
      <c r="A62" s="3">
        <v>36861</v>
      </c>
      <c r="B62" s="30"/>
      <c r="C62" s="30"/>
      <c r="D62" s="30"/>
      <c r="E62" s="30"/>
      <c r="F62" s="30"/>
      <c r="G62" s="75"/>
      <c r="H62" s="75"/>
      <c r="J62" s="10">
        <v>31</v>
      </c>
      <c r="K62" s="10">
        <v>0</v>
      </c>
      <c r="L62" s="19"/>
      <c r="M62" s="10">
        <v>304.296</v>
      </c>
      <c r="N62" s="10"/>
      <c r="O62" s="10"/>
      <c r="P62" s="15"/>
    </row>
    <row r="63" spans="1:16" ht="12.75">
      <c r="A63" s="3">
        <v>36892</v>
      </c>
      <c r="B63" s="30"/>
      <c r="C63" s="30"/>
      <c r="D63" s="30"/>
      <c r="E63" s="30"/>
      <c r="F63" s="30"/>
      <c r="G63" s="75"/>
      <c r="H63" s="75"/>
      <c r="J63" s="10">
        <v>31</v>
      </c>
      <c r="K63" s="10">
        <v>0</v>
      </c>
      <c r="L63" s="19"/>
      <c r="M63" s="10">
        <v>351.912</v>
      </c>
      <c r="N63" s="10"/>
      <c r="O63" s="10"/>
      <c r="P63" s="15"/>
    </row>
    <row r="64" spans="1:16" ht="12.75">
      <c r="A64" s="3">
        <v>36925</v>
      </c>
      <c r="B64" s="30"/>
      <c r="C64" s="30"/>
      <c r="D64" s="30"/>
      <c r="E64" s="30"/>
      <c r="F64" s="30"/>
      <c r="G64" s="75"/>
      <c r="H64" s="75"/>
      <c r="J64" s="10">
        <v>28</v>
      </c>
      <c r="K64" s="10">
        <v>0</v>
      </c>
      <c r="L64" s="19"/>
      <c r="M64" s="10">
        <v>319.872</v>
      </c>
      <c r="N64" s="10"/>
      <c r="O64" s="10"/>
      <c r="P64" s="15"/>
    </row>
    <row r="65" spans="1:16" ht="12.75">
      <c r="A65" s="3">
        <v>36958</v>
      </c>
      <c r="B65" s="30"/>
      <c r="C65" s="30"/>
      <c r="D65" s="30"/>
      <c r="E65" s="30"/>
      <c r="F65" s="30"/>
      <c r="G65" s="75"/>
      <c r="H65" s="75"/>
      <c r="J65" s="10">
        <v>31</v>
      </c>
      <c r="K65" s="10">
        <v>1</v>
      </c>
      <c r="L65" s="19"/>
      <c r="M65" s="10">
        <v>351.912</v>
      </c>
      <c r="N65" s="10"/>
      <c r="O65" s="10"/>
      <c r="P65" s="15"/>
    </row>
    <row r="66" spans="1:16" ht="12.75">
      <c r="A66" s="3">
        <v>36991</v>
      </c>
      <c r="B66" s="30"/>
      <c r="C66" s="30"/>
      <c r="D66" s="30"/>
      <c r="E66" s="30"/>
      <c r="F66" s="30"/>
      <c r="G66" s="75"/>
      <c r="H66" s="75"/>
      <c r="J66" s="10">
        <v>30</v>
      </c>
      <c r="K66" s="10">
        <v>1</v>
      </c>
      <c r="L66" s="19"/>
      <c r="M66" s="10">
        <v>319.68</v>
      </c>
      <c r="N66" s="10"/>
      <c r="O66" s="10"/>
      <c r="P66" s="15"/>
    </row>
    <row r="67" spans="1:16" ht="12.75">
      <c r="A67" s="3">
        <v>37024</v>
      </c>
      <c r="B67" s="30"/>
      <c r="C67" s="30"/>
      <c r="D67" s="30"/>
      <c r="E67" s="30"/>
      <c r="F67" s="30"/>
      <c r="G67" s="75"/>
      <c r="H67" s="75"/>
      <c r="J67" s="10">
        <v>31</v>
      </c>
      <c r="K67" s="10">
        <v>1</v>
      </c>
      <c r="L67" s="19"/>
      <c r="M67" s="10">
        <v>351.912</v>
      </c>
      <c r="N67" s="10"/>
      <c r="O67" s="10"/>
      <c r="P67" s="15"/>
    </row>
    <row r="68" spans="1:16" ht="12.75">
      <c r="A68" s="3">
        <v>37057</v>
      </c>
      <c r="B68" s="30"/>
      <c r="C68" s="30"/>
      <c r="D68" s="30"/>
      <c r="E68" s="30"/>
      <c r="F68" s="30"/>
      <c r="G68" s="75"/>
      <c r="H68" s="75"/>
      <c r="J68" s="10">
        <v>30</v>
      </c>
      <c r="K68" s="10">
        <v>0</v>
      </c>
      <c r="L68" s="19"/>
      <c r="M68" s="10">
        <v>336.24</v>
      </c>
      <c r="N68" s="10"/>
      <c r="O68" s="10"/>
      <c r="P68" s="15"/>
    </row>
    <row r="69" spans="1:16" ht="12.75">
      <c r="A69" s="3">
        <v>37090</v>
      </c>
      <c r="B69" s="30"/>
      <c r="C69" s="30"/>
      <c r="D69" s="30"/>
      <c r="E69" s="30"/>
      <c r="F69" s="30"/>
      <c r="G69" s="75"/>
      <c r="H69" s="75"/>
      <c r="J69" s="10">
        <v>31</v>
      </c>
      <c r="K69" s="10">
        <v>0</v>
      </c>
      <c r="L69" s="19"/>
      <c r="M69" s="10">
        <v>336.288</v>
      </c>
      <c r="N69" s="10"/>
      <c r="O69" s="10"/>
      <c r="P69" s="15"/>
    </row>
    <row r="70" spans="1:16" ht="12.75">
      <c r="A70" s="3">
        <v>37123</v>
      </c>
      <c r="B70" s="30"/>
      <c r="C70" s="30"/>
      <c r="D70" s="30"/>
      <c r="E70" s="30"/>
      <c r="F70" s="30"/>
      <c r="G70" s="75"/>
      <c r="H70" s="75"/>
      <c r="J70" s="10">
        <v>31</v>
      </c>
      <c r="K70" s="10">
        <v>0</v>
      </c>
      <c r="L70" s="19"/>
      <c r="M70" s="10">
        <v>351.912</v>
      </c>
      <c r="N70" s="10"/>
      <c r="O70" s="10"/>
      <c r="P70" s="15"/>
    </row>
    <row r="71" spans="1:16" ht="12.75">
      <c r="A71" s="3">
        <v>37156</v>
      </c>
      <c r="B71" s="30"/>
      <c r="C71" s="30"/>
      <c r="D71" s="30"/>
      <c r="E71" s="30"/>
      <c r="F71" s="30"/>
      <c r="G71" s="75"/>
      <c r="H71" s="75"/>
      <c r="J71" s="10">
        <v>30</v>
      </c>
      <c r="K71" s="10">
        <v>1</v>
      </c>
      <c r="L71" s="19"/>
      <c r="M71" s="10">
        <v>303.84</v>
      </c>
      <c r="N71" s="10"/>
      <c r="O71" s="10"/>
      <c r="P71" s="15"/>
    </row>
    <row r="72" spans="1:16" ht="12.75">
      <c r="A72" s="3">
        <v>37189</v>
      </c>
      <c r="B72" s="30"/>
      <c r="C72" s="30"/>
      <c r="D72" s="30"/>
      <c r="E72" s="30"/>
      <c r="F72" s="30"/>
      <c r="G72" s="75"/>
      <c r="H72" s="75"/>
      <c r="J72" s="10">
        <v>31</v>
      </c>
      <c r="K72" s="10">
        <v>1</v>
      </c>
      <c r="L72" s="19"/>
      <c r="M72" s="10">
        <v>351.912</v>
      </c>
      <c r="N72" s="10"/>
      <c r="O72" s="10"/>
      <c r="P72" s="15"/>
    </row>
    <row r="73" spans="1:16" ht="12.75">
      <c r="A73" s="3">
        <v>37222</v>
      </c>
      <c r="B73" s="30"/>
      <c r="C73" s="30"/>
      <c r="D73" s="30"/>
      <c r="E73" s="30"/>
      <c r="F73" s="30"/>
      <c r="G73" s="75"/>
      <c r="H73" s="75"/>
      <c r="J73" s="10">
        <v>30</v>
      </c>
      <c r="K73" s="10">
        <v>1</v>
      </c>
      <c r="L73" s="19"/>
      <c r="M73" s="10">
        <v>352.08</v>
      </c>
      <c r="N73" s="10"/>
      <c r="O73" s="10"/>
      <c r="P73" s="15"/>
    </row>
    <row r="74" spans="1:16" ht="12.75">
      <c r="A74" s="3">
        <v>37255</v>
      </c>
      <c r="B74" s="30"/>
      <c r="C74" s="30"/>
      <c r="D74" s="30"/>
      <c r="E74" s="30"/>
      <c r="F74" s="30"/>
      <c r="G74" s="75"/>
      <c r="H74" s="75"/>
      <c r="J74" s="10">
        <v>31</v>
      </c>
      <c r="K74" s="10">
        <v>0</v>
      </c>
      <c r="L74" s="19"/>
      <c r="M74" s="10">
        <v>304.296</v>
      </c>
      <c r="N74" s="10"/>
      <c r="O74" s="10"/>
      <c r="P74" s="15"/>
    </row>
    <row r="75" spans="1:37" s="16" customFormat="1" ht="12.75">
      <c r="A75" s="14">
        <v>37275</v>
      </c>
      <c r="B75" s="30"/>
      <c r="C75" s="30"/>
      <c r="D75" s="30"/>
      <c r="E75" s="30"/>
      <c r="F75" s="30"/>
      <c r="G75" s="75"/>
      <c r="H75" s="75"/>
      <c r="I75" s="39"/>
      <c r="J75" s="10">
        <v>31</v>
      </c>
      <c r="K75" s="10">
        <v>0</v>
      </c>
      <c r="L75" s="19"/>
      <c r="M75" s="10">
        <v>351.912</v>
      </c>
      <c r="N75" s="10"/>
      <c r="O75" s="10"/>
      <c r="P75" s="15"/>
      <c r="Q75"/>
      <c r="R75"/>
      <c r="S75"/>
      <c r="T75"/>
      <c r="U75"/>
      <c r="V75"/>
      <c r="W75"/>
      <c r="X75"/>
      <c r="Y75"/>
      <c r="Z75"/>
      <c r="AA75"/>
      <c r="AB75"/>
      <c r="AC75" s="11"/>
      <c r="AD75" s="11"/>
      <c r="AE75" s="11"/>
      <c r="AF75" s="11"/>
      <c r="AG75" s="11"/>
      <c r="AH75" s="11"/>
      <c r="AI75" s="11"/>
      <c r="AJ75" s="11"/>
      <c r="AK75" s="11"/>
    </row>
    <row r="76" spans="1:16" ht="12.75">
      <c r="A76" s="3">
        <v>37308</v>
      </c>
      <c r="B76" s="30"/>
      <c r="C76" s="30"/>
      <c r="D76" s="30"/>
      <c r="E76" s="30"/>
      <c r="F76" s="30"/>
      <c r="G76" s="75"/>
      <c r="H76" s="75"/>
      <c r="J76" s="10">
        <v>28</v>
      </c>
      <c r="K76" s="10">
        <v>0</v>
      </c>
      <c r="L76" s="19"/>
      <c r="M76" s="10">
        <v>319.872</v>
      </c>
      <c r="N76" s="10"/>
      <c r="O76" s="10"/>
      <c r="P76" s="15"/>
    </row>
    <row r="77" spans="1:16" ht="12.75">
      <c r="A77" s="3">
        <v>37341</v>
      </c>
      <c r="B77" s="30"/>
      <c r="C77" s="30"/>
      <c r="D77" s="30"/>
      <c r="E77" s="30"/>
      <c r="F77" s="30"/>
      <c r="G77" s="75"/>
      <c r="H77" s="75"/>
      <c r="J77" s="10">
        <v>31</v>
      </c>
      <c r="K77" s="10">
        <v>1</v>
      </c>
      <c r="L77" s="19"/>
      <c r="M77" s="10">
        <v>319.92</v>
      </c>
      <c r="N77" s="10"/>
      <c r="O77" s="10"/>
      <c r="P77" s="15"/>
    </row>
    <row r="78" spans="1:16" ht="12.75">
      <c r="A78" s="3">
        <v>37374</v>
      </c>
      <c r="B78" s="30"/>
      <c r="C78" s="30"/>
      <c r="D78" s="30"/>
      <c r="E78" s="30"/>
      <c r="F78" s="30"/>
      <c r="G78" s="75"/>
      <c r="H78" s="75"/>
      <c r="J78" s="10">
        <v>30</v>
      </c>
      <c r="K78" s="10">
        <v>1</v>
      </c>
      <c r="L78" s="19"/>
      <c r="M78" s="10">
        <v>352.08</v>
      </c>
      <c r="N78" s="10"/>
      <c r="O78" s="10"/>
      <c r="P78" s="15"/>
    </row>
    <row r="79" spans="1:16" ht="12.75">
      <c r="A79" s="3">
        <v>37407</v>
      </c>
      <c r="B79" s="30"/>
      <c r="C79" s="30"/>
      <c r="D79" s="30"/>
      <c r="E79" s="30"/>
      <c r="F79" s="30"/>
      <c r="G79" s="75"/>
      <c r="H79" s="75"/>
      <c r="J79" s="10">
        <v>31</v>
      </c>
      <c r="K79" s="10">
        <v>1</v>
      </c>
      <c r="L79" s="19"/>
      <c r="M79" s="10">
        <v>351.912</v>
      </c>
      <c r="N79" s="10"/>
      <c r="O79" s="10"/>
      <c r="P79" s="15"/>
    </row>
    <row r="80" spans="1:16" ht="12.75">
      <c r="A80" s="3">
        <v>37408</v>
      </c>
      <c r="B80" s="30"/>
      <c r="C80" s="30"/>
      <c r="D80" s="30"/>
      <c r="E80" s="30"/>
      <c r="F80" s="30"/>
      <c r="G80" s="75"/>
      <c r="H80" s="75"/>
      <c r="J80" s="10">
        <v>30</v>
      </c>
      <c r="K80" s="10">
        <v>0</v>
      </c>
      <c r="L80" s="19"/>
      <c r="M80" s="10">
        <v>319.68</v>
      </c>
      <c r="N80" s="10"/>
      <c r="O80" s="10"/>
      <c r="P80" s="15"/>
    </row>
    <row r="81" spans="1:16" ht="12.75">
      <c r="A81" s="3">
        <v>37440</v>
      </c>
      <c r="B81" s="30"/>
      <c r="C81" s="30"/>
      <c r="D81" s="30"/>
      <c r="E81" s="30"/>
      <c r="F81" s="30"/>
      <c r="G81" s="75"/>
      <c r="H81" s="75"/>
      <c r="J81" s="10">
        <v>31</v>
      </c>
      <c r="K81" s="10">
        <v>0</v>
      </c>
      <c r="L81" s="19"/>
      <c r="M81" s="10">
        <v>351.912</v>
      </c>
      <c r="N81" s="10"/>
      <c r="O81" s="10"/>
      <c r="P81" s="15"/>
    </row>
    <row r="82" spans="1:16" ht="12.75">
      <c r="A82" s="3">
        <v>37473</v>
      </c>
      <c r="B82" s="30"/>
      <c r="C82" s="30"/>
      <c r="D82" s="30"/>
      <c r="E82" s="30"/>
      <c r="F82" s="30"/>
      <c r="G82" s="75"/>
      <c r="H82" s="75"/>
      <c r="J82" s="10">
        <v>31</v>
      </c>
      <c r="K82" s="10">
        <v>0</v>
      </c>
      <c r="L82" s="19"/>
      <c r="M82" s="10">
        <v>336.288</v>
      </c>
      <c r="N82" s="10"/>
      <c r="O82" s="10"/>
      <c r="P82" s="15"/>
    </row>
    <row r="83" spans="1:16" ht="12.75">
      <c r="A83" s="3">
        <v>37506</v>
      </c>
      <c r="B83" s="30"/>
      <c r="C83" s="30"/>
      <c r="D83" s="30"/>
      <c r="E83" s="30"/>
      <c r="F83" s="30"/>
      <c r="G83" s="75"/>
      <c r="H83" s="75"/>
      <c r="J83" s="10">
        <v>30</v>
      </c>
      <c r="K83" s="10">
        <v>1</v>
      </c>
      <c r="L83" s="19"/>
      <c r="M83" s="10">
        <v>319.68</v>
      </c>
      <c r="N83" s="10"/>
      <c r="O83" s="10"/>
      <c r="P83" s="15"/>
    </row>
    <row r="84" spans="1:16" ht="12.75">
      <c r="A84" s="3">
        <v>37539</v>
      </c>
      <c r="B84" s="30"/>
      <c r="C84" s="30"/>
      <c r="D84" s="30"/>
      <c r="E84" s="30"/>
      <c r="F84" s="30"/>
      <c r="G84" s="75"/>
      <c r="H84" s="75"/>
      <c r="J84" s="10">
        <v>31</v>
      </c>
      <c r="K84" s="10">
        <v>1</v>
      </c>
      <c r="L84" s="19"/>
      <c r="M84" s="10">
        <v>351.912</v>
      </c>
      <c r="N84" s="10"/>
      <c r="O84" s="10"/>
      <c r="P84" s="15"/>
    </row>
    <row r="85" spans="1:16" ht="12.75">
      <c r="A85" s="3">
        <v>37572</v>
      </c>
      <c r="B85" s="30"/>
      <c r="C85" s="30"/>
      <c r="D85" s="30"/>
      <c r="E85" s="30"/>
      <c r="F85" s="30"/>
      <c r="G85" s="75"/>
      <c r="H85" s="75"/>
      <c r="J85" s="10">
        <v>30</v>
      </c>
      <c r="K85" s="10">
        <v>1</v>
      </c>
      <c r="L85" s="19"/>
      <c r="M85" s="10">
        <v>336.24</v>
      </c>
      <c r="N85" s="10"/>
      <c r="O85" s="10"/>
      <c r="P85" s="15"/>
    </row>
    <row r="86" spans="1:37" s="37" customFormat="1" ht="12.75">
      <c r="A86" s="36">
        <v>37605</v>
      </c>
      <c r="B86" s="30"/>
      <c r="C86" s="30"/>
      <c r="D86" s="30"/>
      <c r="E86" s="30"/>
      <c r="F86" s="30"/>
      <c r="G86" s="75"/>
      <c r="H86" s="75"/>
      <c r="I86" s="40"/>
      <c r="J86" s="19">
        <v>31</v>
      </c>
      <c r="K86" s="19">
        <v>0</v>
      </c>
      <c r="L86" s="19"/>
      <c r="M86" s="19">
        <v>319.92</v>
      </c>
      <c r="N86" s="10"/>
      <c r="O86" s="19"/>
      <c r="P86" s="35"/>
      <c r="Q86"/>
      <c r="R86"/>
      <c r="S86"/>
      <c r="T86"/>
      <c r="U86"/>
      <c r="V86"/>
      <c r="W86"/>
      <c r="X86"/>
      <c r="Y86"/>
      <c r="Z86"/>
      <c r="AA86"/>
      <c r="AB86"/>
      <c r="AC86" s="30"/>
      <c r="AD86" s="30"/>
      <c r="AE86" s="30"/>
      <c r="AF86" s="30"/>
      <c r="AG86" s="30"/>
      <c r="AH86" s="30"/>
      <c r="AI86" s="30"/>
      <c r="AJ86" s="30"/>
      <c r="AK86" s="30"/>
    </row>
    <row r="87" spans="1:31" ht="12.75">
      <c r="A87" s="3">
        <v>37622</v>
      </c>
      <c r="B87" s="77"/>
      <c r="C87" s="77"/>
      <c r="D87" s="77"/>
      <c r="E87" s="77"/>
      <c r="F87" s="30"/>
      <c r="G87" s="75"/>
      <c r="H87" s="75"/>
      <c r="J87" s="10">
        <v>31</v>
      </c>
      <c r="K87" s="10">
        <v>0</v>
      </c>
      <c r="L87" s="19"/>
      <c r="M87" s="10">
        <v>351.912</v>
      </c>
      <c r="N87" s="10"/>
      <c r="O87" s="10"/>
      <c r="P87" s="15"/>
      <c r="AC87" s="11"/>
      <c r="AD87" s="11"/>
      <c r="AE87" s="11"/>
    </row>
    <row r="88" spans="1:16" ht="12.75">
      <c r="A88" s="3">
        <v>37653</v>
      </c>
      <c r="B88" s="77"/>
      <c r="C88" s="77"/>
      <c r="D88" s="77"/>
      <c r="E88" s="77"/>
      <c r="F88" s="30"/>
      <c r="G88" s="75"/>
      <c r="H88" s="75"/>
      <c r="J88" s="10">
        <v>28</v>
      </c>
      <c r="K88" s="10">
        <v>0</v>
      </c>
      <c r="L88" s="19"/>
      <c r="M88" s="10">
        <v>319.872</v>
      </c>
      <c r="N88" s="10"/>
      <c r="O88" s="10"/>
      <c r="P88" s="15"/>
    </row>
    <row r="89" spans="1:16" ht="12.75">
      <c r="A89" s="3">
        <v>37681</v>
      </c>
      <c r="B89" s="77"/>
      <c r="C89" s="77"/>
      <c r="D89" s="77"/>
      <c r="E89" s="77"/>
      <c r="F89" s="30"/>
      <c r="G89" s="75"/>
      <c r="H89" s="75"/>
      <c r="J89" s="10">
        <v>31</v>
      </c>
      <c r="K89" s="10">
        <v>1</v>
      </c>
      <c r="L89" s="19"/>
      <c r="M89" s="10">
        <v>336.288</v>
      </c>
      <c r="N89" s="10"/>
      <c r="O89" s="10"/>
      <c r="P89" s="15"/>
    </row>
    <row r="90" spans="1:16" ht="12.75">
      <c r="A90" s="3">
        <v>37712</v>
      </c>
      <c r="B90" s="77"/>
      <c r="C90" s="77"/>
      <c r="D90" s="77"/>
      <c r="E90" s="77"/>
      <c r="F90" s="30"/>
      <c r="G90" s="75"/>
      <c r="H90" s="75"/>
      <c r="J90" s="10">
        <v>30</v>
      </c>
      <c r="K90" s="10">
        <v>1</v>
      </c>
      <c r="L90" s="19"/>
      <c r="M90" s="10">
        <v>336.24</v>
      </c>
      <c r="N90" s="10"/>
      <c r="O90" s="10"/>
      <c r="P90" s="15"/>
    </row>
    <row r="91" spans="1:16" ht="12.75">
      <c r="A91" s="3">
        <v>37742</v>
      </c>
      <c r="B91" s="77"/>
      <c r="C91" s="77"/>
      <c r="D91" s="77"/>
      <c r="E91" s="77"/>
      <c r="F91" s="30"/>
      <c r="G91" s="75"/>
      <c r="H91" s="75"/>
      <c r="J91" s="10">
        <v>31</v>
      </c>
      <c r="K91" s="10">
        <v>1</v>
      </c>
      <c r="L91" s="19"/>
      <c r="M91" s="10">
        <v>336.288</v>
      </c>
      <c r="N91" s="10"/>
      <c r="O91" s="10"/>
      <c r="P91" s="15"/>
    </row>
    <row r="92" spans="1:16" ht="12.75">
      <c r="A92" s="3">
        <v>37773</v>
      </c>
      <c r="B92" s="77"/>
      <c r="C92" s="77"/>
      <c r="D92" s="77"/>
      <c r="E92" s="77"/>
      <c r="F92" s="30"/>
      <c r="G92" s="75"/>
      <c r="H92" s="75"/>
      <c r="J92" s="10">
        <v>30</v>
      </c>
      <c r="K92" s="10">
        <v>0</v>
      </c>
      <c r="L92" s="19"/>
      <c r="M92" s="10">
        <v>336.24</v>
      </c>
      <c r="N92" s="10"/>
      <c r="O92" s="10"/>
      <c r="P92" s="15"/>
    </row>
    <row r="93" spans="1:16" ht="12.75">
      <c r="A93" s="3">
        <v>37803</v>
      </c>
      <c r="B93" s="77"/>
      <c r="C93" s="77"/>
      <c r="D93" s="77"/>
      <c r="E93" s="77"/>
      <c r="F93" s="30"/>
      <c r="G93" s="75"/>
      <c r="H93" s="75"/>
      <c r="J93" s="10">
        <v>31</v>
      </c>
      <c r="K93" s="10">
        <v>0</v>
      </c>
      <c r="L93" s="19"/>
      <c r="M93" s="10">
        <v>351.912</v>
      </c>
      <c r="N93" s="10"/>
      <c r="O93" s="10"/>
      <c r="P93" s="15"/>
    </row>
    <row r="94" spans="1:16" ht="12.75">
      <c r="A94" s="3">
        <v>37834</v>
      </c>
      <c r="B94" s="77"/>
      <c r="C94" s="77"/>
      <c r="D94" s="77"/>
      <c r="E94" s="77"/>
      <c r="F94" s="30"/>
      <c r="G94" s="75"/>
      <c r="H94" s="75"/>
      <c r="J94" s="10">
        <v>31</v>
      </c>
      <c r="K94" s="10">
        <v>0</v>
      </c>
      <c r="L94" s="19"/>
      <c r="M94" s="10">
        <v>319.92</v>
      </c>
      <c r="N94" s="10"/>
      <c r="O94" s="10"/>
      <c r="P94" s="15"/>
    </row>
    <row r="95" spans="1:16" ht="12.75">
      <c r="A95" s="3">
        <v>37865</v>
      </c>
      <c r="B95" s="77"/>
      <c r="C95" s="77"/>
      <c r="D95" s="77"/>
      <c r="E95" s="77"/>
      <c r="F95" s="30"/>
      <c r="G95" s="75"/>
      <c r="H95" s="75"/>
      <c r="J95" s="10">
        <v>30</v>
      </c>
      <c r="K95" s="10">
        <v>1</v>
      </c>
      <c r="L95" s="19"/>
      <c r="M95" s="10">
        <v>336.24</v>
      </c>
      <c r="N95" s="10"/>
      <c r="O95" s="10"/>
      <c r="P95" s="15"/>
    </row>
    <row r="96" spans="1:16" ht="12.75">
      <c r="A96" s="3">
        <v>37895</v>
      </c>
      <c r="B96" s="77"/>
      <c r="C96" s="77"/>
      <c r="D96" s="77"/>
      <c r="E96" s="77"/>
      <c r="F96" s="30"/>
      <c r="G96" s="75"/>
      <c r="H96" s="75"/>
      <c r="J96" s="10">
        <v>31</v>
      </c>
      <c r="K96" s="10">
        <v>1</v>
      </c>
      <c r="L96" s="19"/>
      <c r="M96" s="10">
        <v>351.912</v>
      </c>
      <c r="N96" s="10"/>
      <c r="O96" s="10"/>
      <c r="P96" s="15"/>
    </row>
    <row r="97" spans="1:16" ht="12.75">
      <c r="A97" s="3">
        <v>37926</v>
      </c>
      <c r="B97" s="77"/>
      <c r="C97" s="77"/>
      <c r="D97" s="77"/>
      <c r="E97" s="77"/>
      <c r="F97" s="30"/>
      <c r="G97" s="75"/>
      <c r="H97" s="75"/>
      <c r="J97" s="10">
        <v>30</v>
      </c>
      <c r="K97" s="10">
        <v>1</v>
      </c>
      <c r="L97" s="19"/>
      <c r="M97" s="10">
        <v>319.68</v>
      </c>
      <c r="N97" s="10"/>
      <c r="O97" s="10"/>
      <c r="P97" s="15"/>
    </row>
    <row r="98" spans="1:16" ht="12.75">
      <c r="A98" s="3">
        <v>37956</v>
      </c>
      <c r="B98" s="77"/>
      <c r="C98" s="77"/>
      <c r="D98" s="77"/>
      <c r="E98" s="77"/>
      <c r="F98" s="30"/>
      <c r="G98" s="75"/>
      <c r="H98" s="75"/>
      <c r="J98" s="10">
        <v>31</v>
      </c>
      <c r="K98" s="10">
        <v>0</v>
      </c>
      <c r="L98" s="19"/>
      <c r="M98" s="10">
        <v>336.288</v>
      </c>
      <c r="N98" s="10"/>
      <c r="O98" s="10"/>
      <c r="P98" s="15"/>
    </row>
    <row r="99" spans="1:31" ht="12.75">
      <c r="A99" s="3">
        <v>37987</v>
      </c>
      <c r="B99" s="77"/>
      <c r="C99" s="77"/>
      <c r="D99" s="77"/>
      <c r="E99" s="77"/>
      <c r="F99" s="30"/>
      <c r="G99" s="75"/>
      <c r="H99" s="75"/>
      <c r="J99" s="10">
        <v>31</v>
      </c>
      <c r="K99" s="10">
        <v>0</v>
      </c>
      <c r="L99" s="19"/>
      <c r="M99" s="10">
        <v>336.288</v>
      </c>
      <c r="N99" s="10"/>
      <c r="O99" s="10"/>
      <c r="P99" s="15"/>
      <c r="AC99" s="11"/>
      <c r="AD99" s="11"/>
      <c r="AE99" s="11"/>
    </row>
    <row r="100" spans="1:16" ht="12.75">
      <c r="A100" s="3">
        <v>38018</v>
      </c>
      <c r="B100" s="77"/>
      <c r="C100" s="77"/>
      <c r="D100" s="77"/>
      <c r="E100" s="77"/>
      <c r="F100" s="30"/>
      <c r="G100" s="75"/>
      <c r="H100" s="75"/>
      <c r="J100" s="10">
        <v>29</v>
      </c>
      <c r="K100" s="10">
        <v>0</v>
      </c>
      <c r="L100" s="19"/>
      <c r="M100" s="10">
        <v>320.16</v>
      </c>
      <c r="N100" s="10"/>
      <c r="O100" s="10"/>
      <c r="P100" s="15"/>
    </row>
    <row r="101" spans="1:16" ht="12.75">
      <c r="A101" s="3">
        <v>38047</v>
      </c>
      <c r="B101" s="77"/>
      <c r="C101" s="77"/>
      <c r="D101" s="77"/>
      <c r="E101" s="77"/>
      <c r="F101" s="30"/>
      <c r="G101" s="75"/>
      <c r="H101" s="75"/>
      <c r="J101" s="10">
        <v>31</v>
      </c>
      <c r="K101" s="10">
        <v>1</v>
      </c>
      <c r="L101" s="19"/>
      <c r="M101" s="10">
        <v>368.28</v>
      </c>
      <c r="N101" s="10"/>
      <c r="O101" s="10"/>
      <c r="P101" s="15"/>
    </row>
    <row r="102" spans="1:16" ht="12.75">
      <c r="A102" s="3">
        <v>38078</v>
      </c>
      <c r="B102" s="77"/>
      <c r="C102" s="77"/>
      <c r="D102" s="77"/>
      <c r="E102" s="77"/>
      <c r="F102" s="30"/>
      <c r="G102" s="75"/>
      <c r="H102" s="75"/>
      <c r="J102" s="10">
        <v>30</v>
      </c>
      <c r="K102" s="10">
        <v>1</v>
      </c>
      <c r="L102" s="19"/>
      <c r="M102" s="10">
        <v>336.24</v>
      </c>
      <c r="N102" s="10"/>
      <c r="O102" s="10"/>
      <c r="P102" s="15"/>
    </row>
    <row r="103" spans="1:16" ht="12.75">
      <c r="A103" s="3">
        <v>38108</v>
      </c>
      <c r="B103" s="77"/>
      <c r="C103" s="77"/>
      <c r="D103" s="77"/>
      <c r="E103" s="77"/>
      <c r="F103" s="30"/>
      <c r="G103" s="75"/>
      <c r="H103" s="75"/>
      <c r="J103" s="10">
        <v>31</v>
      </c>
      <c r="K103" s="10">
        <v>1</v>
      </c>
      <c r="L103" s="19"/>
      <c r="M103" s="10">
        <v>319.92</v>
      </c>
      <c r="N103" s="10"/>
      <c r="O103" s="10"/>
      <c r="P103" s="15"/>
    </row>
    <row r="104" spans="1:16" ht="12.75">
      <c r="A104" s="3">
        <v>38139</v>
      </c>
      <c r="B104" s="77"/>
      <c r="C104" s="77"/>
      <c r="D104" s="77"/>
      <c r="E104" s="77"/>
      <c r="F104" s="30"/>
      <c r="G104" s="75"/>
      <c r="H104" s="75"/>
      <c r="J104" s="10">
        <v>30</v>
      </c>
      <c r="K104" s="10">
        <v>0</v>
      </c>
      <c r="L104" s="19"/>
      <c r="M104" s="10">
        <v>352.08</v>
      </c>
      <c r="N104" s="10"/>
      <c r="O104" s="10"/>
      <c r="P104" s="15"/>
    </row>
    <row r="105" spans="1:16" ht="12.75">
      <c r="A105" s="3">
        <v>38169</v>
      </c>
      <c r="B105" s="77"/>
      <c r="C105" s="77"/>
      <c r="D105" s="77"/>
      <c r="E105" s="77"/>
      <c r="F105" s="30"/>
      <c r="G105" s="75"/>
      <c r="H105" s="75"/>
      <c r="J105" s="10">
        <v>31</v>
      </c>
      <c r="K105" s="10">
        <v>0</v>
      </c>
      <c r="L105" s="19"/>
      <c r="M105" s="10">
        <v>336.288</v>
      </c>
      <c r="N105" s="10"/>
      <c r="O105" s="10"/>
      <c r="P105" s="15"/>
    </row>
    <row r="106" spans="1:16" ht="12.75">
      <c r="A106" s="3">
        <v>38200</v>
      </c>
      <c r="B106" s="77"/>
      <c r="C106" s="77"/>
      <c r="D106" s="77"/>
      <c r="E106" s="77"/>
      <c r="F106" s="30"/>
      <c r="G106" s="75"/>
      <c r="H106" s="75"/>
      <c r="J106" s="10">
        <v>31</v>
      </c>
      <c r="K106" s="10">
        <v>0</v>
      </c>
      <c r="L106" s="19"/>
      <c r="M106" s="10">
        <v>336.288</v>
      </c>
      <c r="N106" s="10"/>
      <c r="O106" s="10"/>
      <c r="P106" s="15"/>
    </row>
    <row r="107" spans="1:16" ht="12.75">
      <c r="A107" s="3">
        <v>38231</v>
      </c>
      <c r="B107" s="77"/>
      <c r="C107" s="77"/>
      <c r="D107" s="77"/>
      <c r="E107" s="77"/>
      <c r="F107" s="30"/>
      <c r="G107" s="75"/>
      <c r="H107" s="75"/>
      <c r="J107" s="10">
        <v>30</v>
      </c>
      <c r="K107" s="10">
        <v>1</v>
      </c>
      <c r="L107" s="19"/>
      <c r="M107" s="10">
        <v>336.24</v>
      </c>
      <c r="N107" s="10"/>
      <c r="O107" s="10"/>
      <c r="P107" s="15"/>
    </row>
    <row r="108" spans="1:16" ht="12.75">
      <c r="A108" s="3">
        <v>38261</v>
      </c>
      <c r="B108" s="77"/>
      <c r="C108" s="77"/>
      <c r="D108" s="77"/>
      <c r="E108" s="77"/>
      <c r="F108" s="30"/>
      <c r="G108" s="75"/>
      <c r="H108" s="75"/>
      <c r="J108" s="10">
        <v>31</v>
      </c>
      <c r="K108" s="10">
        <v>1</v>
      </c>
      <c r="L108" s="19"/>
      <c r="M108" s="10">
        <v>319.92</v>
      </c>
      <c r="N108" s="10"/>
      <c r="O108" s="10"/>
      <c r="P108" s="15"/>
    </row>
    <row r="109" spans="1:16" ht="12.75">
      <c r="A109" s="3">
        <v>38292</v>
      </c>
      <c r="B109" s="77"/>
      <c r="C109" s="77"/>
      <c r="D109" s="77"/>
      <c r="E109" s="77"/>
      <c r="F109" s="30"/>
      <c r="G109" s="75"/>
      <c r="H109" s="75"/>
      <c r="J109" s="10">
        <v>30</v>
      </c>
      <c r="K109" s="10">
        <v>1</v>
      </c>
      <c r="L109" s="19"/>
      <c r="M109" s="10">
        <v>352.08</v>
      </c>
      <c r="N109" s="10"/>
      <c r="O109" s="10"/>
      <c r="P109" s="15"/>
    </row>
    <row r="110" spans="1:16" ht="12.75">
      <c r="A110" s="3">
        <v>38322</v>
      </c>
      <c r="B110" s="77"/>
      <c r="C110" s="77"/>
      <c r="D110" s="77"/>
      <c r="E110" s="77"/>
      <c r="F110" s="30"/>
      <c r="G110" s="75"/>
      <c r="H110" s="75"/>
      <c r="J110" s="10">
        <v>31</v>
      </c>
      <c r="K110" s="10">
        <v>0</v>
      </c>
      <c r="L110" s="19"/>
      <c r="M110" s="10">
        <v>336.288</v>
      </c>
      <c r="N110" s="10"/>
      <c r="O110" s="10"/>
      <c r="P110" s="15"/>
    </row>
    <row r="111" spans="1:31" ht="12.75">
      <c r="A111" s="3">
        <v>38353</v>
      </c>
      <c r="B111" s="77"/>
      <c r="C111" s="77"/>
      <c r="D111" s="77"/>
      <c r="E111" s="77"/>
      <c r="F111" s="30"/>
      <c r="G111" s="75"/>
      <c r="H111" s="75"/>
      <c r="J111" s="10">
        <v>31</v>
      </c>
      <c r="K111" s="10">
        <v>0</v>
      </c>
      <c r="L111" s="19"/>
      <c r="M111" s="10">
        <v>319.92</v>
      </c>
      <c r="N111" s="10"/>
      <c r="O111" s="10"/>
      <c r="P111" s="15"/>
      <c r="AC111" s="11"/>
      <c r="AD111" s="11"/>
      <c r="AE111" s="11"/>
    </row>
    <row r="112" spans="1:16" ht="12.75">
      <c r="A112" s="3">
        <v>38384</v>
      </c>
      <c r="B112" s="77"/>
      <c r="C112" s="77"/>
      <c r="D112" s="77"/>
      <c r="E112" s="77"/>
      <c r="F112" s="30"/>
      <c r="G112" s="75"/>
      <c r="H112" s="75"/>
      <c r="J112" s="10">
        <v>28</v>
      </c>
      <c r="K112" s="10">
        <v>0</v>
      </c>
      <c r="L112" s="19"/>
      <c r="M112" s="10">
        <v>319.872</v>
      </c>
      <c r="N112" s="10"/>
      <c r="O112" s="10"/>
      <c r="P112" s="15"/>
    </row>
    <row r="113" spans="1:16" ht="12.75">
      <c r="A113" s="3">
        <v>38412</v>
      </c>
      <c r="B113" s="77"/>
      <c r="C113" s="77"/>
      <c r="D113" s="77"/>
      <c r="E113" s="77"/>
      <c r="F113" s="30"/>
      <c r="G113" s="75"/>
      <c r="H113" s="75"/>
      <c r="J113" s="10">
        <v>31</v>
      </c>
      <c r="K113" s="10">
        <v>1</v>
      </c>
      <c r="L113" s="19"/>
      <c r="M113" s="10">
        <v>351.912</v>
      </c>
      <c r="N113" s="10"/>
      <c r="O113" s="10"/>
      <c r="P113" s="15"/>
    </row>
    <row r="114" spans="1:16" ht="12.75">
      <c r="A114" s="3">
        <v>38443</v>
      </c>
      <c r="B114" s="77"/>
      <c r="C114" s="77"/>
      <c r="D114" s="77"/>
      <c r="E114" s="77"/>
      <c r="F114" s="30"/>
      <c r="G114" s="75"/>
      <c r="H114" s="75"/>
      <c r="J114" s="10">
        <v>30</v>
      </c>
      <c r="K114" s="10">
        <v>1</v>
      </c>
      <c r="L114" s="19"/>
      <c r="M114" s="10">
        <v>336.24</v>
      </c>
      <c r="N114" s="10"/>
      <c r="O114" s="10"/>
      <c r="P114" s="15"/>
    </row>
    <row r="115" spans="1:16" ht="12.75">
      <c r="A115" s="3">
        <v>38473</v>
      </c>
      <c r="B115" s="77"/>
      <c r="C115" s="77"/>
      <c r="D115" s="77"/>
      <c r="E115" s="77"/>
      <c r="F115" s="30"/>
      <c r="G115" s="75"/>
      <c r="H115" s="75"/>
      <c r="J115" s="10">
        <v>31</v>
      </c>
      <c r="K115" s="10">
        <v>1</v>
      </c>
      <c r="L115" s="19"/>
      <c r="M115" s="10">
        <v>336.288</v>
      </c>
      <c r="N115" s="10"/>
      <c r="O115" s="10"/>
      <c r="P115" s="15"/>
    </row>
    <row r="116" spans="1:16" ht="12.75">
      <c r="A116" s="3">
        <v>38504</v>
      </c>
      <c r="B116" s="77"/>
      <c r="C116" s="77"/>
      <c r="D116" s="77"/>
      <c r="E116" s="77"/>
      <c r="F116" s="30"/>
      <c r="G116" s="75"/>
      <c r="H116" s="75"/>
      <c r="J116" s="10">
        <v>30</v>
      </c>
      <c r="K116" s="10">
        <v>0</v>
      </c>
      <c r="L116" s="19"/>
      <c r="M116" s="10">
        <v>352.08</v>
      </c>
      <c r="N116" s="10"/>
      <c r="O116" s="10"/>
      <c r="P116" s="15"/>
    </row>
    <row r="117" spans="1:16" ht="12.75">
      <c r="A117" s="3">
        <v>38534</v>
      </c>
      <c r="B117" s="77"/>
      <c r="C117" s="77"/>
      <c r="D117" s="77"/>
      <c r="E117" s="77"/>
      <c r="F117" s="30"/>
      <c r="G117" s="75"/>
      <c r="H117" s="75"/>
      <c r="J117" s="10">
        <v>31</v>
      </c>
      <c r="K117" s="10">
        <v>0</v>
      </c>
      <c r="L117" s="19"/>
      <c r="M117" s="10">
        <v>319.92</v>
      </c>
      <c r="N117" s="10"/>
      <c r="O117" s="10"/>
      <c r="P117" s="15"/>
    </row>
    <row r="118" spans="1:16" ht="12.75">
      <c r="A118" s="3">
        <v>38565</v>
      </c>
      <c r="B118" s="77"/>
      <c r="C118" s="77"/>
      <c r="D118" s="77"/>
      <c r="E118" s="77"/>
      <c r="F118" s="30"/>
      <c r="G118" s="75"/>
      <c r="H118" s="75"/>
      <c r="J118" s="10">
        <v>31</v>
      </c>
      <c r="K118" s="10">
        <v>0</v>
      </c>
      <c r="L118" s="19"/>
      <c r="M118" s="10">
        <v>351.912</v>
      </c>
      <c r="N118" s="10"/>
      <c r="O118" s="10"/>
      <c r="P118" s="15"/>
    </row>
    <row r="119" spans="1:16" ht="12.75">
      <c r="A119" s="3">
        <v>38596</v>
      </c>
      <c r="B119" s="77"/>
      <c r="C119" s="77"/>
      <c r="D119" s="77"/>
      <c r="E119" s="77"/>
      <c r="F119" s="30"/>
      <c r="G119" s="75"/>
      <c r="H119" s="75"/>
      <c r="J119" s="10">
        <v>30</v>
      </c>
      <c r="K119" s="10">
        <v>1</v>
      </c>
      <c r="L119" s="19"/>
      <c r="M119" s="10">
        <v>336.24</v>
      </c>
      <c r="N119" s="10"/>
      <c r="O119" s="10"/>
      <c r="P119" s="15"/>
    </row>
    <row r="120" spans="1:16" ht="12.75">
      <c r="A120" s="3">
        <v>38626</v>
      </c>
      <c r="B120" s="77"/>
      <c r="C120" s="77"/>
      <c r="D120" s="77"/>
      <c r="E120" s="77"/>
      <c r="F120" s="30"/>
      <c r="G120" s="75"/>
      <c r="H120" s="75"/>
      <c r="J120" s="10">
        <v>31</v>
      </c>
      <c r="K120" s="10">
        <v>1</v>
      </c>
      <c r="L120" s="19"/>
      <c r="M120" s="10">
        <v>319.92</v>
      </c>
      <c r="N120" s="10"/>
      <c r="O120" s="10"/>
      <c r="P120" s="15"/>
    </row>
    <row r="121" spans="1:16" ht="12.75">
      <c r="A121" s="3">
        <v>38657</v>
      </c>
      <c r="B121" s="77"/>
      <c r="C121" s="77"/>
      <c r="D121" s="77"/>
      <c r="E121" s="77"/>
      <c r="F121" s="30"/>
      <c r="G121" s="75"/>
      <c r="H121" s="75"/>
      <c r="J121" s="10">
        <v>30</v>
      </c>
      <c r="K121" s="10">
        <v>1</v>
      </c>
      <c r="L121" s="19"/>
      <c r="M121" s="10">
        <v>352.08</v>
      </c>
      <c r="N121" s="10"/>
      <c r="O121" s="10"/>
      <c r="P121" s="15"/>
    </row>
    <row r="122" spans="1:16" ht="12.75">
      <c r="A122" s="3">
        <v>38687</v>
      </c>
      <c r="B122" s="77"/>
      <c r="C122" s="77"/>
      <c r="D122" s="77"/>
      <c r="E122" s="77"/>
      <c r="F122" s="30"/>
      <c r="G122" s="75"/>
      <c r="H122" s="75"/>
      <c r="J122" s="10">
        <v>31</v>
      </c>
      <c r="K122" s="10">
        <v>0</v>
      </c>
      <c r="L122" s="19"/>
      <c r="M122" s="10">
        <v>319.92</v>
      </c>
      <c r="N122" s="10"/>
      <c r="O122" s="10"/>
      <c r="P122" s="15"/>
    </row>
    <row r="123" spans="1:31" ht="12.75">
      <c r="A123" s="3">
        <v>38718</v>
      </c>
      <c r="B123" s="30"/>
      <c r="C123" s="30"/>
      <c r="D123" s="30"/>
      <c r="E123" s="30"/>
      <c r="F123" s="30"/>
      <c r="G123" s="75"/>
      <c r="H123" s="75"/>
      <c r="J123" s="10">
        <v>31</v>
      </c>
      <c r="K123" s="10">
        <v>0</v>
      </c>
      <c r="L123" s="19"/>
      <c r="M123" s="10">
        <v>336.288</v>
      </c>
      <c r="N123" s="10"/>
      <c r="O123" s="10"/>
      <c r="P123" s="15"/>
      <c r="AC123" s="11"/>
      <c r="AD123" s="11"/>
      <c r="AE123" s="11"/>
    </row>
    <row r="124" spans="1:16" ht="12.75">
      <c r="A124" s="3">
        <v>38749</v>
      </c>
      <c r="B124" s="30"/>
      <c r="C124" s="30"/>
      <c r="D124" s="30"/>
      <c r="E124" s="30"/>
      <c r="F124" s="30"/>
      <c r="G124" s="75"/>
      <c r="H124" s="75"/>
      <c r="J124" s="10">
        <v>28</v>
      </c>
      <c r="K124" s="10">
        <v>0</v>
      </c>
      <c r="L124" s="19"/>
      <c r="M124" s="10">
        <v>319.872</v>
      </c>
      <c r="N124" s="10"/>
      <c r="O124" s="10"/>
      <c r="P124" s="15"/>
    </row>
    <row r="125" spans="1:16" ht="12.75">
      <c r="A125" s="3">
        <v>38777</v>
      </c>
      <c r="B125" s="30"/>
      <c r="C125" s="30"/>
      <c r="D125" s="30"/>
      <c r="E125" s="30"/>
      <c r="F125" s="30"/>
      <c r="G125" s="75"/>
      <c r="H125" s="75"/>
      <c r="J125" s="10">
        <v>31</v>
      </c>
      <c r="K125" s="10">
        <v>1</v>
      </c>
      <c r="L125" s="19"/>
      <c r="M125" s="10">
        <v>368.28</v>
      </c>
      <c r="N125" s="10"/>
      <c r="O125" s="10"/>
      <c r="P125" s="15"/>
    </row>
    <row r="126" spans="1:16" ht="12.75">
      <c r="A126" s="3">
        <v>38808</v>
      </c>
      <c r="B126" s="30"/>
      <c r="C126" s="30"/>
      <c r="D126" s="30"/>
      <c r="E126" s="30"/>
      <c r="F126" s="30"/>
      <c r="G126" s="75"/>
      <c r="H126" s="75"/>
      <c r="J126" s="10">
        <v>30</v>
      </c>
      <c r="K126" s="10">
        <v>1</v>
      </c>
      <c r="L126" s="19"/>
      <c r="M126" s="10">
        <v>303.84</v>
      </c>
      <c r="N126" s="10"/>
      <c r="O126" s="10"/>
      <c r="P126" s="15"/>
    </row>
    <row r="127" spans="1:16" ht="12.75">
      <c r="A127" s="3">
        <v>38838</v>
      </c>
      <c r="B127" s="30"/>
      <c r="C127" s="30"/>
      <c r="D127" s="30"/>
      <c r="E127" s="30"/>
      <c r="F127" s="30"/>
      <c r="G127" s="75"/>
      <c r="H127" s="75"/>
      <c r="J127" s="10">
        <v>31</v>
      </c>
      <c r="K127" s="10">
        <v>1</v>
      </c>
      <c r="L127" s="19"/>
      <c r="M127" s="10">
        <v>351.912</v>
      </c>
      <c r="N127" s="10"/>
      <c r="O127" s="10"/>
      <c r="P127" s="15"/>
    </row>
    <row r="128" spans="1:16" ht="12.75">
      <c r="A128" s="3">
        <v>38869</v>
      </c>
      <c r="B128" s="30"/>
      <c r="C128" s="30"/>
      <c r="D128" s="30"/>
      <c r="E128" s="30"/>
      <c r="F128" s="30"/>
      <c r="G128" s="75"/>
      <c r="H128" s="75"/>
      <c r="J128" s="10">
        <v>30</v>
      </c>
      <c r="K128" s="10">
        <v>0</v>
      </c>
      <c r="L128" s="19"/>
      <c r="M128" s="10">
        <v>352.08</v>
      </c>
      <c r="N128" s="10"/>
      <c r="O128" s="10"/>
      <c r="P128" s="15"/>
    </row>
    <row r="129" spans="1:16" ht="12.75">
      <c r="A129" s="3">
        <v>38899</v>
      </c>
      <c r="B129" s="30"/>
      <c r="C129" s="30"/>
      <c r="D129" s="30"/>
      <c r="E129" s="30"/>
      <c r="F129" s="30"/>
      <c r="G129" s="75"/>
      <c r="H129" s="75"/>
      <c r="J129" s="10">
        <v>31</v>
      </c>
      <c r="K129" s="10">
        <v>0</v>
      </c>
      <c r="L129" s="19"/>
      <c r="M129" s="10">
        <v>319.92</v>
      </c>
      <c r="N129" s="10"/>
      <c r="O129" s="10"/>
      <c r="P129" s="15"/>
    </row>
    <row r="130" spans="1:16" ht="12.75">
      <c r="A130" s="3">
        <v>38930</v>
      </c>
      <c r="B130" s="30"/>
      <c r="C130" s="30"/>
      <c r="D130" s="30"/>
      <c r="E130" s="30"/>
      <c r="F130" s="30"/>
      <c r="G130" s="75"/>
      <c r="H130" s="75"/>
      <c r="J130" s="10">
        <v>31</v>
      </c>
      <c r="K130" s="10">
        <v>0</v>
      </c>
      <c r="L130" s="19"/>
      <c r="M130" s="10">
        <v>351.912</v>
      </c>
      <c r="N130" s="10"/>
      <c r="O130" s="10"/>
      <c r="P130" s="15"/>
    </row>
    <row r="131" spans="1:16" ht="12.75">
      <c r="A131" s="3">
        <v>38961</v>
      </c>
      <c r="B131" s="30"/>
      <c r="C131" s="30"/>
      <c r="D131" s="30"/>
      <c r="E131" s="30"/>
      <c r="F131" s="30"/>
      <c r="G131" s="75"/>
      <c r="H131" s="75"/>
      <c r="J131" s="10">
        <v>30</v>
      </c>
      <c r="K131" s="10">
        <v>1</v>
      </c>
      <c r="L131" s="19"/>
      <c r="M131" s="10">
        <v>319.68</v>
      </c>
      <c r="N131" s="10"/>
      <c r="O131" s="10"/>
      <c r="P131" s="15"/>
    </row>
    <row r="132" spans="1:16" ht="12.75">
      <c r="A132" s="3">
        <v>38991</v>
      </c>
      <c r="B132" s="30"/>
      <c r="C132" s="30"/>
      <c r="D132" s="30"/>
      <c r="E132" s="30"/>
      <c r="F132" s="30"/>
      <c r="G132" s="75"/>
      <c r="H132" s="75"/>
      <c r="J132" s="10">
        <v>31</v>
      </c>
      <c r="K132" s="10">
        <v>1</v>
      </c>
      <c r="L132" s="19"/>
      <c r="M132" s="10">
        <v>336.288</v>
      </c>
      <c r="N132" s="10"/>
      <c r="O132" s="10"/>
      <c r="P132" s="15"/>
    </row>
    <row r="133" spans="1:16" ht="12.75">
      <c r="A133" s="3">
        <v>39022</v>
      </c>
      <c r="B133" s="30"/>
      <c r="C133" s="30"/>
      <c r="D133" s="30"/>
      <c r="E133" s="30"/>
      <c r="F133" s="30"/>
      <c r="G133" s="75"/>
      <c r="H133" s="75"/>
      <c r="J133" s="10">
        <v>30</v>
      </c>
      <c r="K133" s="10">
        <v>1</v>
      </c>
      <c r="L133" s="19"/>
      <c r="M133" s="10">
        <v>352.08</v>
      </c>
      <c r="N133" s="10"/>
      <c r="O133" s="10"/>
      <c r="P133" s="15"/>
    </row>
    <row r="134" spans="1:16" ht="12.75">
      <c r="A134" s="3">
        <v>39052</v>
      </c>
      <c r="B134" s="30"/>
      <c r="C134" s="30"/>
      <c r="D134" s="30"/>
      <c r="E134" s="30"/>
      <c r="F134" s="30"/>
      <c r="G134" s="75"/>
      <c r="H134" s="75"/>
      <c r="J134" s="10">
        <v>31</v>
      </c>
      <c r="K134" s="10">
        <v>0</v>
      </c>
      <c r="L134" s="19"/>
      <c r="M134" s="10">
        <v>304.296</v>
      </c>
      <c r="N134" s="10"/>
      <c r="O134" s="10"/>
      <c r="P134" s="15"/>
    </row>
    <row r="135" spans="1:31" ht="12.75">
      <c r="A135" s="3">
        <v>39083</v>
      </c>
      <c r="B135" s="30"/>
      <c r="C135" s="30"/>
      <c r="D135" s="30"/>
      <c r="E135" s="30"/>
      <c r="F135" s="30"/>
      <c r="G135" s="75"/>
      <c r="H135" s="75"/>
      <c r="J135" s="10">
        <v>31</v>
      </c>
      <c r="K135" s="10">
        <v>0</v>
      </c>
      <c r="L135" s="19"/>
      <c r="M135" s="10">
        <v>351.912</v>
      </c>
      <c r="N135" s="10"/>
      <c r="O135" s="10"/>
      <c r="P135" s="15"/>
      <c r="AC135" s="11"/>
      <c r="AD135" s="11"/>
      <c r="AE135" s="11"/>
    </row>
    <row r="136" spans="1:16" ht="12.75">
      <c r="A136" s="3">
        <v>39114</v>
      </c>
      <c r="B136" s="30"/>
      <c r="C136" s="30"/>
      <c r="D136" s="30"/>
      <c r="E136" s="30"/>
      <c r="F136" s="30"/>
      <c r="G136" s="75"/>
      <c r="H136" s="75"/>
      <c r="J136" s="10">
        <v>28</v>
      </c>
      <c r="K136" s="10">
        <v>0</v>
      </c>
      <c r="L136" s="19"/>
      <c r="M136" s="10">
        <v>319.872</v>
      </c>
      <c r="N136" s="10"/>
      <c r="O136" s="10"/>
      <c r="P136" s="15"/>
    </row>
    <row r="137" spans="1:16" ht="12.75">
      <c r="A137" s="3">
        <v>39142</v>
      </c>
      <c r="B137" s="30"/>
      <c r="C137" s="30"/>
      <c r="D137" s="30"/>
      <c r="E137" s="30"/>
      <c r="F137" s="30"/>
      <c r="G137" s="75"/>
      <c r="H137" s="75"/>
      <c r="J137" s="10">
        <v>31</v>
      </c>
      <c r="K137" s="10">
        <v>1</v>
      </c>
      <c r="L137" s="19"/>
      <c r="M137" s="10">
        <v>351.912</v>
      </c>
      <c r="N137" s="10"/>
      <c r="O137" s="10"/>
      <c r="P137" s="15"/>
    </row>
    <row r="138" spans="1:16" ht="12.75">
      <c r="A138" s="3">
        <v>39173</v>
      </c>
      <c r="B138" s="30"/>
      <c r="C138" s="30"/>
      <c r="D138" s="30"/>
      <c r="E138" s="30"/>
      <c r="F138" s="30"/>
      <c r="G138" s="75"/>
      <c r="H138" s="75"/>
      <c r="J138" s="10">
        <v>30</v>
      </c>
      <c r="K138" s="10">
        <v>1</v>
      </c>
      <c r="L138" s="19"/>
      <c r="M138" s="10">
        <v>319.68</v>
      </c>
      <c r="N138" s="10"/>
      <c r="O138" s="10"/>
      <c r="P138" s="15"/>
    </row>
    <row r="139" spans="1:16" ht="12.75">
      <c r="A139" s="3">
        <v>39203</v>
      </c>
      <c r="B139" s="30"/>
      <c r="C139" s="30"/>
      <c r="D139" s="30"/>
      <c r="E139" s="30"/>
      <c r="F139" s="30"/>
      <c r="G139" s="75"/>
      <c r="H139" s="75"/>
      <c r="J139" s="10">
        <v>31</v>
      </c>
      <c r="K139" s="10">
        <v>1</v>
      </c>
      <c r="L139" s="19"/>
      <c r="M139" s="10">
        <v>351.912</v>
      </c>
      <c r="N139" s="10"/>
      <c r="O139" s="10"/>
      <c r="P139" s="15"/>
    </row>
    <row r="140" spans="1:16" ht="12.75">
      <c r="A140" s="3">
        <v>39234</v>
      </c>
      <c r="B140" s="30"/>
      <c r="C140" s="30"/>
      <c r="D140" s="30"/>
      <c r="E140" s="30"/>
      <c r="F140" s="30"/>
      <c r="G140" s="75"/>
      <c r="H140" s="75"/>
      <c r="J140" s="10">
        <v>30</v>
      </c>
      <c r="K140" s="10">
        <v>0</v>
      </c>
      <c r="L140" s="19"/>
      <c r="M140" s="10">
        <v>336.24</v>
      </c>
      <c r="N140" s="10"/>
      <c r="O140" s="10"/>
      <c r="P140" s="15"/>
    </row>
    <row r="141" spans="1:16" ht="12.75">
      <c r="A141" s="3">
        <v>39264</v>
      </c>
      <c r="B141" s="30"/>
      <c r="C141" s="30"/>
      <c r="D141" s="30"/>
      <c r="E141" s="30"/>
      <c r="F141" s="30"/>
      <c r="G141" s="75"/>
      <c r="H141" s="75"/>
      <c r="J141" s="10">
        <v>31</v>
      </c>
      <c r="K141" s="10">
        <v>0</v>
      </c>
      <c r="L141" s="19"/>
      <c r="M141" s="10">
        <v>336.288</v>
      </c>
      <c r="N141" s="10"/>
      <c r="O141" s="10"/>
      <c r="P141" s="15"/>
    </row>
    <row r="142" spans="1:16" ht="12.75">
      <c r="A142" s="3">
        <v>39295</v>
      </c>
      <c r="B142" s="30"/>
      <c r="C142" s="30"/>
      <c r="D142" s="30"/>
      <c r="E142" s="30"/>
      <c r="F142" s="30"/>
      <c r="G142" s="75"/>
      <c r="H142" s="75"/>
      <c r="J142" s="10">
        <v>31</v>
      </c>
      <c r="K142" s="10">
        <v>0</v>
      </c>
      <c r="L142" s="19"/>
      <c r="M142" s="10">
        <v>351.912</v>
      </c>
      <c r="N142" s="10"/>
      <c r="O142" s="10"/>
      <c r="P142" s="15"/>
    </row>
    <row r="143" spans="1:16" ht="12.75">
      <c r="A143" s="3">
        <v>39326</v>
      </c>
      <c r="B143" s="30"/>
      <c r="C143" s="30"/>
      <c r="D143" s="30"/>
      <c r="E143" s="30"/>
      <c r="F143" s="30"/>
      <c r="G143" s="75"/>
      <c r="H143" s="75"/>
      <c r="J143" s="10">
        <v>30</v>
      </c>
      <c r="K143" s="10">
        <v>1</v>
      </c>
      <c r="L143" s="19"/>
      <c r="M143" s="10">
        <v>303.84</v>
      </c>
      <c r="N143" s="10"/>
      <c r="O143" s="10"/>
      <c r="P143" s="15"/>
    </row>
    <row r="144" spans="1:16" ht="12.75">
      <c r="A144" s="3">
        <v>39356</v>
      </c>
      <c r="B144" s="30"/>
      <c r="C144" s="30"/>
      <c r="D144" s="30"/>
      <c r="E144" s="30"/>
      <c r="F144" s="30"/>
      <c r="G144" s="75"/>
      <c r="H144" s="75"/>
      <c r="J144" s="10">
        <v>31</v>
      </c>
      <c r="K144" s="10">
        <v>1</v>
      </c>
      <c r="L144" s="19"/>
      <c r="M144" s="10">
        <v>351.912</v>
      </c>
      <c r="N144" s="10"/>
      <c r="O144" s="10"/>
      <c r="P144" s="15"/>
    </row>
    <row r="145" spans="1:16" ht="12.75">
      <c r="A145" s="3">
        <v>39387</v>
      </c>
      <c r="B145" s="30"/>
      <c r="C145" s="30"/>
      <c r="D145" s="30"/>
      <c r="E145" s="30"/>
      <c r="F145" s="30"/>
      <c r="G145" s="75"/>
      <c r="H145" s="75"/>
      <c r="J145" s="10">
        <v>30</v>
      </c>
      <c r="K145" s="10">
        <v>1</v>
      </c>
      <c r="L145" s="19"/>
      <c r="M145" s="10">
        <v>352.08</v>
      </c>
      <c r="N145" s="10"/>
      <c r="O145" s="10"/>
      <c r="P145" s="15"/>
    </row>
    <row r="146" spans="1:16" ht="12.75">
      <c r="A146" s="3">
        <v>39417</v>
      </c>
      <c r="B146" s="30"/>
      <c r="C146" s="30"/>
      <c r="D146" s="30"/>
      <c r="E146" s="30"/>
      <c r="F146" s="30"/>
      <c r="G146" s="75"/>
      <c r="H146" s="75"/>
      <c r="J146" s="10">
        <v>31</v>
      </c>
      <c r="K146" s="10">
        <v>0</v>
      </c>
      <c r="L146" s="19"/>
      <c r="M146" s="10">
        <v>304.296</v>
      </c>
      <c r="N146" s="10"/>
      <c r="O146" s="10"/>
      <c r="P146" s="15"/>
    </row>
    <row r="147" spans="1:14" ht="12.75">
      <c r="A147" s="3">
        <v>39448</v>
      </c>
      <c r="B147" s="19"/>
      <c r="C147" s="19"/>
      <c r="D147" s="19"/>
      <c r="E147" s="19"/>
      <c r="F147" s="30"/>
      <c r="G147" s="76"/>
      <c r="H147" s="76"/>
      <c r="I147" s="38"/>
      <c r="J147" s="10">
        <v>31</v>
      </c>
      <c r="K147" s="10">
        <v>0</v>
      </c>
      <c r="L147" s="19"/>
      <c r="M147" s="1">
        <v>352</v>
      </c>
      <c r="N147" s="10"/>
    </row>
    <row r="148" spans="1:14" ht="12.75">
      <c r="A148" s="3">
        <v>39479</v>
      </c>
      <c r="B148" s="19"/>
      <c r="C148" s="19"/>
      <c r="D148" s="19"/>
      <c r="E148" s="19"/>
      <c r="F148" s="30"/>
      <c r="G148" s="76"/>
      <c r="H148" s="76"/>
      <c r="I148" s="38"/>
      <c r="J148" s="10">
        <v>29</v>
      </c>
      <c r="K148" s="10">
        <v>0</v>
      </c>
      <c r="L148" s="19"/>
      <c r="M148" s="1">
        <v>320</v>
      </c>
      <c r="N148" s="10"/>
    </row>
    <row r="149" spans="1:14" ht="12.75">
      <c r="A149" s="3">
        <v>39508</v>
      </c>
      <c r="B149" s="19"/>
      <c r="C149" s="19"/>
      <c r="D149" s="19"/>
      <c r="E149" s="19"/>
      <c r="F149" s="30"/>
      <c r="G149" s="76"/>
      <c r="H149" s="76"/>
      <c r="I149" s="38"/>
      <c r="J149" s="10">
        <v>31</v>
      </c>
      <c r="K149" s="10">
        <v>1</v>
      </c>
      <c r="L149" s="19"/>
      <c r="M149" s="1">
        <v>304</v>
      </c>
      <c r="N149" s="10"/>
    </row>
    <row r="150" spans="1:14" ht="12.75">
      <c r="A150" s="3">
        <v>39539</v>
      </c>
      <c r="B150" s="19"/>
      <c r="C150" s="19"/>
      <c r="D150" s="19"/>
      <c r="E150" s="19"/>
      <c r="F150" s="30"/>
      <c r="G150" s="76"/>
      <c r="H150" s="76"/>
      <c r="I150" s="38"/>
      <c r="J150" s="10">
        <v>30</v>
      </c>
      <c r="K150" s="10">
        <v>1</v>
      </c>
      <c r="L150" s="19"/>
      <c r="M150" s="1">
        <v>352</v>
      </c>
      <c r="N150" s="10"/>
    </row>
    <row r="151" spans="1:14" ht="12.75">
      <c r="A151" s="3">
        <v>39569</v>
      </c>
      <c r="B151" s="19"/>
      <c r="C151" s="19"/>
      <c r="D151" s="19"/>
      <c r="E151" s="19"/>
      <c r="F151" s="30"/>
      <c r="G151" s="76"/>
      <c r="H151" s="76"/>
      <c r="I151" s="38"/>
      <c r="J151" s="10">
        <v>31</v>
      </c>
      <c r="K151" s="10">
        <v>1</v>
      </c>
      <c r="L151" s="19"/>
      <c r="M151" s="1">
        <v>336</v>
      </c>
      <c r="N151" s="10"/>
    </row>
    <row r="152" spans="1:14" ht="12.75">
      <c r="A152" s="3">
        <v>39600</v>
      </c>
      <c r="B152" s="19"/>
      <c r="C152" s="19"/>
      <c r="D152" s="19"/>
      <c r="E152" s="19"/>
      <c r="F152" s="30"/>
      <c r="G152" s="76"/>
      <c r="H152" s="76"/>
      <c r="I152" s="38"/>
      <c r="J152" s="10">
        <v>30</v>
      </c>
      <c r="K152" s="10">
        <v>0</v>
      </c>
      <c r="L152" s="19"/>
      <c r="M152" s="1">
        <v>336</v>
      </c>
      <c r="N152" s="10"/>
    </row>
    <row r="153" spans="1:14" ht="12.75">
      <c r="A153" s="3">
        <v>39630</v>
      </c>
      <c r="B153" s="19"/>
      <c r="C153" s="19"/>
      <c r="D153" s="19"/>
      <c r="E153" s="19"/>
      <c r="F153" s="30"/>
      <c r="G153" s="76"/>
      <c r="H153" s="76"/>
      <c r="I153" s="38"/>
      <c r="J153" s="10">
        <v>31</v>
      </c>
      <c r="K153" s="10">
        <v>0</v>
      </c>
      <c r="L153" s="19"/>
      <c r="M153" s="1">
        <v>352</v>
      </c>
      <c r="N153" s="10"/>
    </row>
    <row r="154" spans="1:14" ht="12.75">
      <c r="A154" s="3">
        <v>39661</v>
      </c>
      <c r="B154" s="19"/>
      <c r="C154" s="19"/>
      <c r="D154" s="19"/>
      <c r="E154" s="19"/>
      <c r="F154" s="30"/>
      <c r="G154" s="76"/>
      <c r="H154" s="76"/>
      <c r="I154" s="38"/>
      <c r="J154" s="10">
        <v>31</v>
      </c>
      <c r="K154" s="10">
        <v>0</v>
      </c>
      <c r="L154" s="19"/>
      <c r="M154" s="1">
        <v>320</v>
      </c>
      <c r="N154" s="10"/>
    </row>
    <row r="155" spans="1:14" ht="12.75">
      <c r="A155" s="3">
        <v>39692</v>
      </c>
      <c r="B155" s="19"/>
      <c r="C155" s="19"/>
      <c r="D155" s="19"/>
      <c r="E155" s="19"/>
      <c r="F155" s="30"/>
      <c r="G155" s="76"/>
      <c r="H155" s="76"/>
      <c r="I155" s="38"/>
      <c r="J155" s="10">
        <v>30</v>
      </c>
      <c r="K155" s="10">
        <v>1</v>
      </c>
      <c r="L155" s="19"/>
      <c r="M155" s="1">
        <v>336</v>
      </c>
      <c r="N155" s="10"/>
    </row>
    <row r="156" spans="1:14" ht="12.75">
      <c r="A156" s="3">
        <v>39722</v>
      </c>
      <c r="B156" s="19"/>
      <c r="C156" s="19"/>
      <c r="D156" s="19"/>
      <c r="E156" s="19"/>
      <c r="F156" s="30"/>
      <c r="G156" s="76"/>
      <c r="H156" s="76"/>
      <c r="I156" s="38"/>
      <c r="J156" s="10">
        <v>31</v>
      </c>
      <c r="K156" s="10">
        <v>1</v>
      </c>
      <c r="L156" s="19"/>
      <c r="M156" s="1">
        <v>352</v>
      </c>
      <c r="N156" s="10"/>
    </row>
    <row r="157" spans="1:14" ht="12.75">
      <c r="A157" s="3">
        <v>39753</v>
      </c>
      <c r="B157" s="19"/>
      <c r="C157" s="19"/>
      <c r="D157" s="19"/>
      <c r="E157" s="19"/>
      <c r="F157" s="30"/>
      <c r="G157" s="78"/>
      <c r="H157" s="78"/>
      <c r="I157" s="38"/>
      <c r="J157" s="10">
        <v>30</v>
      </c>
      <c r="K157" s="10">
        <v>1</v>
      </c>
      <c r="L157" s="19"/>
      <c r="M157" s="1">
        <v>304</v>
      </c>
      <c r="N157" s="10"/>
    </row>
    <row r="158" spans="1:14" ht="12.75">
      <c r="A158" s="3">
        <v>39783</v>
      </c>
      <c r="B158" s="19"/>
      <c r="C158" s="19"/>
      <c r="D158" s="19"/>
      <c r="E158" s="19"/>
      <c r="F158" s="30"/>
      <c r="G158" s="78"/>
      <c r="H158" s="78"/>
      <c r="I158" s="38"/>
      <c r="J158" s="10">
        <v>31</v>
      </c>
      <c r="K158" s="10">
        <v>0</v>
      </c>
      <c r="L158" s="19"/>
      <c r="M158" s="1">
        <v>336</v>
      </c>
      <c r="N158" s="10"/>
    </row>
    <row r="159" spans="1:14" ht="12.75">
      <c r="A159" s="3">
        <v>39814</v>
      </c>
      <c r="B159" s="30"/>
      <c r="C159" s="30"/>
      <c r="D159" s="30"/>
      <c r="E159" s="30"/>
      <c r="F159" s="30"/>
      <c r="G159" s="78"/>
      <c r="H159" s="78"/>
      <c r="I159" s="38"/>
      <c r="J159" s="10">
        <v>31</v>
      </c>
      <c r="K159" s="10">
        <v>0</v>
      </c>
      <c r="L159" s="19"/>
      <c r="M159" s="1">
        <v>336</v>
      </c>
      <c r="N159" s="10"/>
    </row>
    <row r="160" spans="1:14" ht="12.75">
      <c r="A160" s="3">
        <v>39845</v>
      </c>
      <c r="B160" s="30"/>
      <c r="C160" s="30"/>
      <c r="D160" s="30"/>
      <c r="E160" s="30"/>
      <c r="F160" s="30"/>
      <c r="G160" s="78"/>
      <c r="H160" s="78"/>
      <c r="I160" s="38"/>
      <c r="J160" s="10">
        <v>28</v>
      </c>
      <c r="K160" s="10">
        <v>0</v>
      </c>
      <c r="L160" s="19"/>
      <c r="M160" s="1">
        <v>304</v>
      </c>
      <c r="N160" s="10"/>
    </row>
    <row r="161" spans="1:14" ht="12.75">
      <c r="A161" s="3">
        <v>39873</v>
      </c>
      <c r="B161" s="30"/>
      <c r="C161" s="30"/>
      <c r="D161" s="30"/>
      <c r="E161" s="30"/>
      <c r="F161" s="30"/>
      <c r="G161" s="78"/>
      <c r="H161" s="78"/>
      <c r="I161" s="38"/>
      <c r="J161" s="10">
        <v>31</v>
      </c>
      <c r="K161" s="10">
        <v>1</v>
      </c>
      <c r="L161" s="19"/>
      <c r="M161" s="1">
        <v>352</v>
      </c>
      <c r="N161" s="10"/>
    </row>
    <row r="162" spans="1:14" ht="12.75">
      <c r="A162" s="3">
        <v>39904</v>
      </c>
      <c r="B162" s="30"/>
      <c r="C162" s="30"/>
      <c r="D162" s="30"/>
      <c r="E162" s="30"/>
      <c r="F162" s="30"/>
      <c r="G162" s="78"/>
      <c r="H162" s="78"/>
      <c r="I162" s="38"/>
      <c r="J162" s="10">
        <v>30</v>
      </c>
      <c r="K162" s="10">
        <v>1</v>
      </c>
      <c r="L162" s="19"/>
      <c r="M162" s="1">
        <v>320</v>
      </c>
      <c r="N162" s="10"/>
    </row>
    <row r="163" spans="1:14" ht="12.75">
      <c r="A163" s="3">
        <v>39934</v>
      </c>
      <c r="B163" s="30"/>
      <c r="C163" s="30"/>
      <c r="D163" s="30"/>
      <c r="E163" s="30"/>
      <c r="F163" s="30"/>
      <c r="G163" s="78"/>
      <c r="H163" s="78"/>
      <c r="I163" s="38"/>
      <c r="J163" s="10">
        <v>31</v>
      </c>
      <c r="K163" s="10">
        <v>1</v>
      </c>
      <c r="L163" s="19"/>
      <c r="M163" s="1">
        <v>320</v>
      </c>
      <c r="N163" s="10"/>
    </row>
    <row r="164" spans="1:14" ht="12.75">
      <c r="A164" s="3">
        <v>39965</v>
      </c>
      <c r="B164" s="30"/>
      <c r="C164" s="30"/>
      <c r="D164" s="30"/>
      <c r="E164" s="30"/>
      <c r="F164" s="30"/>
      <c r="G164" s="78"/>
      <c r="H164" s="78"/>
      <c r="I164" s="38"/>
      <c r="J164" s="10">
        <v>30</v>
      </c>
      <c r="K164" s="10">
        <v>0</v>
      </c>
      <c r="L164" s="19"/>
      <c r="M164" s="1">
        <v>352</v>
      </c>
      <c r="N164" s="10"/>
    </row>
    <row r="165" spans="1:14" ht="12.75">
      <c r="A165" s="3">
        <v>39995</v>
      </c>
      <c r="B165" s="30"/>
      <c r="C165" s="30"/>
      <c r="D165" s="30"/>
      <c r="E165" s="30"/>
      <c r="F165" s="30"/>
      <c r="G165" s="78"/>
      <c r="H165" s="78"/>
      <c r="I165" s="38"/>
      <c r="J165" s="10">
        <v>31</v>
      </c>
      <c r="K165" s="10">
        <v>0</v>
      </c>
      <c r="L165" s="19"/>
      <c r="M165" s="1">
        <v>352</v>
      </c>
      <c r="N165" s="10"/>
    </row>
    <row r="166" spans="1:14" ht="12.75">
      <c r="A166" s="3">
        <v>40026</v>
      </c>
      <c r="B166" s="30"/>
      <c r="C166" s="30"/>
      <c r="D166" s="30"/>
      <c r="E166" s="30"/>
      <c r="F166" s="30"/>
      <c r="G166" s="78"/>
      <c r="H166" s="78"/>
      <c r="I166" s="38"/>
      <c r="J166" s="10">
        <v>31</v>
      </c>
      <c r="K166" s="10">
        <v>0</v>
      </c>
      <c r="L166" s="19"/>
      <c r="M166" s="1">
        <v>320</v>
      </c>
      <c r="N166" s="10"/>
    </row>
    <row r="167" spans="1:14" ht="12.75">
      <c r="A167" s="3">
        <v>40057</v>
      </c>
      <c r="B167" s="30"/>
      <c r="C167" s="30"/>
      <c r="D167" s="30"/>
      <c r="E167" s="30"/>
      <c r="F167" s="30"/>
      <c r="G167" s="78"/>
      <c r="H167" s="78"/>
      <c r="I167" s="38"/>
      <c r="J167" s="10">
        <v>30</v>
      </c>
      <c r="K167" s="10">
        <v>1</v>
      </c>
      <c r="L167" s="19"/>
      <c r="M167" s="1">
        <v>336</v>
      </c>
      <c r="N167" s="10"/>
    </row>
    <row r="168" spans="1:14" ht="12.75">
      <c r="A168" s="3">
        <v>40087</v>
      </c>
      <c r="B168" s="30"/>
      <c r="C168" s="30"/>
      <c r="D168" s="30"/>
      <c r="E168" s="30"/>
      <c r="F168" s="30"/>
      <c r="G168" s="78"/>
      <c r="H168" s="78"/>
      <c r="I168" s="38"/>
      <c r="J168" s="10">
        <v>31</v>
      </c>
      <c r="K168" s="10">
        <v>1</v>
      </c>
      <c r="L168" s="19"/>
      <c r="M168" s="1">
        <v>336</v>
      </c>
      <c r="N168" s="10"/>
    </row>
    <row r="169" spans="1:14" ht="12.75">
      <c r="A169" s="3">
        <v>40118</v>
      </c>
      <c r="B169" s="30"/>
      <c r="C169" s="30"/>
      <c r="D169" s="30"/>
      <c r="E169" s="30"/>
      <c r="F169" s="30"/>
      <c r="G169" s="78"/>
      <c r="H169" s="78"/>
      <c r="I169" s="38"/>
      <c r="J169" s="10">
        <v>30</v>
      </c>
      <c r="K169" s="10">
        <v>1</v>
      </c>
      <c r="L169" s="19"/>
      <c r="M169" s="1">
        <v>320</v>
      </c>
      <c r="N169" s="10"/>
    </row>
    <row r="170" spans="1:15" ht="12.75">
      <c r="A170" s="3">
        <v>40148</v>
      </c>
      <c r="B170" s="30"/>
      <c r="C170" s="30"/>
      <c r="D170" s="30"/>
      <c r="E170" s="30"/>
      <c r="F170" s="30"/>
      <c r="G170" s="78"/>
      <c r="H170" s="78"/>
      <c r="I170" s="38"/>
      <c r="J170" s="19">
        <v>31</v>
      </c>
      <c r="K170" s="19">
        <v>0</v>
      </c>
      <c r="L170" s="19"/>
      <c r="M170" s="26">
        <v>352</v>
      </c>
      <c r="N170" s="19"/>
      <c r="O170" s="57"/>
    </row>
    <row r="171" spans="1:14" ht="12.75">
      <c r="A171" s="3">
        <v>40179</v>
      </c>
      <c r="B171" s="30"/>
      <c r="C171" s="30"/>
      <c r="D171" s="30"/>
      <c r="E171" s="30"/>
      <c r="F171" s="30"/>
      <c r="G171" s="78"/>
      <c r="H171" s="78"/>
      <c r="I171" s="38"/>
      <c r="J171" s="19">
        <v>31</v>
      </c>
      <c r="K171" s="19">
        <v>0</v>
      </c>
      <c r="L171" s="19"/>
      <c r="M171" s="26">
        <v>320</v>
      </c>
      <c r="N171" s="19"/>
    </row>
    <row r="172" spans="1:14" ht="12.75">
      <c r="A172" s="3">
        <v>40210</v>
      </c>
      <c r="B172" s="30"/>
      <c r="C172" s="30"/>
      <c r="D172" s="30"/>
      <c r="E172" s="30"/>
      <c r="F172" s="30"/>
      <c r="G172" s="78"/>
      <c r="H172" s="78"/>
      <c r="I172" s="38"/>
      <c r="J172" s="19">
        <v>28</v>
      </c>
      <c r="K172" s="19">
        <v>0</v>
      </c>
      <c r="L172" s="19"/>
      <c r="M172" s="26">
        <v>304</v>
      </c>
      <c r="N172" s="19"/>
    </row>
    <row r="173" spans="1:14" ht="12.75">
      <c r="A173" s="3">
        <v>40238</v>
      </c>
      <c r="B173" s="30"/>
      <c r="C173" s="30"/>
      <c r="D173" s="30"/>
      <c r="E173" s="30"/>
      <c r="F173" s="30"/>
      <c r="G173" s="78"/>
      <c r="H173" s="78"/>
      <c r="I173" s="38"/>
      <c r="J173" s="19">
        <v>31</v>
      </c>
      <c r="K173" s="19">
        <v>1</v>
      </c>
      <c r="L173" s="19"/>
      <c r="M173" s="26">
        <v>368</v>
      </c>
      <c r="N173" s="19"/>
    </row>
    <row r="174" spans="1:14" ht="12.75">
      <c r="A174" s="3">
        <v>40269</v>
      </c>
      <c r="B174" s="30"/>
      <c r="C174" s="30"/>
      <c r="D174" s="30"/>
      <c r="E174" s="30"/>
      <c r="F174" s="30"/>
      <c r="G174" s="78"/>
      <c r="H174" s="78"/>
      <c r="I174" s="38"/>
      <c r="J174" s="19">
        <v>30</v>
      </c>
      <c r="K174" s="19">
        <v>1</v>
      </c>
      <c r="L174" s="19"/>
      <c r="M174" s="26">
        <v>320</v>
      </c>
      <c r="N174" s="19"/>
    </row>
    <row r="175" spans="1:14" ht="12.75">
      <c r="A175" s="3">
        <v>40299</v>
      </c>
      <c r="B175" s="30"/>
      <c r="C175" s="30"/>
      <c r="D175" s="30"/>
      <c r="E175" s="30"/>
      <c r="F175" s="30"/>
      <c r="G175" s="78"/>
      <c r="H175" s="78"/>
      <c r="I175" s="38"/>
      <c r="J175" s="19">
        <v>31</v>
      </c>
      <c r="K175" s="19">
        <v>1</v>
      </c>
      <c r="L175" s="19"/>
      <c r="M175" s="26">
        <v>320</v>
      </c>
      <c r="N175" s="19"/>
    </row>
    <row r="176" spans="1:14" ht="12.75">
      <c r="A176" s="3">
        <v>40330</v>
      </c>
      <c r="B176" s="30"/>
      <c r="C176" s="30"/>
      <c r="D176" s="30"/>
      <c r="E176" s="30"/>
      <c r="F176" s="30"/>
      <c r="G176" s="78"/>
      <c r="H176" s="78"/>
      <c r="I176" s="38"/>
      <c r="J176" s="19">
        <v>30</v>
      </c>
      <c r="K176" s="19">
        <v>0</v>
      </c>
      <c r="L176" s="19"/>
      <c r="M176" s="26">
        <v>352</v>
      </c>
      <c r="N176" s="19"/>
    </row>
    <row r="177" spans="1:14" ht="12.75">
      <c r="A177" s="3">
        <v>40360</v>
      </c>
      <c r="B177" s="30"/>
      <c r="C177" s="30"/>
      <c r="D177" s="30"/>
      <c r="E177" s="30"/>
      <c r="F177" s="30"/>
      <c r="G177" s="78"/>
      <c r="H177" s="78"/>
      <c r="I177" s="38"/>
      <c r="J177" s="19">
        <v>31</v>
      </c>
      <c r="K177" s="19">
        <v>0</v>
      </c>
      <c r="L177" s="19"/>
      <c r="M177" s="26">
        <v>336</v>
      </c>
      <c r="N177" s="19"/>
    </row>
    <row r="178" spans="1:14" ht="12.75">
      <c r="A178" s="3">
        <v>40391</v>
      </c>
      <c r="B178" s="30"/>
      <c r="C178" s="30"/>
      <c r="D178" s="30"/>
      <c r="E178" s="30"/>
      <c r="F178" s="30"/>
      <c r="G178" s="78"/>
      <c r="H178" s="78"/>
      <c r="I178" s="38"/>
      <c r="J178" s="19">
        <v>31</v>
      </c>
      <c r="K178" s="19">
        <v>0</v>
      </c>
      <c r="L178" s="19"/>
      <c r="M178" s="26">
        <v>336</v>
      </c>
      <c r="N178" s="19"/>
    </row>
    <row r="179" spans="1:14" ht="12.75">
      <c r="A179" s="3">
        <v>40422</v>
      </c>
      <c r="B179" s="30"/>
      <c r="C179" s="30"/>
      <c r="D179" s="30"/>
      <c r="E179" s="30"/>
      <c r="F179" s="30"/>
      <c r="G179" s="78"/>
      <c r="H179" s="78"/>
      <c r="I179" s="38"/>
      <c r="J179" s="19">
        <v>30</v>
      </c>
      <c r="K179" s="19">
        <v>1</v>
      </c>
      <c r="L179" s="19"/>
      <c r="M179" s="26">
        <v>336</v>
      </c>
      <c r="N179" s="19"/>
    </row>
    <row r="180" spans="1:14" ht="12.75">
      <c r="A180" s="3">
        <v>40452</v>
      </c>
      <c r="B180" s="30"/>
      <c r="C180" s="30"/>
      <c r="D180" s="30"/>
      <c r="E180" s="30"/>
      <c r="F180" s="30"/>
      <c r="G180" s="78"/>
      <c r="H180" s="78"/>
      <c r="I180" s="38"/>
      <c r="J180" s="19">
        <v>31</v>
      </c>
      <c r="K180" s="19">
        <v>1</v>
      </c>
      <c r="L180" s="19"/>
      <c r="M180" s="26">
        <v>320</v>
      </c>
      <c r="N180" s="19"/>
    </row>
    <row r="181" spans="1:14" ht="12.75">
      <c r="A181" s="3">
        <v>40483</v>
      </c>
      <c r="B181" s="30"/>
      <c r="C181" s="30"/>
      <c r="D181" s="30"/>
      <c r="E181" s="30"/>
      <c r="F181" s="30"/>
      <c r="G181" s="78"/>
      <c r="H181" s="78"/>
      <c r="I181" s="38"/>
      <c r="J181" s="19">
        <v>30</v>
      </c>
      <c r="K181" s="19">
        <v>1</v>
      </c>
      <c r="L181" s="19"/>
      <c r="M181" s="26">
        <v>336</v>
      </c>
      <c r="N181" s="19"/>
    </row>
    <row r="182" spans="1:14" ht="12.75">
      <c r="A182" s="3">
        <v>40513</v>
      </c>
      <c r="B182" s="30"/>
      <c r="C182" s="30"/>
      <c r="D182" s="30"/>
      <c r="E182" s="30"/>
      <c r="F182" s="30"/>
      <c r="G182" s="78"/>
      <c r="H182" s="78"/>
      <c r="I182" s="38"/>
      <c r="J182" s="19">
        <v>31</v>
      </c>
      <c r="K182" s="19">
        <v>0</v>
      </c>
      <c r="L182" s="19"/>
      <c r="M182" s="26">
        <v>368</v>
      </c>
      <c r="N182" s="19"/>
    </row>
    <row r="183" spans="1:14" ht="12.75">
      <c r="A183" s="3">
        <v>40544</v>
      </c>
      <c r="B183" s="30"/>
      <c r="C183" s="30"/>
      <c r="D183" s="30"/>
      <c r="E183" s="30"/>
      <c r="F183" s="30"/>
      <c r="G183" s="78"/>
      <c r="H183" s="78"/>
      <c r="I183" s="38"/>
      <c r="J183" s="19">
        <v>31</v>
      </c>
      <c r="K183" s="19">
        <v>0</v>
      </c>
      <c r="L183" s="19"/>
      <c r="M183" s="26">
        <v>320</v>
      </c>
      <c r="N183" s="19"/>
    </row>
    <row r="184" spans="1:14" ht="12.75">
      <c r="A184" s="3">
        <v>40575</v>
      </c>
      <c r="B184" s="30"/>
      <c r="C184" s="30"/>
      <c r="D184" s="30"/>
      <c r="E184" s="30"/>
      <c r="F184" s="30"/>
      <c r="G184" s="78"/>
      <c r="H184" s="78"/>
      <c r="I184" s="38"/>
      <c r="J184" s="19">
        <v>28</v>
      </c>
      <c r="K184" s="19">
        <v>0</v>
      </c>
      <c r="L184" s="19"/>
      <c r="M184" s="26">
        <v>304</v>
      </c>
      <c r="N184" s="19"/>
    </row>
    <row r="185" spans="1:14" ht="12.75">
      <c r="A185" s="3">
        <v>40603</v>
      </c>
      <c r="B185" s="30"/>
      <c r="C185" s="30"/>
      <c r="D185" s="30"/>
      <c r="E185" s="30"/>
      <c r="F185" s="30"/>
      <c r="G185" s="78"/>
      <c r="H185" s="78"/>
      <c r="I185" s="38"/>
      <c r="J185" s="19">
        <v>31</v>
      </c>
      <c r="K185" s="19">
        <v>1</v>
      </c>
      <c r="L185" s="19"/>
      <c r="M185" s="26">
        <v>368</v>
      </c>
      <c r="N185" s="19"/>
    </row>
    <row r="186" spans="1:14" ht="12.75">
      <c r="A186" s="3">
        <v>40634</v>
      </c>
      <c r="B186" s="30"/>
      <c r="C186" s="30"/>
      <c r="D186" s="30"/>
      <c r="E186" s="30"/>
      <c r="F186" s="30"/>
      <c r="G186" s="78"/>
      <c r="H186" s="78"/>
      <c r="I186" s="38"/>
      <c r="J186" s="19">
        <v>30</v>
      </c>
      <c r="K186" s="19">
        <v>1</v>
      </c>
      <c r="L186" s="19"/>
      <c r="M186" s="26">
        <v>320</v>
      </c>
      <c r="N186" s="19"/>
    </row>
    <row r="187" spans="1:14" ht="12.75">
      <c r="A187" s="3">
        <v>40664</v>
      </c>
      <c r="B187" s="30"/>
      <c r="C187" s="30"/>
      <c r="D187" s="30"/>
      <c r="E187" s="30"/>
      <c r="F187" s="30"/>
      <c r="G187" s="78"/>
      <c r="H187" s="78"/>
      <c r="I187" s="38"/>
      <c r="J187" s="19">
        <v>31</v>
      </c>
      <c r="K187" s="19">
        <v>1</v>
      </c>
      <c r="L187" s="19"/>
      <c r="M187" s="26">
        <v>320</v>
      </c>
      <c r="N187" s="19"/>
    </row>
    <row r="188" spans="1:14" ht="12.75">
      <c r="A188" s="3">
        <v>40695</v>
      </c>
      <c r="B188" s="30"/>
      <c r="C188" s="30"/>
      <c r="D188" s="30"/>
      <c r="E188" s="30"/>
      <c r="F188" s="30"/>
      <c r="G188" s="78"/>
      <c r="H188" s="78"/>
      <c r="I188" s="38"/>
      <c r="J188" s="19">
        <v>30</v>
      </c>
      <c r="K188" s="19">
        <v>0</v>
      </c>
      <c r="L188" s="19"/>
      <c r="M188" s="26">
        <v>352</v>
      </c>
      <c r="N188" s="19"/>
    </row>
    <row r="189" spans="1:14" ht="12.75">
      <c r="A189" s="3">
        <v>40725</v>
      </c>
      <c r="B189" s="30"/>
      <c r="C189" s="30"/>
      <c r="D189" s="30"/>
      <c r="E189" s="30"/>
      <c r="F189" s="30"/>
      <c r="G189" s="78"/>
      <c r="H189" s="78"/>
      <c r="I189" s="38"/>
      <c r="J189" s="19">
        <v>31</v>
      </c>
      <c r="K189" s="19">
        <v>0</v>
      </c>
      <c r="L189" s="19"/>
      <c r="M189" s="26">
        <v>336</v>
      </c>
      <c r="N189" s="19"/>
    </row>
    <row r="190" spans="1:14" ht="12.75">
      <c r="A190" s="3">
        <v>40756</v>
      </c>
      <c r="B190" s="30"/>
      <c r="C190" s="30"/>
      <c r="D190" s="30"/>
      <c r="E190" s="30"/>
      <c r="F190" s="30"/>
      <c r="G190" s="78"/>
      <c r="H190" s="78"/>
      <c r="I190" s="38"/>
      <c r="J190" s="19">
        <v>31</v>
      </c>
      <c r="K190" s="19">
        <v>0</v>
      </c>
      <c r="L190" s="19"/>
      <c r="M190" s="26">
        <v>336</v>
      </c>
      <c r="N190" s="19"/>
    </row>
    <row r="191" spans="1:14" ht="12.75">
      <c r="A191" s="3">
        <v>40787</v>
      </c>
      <c r="B191" s="30"/>
      <c r="C191" s="30"/>
      <c r="D191" s="30"/>
      <c r="E191" s="30"/>
      <c r="F191" s="30"/>
      <c r="G191" s="78"/>
      <c r="H191" s="78"/>
      <c r="I191" s="38"/>
      <c r="J191" s="19">
        <v>30</v>
      </c>
      <c r="K191" s="19">
        <v>1</v>
      </c>
      <c r="L191" s="19"/>
      <c r="M191" s="26">
        <v>336</v>
      </c>
      <c r="N191" s="19"/>
    </row>
    <row r="192" spans="1:14" ht="12.75">
      <c r="A192" s="3">
        <v>40817</v>
      </c>
      <c r="B192" s="30"/>
      <c r="C192" s="30"/>
      <c r="D192" s="30"/>
      <c r="E192" s="30"/>
      <c r="F192" s="30"/>
      <c r="G192" s="78"/>
      <c r="H192" s="78"/>
      <c r="I192" s="38"/>
      <c r="J192" s="19">
        <v>31</v>
      </c>
      <c r="K192" s="19">
        <v>1</v>
      </c>
      <c r="L192" s="19"/>
      <c r="M192" s="26">
        <v>320</v>
      </c>
      <c r="N192" s="19"/>
    </row>
    <row r="193" spans="1:14" ht="12.75">
      <c r="A193" s="3">
        <v>40848</v>
      </c>
      <c r="B193" s="30"/>
      <c r="C193" s="30"/>
      <c r="D193" s="30"/>
      <c r="E193" s="30"/>
      <c r="F193" s="30"/>
      <c r="G193" s="78"/>
      <c r="H193" s="78"/>
      <c r="I193" s="38"/>
      <c r="J193" s="19">
        <v>30</v>
      </c>
      <c r="K193" s="19">
        <v>1</v>
      </c>
      <c r="L193" s="19"/>
      <c r="M193" s="26">
        <v>336</v>
      </c>
      <c r="N193" s="19"/>
    </row>
    <row r="194" spans="1:14" ht="12.75">
      <c r="A194" s="3">
        <v>40878</v>
      </c>
      <c r="B194" s="30"/>
      <c r="C194" s="30"/>
      <c r="D194" s="30"/>
      <c r="E194" s="30"/>
      <c r="F194" s="30"/>
      <c r="G194" s="78"/>
      <c r="H194" s="78"/>
      <c r="I194" s="38"/>
      <c r="J194" s="19">
        <v>31</v>
      </c>
      <c r="K194" s="19">
        <v>0</v>
      </c>
      <c r="L194" s="19"/>
      <c r="M194" s="26">
        <v>368</v>
      </c>
      <c r="N194" s="19"/>
    </row>
    <row r="195" spans="1:14" ht="12.75">
      <c r="A195" s="3"/>
      <c r="B195" s="30"/>
      <c r="C195" s="97"/>
      <c r="D195" s="97"/>
      <c r="E195" s="97"/>
      <c r="F195" s="97"/>
      <c r="G195" s="26"/>
      <c r="H195" s="26"/>
      <c r="I195" s="40"/>
      <c r="J195" s="26"/>
      <c r="K195" s="26"/>
      <c r="M195" s="26"/>
      <c r="N195" s="26"/>
    </row>
    <row r="196" spans="1:14" ht="13.5" thickBot="1">
      <c r="A196" s="3"/>
      <c r="B196" s="74">
        <f>SUM(B3:B195)</f>
        <v>0</v>
      </c>
      <c r="C196" s="74">
        <f>SUM(C3:C195)</f>
        <v>0</v>
      </c>
      <c r="D196" s="74"/>
      <c r="E196" s="74"/>
      <c r="F196" s="74">
        <f>SUM(F3:F195)</f>
        <v>0</v>
      </c>
      <c r="G196" s="26"/>
      <c r="N196" s="57"/>
    </row>
    <row r="197" spans="1:6" ht="12.75">
      <c r="A197" s="3"/>
      <c r="F197" s="73">
        <f>+B196-C196-F196</f>
        <v>0</v>
      </c>
    </row>
    <row r="198" spans="1:16" ht="12.75">
      <c r="A198">
        <v>1996</v>
      </c>
      <c r="B198" s="6">
        <f>SUM(B3:B14)</f>
        <v>0</v>
      </c>
      <c r="C198" s="6">
        <f>SUM(C3:C14)</f>
        <v>0</v>
      </c>
      <c r="D198" s="6">
        <f>SUM(D3:D14)</f>
        <v>0</v>
      </c>
      <c r="E198" s="6">
        <f>SUM(E3:E14)</f>
        <v>0</v>
      </c>
      <c r="F198" s="6">
        <f>SUM(F3:F14)</f>
        <v>0</v>
      </c>
      <c r="N198" s="30"/>
      <c r="O198" s="42"/>
      <c r="P198" s="5"/>
    </row>
    <row r="199" spans="1:16" ht="12.75">
      <c r="A199" s="18">
        <v>1997</v>
      </c>
      <c r="B199" s="6">
        <f>SUM(B15:B26)</f>
        <v>0</v>
      </c>
      <c r="C199" s="6">
        <f>SUM(C15:C26)</f>
        <v>0</v>
      </c>
      <c r="D199" s="6">
        <f>SUM(D15:D26)</f>
        <v>0</v>
      </c>
      <c r="E199" s="6">
        <f>SUM(E15:E26)</f>
        <v>0</v>
      </c>
      <c r="F199" s="6">
        <f>SUM(F15:F26)</f>
        <v>0</v>
      </c>
      <c r="N199" s="6"/>
      <c r="O199" s="42"/>
      <c r="P199" s="5"/>
    </row>
    <row r="200" spans="1:16" ht="12.75">
      <c r="A200">
        <v>1998</v>
      </c>
      <c r="B200" s="6">
        <f>SUM(B27:B38)</f>
        <v>0</v>
      </c>
      <c r="C200" s="6">
        <f>SUM(C27:C38)</f>
        <v>0</v>
      </c>
      <c r="D200" s="6">
        <f>SUM(D27:D38)</f>
        <v>0</v>
      </c>
      <c r="E200" s="6">
        <f>SUM(E27:E38)</f>
        <v>0</v>
      </c>
      <c r="F200" s="6">
        <f>SUM(F27:F38)</f>
        <v>0</v>
      </c>
      <c r="G200" s="89"/>
      <c r="N200" s="6"/>
      <c r="O200" s="42"/>
      <c r="P200" s="5"/>
    </row>
    <row r="201" spans="1:16" ht="12.75">
      <c r="A201" s="18">
        <v>1999</v>
      </c>
      <c r="B201" s="6">
        <f>SUM(B39:B50)</f>
        <v>0</v>
      </c>
      <c r="C201" s="6">
        <f>SUM(C39:C50)</f>
        <v>0</v>
      </c>
      <c r="D201" s="6">
        <f>SUM(D39:D50)</f>
        <v>0</v>
      </c>
      <c r="E201" s="6">
        <f>SUM(E39:E50)</f>
        <v>0</v>
      </c>
      <c r="F201" s="6">
        <f>SUM(F39:F50)</f>
        <v>0</v>
      </c>
      <c r="N201" s="6"/>
      <c r="O201" s="42"/>
      <c r="P201" s="5"/>
    </row>
    <row r="202" spans="1:16" ht="12.75">
      <c r="A202">
        <v>2000</v>
      </c>
      <c r="B202" s="6">
        <f>SUM(B51:B62)</f>
        <v>0</v>
      </c>
      <c r="C202" s="6">
        <f>SUM(C51:C62)</f>
        <v>0</v>
      </c>
      <c r="D202" s="6">
        <f>SUM(D51:D62)</f>
        <v>0</v>
      </c>
      <c r="E202" s="6">
        <f>SUM(E51:E62)</f>
        <v>0</v>
      </c>
      <c r="F202" s="6">
        <f>SUM(F51:F62)</f>
        <v>0</v>
      </c>
      <c r="N202" s="6"/>
      <c r="O202" s="42"/>
      <c r="P202" s="5"/>
    </row>
    <row r="203" spans="1:16" ht="12.75">
      <c r="A203" s="18">
        <v>2001</v>
      </c>
      <c r="B203" s="6">
        <f>SUM(B63:B74)</f>
        <v>0</v>
      </c>
      <c r="C203" s="6">
        <f>SUM(C63:C74)</f>
        <v>0</v>
      </c>
      <c r="D203" s="6">
        <f>SUM(D63:D74)</f>
        <v>0</v>
      </c>
      <c r="E203" s="6">
        <f>SUM(E63:E74)</f>
        <v>0</v>
      </c>
      <c r="F203" s="6">
        <f>SUM(F63:F74)</f>
        <v>0</v>
      </c>
      <c r="N203" s="6"/>
      <c r="O203" s="42"/>
      <c r="P203" s="5"/>
    </row>
    <row r="204" spans="1:16" ht="12.75">
      <c r="A204">
        <v>2002</v>
      </c>
      <c r="B204" s="6">
        <f>SUM(B75:B86)</f>
        <v>0</v>
      </c>
      <c r="C204" s="6">
        <f>SUM(C75:C86)</f>
        <v>0</v>
      </c>
      <c r="D204" s="6">
        <f>SUM(D75:D86)</f>
        <v>0</v>
      </c>
      <c r="E204" s="6">
        <f>SUM(E75:E86)</f>
        <v>0</v>
      </c>
      <c r="F204" s="6">
        <f>SUM(F75:F86)</f>
        <v>0</v>
      </c>
      <c r="N204" s="6"/>
      <c r="O204" s="42"/>
      <c r="P204" s="5"/>
    </row>
    <row r="205" spans="1:16" ht="12.75">
      <c r="A205" s="18">
        <v>2003</v>
      </c>
      <c r="B205" s="6">
        <f>SUM(B87:B98)</f>
        <v>0</v>
      </c>
      <c r="C205" s="6">
        <f>SUM(C87:C98)</f>
        <v>0</v>
      </c>
      <c r="D205" s="6">
        <f>SUM(D87:D98)</f>
        <v>0</v>
      </c>
      <c r="E205" s="6">
        <f>SUM(E87:E98)</f>
        <v>0</v>
      </c>
      <c r="F205" s="6">
        <f>SUM(F87:F98)</f>
        <v>0</v>
      </c>
      <c r="N205" s="6"/>
      <c r="O205" s="42"/>
      <c r="P205" s="5"/>
    </row>
    <row r="206" spans="1:16" ht="12.75">
      <c r="A206">
        <v>2004</v>
      </c>
      <c r="B206" s="6">
        <f>SUM(B99:B110)</f>
        <v>0</v>
      </c>
      <c r="C206" s="6">
        <f>SUM(C99:C110)</f>
        <v>0</v>
      </c>
      <c r="D206" s="6">
        <f>SUM(D99:D110)</f>
        <v>0</v>
      </c>
      <c r="E206" s="6">
        <f>SUM(E99:E110)</f>
        <v>0</v>
      </c>
      <c r="F206" s="6">
        <f>SUM(F99:F110)</f>
        <v>0</v>
      </c>
      <c r="N206" s="6"/>
      <c r="O206" s="42"/>
      <c r="P206" s="5"/>
    </row>
    <row r="207" spans="1:16" ht="12.75">
      <c r="A207" s="18">
        <v>2005</v>
      </c>
      <c r="B207" s="6">
        <f>SUM(B111:B122)</f>
        <v>0</v>
      </c>
      <c r="C207" s="6">
        <f>SUM(C111:C122)</f>
        <v>0</v>
      </c>
      <c r="D207" s="6">
        <f>SUM(D111:D122)</f>
        <v>0</v>
      </c>
      <c r="E207" s="6">
        <f>SUM(E111:E122)</f>
        <v>0</v>
      </c>
      <c r="F207" s="6">
        <f>SUM(F111:F122)</f>
        <v>0</v>
      </c>
      <c r="N207" s="6"/>
      <c r="O207" s="42"/>
      <c r="P207" s="5"/>
    </row>
    <row r="208" spans="1:16" ht="12.75">
      <c r="A208">
        <v>2006</v>
      </c>
      <c r="B208" s="6">
        <f>SUM(B123:B134)</f>
        <v>0</v>
      </c>
      <c r="C208" s="6">
        <f>SUM(C123:C134)</f>
        <v>0</v>
      </c>
      <c r="D208" s="6">
        <f>SUM(D123:D134)</f>
        <v>0</v>
      </c>
      <c r="E208" s="6">
        <f>SUM(E123:E134)</f>
        <v>0</v>
      </c>
      <c r="F208" s="6">
        <f>SUM(F123:F134)</f>
        <v>0</v>
      </c>
      <c r="N208" s="6"/>
      <c r="O208" s="42"/>
      <c r="P208" s="5"/>
    </row>
    <row r="209" spans="1:16" ht="12.75">
      <c r="A209" s="18">
        <v>2007</v>
      </c>
      <c r="B209" s="6">
        <f>SUM(B135:B146)</f>
        <v>0</v>
      </c>
      <c r="C209" s="6">
        <f>SUM(C135:C146)</f>
        <v>0</v>
      </c>
      <c r="D209" s="6">
        <f>SUM(D135:D146)</f>
        <v>0</v>
      </c>
      <c r="E209" s="6">
        <f>SUM(E135:E146)</f>
        <v>0</v>
      </c>
      <c r="F209" s="6">
        <f>SUM(F135:F146)</f>
        <v>0</v>
      </c>
      <c r="N209" s="6"/>
      <c r="O209" s="42"/>
      <c r="P209" s="5"/>
    </row>
    <row r="210" spans="1:16" ht="12.75">
      <c r="A210">
        <v>2008</v>
      </c>
      <c r="B210" s="6">
        <f>SUM(B147:B158)</f>
        <v>0</v>
      </c>
      <c r="C210" s="6">
        <f>SUM(C147:C158)</f>
        <v>0</v>
      </c>
      <c r="D210" s="6">
        <f>SUM(D147:D158)</f>
        <v>0</v>
      </c>
      <c r="E210" s="6">
        <f>SUM(E147:E158)</f>
        <v>0</v>
      </c>
      <c r="F210" s="6">
        <f>SUM(F147:F158)</f>
        <v>0</v>
      </c>
      <c r="N210" s="6"/>
      <c r="O210" s="42"/>
      <c r="P210" s="5"/>
    </row>
    <row r="211" spans="1:16" ht="12.75">
      <c r="A211" s="18">
        <v>2009</v>
      </c>
      <c r="B211" s="6">
        <f>SUM(B159:B170)</f>
        <v>0</v>
      </c>
      <c r="C211" s="6">
        <f>SUM(C159:C170)</f>
        <v>0</v>
      </c>
      <c r="D211" s="6">
        <f>SUM(D159:D170)</f>
        <v>0</v>
      </c>
      <c r="E211" s="6">
        <f>SUM(E159:E170)</f>
        <v>0</v>
      </c>
      <c r="F211" s="6">
        <f>SUM(F159:F170)</f>
        <v>0</v>
      </c>
      <c r="N211" s="6"/>
      <c r="O211" s="42"/>
      <c r="P211" s="5"/>
    </row>
    <row r="212" spans="1:14" ht="12.75">
      <c r="A212">
        <v>2010</v>
      </c>
      <c r="B212" s="6">
        <f>SUM(B171:B182)</f>
        <v>0</v>
      </c>
      <c r="C212" s="6">
        <f>SUM(C171:C182)</f>
        <v>0</v>
      </c>
      <c r="D212" s="6">
        <f>SUM(D171:D182)</f>
        <v>0</v>
      </c>
      <c r="E212" s="6">
        <f>SUM(E171:E182)</f>
        <v>0</v>
      </c>
      <c r="F212" s="6">
        <f>SUM(F171:F182)</f>
        <v>0</v>
      </c>
      <c r="N212" s="6"/>
    </row>
    <row r="213" spans="1:14" ht="12.75">
      <c r="A213">
        <v>2011</v>
      </c>
      <c r="B213" s="6">
        <f>SUM(B183:B194)</f>
        <v>0</v>
      </c>
      <c r="C213" s="6">
        <f>SUM(C183:C194)</f>
        <v>0</v>
      </c>
      <c r="D213" s="6">
        <f>SUM(D183:D194)</f>
        <v>0</v>
      </c>
      <c r="E213" s="6">
        <f>SUM(E183:E194)</f>
        <v>0</v>
      </c>
      <c r="F213" s="6">
        <f>SUM(F183:F194)</f>
        <v>0</v>
      </c>
      <c r="N213" s="6"/>
    </row>
    <row r="214" spans="3:14" ht="12.75">
      <c r="C214" s="6"/>
      <c r="D214" s="6"/>
      <c r="E214" s="6"/>
      <c r="F214" s="6"/>
      <c r="N214" s="6"/>
    </row>
    <row r="215" spans="1:15" ht="12.75">
      <c r="A215" s="173" t="s">
        <v>82</v>
      </c>
      <c r="B215" s="6">
        <f>SUM(B198:B211)</f>
        <v>0</v>
      </c>
      <c r="C215" s="6">
        <f>SUM(C198:C211)</f>
        <v>0</v>
      </c>
      <c r="D215" s="6">
        <f>SUM(D198:D211)</f>
        <v>0</v>
      </c>
      <c r="E215" s="6">
        <f>SUM(E198:E211)</f>
        <v>0</v>
      </c>
      <c r="F215" s="6">
        <f>SUM(F198:F211)</f>
        <v>0</v>
      </c>
      <c r="N215" s="6">
        <f>SUM(N198:N211)</f>
        <v>0</v>
      </c>
      <c r="O215" s="120">
        <f>N215-F215</f>
        <v>0</v>
      </c>
    </row>
    <row r="217" spans="14:15" ht="12.75">
      <c r="N217" s="6">
        <f>SUM(N198:N213)</f>
        <v>0</v>
      </c>
      <c r="O217" s="57">
        <f>N196-N217</f>
        <v>0</v>
      </c>
    </row>
    <row r="218" spans="14:16" ht="12.75">
      <c r="N218" s="20"/>
      <c r="O218" s="20" t="s">
        <v>71</v>
      </c>
      <c r="P218" s="20"/>
    </row>
  </sheetData>
  <sheetProtection/>
  <printOptions/>
  <pageMargins left="0.38" right="0.75" top="0.73" bottom="0.74" header="0.5" footer="0.5"/>
  <pageSetup fitToHeight="1" fitToWidth="1" horizontalDpi="600" verticalDpi="600" orientation="landscape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Bacon</dc:creator>
  <cp:keywords/>
  <dc:description/>
  <cp:lastModifiedBy>amos</cp:lastModifiedBy>
  <cp:lastPrinted>2010-08-27T10:05:31Z</cp:lastPrinted>
  <dcterms:created xsi:type="dcterms:W3CDTF">2008-02-06T18:24:44Z</dcterms:created>
  <dcterms:modified xsi:type="dcterms:W3CDTF">2010-08-27T10:05:32Z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307958618</vt:i4>
  </property>
  <property fmtid="{D5CDD505-2E9C-101B-9397-08002B2CF9AE}" pid="3" name="_EmailSubject">
    <vt:lpwstr>Follow-Up - London Hydro Rate Application</vt:lpwstr>
  </property>
  <property fmtid="{D5CDD505-2E9C-101B-9397-08002B2CF9AE}" pid="4" name="_AuthorEmail">
    <vt:lpwstr>cascians@LondonHydro.com</vt:lpwstr>
  </property>
  <property fmtid="{D5CDD505-2E9C-101B-9397-08002B2CF9AE}" pid="5" name="_AuthorEmailDisplayName">
    <vt:lpwstr>Casciano, Susan</vt:lpwstr>
  </property>
  <property fmtid="{D5CDD505-2E9C-101B-9397-08002B2CF9AE}" pid="6" name="DM_Links_Updated">
    <vt:bool>true</vt:bool>
  </property>
  <property fmtid="{D5CDD505-2E9C-101B-9397-08002B2CF9AE}" pid="7" name="_ReviewingToolsShownOnce">
    <vt:lpwstr/>
  </property>
</Properties>
</file>