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Override PartName="/xl/embeddings/oleObject_4_0.bin" ContentType="application/vnd.openxmlformats-officedocument.oleObject"/>
  <Override PartName="/xl/embeddings/oleObject_5_0.bin" ContentType="application/vnd.openxmlformats-officedocument.oleObject"/>
  <Override PartName="/xl/embeddings/oleObject_6_0.bin" ContentType="application/vnd.openxmlformats-officedocument.oleObject"/>
  <Override PartName="/xl/embeddings/oleObject_7_0.bin" ContentType="application/vnd.openxmlformats-officedocument.oleObject"/>
  <Override PartName="/xl/embeddings/oleObject_8_0.bin" ContentType="application/vnd.openxmlformats-officedocument.oleObject"/>
  <Override PartName="/xl/embeddings/oleObject_9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80" yWindow="1575" windowWidth="12945" windowHeight="8580" tabRatio="877" activeTab="9"/>
  </bookViews>
  <sheets>
    <sheet name="Table of Contents" sheetId="1" r:id="rId1"/>
    <sheet name="A. Data_Input_Sheet" sheetId="2" r:id="rId2"/>
    <sheet name="1.Rate_Base" sheetId="3" r:id="rId3"/>
    <sheet name="2.Utility Income" sheetId="4" r:id="rId4"/>
    <sheet name="3.Taxes_PILs" sheetId="5" r:id="rId5"/>
    <sheet name="4.Cost_of_Capital" sheetId="6" r:id="rId6"/>
    <sheet name="5. Rev_Suff_Def" sheetId="7" r:id="rId7"/>
    <sheet name="6.Rev_Reqt" sheetId="8" r:id="rId8"/>
    <sheet name="7A.Bill Impacts - Residential" sheetId="9" r:id="rId9"/>
    <sheet name="7B.Bill Impacts - GS_LT_50kW" sheetId="10" r:id="rId10"/>
  </sheets>
  <definedNames>
    <definedName name="_xlfn.BAHTTEXT" hidden="1">#NAME?</definedName>
    <definedName name="_xlnm.Print_Area" localSheetId="2">'1.Rate_Base'!$A$1:$W$41</definedName>
    <definedName name="_xlnm.Print_Area" localSheetId="3">'2.Utility Income'!$A$1:$W$53</definedName>
    <definedName name="_xlnm.Print_Area" localSheetId="4">'3.Taxes_PILs'!$B$1:$Q$51</definedName>
    <definedName name="_xlnm.Print_Area" localSheetId="5">'4.Cost_of_Capital'!$A$1:$Q$71</definedName>
    <definedName name="_xlnm.Print_Area" localSheetId="6">'5. Rev_Suff_Def'!$B$1:$P$56</definedName>
    <definedName name="_xlnm.Print_Area" localSheetId="7">'6.Rev_Reqt'!$A$1:$Q$42</definedName>
    <definedName name="_xlnm.Print_Area" localSheetId="8">'7A.Bill Impacts - Residential'!$A$1:$R$54</definedName>
    <definedName name="_xlnm.Print_Area" localSheetId="9">'7B.Bill Impacts - GS_LT_50kW'!$A$1:$R$54</definedName>
    <definedName name="_xlnm.Print_Area" localSheetId="1">'A. Data_Input_Sheet'!$A$1:$W$78</definedName>
    <definedName name="_xlnm.Print_Area" localSheetId="0">'Table of Contents'!$A$1:$H$47</definedName>
  </definedNames>
  <calcPr fullCalcOnLoad="1" iterate="1" iterateCount="100" iterateDelta="0.001"/>
</workbook>
</file>

<file path=xl/sharedStrings.xml><?xml version="1.0" encoding="utf-8"?>
<sst xmlns="http://schemas.openxmlformats.org/spreadsheetml/2006/main" count="445" uniqueCount="256">
  <si>
    <t>Working Capital Allowance</t>
  </si>
  <si>
    <t>Total Rate Base</t>
  </si>
  <si>
    <t>(1)</t>
  </si>
  <si>
    <t>(2)</t>
  </si>
  <si>
    <t>Application</t>
  </si>
  <si>
    <t>Cost of Power</t>
  </si>
  <si>
    <t>Taxes/PILs</t>
  </si>
  <si>
    <t>Rate Base</t>
  </si>
  <si>
    <t>File Number:</t>
  </si>
  <si>
    <t>($)</t>
  </si>
  <si>
    <t>Rate Year:</t>
  </si>
  <si>
    <t>Controllable Expenses</t>
  </si>
  <si>
    <t>Working Capital Base</t>
  </si>
  <si>
    <t>Debt</t>
  </si>
  <si>
    <t xml:space="preserve">  Long-term Debt</t>
  </si>
  <si>
    <t xml:space="preserve">  Short-term Debt</t>
  </si>
  <si>
    <t>Total Debt</t>
  </si>
  <si>
    <t>Equity</t>
  </si>
  <si>
    <t xml:space="preserve">  Common Equity</t>
  </si>
  <si>
    <t xml:space="preserve">  Preferred Shares</t>
  </si>
  <si>
    <t>Total Equity</t>
  </si>
  <si>
    <t>Total</t>
  </si>
  <si>
    <t>(%)</t>
  </si>
  <si>
    <t>Cost Rate</t>
  </si>
  <si>
    <t>Return</t>
  </si>
  <si>
    <t xml:space="preserve">Application   </t>
  </si>
  <si>
    <t>Operating Revenues:</t>
  </si>
  <si>
    <t>Operating Expenses:</t>
  </si>
  <si>
    <t>Depreciation/Amortization</t>
  </si>
  <si>
    <t>Income taxes</t>
  </si>
  <si>
    <t>Determination of Taxable Income</t>
  </si>
  <si>
    <t>Adjustments required to arrive at taxable utility income</t>
  </si>
  <si>
    <t>Taxable income</t>
  </si>
  <si>
    <t>Calculation of Utility income Taxes</t>
  </si>
  <si>
    <t>Total taxes</t>
  </si>
  <si>
    <t>Tax Rates</t>
  </si>
  <si>
    <t>Amortization/Depreciation</t>
  </si>
  <si>
    <t>Other revenue</t>
  </si>
  <si>
    <t>Revenue Requirement</t>
  </si>
  <si>
    <t>Utility income</t>
  </si>
  <si>
    <t>Particulars</t>
  </si>
  <si>
    <t>Line No.</t>
  </si>
  <si>
    <t>Notes</t>
  </si>
  <si>
    <t>OM+A Expenses</t>
  </si>
  <si>
    <t>Total revenue</t>
  </si>
  <si>
    <t>Table of Content</t>
  </si>
  <si>
    <t xml:space="preserve">Sheet </t>
  </si>
  <si>
    <t>Taxes/PILS</t>
  </si>
  <si>
    <t>Name</t>
  </si>
  <si>
    <r>
      <t>Particulars</t>
    </r>
    <r>
      <rPr>
        <sz val="10"/>
        <rFont val="Arial"/>
        <family val="0"/>
      </rPr>
      <t xml:space="preserve">                                </t>
    </r>
  </si>
  <si>
    <t>Notes:</t>
  </si>
  <si>
    <t>Capital taxes</t>
  </si>
  <si>
    <t>Property taxes</t>
  </si>
  <si>
    <t>Property Taxes</t>
  </si>
  <si>
    <t>Capitalization Ratio</t>
  </si>
  <si>
    <t>Utility Income</t>
  </si>
  <si>
    <t>Revenue Sufficiency/Deficiency</t>
  </si>
  <si>
    <t>Distribution Revenue Requirement before Revenues</t>
  </si>
  <si>
    <t>Utility Rate Base</t>
  </si>
  <si>
    <t>Indicated Rate of Return</t>
  </si>
  <si>
    <t>Sufficiency/Deficiency in Rate of Return</t>
  </si>
  <si>
    <t>Capitalization/Cost of Capital</t>
  </si>
  <si>
    <t>Generally 15%.  Some distributors may have a unique rate due as a result of a lead-lag study.</t>
  </si>
  <si>
    <t>Pale green cells represent inputs</t>
  </si>
  <si>
    <t>Distribution revenue</t>
  </si>
  <si>
    <t>Other Revenues / Revenue Offsets</t>
  </si>
  <si>
    <t xml:space="preserve">  Specific Service Charges</t>
  </si>
  <si>
    <t xml:space="preserve">  Late Payment Charges</t>
  </si>
  <si>
    <t xml:space="preserve">  Other Distribution Revenue</t>
  </si>
  <si>
    <t xml:space="preserve">  Other Income and Deductions</t>
  </si>
  <si>
    <t>Total Revenue Offsets</t>
  </si>
  <si>
    <t>Allowance for Working Capital</t>
  </si>
  <si>
    <t xml:space="preserve">Particulars </t>
  </si>
  <si>
    <t>Data Input</t>
  </si>
  <si>
    <t xml:space="preserve">   </t>
  </si>
  <si>
    <t xml:space="preserve">   Controllable Expenses</t>
  </si>
  <si>
    <t xml:space="preserve">   Cost of Power</t>
  </si>
  <si>
    <t xml:space="preserve">   Working Capital Rate (%)</t>
  </si>
  <si>
    <t>Other Revenue</t>
  </si>
  <si>
    <t xml:space="preserve">   OM+A Expenses</t>
  </si>
  <si>
    <t xml:space="preserve">   Property taxes</t>
  </si>
  <si>
    <t xml:space="preserve">   Capital taxes</t>
  </si>
  <si>
    <t xml:space="preserve">      Specific Service Charges</t>
  </si>
  <si>
    <t xml:space="preserve">      Late Payment Charges</t>
  </si>
  <si>
    <t xml:space="preserve">      Other Distribution Revenue</t>
  </si>
  <si>
    <t xml:space="preserve">      Other Income and Deductions</t>
  </si>
  <si>
    <t>Taxable Income:</t>
  </si>
  <si>
    <t>Utility Income Taxes and Rates:</t>
  </si>
  <si>
    <t xml:space="preserve">   Long-term debt Capitalization Ratio (%)</t>
  </si>
  <si>
    <t xml:space="preserve">   Short-term debt Capitalization Ratio (%)</t>
  </si>
  <si>
    <t xml:space="preserve">   Common Equity Capitalization Ratio (%)</t>
  </si>
  <si>
    <t xml:space="preserve">   Prefered Shares Capitalization Ratio (%)</t>
  </si>
  <si>
    <t xml:space="preserve">   Long-term debt Cost Rate (%)</t>
  </si>
  <si>
    <t xml:space="preserve">   Short-term debt Cost Rate (%)</t>
  </si>
  <si>
    <t xml:space="preserve">   Common Equity Cost Rate (%)</t>
  </si>
  <si>
    <t xml:space="preserve">   Prefered Shares Cost Rate (%)</t>
  </si>
  <si>
    <t xml:space="preserve">Working Capital Rate % </t>
  </si>
  <si>
    <t xml:space="preserve">   Federal tax (%)</t>
  </si>
  <si>
    <t xml:space="preserve">   Provincial tax (%)</t>
  </si>
  <si>
    <t>Allowance for Working Capital:</t>
  </si>
  <si>
    <t xml:space="preserve">   Other Revenue:</t>
  </si>
  <si>
    <t xml:space="preserve">   Capital Taxes</t>
  </si>
  <si>
    <t>Capital Structure:</t>
  </si>
  <si>
    <t>Cost of Capital</t>
  </si>
  <si>
    <t>All inputs are in dollars ($) except where inputs are individually identified as percentages (%)</t>
  </si>
  <si>
    <t>Income Taxes (Grossed up)</t>
  </si>
  <si>
    <t>4.0% unless an Applicant has proposed or been approved for another amount.</t>
  </si>
  <si>
    <t xml:space="preserve">   Other expenses</t>
  </si>
  <si>
    <t>Other expense</t>
  </si>
  <si>
    <t>Deemed Interest Expense</t>
  </si>
  <si>
    <t>Gross-up of Income Taxes</t>
  </si>
  <si>
    <t>Utility income before income taxes</t>
  </si>
  <si>
    <t>(3)</t>
  </si>
  <si>
    <t>Net of addbacks and deductions to arrive at taxable income.</t>
  </si>
  <si>
    <t xml:space="preserve">   Gross Fixed Assets (average)</t>
  </si>
  <si>
    <t xml:space="preserve">   Accumulated Depreciation (average)</t>
  </si>
  <si>
    <t>Gross Fixed Assets (average)</t>
  </si>
  <si>
    <t>Accumulated Depreciation (average)</t>
  </si>
  <si>
    <t>Net Fixed Assets (average)</t>
  </si>
  <si>
    <t>Utility net income</t>
  </si>
  <si>
    <t>Grossed-up Income Taxes</t>
  </si>
  <si>
    <t>PILs / tax Allowance (Grossed-up Income taxes + Capital taxes)</t>
  </si>
  <si>
    <t>Income taxes (grossed-up)</t>
  </si>
  <si>
    <t xml:space="preserve">   Distribution Revenue at Proposed Rates</t>
  </si>
  <si>
    <t>Total Revenue</t>
  </si>
  <si>
    <t>Utility Income Before Income Taxes</t>
  </si>
  <si>
    <t xml:space="preserve">Utility Net Income </t>
  </si>
  <si>
    <t xml:space="preserve">   Distribution Revenue at Current Rates</t>
  </si>
  <si>
    <t>Total Operating Revenues</t>
  </si>
  <si>
    <t>Taxable Income</t>
  </si>
  <si>
    <t>Income Tax Credits</t>
  </si>
  <si>
    <t>Operating Expenses</t>
  </si>
  <si>
    <t>Total Cost and Expenses</t>
  </si>
  <si>
    <t>Target Return - Equity on Rate Base</t>
  </si>
  <si>
    <t>Requested Rate of Return on Rate Base</t>
  </si>
  <si>
    <t>Income/Equity Rate Base (%)</t>
  </si>
  <si>
    <t xml:space="preserve"> </t>
  </si>
  <si>
    <t>(4)</t>
  </si>
  <si>
    <t>(5)</t>
  </si>
  <si>
    <t>Average of Gross Fixed Assets at beginning and end of the Test Year</t>
  </si>
  <si>
    <t xml:space="preserve">   Income taxes (not grossed up)</t>
  </si>
  <si>
    <t xml:space="preserve">   Income taxes (grossed up)</t>
  </si>
  <si>
    <t>At Current Approved Rates</t>
  </si>
  <si>
    <t>At Proposed Rates</t>
  </si>
  <si>
    <t>Distribution Revenue (at Proposed Rates)</t>
  </si>
  <si>
    <t>Target Return on Equity</t>
  </si>
  <si>
    <t>Sufficiency/Deficiency in Return on Equity</t>
  </si>
  <si>
    <t xml:space="preserve">  Deemed Interest Expense</t>
  </si>
  <si>
    <t xml:space="preserve">  Return on Deemed Equity</t>
  </si>
  <si>
    <t>Other tax Credits</t>
  </si>
  <si>
    <t xml:space="preserve">Deemed Equity Portion of Rate Base </t>
  </si>
  <si>
    <t>Average of opening and closing balances for the year.</t>
  </si>
  <si>
    <t>Other Expenses</t>
  </si>
  <si>
    <t>Revenue Sufficiency/Deficiency divided by (1 - Tax Rate)</t>
  </si>
  <si>
    <t>Tax Adjustments to Accounting               Income per 2009 PILs</t>
  </si>
  <si>
    <t>Average of Accumulated Depreciation at the beginning and end of the Test Year.  Enter as a negative amount.</t>
  </si>
  <si>
    <t>Revenue Requirement Work Form</t>
  </si>
  <si>
    <t>Name of LDC:</t>
  </si>
  <si>
    <t>Data Input Sheet</t>
  </si>
  <si>
    <t>Federal tax (%)</t>
  </si>
  <si>
    <t>Provincial tax (%)</t>
  </si>
  <si>
    <t>Total tax rate (%)</t>
  </si>
  <si>
    <t>Capital Taxes</t>
  </si>
  <si>
    <t>OM&amp;A Expenses</t>
  </si>
  <si>
    <t>Please note that this model uses MACROS.  Before starting, please ensure that macros have been enabled.</t>
  </si>
  <si>
    <t>A</t>
  </si>
  <si>
    <t>Version:</t>
  </si>
  <si>
    <t>This Revenue Requirement Work Form Model is protected by copyright and is being made available to you solely for the purpose of preparing or reviewing your draft rate order.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or reviewing your draft rate order, you must ensure that the person understands and agrees to the restrictions noted above.</t>
  </si>
  <si>
    <t>Copyright</t>
  </si>
  <si>
    <t>Line 11 - Line 8</t>
  </si>
  <si>
    <t xml:space="preserve">   Depreciation/Amortization</t>
  </si>
  <si>
    <t>Difference (Total Revenue Less Distribution Revenue Requirement before Revenues)</t>
  </si>
  <si>
    <t>Utility net income before taxes</t>
  </si>
  <si>
    <t>Close of Discovery</t>
  </si>
  <si>
    <t>Settlement Agreement</t>
  </si>
  <si>
    <t>Adjustments required to arrive at taxable income</t>
  </si>
  <si>
    <t>Argument-in-Chief</t>
  </si>
  <si>
    <t>(6)</t>
  </si>
  <si>
    <t>Not applicable as of July 1, 2010</t>
  </si>
  <si>
    <t xml:space="preserve">                Revenue Requirement Work Form</t>
  </si>
  <si>
    <t xml:space="preserve">                   Revenue Requirement Work Form</t>
  </si>
  <si>
    <t xml:space="preserve">               Revenue Requirement Work Form</t>
  </si>
  <si>
    <t>Capital Taxes not applicable after July 1, 2010 (i.e. for 2011 and later test years)</t>
  </si>
  <si>
    <t>Revenue Deficiency from Below</t>
  </si>
  <si>
    <t>Distribution Revenue</t>
  </si>
  <si>
    <t>Other Operating Revenue Offsets - net</t>
  </si>
  <si>
    <t>Income Tax Rate</t>
  </si>
  <si>
    <t>Income Tax on Taxable Income</t>
  </si>
  <si>
    <t>Per Board Decision</t>
  </si>
  <si>
    <t>Initial Application</t>
  </si>
  <si>
    <t xml:space="preserve">Initial Application   </t>
  </si>
  <si>
    <r>
      <t>(1)</t>
    </r>
    <r>
      <rPr>
        <b/>
        <sz val="10"/>
        <rFont val="Arial"/>
        <family val="2"/>
      </rPr>
      <t xml:space="preserve">                                                                          Allowance for Working Capital - Derivation</t>
    </r>
  </si>
  <si>
    <t>(7)</t>
  </si>
  <si>
    <t>Monthly Service Charge</t>
  </si>
  <si>
    <t>Smart Meter Disposition Rider</t>
  </si>
  <si>
    <t>LRAM &amp; SSM Rider</t>
  </si>
  <si>
    <t>Sub-Total A - Distribution</t>
  </si>
  <si>
    <t>RTSR - Network</t>
  </si>
  <si>
    <t>Sub-Total B - Delivery (including Sub-Total A)</t>
  </si>
  <si>
    <t>Total Bill (including Sub-total B)</t>
  </si>
  <si>
    <t>Volume</t>
  </si>
  <si>
    <t>Loss Factor</t>
  </si>
  <si>
    <t>Charge Unit</t>
  </si>
  <si>
    <t>monthly</t>
  </si>
  <si>
    <t>per kWh</t>
  </si>
  <si>
    <t>per kW</t>
  </si>
  <si>
    <t>Total Bill (before Taxes)</t>
  </si>
  <si>
    <t>HST</t>
  </si>
  <si>
    <t>Rate</t>
  </si>
  <si>
    <t>Low Voltage Rate Adder</t>
  </si>
  <si>
    <t>Standard Supply Service Charge</t>
  </si>
  <si>
    <t>Rural and Remote Rate Protection (RRRP)</t>
  </si>
  <si>
    <t>Wholesale Market Service Charge (WMSC)</t>
  </si>
  <si>
    <t>Debt Retirement Charge (DRC)</t>
  </si>
  <si>
    <t>Service Charge Rate Adder(s)</t>
  </si>
  <si>
    <t>Service Charge Rate Rider(s)</t>
  </si>
  <si>
    <t>Distribution Volumetric Rate</t>
  </si>
  <si>
    <t>Volumetric Rate Adder(s)</t>
  </si>
  <si>
    <t>Volumetric Rate Rider(s)</t>
  </si>
  <si>
    <t>RTSR - Line and Transformation Connection</t>
  </si>
  <si>
    <t>Charge</t>
  </si>
  <si>
    <t>Residential</t>
  </si>
  <si>
    <t>Consumption</t>
  </si>
  <si>
    <t>Current Board-Approved</t>
  </si>
  <si>
    <t>Proposed</t>
  </si>
  <si>
    <t>Impact</t>
  </si>
  <si>
    <t>$ Change</t>
  </si>
  <si>
    <t>% Change</t>
  </si>
  <si>
    <t xml:space="preserve"> kWh</t>
  </si>
  <si>
    <t>Bill Impacts -Residential</t>
  </si>
  <si>
    <t>7A</t>
  </si>
  <si>
    <t>7B</t>
  </si>
  <si>
    <t>Bill Impacts - GS &lt; 50 kW</t>
  </si>
  <si>
    <t>General Service &lt; 50 kW</t>
  </si>
  <si>
    <t>Loss Factor (%)</t>
  </si>
  <si>
    <t>Subtotal (lines 4 to 8)</t>
  </si>
  <si>
    <t>Total Expenses (lines 9 to 10)</t>
  </si>
  <si>
    <t>Completed versions of the Revenue Requirement Work Form are required to be filed in working Microsoft Excel format.</t>
  </si>
  <si>
    <t>Smart Meter Rate Adder</t>
  </si>
  <si>
    <t>Deferral/Variance Account Disposition Rate Rider</t>
  </si>
  <si>
    <t>LRAM &amp; SSM Rate Rider</t>
  </si>
  <si>
    <t>Special Purpose Charge</t>
  </si>
  <si>
    <t>Energy</t>
  </si>
  <si>
    <t xml:space="preserve">Data inputs are required on on this Sheet A.  Data Input Sheet, and on Sheets 7A and 7B, for Bill IMpacts.  Data on this input sheet complete sheets 1 through 6 (Rate Base through Revenue Requirement), except for Notes that the utility may wish to use to support the data.  Notes should be put on the applicable pages to explain numbers shown. </t>
  </si>
  <si>
    <t>Pale yellow cells represent drop=down lists</t>
  </si>
  <si>
    <r>
      <t>Gross Revenue Deficiency/</t>
    </r>
    <r>
      <rPr>
        <b/>
        <sz val="10"/>
        <color indexed="10"/>
        <rFont val="Arial"/>
        <family val="2"/>
      </rPr>
      <t>(Sufficiency)</t>
    </r>
  </si>
  <si>
    <r>
      <t>Revenue Deficiency/</t>
    </r>
    <r>
      <rPr>
        <sz val="10"/>
        <color indexed="10"/>
        <rFont val="Arial"/>
        <family val="2"/>
      </rPr>
      <t>(Sufficiency)</t>
    </r>
  </si>
  <si>
    <t>Note 1</t>
  </si>
  <si>
    <r>
      <t xml:space="preserve">Note 1:  </t>
    </r>
    <r>
      <rPr>
        <sz val="10"/>
        <rFont val="Arial"/>
        <family val="2"/>
      </rPr>
      <t>Enter existing and proposed total loss factor (Secondary Metered Customer &lt; 5,000 kW) as a percentage.</t>
    </r>
  </si>
  <si>
    <r>
      <t xml:space="preserve">Note 1:  </t>
    </r>
    <r>
      <rPr>
        <sz val="10"/>
        <rFont val="Arial"/>
        <family val="2"/>
      </rPr>
      <t>See Note 1 from Sheet 1A. Bill Impacts - Residential</t>
    </r>
  </si>
  <si>
    <t>Select option from drop-down list by clicking on cell M10.  This columnallows for the application update reflecting the end of discovery or Argument-in-Chief.  Also, the outsome of any Settlement Process can be reflected.</t>
  </si>
  <si>
    <t>Waterloo North Hydro Inc.</t>
  </si>
  <si>
    <t>EB-2010-0144</t>
  </si>
  <si>
    <t>Energy Price weighted - 750 kWh @ $.065 and 1,351 kWh @ $.075 = $.0714, used same price for both years</t>
  </si>
  <si>
    <t>Energy Price weighted - 600 kWh at $.065 and 240 kWh @ $.075 = $.067861, used same price for both years</t>
  </si>
  <si>
    <t>Note - Provincial tax rate reduced to reflect the fact that there are $61,453 in tax credits</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</si>
</sst>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_-&quot;$&quot;* #,##0_-;\-&quot;$&quot;* #,##0_-;_-&quot;$&quot;* &quot;-&quot;??_-;_-@_-"/>
    <numFmt numFmtId="174" formatCode="&quot;$&quot;#,##0_);[Red]\(&quot;$&quot;#,##0\);&quot;$&quot;\ \-"/>
    <numFmt numFmtId="175" formatCode="0.0"/>
    <numFmt numFmtId="176" formatCode="\(#\)\l"/>
    <numFmt numFmtId="177" formatCode="\(#\)"/>
    <numFmt numFmtId="178" formatCode="0.000%"/>
    <numFmt numFmtId="179" formatCode="0.0000%"/>
    <numFmt numFmtId="180" formatCode="_-&quot;$&quot;* #,##0.000_-;\-&quot;$&quot;* #,##0.000_-;_-&quot;$&quot;* &quot;-&quot;??_-;_-@_-"/>
    <numFmt numFmtId="181" formatCode="_-&quot;$&quot;* #,##0.0000_-;\-&quot;$&quot;* #,##0.0000_-;_-&quot;$&quot;* &quot;-&quot;??_-;_-@_-"/>
    <numFmt numFmtId="182" formatCode="_-&quot;$&quot;* #,##0.0_-;\-&quot;$&quot;* #,##0.0_-;_-&quot;$&quot;* &quot;-&quot;??_-;_-@_-"/>
    <numFmt numFmtId="183" formatCode="&quot;Yes&quot;;&quot;Yes&quot;;&quot;No&quot;"/>
    <numFmt numFmtId="184" formatCode="&quot;True&quot;;&quot;True&quot;;&quot;False&quot;"/>
    <numFmt numFmtId="185" formatCode="&quot;On&quot;;&quot;On&quot;;&quot;Off&quot;"/>
    <numFmt numFmtId="186" formatCode="[$€-2]\ #,##0.00_);[Red]\([$€-2]\ #,##0.00\)"/>
    <numFmt numFmtId="187" formatCode="_-&quot;$&quot;* #,##0.00000_-;\-&quot;$&quot;* #,##0.00000_-;_-&quot;$&quot;* &quot;-&quot;??_-;_-@_-"/>
    <numFmt numFmtId="188" formatCode="_-&quot;$&quot;* #,##0.000000_-;\-&quot;$&quot;* #,##0.000000_-;_-&quot;$&quot;* &quot;-&quot;??_-;_-@_-"/>
    <numFmt numFmtId="189" formatCode="_-&quot;$&quot;* #,##0.0000000_-;\-&quot;$&quot;* #,##0.0000000_-;_-&quot;$&quot;* &quot;-&quot;??_-;_-@_-"/>
  </numFmts>
  <fonts count="41">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b/>
      <sz val="12"/>
      <name val="Arial"/>
      <family val="2"/>
    </font>
    <font>
      <u val="single"/>
      <sz val="10"/>
      <name val="Arial"/>
      <family val="2"/>
    </font>
    <font>
      <b/>
      <u val="single"/>
      <sz val="10"/>
      <name val="Arial"/>
      <family val="2"/>
    </font>
    <font>
      <sz val="10"/>
      <color indexed="10"/>
      <name val="Arial"/>
      <family val="2"/>
    </font>
    <font>
      <b/>
      <sz val="10"/>
      <color indexed="10"/>
      <name val="Arial"/>
      <family val="2"/>
    </font>
    <font>
      <sz val="16"/>
      <color indexed="12"/>
      <name val="Algerian"/>
      <family val="5"/>
    </font>
    <font>
      <sz val="14"/>
      <name val="Arial"/>
      <family val="2"/>
    </font>
    <font>
      <b/>
      <sz val="14"/>
      <name val="Arial"/>
      <family val="2"/>
    </font>
    <font>
      <b/>
      <u val="single"/>
      <sz val="12"/>
      <name val="Arial"/>
      <family val="2"/>
    </font>
    <font>
      <b/>
      <u val="single"/>
      <sz val="10"/>
      <color indexed="12"/>
      <name val="Arial"/>
      <family val="2"/>
    </font>
    <font>
      <b/>
      <sz val="10"/>
      <color indexed="12"/>
      <name val="Arial"/>
      <family val="2"/>
    </font>
    <font>
      <sz val="10"/>
      <color indexed="12"/>
      <name val="Arial"/>
      <family val="2"/>
    </font>
    <font>
      <b/>
      <sz val="8"/>
      <color indexed="10"/>
      <name val="Arial"/>
      <family val="2"/>
    </font>
    <font>
      <b/>
      <i/>
      <sz val="10"/>
      <color indexed="10"/>
      <name val="Arial"/>
      <family val="2"/>
    </font>
    <font>
      <b/>
      <sz val="10"/>
      <color indexed="9"/>
      <name val="Arial"/>
      <family val="2"/>
    </font>
    <font>
      <sz val="10"/>
      <color indexed="9"/>
      <name val="Arial"/>
      <family val="2"/>
    </font>
    <font>
      <i/>
      <sz val="10"/>
      <name val="Arial"/>
      <family val="2"/>
    </font>
    <font>
      <b/>
      <u val="single"/>
      <sz val="12"/>
      <color indexed="10"/>
      <name val="Cooper Black"/>
      <family val="1"/>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color indexed="22"/>
      </right>
      <top style="medium"/>
      <bottom style="medium">
        <color indexed="22"/>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style="thin"/>
      <right>
        <color indexed="63"/>
      </right>
      <top>
        <color indexed="63"/>
      </top>
      <bottom>
        <color indexed="63"/>
      </bottom>
    </border>
    <border>
      <left>
        <color indexed="63"/>
      </left>
      <right>
        <color indexed="63"/>
      </right>
      <top style="thin"/>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double"/>
    </border>
    <border>
      <left style="thin"/>
      <right style="thin"/>
      <top style="thin"/>
      <bottom>
        <color indexed="63"/>
      </bottom>
    </border>
    <border>
      <left style="thin"/>
      <right style="thin"/>
      <top>
        <color indexed="63"/>
      </top>
      <bottom style="thin"/>
    </border>
    <border>
      <left style="medium"/>
      <right style="thin"/>
      <top style="medium"/>
      <bottom style="medium"/>
    </border>
    <border>
      <left style="thin"/>
      <right style="thin"/>
      <top style="medium"/>
      <bottom style="medium"/>
    </border>
    <border>
      <left>
        <color indexed="63"/>
      </left>
      <right style="medium"/>
      <top style="medium"/>
      <bottom style="medium"/>
    </border>
    <border>
      <left>
        <color indexed="63"/>
      </left>
      <right style="thin"/>
      <top style="medium"/>
      <bottom style="medium"/>
    </border>
    <border>
      <left style="thin"/>
      <right style="thin"/>
      <top style="thin"/>
      <bottom style="thin"/>
    </border>
    <border>
      <left style="thin"/>
      <right style="thin"/>
      <top>
        <color indexed="63"/>
      </top>
      <bottom>
        <color indexed="63"/>
      </bottom>
    </border>
    <border>
      <left style="thin"/>
      <right>
        <color indexed="63"/>
      </right>
      <top style="thin"/>
      <bottom style="double"/>
    </border>
    <border>
      <left>
        <color indexed="63"/>
      </left>
      <right style="thin"/>
      <top style="thin"/>
      <bottom style="double"/>
    </border>
    <border>
      <left>
        <color indexed="63"/>
      </left>
      <right>
        <color indexed="63"/>
      </right>
      <top style="double"/>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color indexed="22"/>
      </right>
      <top style="medium"/>
      <bottom>
        <color indexed="63"/>
      </bottom>
    </border>
    <border>
      <left style="medium"/>
      <right>
        <color indexed="63"/>
      </right>
      <top style="medium"/>
      <bottom style="medium">
        <color indexed="22"/>
      </bottom>
    </border>
    <border>
      <left>
        <color indexed="63"/>
      </left>
      <right style="medium">
        <color indexed="22"/>
      </right>
      <top style="medium"/>
      <bottom style="medium">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3" borderId="0" applyNumberFormat="0" applyBorder="0" applyAlignment="0" applyProtection="0"/>
    <xf numFmtId="0" fontId="27" fillId="20" borderId="1" applyNumberFormat="0" applyAlignment="0" applyProtection="0"/>
    <xf numFmtId="0" fontId="28"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4" fillId="0" borderId="0" applyNumberFormat="0" applyFill="0" applyBorder="0" applyAlignment="0" applyProtection="0"/>
    <xf numFmtId="0" fontId="30" fillId="4"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 fillId="0" borderId="0" applyNumberFormat="0" applyFill="0" applyBorder="0" applyAlignment="0" applyProtection="0"/>
    <xf numFmtId="0" fontId="34" fillId="7" borderId="1" applyNumberFormat="0" applyAlignment="0" applyProtection="0"/>
    <xf numFmtId="0" fontId="35" fillId="0" borderId="6" applyNumberFormat="0" applyFill="0" applyAlignment="0" applyProtection="0"/>
    <xf numFmtId="0" fontId="36" fillId="22" borderId="0" applyNumberFormat="0" applyBorder="0" applyAlignment="0" applyProtection="0"/>
    <xf numFmtId="0" fontId="0" fillId="23" borderId="7" applyNumberFormat="0" applyFont="0" applyAlignment="0" applyProtection="0"/>
    <xf numFmtId="0" fontId="37" fillId="20"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93">
    <xf numFmtId="0" fontId="0" fillId="0" borderId="0" xfId="0" applyAlignment="1">
      <alignment/>
    </xf>
    <xf numFmtId="0" fontId="10" fillId="24" borderId="0" xfId="0" applyFont="1" applyFill="1" applyAlignment="1" applyProtection="1">
      <alignment vertical="top" wrapText="1"/>
      <protection/>
    </xf>
    <xf numFmtId="0" fontId="0" fillId="24" borderId="0" xfId="0" applyFill="1" applyBorder="1" applyAlignment="1" applyProtection="1">
      <alignment/>
      <protection/>
    </xf>
    <xf numFmtId="0" fontId="11" fillId="24" borderId="0" xfId="0" applyFont="1" applyFill="1" applyBorder="1" applyAlignment="1" applyProtection="1">
      <alignment horizontal="left"/>
      <protection/>
    </xf>
    <xf numFmtId="0" fontId="11" fillId="24" borderId="0" xfId="0" applyFont="1" applyFill="1" applyBorder="1" applyAlignment="1" applyProtection="1">
      <alignment/>
      <protection/>
    </xf>
    <xf numFmtId="0" fontId="5" fillId="24" borderId="0" xfId="0" applyFont="1" applyFill="1" applyBorder="1" applyAlignment="1" applyProtection="1">
      <alignment/>
      <protection/>
    </xf>
    <xf numFmtId="0" fontId="13" fillId="24" borderId="0" xfId="0" applyFont="1" applyFill="1" applyBorder="1" applyAlignment="1" applyProtection="1">
      <alignment horizontal="center"/>
      <protection/>
    </xf>
    <xf numFmtId="0" fontId="13" fillId="24" borderId="0" xfId="0" applyFont="1" applyFill="1" applyBorder="1" applyAlignment="1" applyProtection="1">
      <alignment/>
      <protection/>
    </xf>
    <xf numFmtId="0" fontId="7" fillId="24" borderId="0" xfId="0" applyFont="1" applyFill="1" applyBorder="1" applyAlignment="1" applyProtection="1">
      <alignment/>
      <protection/>
    </xf>
    <xf numFmtId="0" fontId="2" fillId="24" borderId="0" xfId="0" applyFont="1" applyFill="1" applyBorder="1" applyAlignment="1" applyProtection="1">
      <alignment/>
      <protection/>
    </xf>
    <xf numFmtId="0" fontId="0" fillId="24" borderId="0" xfId="0" applyFill="1" applyBorder="1" applyAlignment="1" applyProtection="1">
      <alignment/>
      <protection/>
    </xf>
    <xf numFmtId="0" fontId="0" fillId="24" borderId="0" xfId="0" applyFill="1" applyBorder="1" applyAlignment="1" applyProtection="1">
      <alignment horizontal="left"/>
      <protection/>
    </xf>
    <xf numFmtId="0" fontId="2" fillId="0" borderId="0" xfId="0" applyFont="1" applyAlignment="1" applyProtection="1">
      <alignment/>
      <protection/>
    </xf>
    <xf numFmtId="0" fontId="0" fillId="0" borderId="0" xfId="0" applyAlignment="1" applyProtection="1">
      <alignment/>
      <protection/>
    </xf>
    <xf numFmtId="0" fontId="0" fillId="24" borderId="0" xfId="0" applyFont="1" applyFill="1" applyBorder="1" applyAlignment="1" applyProtection="1">
      <alignment horizontal="left"/>
      <protection/>
    </xf>
    <xf numFmtId="0" fontId="0" fillId="24" borderId="0" xfId="0" applyFill="1" applyBorder="1" applyAlignment="1" applyProtection="1">
      <alignment/>
      <protection locked="0"/>
    </xf>
    <xf numFmtId="0" fontId="14" fillId="24" borderId="0" xfId="53" applyFont="1" applyFill="1" applyBorder="1" applyAlignment="1" applyProtection="1">
      <alignment/>
      <protection locked="0"/>
    </xf>
    <xf numFmtId="0" fontId="2" fillId="24" borderId="0" xfId="0" applyFont="1" applyFill="1" applyBorder="1" applyAlignment="1" applyProtection="1">
      <alignment/>
      <protection locked="0"/>
    </xf>
    <xf numFmtId="0" fontId="2" fillId="24" borderId="0" xfId="0" applyFont="1" applyFill="1" applyBorder="1" applyAlignment="1" applyProtection="1">
      <alignment horizontal="left"/>
      <protection locked="0"/>
    </xf>
    <xf numFmtId="0" fontId="14" fillId="24" borderId="0" xfId="53" applyFont="1" applyFill="1" applyBorder="1" applyAlignment="1" applyProtection="1">
      <alignment horizontal="left"/>
      <protection locked="0"/>
    </xf>
    <xf numFmtId="0" fontId="12" fillId="24" borderId="0" xfId="0" applyFont="1" applyFill="1" applyBorder="1" applyAlignment="1" applyProtection="1" quotePrefix="1">
      <alignment/>
      <protection/>
    </xf>
    <xf numFmtId="0" fontId="10" fillId="24" borderId="0" xfId="0" applyFont="1" applyFill="1" applyAlignment="1" applyProtection="1">
      <alignment horizontal="left" vertical="top" wrapText="1" indent="1"/>
      <protection/>
    </xf>
    <xf numFmtId="0" fontId="17" fillId="24" borderId="0" xfId="0" applyFont="1" applyFill="1" applyBorder="1" applyAlignment="1" applyProtection="1">
      <alignment horizontal="center"/>
      <protection/>
    </xf>
    <xf numFmtId="0" fontId="18" fillId="24" borderId="0" xfId="0" applyFont="1" applyFill="1" applyBorder="1" applyAlignment="1" applyProtection="1">
      <alignment vertical="top" wrapText="1"/>
      <protection/>
    </xf>
    <xf numFmtId="0" fontId="2" fillId="0" borderId="0" xfId="0" applyFont="1" applyAlignment="1" applyProtection="1" quotePrefix="1">
      <alignment vertical="top"/>
      <protection/>
    </xf>
    <xf numFmtId="0" fontId="11" fillId="4" borderId="10" xfId="0" applyFont="1" applyFill="1" applyBorder="1" applyAlignment="1" applyProtection="1">
      <alignment horizontal="left" indent="1"/>
      <protection locked="0"/>
    </xf>
    <xf numFmtId="0" fontId="11" fillId="24" borderId="0" xfId="0" applyFont="1" applyFill="1" applyBorder="1" applyAlignment="1" applyProtection="1">
      <alignment horizontal="left" indent="1"/>
      <protection/>
    </xf>
    <xf numFmtId="0" fontId="15" fillId="24" borderId="0" xfId="0" applyFont="1" applyFill="1" applyBorder="1" applyAlignment="1" applyProtection="1">
      <alignment horizontal="center"/>
      <protection/>
    </xf>
    <xf numFmtId="0" fontId="2" fillId="24" borderId="0" xfId="0" applyFont="1" applyFill="1" applyBorder="1" applyAlignment="1" applyProtection="1">
      <alignment/>
      <protection locked="0"/>
    </xf>
    <xf numFmtId="0" fontId="2" fillId="0" borderId="0" xfId="0" applyFont="1" applyBorder="1" applyAlignment="1" applyProtection="1" quotePrefix="1">
      <alignment vertical="center"/>
      <protection/>
    </xf>
    <xf numFmtId="0" fontId="5" fillId="0" borderId="0" xfId="0" applyFont="1" applyBorder="1" applyAlignment="1" applyProtection="1">
      <alignment vertical="center"/>
      <protection/>
    </xf>
    <xf numFmtId="0" fontId="0" fillId="0" borderId="0" xfId="0" applyAlignment="1" applyProtection="1">
      <alignment/>
      <protection/>
    </xf>
    <xf numFmtId="0" fontId="2" fillId="25" borderId="11" xfId="0" applyFont="1" applyFill="1" applyBorder="1" applyAlignment="1" applyProtection="1">
      <alignment horizontal="center" vertical="center"/>
      <protection/>
    </xf>
    <xf numFmtId="0" fontId="2" fillId="25" borderId="11" xfId="0" applyFont="1" applyFill="1" applyBorder="1" applyAlignment="1" applyProtection="1">
      <alignment horizontal="center" vertical="center" wrapText="1"/>
      <protection/>
    </xf>
    <xf numFmtId="0" fontId="15" fillId="0" borderId="0" xfId="0" applyFont="1" applyAlignment="1" applyProtection="1">
      <alignment/>
      <protection/>
    </xf>
    <xf numFmtId="0" fontId="14" fillId="0" borderId="0" xfId="0" applyFont="1" applyBorder="1" applyAlignment="1" applyProtection="1">
      <alignment/>
      <protection/>
    </xf>
    <xf numFmtId="0" fontId="2" fillId="0" borderId="0" xfId="0" applyFont="1" applyAlignment="1" applyProtection="1" quotePrefix="1">
      <alignment/>
      <protection/>
    </xf>
    <xf numFmtId="6" fontId="0" fillId="0" borderId="0" xfId="44" applyNumberFormat="1" applyFont="1" applyFill="1" applyAlignment="1" applyProtection="1">
      <alignment/>
      <protection/>
    </xf>
    <xf numFmtId="0" fontId="16" fillId="0" borderId="0" xfId="0" applyFont="1" applyAlignment="1" applyProtection="1">
      <alignment/>
      <protection/>
    </xf>
    <xf numFmtId="6" fontId="0" fillId="0" borderId="0" xfId="0" applyNumberFormat="1" applyFill="1" applyAlignment="1" applyProtection="1">
      <alignment/>
      <protection/>
    </xf>
    <xf numFmtId="0" fontId="2" fillId="0" borderId="0" xfId="0" applyFont="1" applyFill="1" applyAlignment="1" applyProtection="1">
      <alignment/>
      <protection/>
    </xf>
    <xf numFmtId="6" fontId="0" fillId="0" borderId="0" xfId="0" applyNumberFormat="1" applyAlignment="1" applyProtection="1">
      <alignment/>
      <protection/>
    </xf>
    <xf numFmtId="0" fontId="14" fillId="0" borderId="0" xfId="0" applyFont="1" applyAlignment="1" applyProtection="1">
      <alignment/>
      <protection/>
    </xf>
    <xf numFmtId="0" fontId="0" fillId="0" borderId="0" xfId="0" applyFont="1" applyAlignment="1" applyProtection="1">
      <alignment/>
      <protection/>
    </xf>
    <xf numFmtId="0" fontId="0" fillId="0" borderId="0" xfId="0" applyFont="1" applyAlignment="1" applyProtection="1">
      <alignment/>
      <protection/>
    </xf>
    <xf numFmtId="0" fontId="0" fillId="0" borderId="0" xfId="0" applyFill="1" applyAlignment="1" applyProtection="1">
      <alignment/>
      <protection/>
    </xf>
    <xf numFmtId="0" fontId="14" fillId="0" borderId="0" xfId="0" applyFont="1" applyAlignment="1" applyProtection="1">
      <alignment/>
      <protection/>
    </xf>
    <xf numFmtId="0" fontId="0" fillId="0" borderId="0" xfId="0" applyAlignment="1" applyProtection="1">
      <alignment wrapText="1"/>
      <protection/>
    </xf>
    <xf numFmtId="174" fontId="0" fillId="0" borderId="0" xfId="44" applyNumberFormat="1" applyFont="1" applyFill="1" applyAlignment="1" applyProtection="1">
      <alignment/>
      <protection/>
    </xf>
    <xf numFmtId="0" fontId="0" fillId="0" borderId="0" xfId="0" applyFill="1" applyBorder="1" applyAlignment="1" applyProtection="1">
      <alignment/>
      <protection/>
    </xf>
    <xf numFmtId="0" fontId="0" fillId="0" borderId="0" xfId="0" applyFont="1" applyAlignment="1" applyProtection="1">
      <alignment/>
      <protection/>
    </xf>
    <xf numFmtId="9" fontId="8" fillId="0" borderId="0" xfId="59" applyFont="1" applyFill="1" applyAlignment="1" applyProtection="1">
      <alignment wrapText="1"/>
      <protection/>
    </xf>
    <xf numFmtId="0" fontId="0" fillId="0" borderId="0" xfId="0" applyAlignment="1" applyProtection="1" quotePrefix="1">
      <alignment/>
      <protection/>
    </xf>
    <xf numFmtId="0" fontId="0" fillId="0" borderId="0" xfId="0" applyFill="1" applyAlignment="1" applyProtection="1" quotePrefix="1">
      <alignment/>
      <protection/>
    </xf>
    <xf numFmtId="0" fontId="0" fillId="24" borderId="0" xfId="0" applyFill="1" applyBorder="1" applyAlignment="1" applyProtection="1">
      <alignment horizontal="left" indent="1"/>
      <protection/>
    </xf>
    <xf numFmtId="0" fontId="0" fillId="0" borderId="0" xfId="0" applyBorder="1" applyAlignment="1" applyProtection="1">
      <alignment/>
      <protection/>
    </xf>
    <xf numFmtId="0" fontId="0" fillId="0" borderId="12" xfId="0" applyBorder="1" applyAlignment="1" applyProtection="1">
      <alignment/>
      <protection/>
    </xf>
    <xf numFmtId="0" fontId="11" fillId="24" borderId="0" xfId="0" applyFont="1" applyFill="1" applyBorder="1" applyAlignment="1" applyProtection="1">
      <alignment horizontal="left" indent="7"/>
      <protection/>
    </xf>
    <xf numFmtId="0" fontId="0" fillId="0" borderId="13" xfId="0" applyBorder="1" applyAlignment="1" applyProtection="1">
      <alignment/>
      <protection/>
    </xf>
    <xf numFmtId="0" fontId="2" fillId="0" borderId="0" xfId="0" applyFont="1" applyBorder="1" applyAlignment="1" applyProtection="1">
      <alignment horizontal="left"/>
      <protection/>
    </xf>
    <xf numFmtId="0" fontId="0" fillId="24" borderId="0" xfId="0" applyFill="1" applyBorder="1" applyAlignment="1" applyProtection="1">
      <alignment horizontal="left" indent="2"/>
      <protection/>
    </xf>
    <xf numFmtId="0" fontId="5" fillId="0" borderId="0" xfId="0" applyFont="1" applyFill="1" applyAlignment="1" applyProtection="1">
      <alignment vertical="center"/>
      <protection/>
    </xf>
    <xf numFmtId="0" fontId="5" fillId="0" borderId="0" xfId="0" applyFont="1" applyFill="1" applyAlignment="1" applyProtection="1">
      <alignment horizontal="center" vertical="center"/>
      <protection/>
    </xf>
    <xf numFmtId="0" fontId="2" fillId="0" borderId="11" xfId="0" applyFont="1" applyBorder="1" applyAlignment="1" applyProtection="1">
      <alignment horizontal="right" wrapText="1"/>
      <protection/>
    </xf>
    <xf numFmtId="0" fontId="2" fillId="0" borderId="11" xfId="0" applyFont="1" applyBorder="1" applyAlignment="1" applyProtection="1">
      <alignment horizontal="center" vertical="center"/>
      <protection/>
    </xf>
    <xf numFmtId="0" fontId="0" fillId="0" borderId="0" xfId="0" applyAlignment="1" applyProtection="1">
      <alignment horizontal="left"/>
      <protection/>
    </xf>
    <xf numFmtId="0" fontId="2" fillId="0" borderId="0" xfId="0" applyFont="1" applyBorder="1" applyAlignment="1" applyProtection="1">
      <alignment horizontal="center" vertical="center"/>
      <protection/>
    </xf>
    <xf numFmtId="174" fontId="0" fillId="0" borderId="0" xfId="44" applyNumberFormat="1" applyFont="1" applyBorder="1" applyAlignment="1" applyProtection="1">
      <alignment horizontal="right" vertical="center"/>
      <protection/>
    </xf>
    <xf numFmtId="174" fontId="0" fillId="0" borderId="0" xfId="44" applyNumberFormat="1" applyFont="1" applyAlignment="1" applyProtection="1">
      <alignment/>
      <protection/>
    </xf>
    <xf numFmtId="174" fontId="0" fillId="0" borderId="0" xfId="44" applyNumberFormat="1" applyFont="1" applyBorder="1" applyAlignment="1" applyProtection="1">
      <alignment/>
      <protection/>
    </xf>
    <xf numFmtId="174" fontId="0" fillId="0" borderId="0" xfId="44" applyNumberFormat="1" applyFont="1" applyBorder="1" applyAlignment="1" applyProtection="1">
      <alignment/>
      <protection/>
    </xf>
    <xf numFmtId="174" fontId="0" fillId="0" borderId="0" xfId="44" applyNumberFormat="1" applyFont="1" applyBorder="1" applyAlignment="1" applyProtection="1">
      <alignment horizontal="right"/>
      <protection/>
    </xf>
    <xf numFmtId="0" fontId="2" fillId="0" borderId="0" xfId="0" applyFont="1" applyAlignment="1" applyProtection="1">
      <alignment/>
      <protection/>
    </xf>
    <xf numFmtId="174" fontId="0" fillId="0" borderId="14" xfId="44" applyNumberFormat="1" applyFont="1" applyBorder="1" applyAlignment="1" applyProtection="1">
      <alignment/>
      <protection/>
    </xf>
    <xf numFmtId="174" fontId="0" fillId="0" borderId="14" xfId="0" applyNumberFormat="1" applyBorder="1" applyAlignment="1" applyProtection="1">
      <alignment/>
      <protection/>
    </xf>
    <xf numFmtId="174" fontId="0" fillId="0" borderId="15" xfId="44" applyNumberFormat="1" applyFont="1" applyBorder="1" applyAlignment="1" applyProtection="1">
      <alignment/>
      <protection/>
    </xf>
    <xf numFmtId="174" fontId="0" fillId="0" borderId="0" xfId="0" applyNumberFormat="1" applyAlignment="1" applyProtection="1">
      <alignment/>
      <protection/>
    </xf>
    <xf numFmtId="174" fontId="0" fillId="0" borderId="11" xfId="44" applyNumberFormat="1" applyFont="1" applyBorder="1" applyAlignment="1" applyProtection="1">
      <alignment/>
      <protection/>
    </xf>
    <xf numFmtId="174" fontId="0" fillId="0" borderId="11" xfId="44" applyNumberFormat="1" applyFont="1" applyBorder="1" applyAlignment="1" applyProtection="1">
      <alignment/>
      <protection/>
    </xf>
    <xf numFmtId="0" fontId="15" fillId="0" borderId="0" xfId="0" applyFont="1" applyAlignment="1" applyProtection="1">
      <alignment wrapText="1"/>
      <protection/>
    </xf>
    <xf numFmtId="173" fontId="0" fillId="0" borderId="0" xfId="0" applyNumberFormat="1" applyFill="1" applyAlignment="1" applyProtection="1">
      <alignment/>
      <protection/>
    </xf>
    <xf numFmtId="0" fontId="5" fillId="0" borderId="0" xfId="0" applyFont="1" applyFill="1" applyAlignment="1" applyProtection="1">
      <alignment/>
      <protection/>
    </xf>
    <xf numFmtId="0" fontId="5" fillId="0" borderId="0" xfId="0" applyFont="1" applyFill="1" applyAlignment="1" applyProtection="1">
      <alignment horizontal="center"/>
      <protection/>
    </xf>
    <xf numFmtId="0" fontId="0" fillId="0" borderId="14" xfId="0" applyBorder="1" applyAlignment="1" applyProtection="1">
      <alignment/>
      <protection/>
    </xf>
    <xf numFmtId="0" fontId="0" fillId="0" borderId="0" xfId="0" applyBorder="1" applyAlignment="1" applyProtection="1">
      <alignment wrapText="1"/>
      <protection/>
    </xf>
    <xf numFmtId="0" fontId="2" fillId="0" borderId="0" xfId="0" applyFont="1" applyBorder="1" applyAlignment="1" applyProtection="1">
      <alignment wrapText="1"/>
      <protection/>
    </xf>
    <xf numFmtId="0" fontId="0" fillId="0" borderId="16" xfId="0" applyFill="1" applyBorder="1" applyAlignment="1" applyProtection="1">
      <alignment horizontal="center" vertical="center"/>
      <protection/>
    </xf>
    <xf numFmtId="0" fontId="2" fillId="0" borderId="12" xfId="0" applyFont="1" applyFill="1" applyBorder="1" applyAlignment="1" applyProtection="1">
      <alignment horizontal="center" vertical="center" wrapText="1"/>
      <protection/>
    </xf>
    <xf numFmtId="0" fontId="0" fillId="0" borderId="16" xfId="0" applyBorder="1" applyAlignment="1" applyProtection="1">
      <alignment/>
      <protection/>
    </xf>
    <xf numFmtId="0" fontId="2" fillId="0" borderId="0" xfId="0" applyFont="1" applyBorder="1" applyAlignment="1" applyProtection="1">
      <alignment/>
      <protection/>
    </xf>
    <xf numFmtId="0" fontId="2" fillId="0" borderId="12" xfId="0" applyFont="1" applyFill="1" applyBorder="1" applyAlignment="1" applyProtection="1">
      <alignment vertical="center" wrapText="1"/>
      <protection/>
    </xf>
    <xf numFmtId="174" fontId="0" fillId="0" borderId="12" xfId="44" applyNumberFormat="1" applyFont="1" applyBorder="1" applyAlignment="1" applyProtection="1">
      <alignment/>
      <protection/>
    </xf>
    <xf numFmtId="0" fontId="2" fillId="0" borderId="0" xfId="0" applyFont="1" applyFill="1" applyBorder="1" applyAlignment="1" applyProtection="1">
      <alignment horizontal="center" vertical="center"/>
      <protection/>
    </xf>
    <xf numFmtId="0" fontId="2" fillId="0" borderId="0" xfId="0" applyFont="1" applyBorder="1" applyAlignment="1" applyProtection="1">
      <alignment/>
      <protection/>
    </xf>
    <xf numFmtId="0" fontId="0" fillId="0" borderId="0" xfId="0" applyFont="1" applyAlignment="1" applyProtection="1">
      <alignment wrapText="1"/>
      <protection/>
    </xf>
    <xf numFmtId="0" fontId="0" fillId="0" borderId="0" xfId="0" applyFont="1" applyFill="1" applyAlignment="1" applyProtection="1">
      <alignment/>
      <protection/>
    </xf>
    <xf numFmtId="0" fontId="2" fillId="0" borderId="0" xfId="0" applyFont="1" applyFill="1" applyBorder="1" applyAlignment="1" applyProtection="1">
      <alignment/>
      <protection/>
    </xf>
    <xf numFmtId="0" fontId="2" fillId="0" borderId="0" xfId="0" applyFont="1" applyAlignment="1" applyProtection="1">
      <alignment horizontal="left"/>
      <protection/>
    </xf>
    <xf numFmtId="0" fontId="2" fillId="0" borderId="0" xfId="0" applyFont="1" applyBorder="1" applyAlignment="1" applyProtection="1">
      <alignment vertical="center"/>
      <protection/>
    </xf>
    <xf numFmtId="0" fontId="0" fillId="0" borderId="0" xfId="0" applyBorder="1" applyAlignment="1" applyProtection="1">
      <alignment horizontal="center"/>
      <protection/>
    </xf>
    <xf numFmtId="49" fontId="0" fillId="0" borderId="0" xfId="0" applyNumberFormat="1" applyBorder="1" applyAlignment="1" applyProtection="1">
      <alignment/>
      <protection/>
    </xf>
    <xf numFmtId="0" fontId="0" fillId="0" borderId="0" xfId="0" applyBorder="1" applyAlignment="1" applyProtection="1" quotePrefix="1">
      <alignment/>
      <protection/>
    </xf>
    <xf numFmtId="0" fontId="15" fillId="0" borderId="11" xfId="0" applyFont="1" applyBorder="1" applyAlignment="1" applyProtection="1">
      <alignment/>
      <protection/>
    </xf>
    <xf numFmtId="10" fontId="0" fillId="0" borderId="0" xfId="59" applyNumberFormat="1" applyFont="1" applyFill="1" applyBorder="1" applyAlignment="1" applyProtection="1">
      <alignment/>
      <protection/>
    </xf>
    <xf numFmtId="10" fontId="0" fillId="0" borderId="11" xfId="59" applyNumberFormat="1" applyFont="1" applyFill="1" applyBorder="1" applyAlignment="1" applyProtection="1">
      <alignment/>
      <protection/>
    </xf>
    <xf numFmtId="0" fontId="15" fillId="0" borderId="0" xfId="0" applyFont="1" applyBorder="1" applyAlignment="1" applyProtection="1">
      <alignment/>
      <protection/>
    </xf>
    <xf numFmtId="10" fontId="0" fillId="0" borderId="17" xfId="59" applyNumberFormat="1" applyFont="1" applyBorder="1" applyAlignment="1" applyProtection="1">
      <alignment/>
      <protection/>
    </xf>
    <xf numFmtId="172" fontId="0" fillId="0" borderId="17" xfId="59" applyNumberFormat="1" applyFont="1" applyBorder="1" applyAlignment="1" applyProtection="1">
      <alignment/>
      <protection/>
    </xf>
    <xf numFmtId="174" fontId="0" fillId="0" borderId="17" xfId="44" applyNumberFormat="1" applyFont="1" applyBorder="1" applyAlignment="1" applyProtection="1">
      <alignment/>
      <protection/>
    </xf>
    <xf numFmtId="172" fontId="0" fillId="0" borderId="0" xfId="59" applyNumberFormat="1" applyFont="1" applyBorder="1" applyAlignment="1" applyProtection="1">
      <alignment/>
      <protection/>
    </xf>
    <xf numFmtId="174" fontId="0" fillId="0" borderId="0" xfId="0" applyNumberFormat="1" applyBorder="1" applyAlignment="1" applyProtection="1">
      <alignment/>
      <protection/>
    </xf>
    <xf numFmtId="10" fontId="0" fillId="0" borderId="0" xfId="59" applyNumberFormat="1" applyFont="1" applyBorder="1" applyAlignment="1" applyProtection="1">
      <alignment/>
      <protection/>
    </xf>
    <xf numFmtId="0" fontId="0" fillId="0" borderId="0" xfId="0" applyBorder="1" applyAlignment="1" applyProtection="1">
      <alignment/>
      <protection/>
    </xf>
    <xf numFmtId="0" fontId="0" fillId="0" borderId="0" xfId="0" applyBorder="1" applyAlignment="1" applyProtection="1" quotePrefix="1">
      <alignment/>
      <protection/>
    </xf>
    <xf numFmtId="10" fontId="0" fillId="0" borderId="0" xfId="59" applyNumberFormat="1" applyFont="1" applyBorder="1" applyAlignment="1" applyProtection="1">
      <alignment/>
      <protection/>
    </xf>
    <xf numFmtId="10" fontId="0" fillId="0" borderId="0" xfId="59" applyNumberFormat="1" applyFont="1" applyFill="1" applyBorder="1" applyAlignment="1" applyProtection="1">
      <alignment/>
      <protection/>
    </xf>
    <xf numFmtId="10" fontId="0" fillId="0" borderId="11" xfId="59" applyNumberFormat="1" applyFont="1" applyFill="1" applyBorder="1" applyAlignment="1" applyProtection="1">
      <alignment/>
      <protection/>
    </xf>
    <xf numFmtId="9" fontId="0" fillId="0" borderId="15" xfId="0" applyNumberFormat="1" applyBorder="1" applyAlignment="1" applyProtection="1">
      <alignment/>
      <protection/>
    </xf>
    <xf numFmtId="174" fontId="0" fillId="0" borderId="15" xfId="44" applyNumberFormat="1" applyFont="1" applyBorder="1" applyAlignment="1" applyProtection="1">
      <alignment/>
      <protection/>
    </xf>
    <xf numFmtId="10" fontId="0" fillId="0" borderId="15" xfId="59" applyNumberFormat="1" applyFont="1" applyBorder="1" applyAlignment="1" applyProtection="1">
      <alignment/>
      <protection/>
    </xf>
    <xf numFmtId="0" fontId="5" fillId="24" borderId="0" xfId="0" applyFont="1" applyFill="1" applyBorder="1" applyAlignment="1" applyProtection="1">
      <alignment horizontal="left" indent="1"/>
      <protection/>
    </xf>
    <xf numFmtId="0" fontId="6" fillId="0" borderId="0" xfId="0" applyFont="1" applyAlignment="1" applyProtection="1">
      <alignment/>
      <protection/>
    </xf>
    <xf numFmtId="0" fontId="6" fillId="0" borderId="0" xfId="0" applyFont="1" applyBorder="1" applyAlignment="1" applyProtection="1">
      <alignment/>
      <protection/>
    </xf>
    <xf numFmtId="174" fontId="0" fillId="0" borderId="0" xfId="44" applyNumberFormat="1" applyFont="1" applyFill="1" applyBorder="1" applyAlignment="1" applyProtection="1">
      <alignment/>
      <protection/>
    </xf>
    <xf numFmtId="6" fontId="0" fillId="0" borderId="0" xfId="0" applyNumberFormat="1" applyBorder="1" applyAlignment="1" applyProtection="1">
      <alignment/>
      <protection/>
    </xf>
    <xf numFmtId="174" fontId="0" fillId="0" borderId="11" xfId="44" applyNumberFormat="1" applyFont="1" applyFill="1" applyBorder="1" applyAlignment="1" applyProtection="1">
      <alignment/>
      <protection/>
    </xf>
    <xf numFmtId="0" fontId="6" fillId="0" borderId="0" xfId="0" applyFont="1" applyAlignment="1" applyProtection="1">
      <alignment/>
      <protection/>
    </xf>
    <xf numFmtId="0" fontId="6" fillId="0" borderId="0" xfId="0" applyFont="1" applyBorder="1" applyAlignment="1" applyProtection="1">
      <alignment/>
      <protection/>
    </xf>
    <xf numFmtId="174" fontId="6" fillId="0" borderId="0" xfId="0" applyNumberFormat="1" applyFont="1" applyAlignment="1" applyProtection="1">
      <alignment/>
      <protection/>
    </xf>
    <xf numFmtId="174" fontId="0" fillId="0" borderId="0" xfId="0" applyNumberFormat="1" applyFont="1" applyFill="1" applyAlignment="1" applyProtection="1">
      <alignment/>
      <protection/>
    </xf>
    <xf numFmtId="174" fontId="0" fillId="0" borderId="0" xfId="44" applyNumberFormat="1" applyFont="1" applyFill="1" applyBorder="1" applyAlignment="1" applyProtection="1">
      <alignment/>
      <protection/>
    </xf>
    <xf numFmtId="6" fontId="0" fillId="0" borderId="0" xfId="0" applyNumberFormat="1" applyBorder="1" applyAlignment="1" applyProtection="1">
      <alignment horizontal="right"/>
      <protection/>
    </xf>
    <xf numFmtId="174" fontId="0" fillId="0" borderId="0" xfId="44" applyNumberFormat="1" applyFont="1" applyBorder="1" applyAlignment="1" applyProtection="1">
      <alignment horizontal="center"/>
      <protection/>
    </xf>
    <xf numFmtId="0" fontId="6" fillId="0" borderId="0" xfId="0" applyFont="1" applyAlignment="1" applyProtection="1">
      <alignment/>
      <protection/>
    </xf>
    <xf numFmtId="0" fontId="6" fillId="0" borderId="0" xfId="0" applyFont="1" applyBorder="1" applyAlignment="1" applyProtection="1">
      <alignment/>
      <protection/>
    </xf>
    <xf numFmtId="9" fontId="0" fillId="0" borderId="0" xfId="59" applyFont="1" applyAlignment="1" applyProtection="1" quotePrefix="1">
      <alignment horizontal="right"/>
      <protection/>
    </xf>
    <xf numFmtId="9" fontId="0" fillId="0" borderId="0" xfId="59" applyFont="1" applyBorder="1" applyAlignment="1" applyProtection="1">
      <alignment horizontal="right"/>
      <protection/>
    </xf>
    <xf numFmtId="0" fontId="0" fillId="0" borderId="0" xfId="0" applyAlignment="1" applyProtection="1" quotePrefix="1">
      <alignment horizontal="right"/>
      <protection/>
    </xf>
    <xf numFmtId="10" fontId="0" fillId="0" borderId="0" xfId="59" applyNumberFormat="1" applyFont="1" applyFill="1" applyBorder="1" applyAlignment="1" applyProtection="1">
      <alignment horizontal="right"/>
      <protection/>
    </xf>
    <xf numFmtId="10" fontId="0" fillId="0" borderId="17" xfId="0" applyNumberFormat="1" applyBorder="1" applyAlignment="1" applyProtection="1">
      <alignment/>
      <protection/>
    </xf>
    <xf numFmtId="9" fontId="0" fillId="0" borderId="0" xfId="0" applyNumberFormat="1" applyBorder="1" applyAlignment="1" applyProtection="1">
      <alignment/>
      <protection/>
    </xf>
    <xf numFmtId="10" fontId="0" fillId="0" borderId="17" xfId="59" applyNumberFormat="1" applyFont="1" applyBorder="1" applyAlignment="1" applyProtection="1">
      <alignment/>
      <protection/>
    </xf>
    <xf numFmtId="0" fontId="5" fillId="0" borderId="0" xfId="0" applyFont="1" applyAlignment="1" applyProtection="1">
      <alignment/>
      <protection/>
    </xf>
    <xf numFmtId="0" fontId="1" fillId="0" borderId="0" xfId="0" applyFont="1" applyAlignment="1" applyProtection="1">
      <alignment wrapText="1"/>
      <protection/>
    </xf>
    <xf numFmtId="0" fontId="0" fillId="0" borderId="0" xfId="0" applyAlignment="1" applyProtection="1">
      <alignment horizontal="right"/>
      <protection/>
    </xf>
    <xf numFmtId="0" fontId="16" fillId="0" borderId="0" xfId="0" applyFont="1" applyAlignment="1" applyProtection="1">
      <alignment/>
      <protection/>
    </xf>
    <xf numFmtId="6" fontId="0" fillId="0" borderId="0" xfId="44" applyNumberFormat="1" applyFont="1" applyAlignment="1" applyProtection="1">
      <alignment horizontal="right"/>
      <protection/>
    </xf>
    <xf numFmtId="6" fontId="0" fillId="0" borderId="0" xfId="44" applyNumberFormat="1" applyFont="1" applyFill="1" applyBorder="1" applyAlignment="1" applyProtection="1">
      <alignment horizontal="right"/>
      <protection/>
    </xf>
    <xf numFmtId="0" fontId="15" fillId="0" borderId="18" xfId="0" applyFont="1" applyBorder="1" applyAlignment="1" applyProtection="1">
      <alignment/>
      <protection/>
    </xf>
    <xf numFmtId="0" fontId="0" fillId="0" borderId="19" xfId="0" applyBorder="1" applyAlignment="1" applyProtection="1">
      <alignment/>
      <protection/>
    </xf>
    <xf numFmtId="0" fontId="0" fillId="0" borderId="16" xfId="0" applyBorder="1" applyAlignment="1" applyProtection="1" quotePrefix="1">
      <alignment/>
      <protection/>
    </xf>
    <xf numFmtId="174" fontId="0" fillId="0" borderId="12" xfId="44" applyNumberFormat="1" applyFont="1" applyFill="1" applyBorder="1" applyAlignment="1" applyProtection="1">
      <alignment/>
      <protection/>
    </xf>
    <xf numFmtId="0" fontId="16" fillId="0" borderId="16" xfId="0" applyFont="1" applyBorder="1" applyAlignment="1" applyProtection="1">
      <alignment/>
      <protection/>
    </xf>
    <xf numFmtId="0" fontId="0" fillId="0" borderId="20" xfId="0" applyBorder="1" applyAlignment="1" applyProtection="1">
      <alignment/>
      <protection/>
    </xf>
    <xf numFmtId="0" fontId="0" fillId="0" borderId="11" xfId="0" applyBorder="1" applyAlignment="1" applyProtection="1">
      <alignment/>
      <protection/>
    </xf>
    <xf numFmtId="0" fontId="2" fillId="0" borderId="0" xfId="0" applyFont="1" applyFill="1" applyAlignment="1" applyProtection="1">
      <alignment horizontal="center"/>
      <protection/>
    </xf>
    <xf numFmtId="6" fontId="0" fillId="0" borderId="0" xfId="44" applyNumberFormat="1" applyFont="1" applyBorder="1" applyAlignment="1" applyProtection="1">
      <alignment/>
      <protection/>
    </xf>
    <xf numFmtId="0" fontId="0" fillId="0" borderId="0" xfId="0" applyFont="1" applyBorder="1" applyAlignment="1" applyProtection="1">
      <alignment/>
      <protection/>
    </xf>
    <xf numFmtId="0" fontId="0" fillId="0" borderId="16" xfId="0" applyBorder="1" applyAlignment="1" applyProtection="1">
      <alignment/>
      <protection/>
    </xf>
    <xf numFmtId="0" fontId="0" fillId="0" borderId="12" xfId="0" applyBorder="1" applyAlignment="1" applyProtection="1">
      <alignment/>
      <protection/>
    </xf>
    <xf numFmtId="174" fontId="0" fillId="0" borderId="13" xfId="44" applyNumberFormat="1" applyFont="1" applyFill="1" applyBorder="1" applyAlignment="1" applyProtection="1">
      <alignment/>
      <protection/>
    </xf>
    <xf numFmtId="49" fontId="2" fillId="0" borderId="0" xfId="0" applyNumberFormat="1" applyFont="1" applyBorder="1" applyAlignment="1" applyProtection="1">
      <alignment/>
      <protection/>
    </xf>
    <xf numFmtId="10" fontId="0" fillId="0" borderId="12" xfId="59" applyNumberFormat="1" applyFont="1" applyFill="1" applyBorder="1" applyAlignment="1" applyProtection="1">
      <alignment/>
      <protection/>
    </xf>
    <xf numFmtId="0" fontId="0" fillId="0" borderId="15" xfId="0" applyBorder="1" applyAlignment="1" applyProtection="1">
      <alignment/>
      <protection/>
    </xf>
    <xf numFmtId="0" fontId="0" fillId="0" borderId="21" xfId="0" applyBorder="1" applyAlignment="1" applyProtection="1">
      <alignment/>
      <protection/>
    </xf>
    <xf numFmtId="0" fontId="2" fillId="0" borderId="0" xfId="0" applyFont="1" applyAlignment="1" applyProtection="1" quotePrefix="1">
      <alignment horizontal="right"/>
      <protection/>
    </xf>
    <xf numFmtId="0" fontId="2" fillId="0" borderId="0" xfId="0" applyFont="1" applyFill="1" applyAlignment="1" applyProtection="1" quotePrefix="1">
      <alignment horizontal="right"/>
      <protection/>
    </xf>
    <xf numFmtId="0" fontId="0" fillId="0" borderId="0" xfId="0" applyAlignment="1" applyProtection="1">
      <alignment/>
      <protection locked="0"/>
    </xf>
    <xf numFmtId="0" fontId="2" fillId="4" borderId="0" xfId="0" applyFont="1" applyFill="1" applyAlignment="1" applyProtection="1">
      <alignment/>
      <protection locked="0"/>
    </xf>
    <xf numFmtId="0" fontId="0" fillId="0" borderId="0" xfId="0" applyAlignment="1" applyProtection="1">
      <alignment/>
      <protection locked="0"/>
    </xf>
    <xf numFmtId="0" fontId="10" fillId="24" borderId="0" xfId="0" applyFont="1" applyFill="1" applyAlignment="1" applyProtection="1">
      <alignment horizontal="left" vertical="top" wrapText="1" indent="7"/>
      <protection/>
    </xf>
    <xf numFmtId="174" fontId="0" fillId="0" borderId="15" xfId="44" applyNumberFormat="1" applyFont="1" applyBorder="1" applyAlignment="1" applyProtection="1">
      <alignment horizontal="right"/>
      <protection/>
    </xf>
    <xf numFmtId="6" fontId="0" fillId="0" borderId="0" xfId="0" applyNumberFormat="1" applyFill="1" applyAlignment="1" applyProtection="1">
      <alignment/>
      <protection/>
    </xf>
    <xf numFmtId="0" fontId="5"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wrapText="1"/>
      <protection/>
    </xf>
    <xf numFmtId="177" fontId="0" fillId="4" borderId="0" xfId="0" applyNumberFormat="1" applyFill="1" applyAlignment="1" applyProtection="1">
      <alignment/>
      <protection locked="0"/>
    </xf>
    <xf numFmtId="0" fontId="2" fillId="24" borderId="0" xfId="0" applyFont="1" applyFill="1" applyBorder="1" applyAlignment="1" applyProtection="1" quotePrefix="1">
      <alignment vertical="top"/>
      <protection/>
    </xf>
    <xf numFmtId="0" fontId="22" fillId="24" borderId="0" xfId="0" applyFont="1" applyFill="1" applyAlignment="1" applyProtection="1">
      <alignment/>
      <protection/>
    </xf>
    <xf numFmtId="0" fontId="23" fillId="24" borderId="0" xfId="0" applyFont="1" applyFill="1" applyAlignment="1" applyProtection="1">
      <alignment horizontal="center" wrapText="1"/>
      <protection/>
    </xf>
    <xf numFmtId="0" fontId="23" fillId="24" borderId="0" xfId="0" applyFont="1" applyFill="1" applyBorder="1" applyAlignment="1" applyProtection="1">
      <alignment/>
      <protection/>
    </xf>
    <xf numFmtId="0" fontId="0" fillId="4" borderId="0" xfId="0" applyFill="1" applyAlignment="1" applyProtection="1">
      <alignment wrapText="1"/>
      <protection locked="0"/>
    </xf>
    <xf numFmtId="0" fontId="7" fillId="0" borderId="0" xfId="0" applyFont="1" applyBorder="1" applyAlignment="1" applyProtection="1">
      <alignment horizontal="left"/>
      <protection/>
    </xf>
    <xf numFmtId="0" fontId="5" fillId="20" borderId="0" xfId="0" applyFont="1" applyFill="1" applyAlignment="1" applyProtection="1">
      <alignment horizontal="center" vertical="center"/>
      <protection/>
    </xf>
    <xf numFmtId="174" fontId="0" fillId="0" borderId="0" xfId="44" applyNumberFormat="1" applyFont="1" applyFill="1" applyBorder="1" applyAlignment="1" applyProtection="1">
      <alignment horizontal="right"/>
      <protection/>
    </xf>
    <xf numFmtId="174" fontId="0" fillId="0" borderId="0" xfId="0" applyNumberFormat="1" applyAlignment="1" applyProtection="1">
      <alignment/>
      <protection/>
    </xf>
    <xf numFmtId="174" fontId="0" fillId="0" borderId="0" xfId="0" applyNumberFormat="1" applyBorder="1" applyAlignment="1" applyProtection="1">
      <alignment/>
      <protection/>
    </xf>
    <xf numFmtId="174" fontId="0" fillId="0" borderId="0" xfId="44" applyNumberFormat="1" applyFont="1" applyAlignment="1" applyProtection="1">
      <alignment horizontal="right"/>
      <protection/>
    </xf>
    <xf numFmtId="174" fontId="0" fillId="0" borderId="0" xfId="0" applyNumberFormat="1" applyFont="1" applyAlignment="1" applyProtection="1">
      <alignment horizontal="right"/>
      <protection/>
    </xf>
    <xf numFmtId="0" fontId="10" fillId="24" borderId="0" xfId="0" applyFont="1" applyFill="1" applyAlignment="1" applyProtection="1">
      <alignment horizontal="left" vertical="top" wrapText="1" indent="8"/>
      <protection/>
    </xf>
    <xf numFmtId="0" fontId="11" fillId="24" borderId="0" xfId="0" applyFont="1" applyFill="1" applyBorder="1" applyAlignment="1" applyProtection="1">
      <alignment horizontal="left" indent="8"/>
      <protection/>
    </xf>
    <xf numFmtId="0" fontId="20" fillId="24" borderId="0" xfId="0" applyFont="1" applyFill="1" applyBorder="1" applyAlignment="1" applyProtection="1">
      <alignment/>
      <protection/>
    </xf>
    <xf numFmtId="0" fontId="20" fillId="24" borderId="0" xfId="0" applyFont="1" applyFill="1" applyBorder="1" applyAlignment="1" applyProtection="1">
      <alignment/>
      <protection/>
    </xf>
    <xf numFmtId="6" fontId="0" fillId="0" borderId="0" xfId="44" applyNumberFormat="1" applyFont="1" applyFill="1" applyBorder="1" applyAlignment="1" applyProtection="1">
      <alignment/>
      <protection/>
    </xf>
    <xf numFmtId="49" fontId="7" fillId="0" borderId="0" xfId="0" applyNumberFormat="1" applyFont="1" applyBorder="1" applyAlignment="1" applyProtection="1">
      <alignment horizontal="left"/>
      <protection/>
    </xf>
    <xf numFmtId="174" fontId="0" fillId="0" borderId="0" xfId="0" applyNumberFormat="1" applyBorder="1" applyAlignment="1" applyProtection="1">
      <alignment horizontal="center"/>
      <protection/>
    </xf>
    <xf numFmtId="174" fontId="0" fillId="0" borderId="0" xfId="0" applyNumberFormat="1" applyBorder="1" applyAlignment="1" applyProtection="1">
      <alignment horizontal="right"/>
      <protection/>
    </xf>
    <xf numFmtId="174" fontId="0" fillId="0" borderId="0" xfId="0" applyNumberFormat="1" applyFill="1" applyBorder="1" applyAlignment="1" applyProtection="1">
      <alignment horizontal="right"/>
      <protection/>
    </xf>
    <xf numFmtId="174" fontId="0" fillId="0" borderId="0" xfId="0" applyNumberFormat="1" applyFill="1" applyBorder="1" applyAlignment="1" applyProtection="1">
      <alignment/>
      <protection/>
    </xf>
    <xf numFmtId="10" fontId="0" fillId="0" borderId="0" xfId="0" applyNumberFormat="1" applyBorder="1" applyAlignment="1" applyProtection="1">
      <alignment/>
      <protection/>
    </xf>
    <xf numFmtId="6" fontId="0" fillId="0" borderId="0" xfId="0" applyNumberFormat="1" applyFill="1" applyBorder="1" applyAlignment="1" applyProtection="1">
      <alignment horizontal="right"/>
      <protection/>
    </xf>
    <xf numFmtId="0" fontId="6" fillId="0" borderId="0" xfId="0" applyFont="1" applyFill="1" applyBorder="1" applyAlignment="1" applyProtection="1">
      <alignment/>
      <protection/>
    </xf>
    <xf numFmtId="9" fontId="0" fillId="0" borderId="0" xfId="59" applyFont="1" applyFill="1" applyBorder="1" applyAlignment="1" applyProtection="1">
      <alignment horizontal="right"/>
      <protection/>
    </xf>
    <xf numFmtId="0" fontId="2" fillId="0" borderId="0" xfId="0" applyFont="1" applyAlignment="1" applyProtection="1">
      <alignment wrapText="1"/>
      <protection/>
    </xf>
    <xf numFmtId="0" fontId="0" fillId="0" borderId="0" xfId="0" applyFont="1" applyFill="1" applyAlignment="1" applyProtection="1">
      <alignment wrapText="1"/>
      <protection/>
    </xf>
    <xf numFmtId="0" fontId="9" fillId="0" borderId="0" xfId="0" applyFont="1" applyAlignment="1" applyProtection="1" quotePrefix="1">
      <alignment/>
      <protection/>
    </xf>
    <xf numFmtId="0" fontId="2" fillId="0" borderId="0" xfId="0" applyFont="1" applyFill="1" applyBorder="1" applyAlignment="1" applyProtection="1">
      <alignment horizontal="center" wrapText="1"/>
      <protection/>
    </xf>
    <xf numFmtId="0" fontId="2" fillId="0" borderId="18" xfId="0" applyFont="1" applyBorder="1" applyAlignment="1" applyProtection="1">
      <alignment/>
      <protection/>
    </xf>
    <xf numFmtId="0" fontId="0" fillId="0" borderId="14" xfId="0" applyBorder="1" applyAlignment="1" applyProtection="1">
      <alignment horizontal="center"/>
      <protection/>
    </xf>
    <xf numFmtId="0" fontId="2" fillId="0" borderId="16" xfId="0" applyFont="1" applyBorder="1" applyAlignment="1" applyProtection="1">
      <alignment/>
      <protection/>
    </xf>
    <xf numFmtId="177" fontId="0" fillId="4" borderId="0" xfId="0" applyNumberFormat="1" applyFill="1" applyBorder="1" applyAlignment="1" applyProtection="1">
      <alignment/>
      <protection locked="0"/>
    </xf>
    <xf numFmtId="0" fontId="2" fillId="0" borderId="16" xfId="0" applyFont="1" applyBorder="1" applyAlignment="1" applyProtection="1">
      <alignment/>
      <protection/>
    </xf>
    <xf numFmtId="0" fontId="2" fillId="0" borderId="20" xfId="0" applyFont="1" applyBorder="1" applyAlignment="1" applyProtection="1">
      <alignment/>
      <protection/>
    </xf>
    <xf numFmtId="0" fontId="0" fillId="0" borderId="0" xfId="0" applyBorder="1" applyAlignment="1" applyProtection="1" quotePrefix="1">
      <alignment horizontal="center"/>
      <protection/>
    </xf>
    <xf numFmtId="0" fontId="2" fillId="0" borderId="0" xfId="0" applyFont="1" applyAlignment="1" applyProtection="1">
      <alignment vertical="top"/>
      <protection/>
    </xf>
    <xf numFmtId="172" fontId="0" fillId="0" borderId="0" xfId="59" applyNumberFormat="1" applyFont="1" applyFill="1" applyBorder="1" applyAlignment="1" applyProtection="1">
      <alignment/>
      <protection/>
    </xf>
    <xf numFmtId="172" fontId="0" fillId="0" borderId="17" xfId="59" applyNumberFormat="1" applyFont="1" applyFill="1" applyBorder="1" applyAlignment="1" applyProtection="1">
      <alignment/>
      <protection/>
    </xf>
    <xf numFmtId="0" fontId="2" fillId="0" borderId="0" xfId="0" applyFont="1" applyAlignment="1" applyProtection="1" quotePrefix="1">
      <alignment/>
      <protection/>
    </xf>
    <xf numFmtId="0" fontId="20" fillId="0" borderId="0" xfId="0" applyFont="1" applyAlignment="1" applyProtection="1">
      <alignment/>
      <protection/>
    </xf>
    <xf numFmtId="0" fontId="2" fillId="0" borderId="0" xfId="0" applyFont="1" applyAlignment="1" applyProtection="1">
      <alignment horizontal="center"/>
      <protection/>
    </xf>
    <xf numFmtId="0" fontId="2" fillId="0" borderId="12" xfId="0" applyFont="1" applyBorder="1" applyAlignment="1" applyProtection="1">
      <alignment horizontal="center"/>
      <protection/>
    </xf>
    <xf numFmtId="0" fontId="2" fillId="0" borderId="13" xfId="0" applyFont="1" applyBorder="1" applyAlignment="1" applyProtection="1" quotePrefix="1">
      <alignment horizontal="center"/>
      <protection/>
    </xf>
    <xf numFmtId="0" fontId="2" fillId="0" borderId="19" xfId="0" applyFont="1" applyBorder="1" applyAlignment="1" applyProtection="1">
      <alignment horizontal="center"/>
      <protection/>
    </xf>
    <xf numFmtId="0" fontId="2" fillId="0" borderId="22" xfId="0" applyFont="1" applyBorder="1" applyAlignment="1" applyProtection="1">
      <alignment horizontal="center"/>
      <protection/>
    </xf>
    <xf numFmtId="0" fontId="2" fillId="0" borderId="23" xfId="0" applyFont="1" applyBorder="1" applyAlignment="1" applyProtection="1" quotePrefix="1">
      <alignment horizontal="center"/>
      <protection/>
    </xf>
    <xf numFmtId="0" fontId="0" fillId="0" borderId="24" xfId="0" applyBorder="1" applyAlignment="1" applyProtection="1">
      <alignment/>
      <protection/>
    </xf>
    <xf numFmtId="0" fontId="0" fillId="0" borderId="25" xfId="0" applyBorder="1" applyAlignment="1" applyProtection="1">
      <alignment/>
      <protection/>
    </xf>
    <xf numFmtId="170" fontId="2" fillId="0" borderId="26" xfId="0" applyNumberFormat="1" applyFont="1" applyBorder="1" applyAlignment="1" applyProtection="1">
      <alignment/>
      <protection/>
    </xf>
    <xf numFmtId="0" fontId="0" fillId="0" borderId="27" xfId="0" applyBorder="1" applyAlignment="1" applyProtection="1">
      <alignment/>
      <protection/>
    </xf>
    <xf numFmtId="170" fontId="2" fillId="0" borderId="24" xfId="0" applyNumberFormat="1" applyFont="1" applyBorder="1" applyAlignment="1" applyProtection="1">
      <alignment/>
      <protection/>
    </xf>
    <xf numFmtId="174" fontId="0" fillId="0" borderId="0" xfId="44" applyNumberFormat="1" applyFont="1" applyAlignment="1" applyProtection="1">
      <alignment/>
      <protection/>
    </xf>
    <xf numFmtId="0" fontId="20" fillId="0" borderId="0" xfId="0" applyFont="1" applyFill="1" applyAlignment="1" applyProtection="1">
      <alignment/>
      <protection/>
    </xf>
    <xf numFmtId="10" fontId="0" fillId="0" borderId="28" xfId="59" applyNumberFormat="1" applyFill="1" applyBorder="1" applyAlignment="1" applyProtection="1">
      <alignment/>
      <protection/>
    </xf>
    <xf numFmtId="0" fontId="14" fillId="24" borderId="0" xfId="53" applyFont="1" applyFill="1" applyBorder="1" applyAlignment="1" applyProtection="1">
      <alignment/>
      <protection/>
    </xf>
    <xf numFmtId="0" fontId="0" fillId="0" borderId="0" xfId="0" applyFill="1" applyAlignment="1" applyProtection="1">
      <alignment wrapText="1"/>
      <protection/>
    </xf>
    <xf numFmtId="10" fontId="0" fillId="0" borderId="15" xfId="0" applyNumberFormat="1" applyBorder="1" applyAlignment="1" applyProtection="1">
      <alignment/>
      <protection/>
    </xf>
    <xf numFmtId="0" fontId="2" fillId="4" borderId="28" xfId="0" applyFont="1" applyFill="1" applyBorder="1" applyAlignment="1" applyProtection="1">
      <alignment/>
      <protection locked="0"/>
    </xf>
    <xf numFmtId="0" fontId="0" fillId="4" borderId="0" xfId="0" applyFill="1" applyAlignment="1" applyProtection="1">
      <alignment/>
      <protection locked="0"/>
    </xf>
    <xf numFmtId="10" fontId="0" fillId="4" borderId="28" xfId="59" applyNumberFormat="1" applyFont="1" applyFill="1" applyBorder="1" applyAlignment="1" applyProtection="1">
      <alignment/>
      <protection locked="0"/>
    </xf>
    <xf numFmtId="10" fontId="0" fillId="0" borderId="0" xfId="59" applyNumberFormat="1" applyFont="1" applyFill="1" applyAlignment="1" applyProtection="1">
      <alignment/>
      <protection/>
    </xf>
    <xf numFmtId="177" fontId="0" fillId="0" borderId="0" xfId="0" applyNumberFormat="1" applyFill="1" applyAlignment="1" applyProtection="1">
      <alignment/>
      <protection/>
    </xf>
    <xf numFmtId="177" fontId="2" fillId="0" borderId="0" xfId="0" applyNumberFormat="1" applyFont="1" applyFill="1" applyAlignment="1" applyProtection="1" quotePrefix="1">
      <alignment/>
      <protection/>
    </xf>
    <xf numFmtId="172" fontId="0" fillId="0" borderId="0" xfId="0" applyNumberFormat="1" applyFill="1" applyAlignment="1" applyProtection="1">
      <alignment/>
      <protection/>
    </xf>
    <xf numFmtId="10" fontId="0" fillId="0" borderId="0" xfId="0" applyNumberFormat="1" applyFill="1" applyAlignment="1" applyProtection="1">
      <alignment/>
      <protection/>
    </xf>
    <xf numFmtId="0" fontId="0" fillId="0" borderId="0" xfId="0" applyFill="1" applyAlignment="1" applyProtection="1">
      <alignment horizontal="left"/>
      <protection/>
    </xf>
    <xf numFmtId="177" fontId="0" fillId="4" borderId="0" xfId="0" applyNumberFormat="1" applyFill="1" applyAlignment="1" applyProtection="1">
      <alignment/>
      <protection locked="0"/>
    </xf>
    <xf numFmtId="177" fontId="0" fillId="0" borderId="0" xfId="0" applyNumberFormat="1" applyFill="1" applyAlignment="1" applyProtection="1" quotePrefix="1">
      <alignment/>
      <protection/>
    </xf>
    <xf numFmtId="0" fontId="2" fillId="0" borderId="0" xfId="0" applyFont="1" applyFill="1" applyAlignment="1" applyProtection="1" quotePrefix="1">
      <alignment/>
      <protection/>
    </xf>
    <xf numFmtId="177" fontId="0" fillId="0" borderId="0" xfId="0" applyNumberFormat="1" applyFill="1" applyBorder="1" applyAlignment="1" applyProtection="1">
      <alignment/>
      <protection/>
    </xf>
    <xf numFmtId="6" fontId="0" fillId="24" borderId="0" xfId="0" applyNumberFormat="1" applyFont="1" applyFill="1" applyBorder="1" applyAlignment="1" applyProtection="1">
      <alignment horizontal="center" vertical="center"/>
      <protection/>
    </xf>
    <xf numFmtId="6" fontId="0" fillId="24" borderId="0" xfId="0" applyNumberFormat="1" applyFont="1" applyFill="1" applyAlignment="1" applyProtection="1">
      <alignment/>
      <protection/>
    </xf>
    <xf numFmtId="6" fontId="0" fillId="0" borderId="0" xfId="0" applyNumberFormat="1" applyFont="1" applyBorder="1" applyAlignment="1" applyProtection="1">
      <alignment/>
      <protection/>
    </xf>
    <xf numFmtId="6" fontId="0" fillId="0" borderId="0" xfId="0" applyNumberFormat="1" applyFont="1" applyFill="1" applyBorder="1" applyAlignment="1" applyProtection="1">
      <alignment/>
      <protection/>
    </xf>
    <xf numFmtId="6" fontId="0" fillId="24" borderId="0" xfId="0" applyNumberFormat="1" applyFont="1" applyFill="1" applyBorder="1" applyAlignment="1" applyProtection="1">
      <alignment horizontal="right"/>
      <protection/>
    </xf>
    <xf numFmtId="6" fontId="0" fillId="24" borderId="0" xfId="0" applyNumberFormat="1" applyFont="1" applyFill="1" applyBorder="1" applyAlignment="1" applyProtection="1">
      <alignment/>
      <protection/>
    </xf>
    <xf numFmtId="6" fontId="0" fillId="24" borderId="0" xfId="0" applyNumberFormat="1" applyFont="1" applyFill="1" applyBorder="1" applyAlignment="1" applyProtection="1">
      <alignment/>
      <protection/>
    </xf>
    <xf numFmtId="6" fontId="0" fillId="0" borderId="0" xfId="0" applyNumberFormat="1" applyFont="1" applyFill="1" applyBorder="1" applyAlignment="1" applyProtection="1">
      <alignment horizontal="right"/>
      <protection/>
    </xf>
    <xf numFmtId="6" fontId="2" fillId="24" borderId="0" xfId="0" applyNumberFormat="1" applyFont="1" applyFill="1" applyBorder="1" applyAlignment="1" applyProtection="1" quotePrefix="1">
      <alignment horizontal="right"/>
      <protection/>
    </xf>
    <xf numFmtId="0" fontId="2" fillId="24" borderId="0" xfId="0" applyFont="1" applyFill="1" applyAlignment="1" applyProtection="1" quotePrefix="1">
      <alignment/>
      <protection/>
    </xf>
    <xf numFmtId="0" fontId="0" fillId="4" borderId="0" xfId="0" applyFill="1" applyAlignment="1" applyProtection="1">
      <alignment/>
      <protection/>
    </xf>
    <xf numFmtId="0" fontId="0" fillId="0" borderId="0" xfId="0" applyAlignment="1" applyProtection="1">
      <alignment vertical="top" wrapText="1"/>
      <protection/>
    </xf>
    <xf numFmtId="0" fontId="0" fillId="0" borderId="0" xfId="0" applyAlignment="1" applyProtection="1">
      <alignment vertical="top"/>
      <protection/>
    </xf>
    <xf numFmtId="0" fontId="0" fillId="22" borderId="0" xfId="0" applyFill="1" applyAlignment="1" applyProtection="1">
      <alignment vertical="top"/>
      <protection locked="0"/>
    </xf>
    <xf numFmtId="0" fontId="0" fillId="0" borderId="0" xfId="0" applyFill="1" applyAlignment="1" applyProtection="1">
      <alignment vertical="top"/>
      <protection/>
    </xf>
    <xf numFmtId="181" fontId="0" fillId="4" borderId="29" xfId="44" applyNumberFormat="1" applyFont="1" applyFill="1" applyBorder="1" applyAlignment="1" applyProtection="1">
      <alignment vertical="top"/>
      <protection locked="0"/>
    </xf>
    <xf numFmtId="0" fontId="0" fillId="0" borderId="29" xfId="0" applyFill="1" applyBorder="1" applyAlignment="1" applyProtection="1">
      <alignment vertical="top"/>
      <protection/>
    </xf>
    <xf numFmtId="170" fontId="0" fillId="0" borderId="12" xfId="44" applyFont="1" applyBorder="1" applyAlignment="1" applyProtection="1">
      <alignment vertical="top"/>
      <protection/>
    </xf>
    <xf numFmtId="0" fontId="0" fillId="0" borderId="12" xfId="0" applyFill="1" applyBorder="1" applyAlignment="1" applyProtection="1">
      <alignment vertical="top"/>
      <protection/>
    </xf>
    <xf numFmtId="170" fontId="0" fillId="0" borderId="29" xfId="0" applyNumberFormat="1" applyBorder="1" applyAlignment="1" applyProtection="1">
      <alignment vertical="top"/>
      <protection/>
    </xf>
    <xf numFmtId="0" fontId="0" fillId="0" borderId="12" xfId="0" applyBorder="1" applyAlignment="1" applyProtection="1">
      <alignment vertical="top"/>
      <protection/>
    </xf>
    <xf numFmtId="0" fontId="0" fillId="4" borderId="0" xfId="0" applyFill="1" applyAlignment="1" applyProtection="1">
      <alignment vertical="top"/>
      <protection locked="0"/>
    </xf>
    <xf numFmtId="0" fontId="0" fillId="4" borderId="29" xfId="0" applyFill="1" applyBorder="1" applyAlignment="1" applyProtection="1">
      <alignment vertical="top"/>
      <protection locked="0"/>
    </xf>
    <xf numFmtId="0" fontId="0" fillId="4" borderId="12" xfId="0" applyFill="1" applyBorder="1" applyAlignment="1" applyProtection="1">
      <alignment vertical="top"/>
      <protection locked="0"/>
    </xf>
    <xf numFmtId="0" fontId="0" fillId="0" borderId="0" xfId="0" applyAlignment="1" applyProtection="1">
      <alignment vertical="center"/>
      <protection/>
    </xf>
    <xf numFmtId="0" fontId="0" fillId="0" borderId="0" xfId="0" applyFill="1" applyAlignment="1" applyProtection="1">
      <alignment vertical="center"/>
      <protection/>
    </xf>
    <xf numFmtId="181" fontId="0" fillId="4" borderId="29" xfId="44" applyNumberFormat="1" applyFont="1" applyFill="1" applyBorder="1" applyAlignment="1" applyProtection="1">
      <alignment vertical="center"/>
      <protection locked="0"/>
    </xf>
    <xf numFmtId="0" fontId="0" fillId="0" borderId="29" xfId="0" applyFill="1" applyBorder="1" applyAlignment="1" applyProtection="1">
      <alignment vertical="center"/>
      <protection/>
    </xf>
    <xf numFmtId="170" fontId="0" fillId="0" borderId="12" xfId="44" applyFont="1" applyBorder="1" applyAlignment="1" applyProtection="1">
      <alignment vertical="center"/>
      <protection/>
    </xf>
    <xf numFmtId="0" fontId="0" fillId="0" borderId="12" xfId="0" applyFill="1" applyBorder="1" applyAlignment="1" applyProtection="1">
      <alignment vertical="center"/>
      <protection/>
    </xf>
    <xf numFmtId="170" fontId="0" fillId="0" borderId="29" xfId="0" applyNumberFormat="1" applyBorder="1" applyAlignment="1" applyProtection="1">
      <alignment vertical="center"/>
      <protection/>
    </xf>
    <xf numFmtId="0" fontId="0" fillId="0" borderId="0" xfId="0" applyAlignment="1" applyProtection="1">
      <alignment vertical="center" wrapText="1"/>
      <protection/>
    </xf>
    <xf numFmtId="0" fontId="2" fillId="0" borderId="0" xfId="0" applyFont="1" applyAlignment="1" applyProtection="1">
      <alignment vertical="top" wrapText="1"/>
      <protection/>
    </xf>
    <xf numFmtId="0" fontId="0" fillId="0" borderId="24" xfId="0" applyBorder="1" applyAlignment="1" applyProtection="1">
      <alignment vertical="top"/>
      <protection/>
    </xf>
    <xf numFmtId="0" fontId="0" fillId="0" borderId="25" xfId="0" applyBorder="1" applyAlignment="1" applyProtection="1">
      <alignment vertical="top"/>
      <protection/>
    </xf>
    <xf numFmtId="170" fontId="2" fillId="0" borderId="26" xfId="0" applyNumberFormat="1" applyFont="1" applyBorder="1" applyAlignment="1" applyProtection="1">
      <alignment vertical="top"/>
      <protection/>
    </xf>
    <xf numFmtId="0" fontId="2" fillId="0" borderId="24" xfId="0" applyFont="1" applyBorder="1" applyAlignment="1" applyProtection="1">
      <alignment vertical="top"/>
      <protection/>
    </xf>
    <xf numFmtId="0" fontId="2" fillId="0" borderId="27" xfId="0" applyFont="1" applyBorder="1" applyAlignment="1" applyProtection="1">
      <alignment vertical="top"/>
      <protection/>
    </xf>
    <xf numFmtId="170" fontId="2" fillId="0" borderId="24" xfId="0" applyNumberFormat="1" applyFont="1" applyBorder="1" applyAlignment="1" applyProtection="1">
      <alignment vertical="top"/>
      <protection/>
    </xf>
    <xf numFmtId="0" fontId="2" fillId="0" borderId="0" xfId="0" applyFont="1" applyFill="1" applyAlignment="1" applyProtection="1">
      <alignment vertical="top"/>
      <protection/>
    </xf>
    <xf numFmtId="9" fontId="0" fillId="0" borderId="24" xfId="0" applyNumberFormat="1" applyBorder="1" applyAlignment="1" applyProtection="1">
      <alignment vertical="top"/>
      <protection/>
    </xf>
    <xf numFmtId="9" fontId="0" fillId="0" borderId="25" xfId="0" applyNumberFormat="1" applyBorder="1" applyAlignment="1" applyProtection="1">
      <alignment vertical="top"/>
      <protection/>
    </xf>
    <xf numFmtId="9" fontId="2" fillId="0" borderId="24" xfId="0" applyNumberFormat="1" applyFont="1" applyBorder="1" applyAlignment="1" applyProtection="1">
      <alignment vertical="top"/>
      <protection/>
    </xf>
    <xf numFmtId="9" fontId="2" fillId="0" borderId="27" xfId="0" applyNumberFormat="1" applyFont="1" applyBorder="1" applyAlignment="1" applyProtection="1">
      <alignment vertical="top"/>
      <protection/>
    </xf>
    <xf numFmtId="9" fontId="0" fillId="4" borderId="29" xfId="0" applyNumberFormat="1" applyFill="1" applyBorder="1" applyAlignment="1" applyProtection="1">
      <alignment vertical="top"/>
      <protection locked="0"/>
    </xf>
    <xf numFmtId="0" fontId="0" fillId="0" borderId="29" xfId="0" applyBorder="1" applyAlignment="1" applyProtection="1">
      <alignment vertical="top"/>
      <protection/>
    </xf>
    <xf numFmtId="170" fontId="0" fillId="0" borderId="12" xfId="0" applyNumberFormat="1" applyBorder="1" applyAlignment="1" applyProtection="1">
      <alignment vertical="top"/>
      <protection/>
    </xf>
    <xf numFmtId="189" fontId="0" fillId="4" borderId="29" xfId="44" applyNumberFormat="1" applyFont="1" applyFill="1" applyBorder="1" applyAlignment="1" applyProtection="1">
      <alignment vertical="top"/>
      <protection locked="0"/>
    </xf>
    <xf numFmtId="10" fontId="0" fillId="0" borderId="12" xfId="59" applyNumberFormat="1" applyFont="1" applyBorder="1" applyAlignment="1" applyProtection="1">
      <alignment vertical="top"/>
      <protection/>
    </xf>
    <xf numFmtId="10" fontId="2" fillId="0" borderId="26" xfId="59" applyNumberFormat="1" applyFont="1" applyBorder="1" applyAlignment="1" applyProtection="1">
      <alignment/>
      <protection/>
    </xf>
    <xf numFmtId="10" fontId="0" fillId="0" borderId="12" xfId="59" applyNumberFormat="1" applyFont="1" applyBorder="1" applyAlignment="1" applyProtection="1">
      <alignment vertical="center"/>
      <protection/>
    </xf>
    <xf numFmtId="10" fontId="2" fillId="0" borderId="26" xfId="59" applyNumberFormat="1" applyFont="1" applyBorder="1" applyAlignment="1" applyProtection="1">
      <alignment vertical="top"/>
      <protection/>
    </xf>
    <xf numFmtId="181" fontId="0" fillId="4" borderId="29" xfId="44" applyNumberFormat="1" applyFill="1" applyBorder="1" applyAlignment="1" applyProtection="1">
      <alignment vertical="top"/>
      <protection locked="0"/>
    </xf>
    <xf numFmtId="170" fontId="0" fillId="0" borderId="12" xfId="44" applyBorder="1" applyAlignment="1" applyProtection="1">
      <alignment vertical="top"/>
      <protection/>
    </xf>
    <xf numFmtId="0" fontId="0" fillId="0" borderId="27" xfId="0" applyBorder="1" applyAlignment="1" applyProtection="1">
      <alignment vertical="top"/>
      <protection/>
    </xf>
    <xf numFmtId="9" fontId="0" fillId="0" borderId="29" xfId="0" applyNumberFormat="1" applyFill="1" applyBorder="1" applyAlignment="1" applyProtection="1">
      <alignment vertical="top"/>
      <protection/>
    </xf>
    <xf numFmtId="0" fontId="0" fillId="0" borderId="16" xfId="0" applyBorder="1" applyAlignment="1" applyProtection="1">
      <alignment vertical="top"/>
      <protection/>
    </xf>
    <xf numFmtId="0" fontId="2" fillId="0" borderId="0" xfId="0" applyFont="1" applyBorder="1" applyAlignment="1" applyProtection="1">
      <alignment vertical="top"/>
      <protection/>
    </xf>
    <xf numFmtId="174" fontId="0" fillId="0" borderId="12" xfId="44" applyNumberFormat="1" applyFont="1" applyBorder="1" applyAlignment="1" applyProtection="1">
      <alignment vertical="top"/>
      <protection/>
    </xf>
    <xf numFmtId="174" fontId="0" fillId="0" borderId="16" xfId="44" applyNumberFormat="1" applyFont="1" applyBorder="1" applyAlignment="1" applyProtection="1">
      <alignment vertical="top"/>
      <protection/>
    </xf>
    <xf numFmtId="174" fontId="0" fillId="0" borderId="20" xfId="44" applyNumberFormat="1" applyFont="1" applyBorder="1" applyAlignment="1" applyProtection="1">
      <alignment vertical="top"/>
      <protection/>
    </xf>
    <xf numFmtId="174" fontId="0" fillId="0" borderId="13" xfId="44" applyNumberFormat="1" applyFont="1" applyBorder="1" applyAlignment="1" applyProtection="1">
      <alignment vertical="top"/>
      <protection/>
    </xf>
    <xf numFmtId="174" fontId="0" fillId="0" borderId="30" xfId="44" applyNumberFormat="1" applyFont="1" applyBorder="1" applyAlignment="1" applyProtection="1">
      <alignment vertical="top"/>
      <protection/>
    </xf>
    <xf numFmtId="174" fontId="0" fillId="0" borderId="31" xfId="44" applyNumberFormat="1" applyFont="1" applyBorder="1" applyAlignment="1" applyProtection="1">
      <alignment vertical="top"/>
      <protection/>
    </xf>
    <xf numFmtId="174" fontId="0" fillId="0" borderId="30" xfId="0" applyNumberFormat="1" applyBorder="1" applyAlignment="1" applyProtection="1">
      <alignment vertical="top"/>
      <protection/>
    </xf>
    <xf numFmtId="174" fontId="0" fillId="0" borderId="16" xfId="0" applyNumberFormat="1" applyBorder="1" applyAlignment="1" applyProtection="1">
      <alignment vertical="top"/>
      <protection/>
    </xf>
    <xf numFmtId="174" fontId="0" fillId="0" borderId="12" xfId="0" applyNumberFormat="1" applyBorder="1" applyAlignment="1" applyProtection="1">
      <alignment vertical="top"/>
      <protection/>
    </xf>
    <xf numFmtId="10" fontId="0" fillId="0" borderId="16" xfId="59" applyNumberFormat="1" applyFont="1" applyBorder="1" applyAlignment="1" applyProtection="1">
      <alignment vertical="top"/>
      <protection/>
    </xf>
    <xf numFmtId="10" fontId="2" fillId="0" borderId="0" xfId="0" applyNumberFormat="1" applyFont="1" applyBorder="1" applyAlignment="1" applyProtection="1">
      <alignment vertical="top"/>
      <protection/>
    </xf>
    <xf numFmtId="10" fontId="0" fillId="0" borderId="0" xfId="0" applyNumberFormat="1" applyAlignment="1" applyProtection="1">
      <alignment vertical="top"/>
      <protection/>
    </xf>
    <xf numFmtId="174" fontId="0" fillId="0" borderId="16" xfId="44" applyNumberFormat="1" applyFont="1" applyFill="1" applyBorder="1" applyAlignment="1" applyProtection="1">
      <alignment vertical="top"/>
      <protection/>
    </xf>
    <xf numFmtId="0" fontId="2" fillId="0" borderId="0" xfId="0" applyFont="1" applyFill="1" applyBorder="1" applyAlignment="1" applyProtection="1">
      <alignment vertical="top"/>
      <protection/>
    </xf>
    <xf numFmtId="174" fontId="0" fillId="0" borderId="12" xfId="0" applyNumberFormat="1" applyFont="1" applyFill="1" applyBorder="1" applyAlignment="1" applyProtection="1">
      <alignment vertical="top"/>
      <protection/>
    </xf>
    <xf numFmtId="173" fontId="0" fillId="0" borderId="16" xfId="44" applyNumberFormat="1" applyFont="1" applyFill="1" applyBorder="1" applyAlignment="1" applyProtection="1">
      <alignment vertical="top"/>
      <protection/>
    </xf>
    <xf numFmtId="173" fontId="0" fillId="0" borderId="12" xfId="0" applyNumberFormat="1" applyFont="1" applyFill="1" applyBorder="1" applyAlignment="1" applyProtection="1">
      <alignment vertical="top"/>
      <protection/>
    </xf>
    <xf numFmtId="10" fontId="0" fillId="0" borderId="20" xfId="59" applyNumberFormat="1" applyFont="1" applyBorder="1" applyAlignment="1" applyProtection="1">
      <alignment vertical="top"/>
      <protection/>
    </xf>
    <xf numFmtId="10" fontId="0" fillId="0" borderId="13" xfId="59" applyNumberFormat="1" applyFont="1" applyBorder="1" applyAlignment="1" applyProtection="1">
      <alignment vertical="top"/>
      <protection/>
    </xf>
    <xf numFmtId="10" fontId="0" fillId="0" borderId="20" xfId="0" applyNumberFormat="1" applyBorder="1" applyAlignment="1" applyProtection="1">
      <alignment vertical="top"/>
      <protection/>
    </xf>
    <xf numFmtId="10" fontId="0" fillId="0" borderId="16" xfId="0" applyNumberFormat="1" applyBorder="1" applyAlignment="1" applyProtection="1">
      <alignment vertical="top"/>
      <protection/>
    </xf>
    <xf numFmtId="10" fontId="0" fillId="0" borderId="13" xfId="0" applyNumberFormat="1" applyBorder="1" applyAlignment="1" applyProtection="1">
      <alignment vertical="top"/>
      <protection/>
    </xf>
    <xf numFmtId="10" fontId="0" fillId="0" borderId="12" xfId="0" applyNumberFormat="1" applyBorder="1" applyAlignment="1" applyProtection="1">
      <alignment vertical="top"/>
      <protection/>
    </xf>
    <xf numFmtId="6" fontId="2" fillId="0" borderId="0" xfId="0" applyNumberFormat="1" applyFont="1" applyBorder="1" applyAlignment="1" applyProtection="1">
      <alignment vertical="top"/>
      <protection/>
    </xf>
    <xf numFmtId="6" fontId="0" fillId="0" borderId="0" xfId="0" applyNumberFormat="1" applyAlignment="1" applyProtection="1">
      <alignment vertical="top"/>
      <protection/>
    </xf>
    <xf numFmtId="6" fontId="2" fillId="0" borderId="11" xfId="0" applyNumberFormat="1" applyFont="1" applyBorder="1" applyAlignment="1" applyProtection="1" quotePrefix="1">
      <alignment vertical="top"/>
      <protection/>
    </xf>
    <xf numFmtId="6" fontId="0" fillId="0" borderId="13" xfId="0" applyNumberFormat="1" applyBorder="1" applyAlignment="1" applyProtection="1">
      <alignment vertical="top"/>
      <protection/>
    </xf>
    <xf numFmtId="174" fontId="0" fillId="4" borderId="0" xfId="44" applyNumberFormat="1" applyFont="1" applyFill="1" applyAlignment="1" applyProtection="1">
      <alignment vertical="top"/>
      <protection locked="0"/>
    </xf>
    <xf numFmtId="174" fontId="0" fillId="0" borderId="0" xfId="44" applyNumberFormat="1" applyFont="1" applyFill="1" applyAlignment="1" applyProtection="1">
      <alignment vertical="top"/>
      <protection/>
    </xf>
    <xf numFmtId="177" fontId="0" fillId="4" borderId="0" xfId="0" applyNumberFormat="1" applyFill="1" applyAlignment="1" applyProtection="1">
      <alignment vertical="top"/>
      <protection locked="0"/>
    </xf>
    <xf numFmtId="173" fontId="0" fillId="0" borderId="0" xfId="44" applyNumberFormat="1" applyFont="1" applyFill="1" applyBorder="1" applyAlignment="1" applyProtection="1">
      <alignment vertical="top"/>
      <protection/>
    </xf>
    <xf numFmtId="6" fontId="0" fillId="0" borderId="0" xfId="44" applyNumberFormat="1" applyFont="1" applyFill="1" applyAlignment="1" applyProtection="1">
      <alignment vertical="top"/>
      <protection/>
    </xf>
    <xf numFmtId="173" fontId="0" fillId="0" borderId="0" xfId="44" applyNumberFormat="1" applyFont="1" applyFill="1" applyAlignment="1" applyProtection="1">
      <alignment vertical="top"/>
      <protection/>
    </xf>
    <xf numFmtId="6" fontId="0" fillId="0" borderId="0" xfId="0" applyNumberFormat="1" applyFill="1" applyAlignment="1" applyProtection="1">
      <alignment vertical="top"/>
      <protection/>
    </xf>
    <xf numFmtId="173" fontId="0" fillId="0" borderId="0" xfId="44" applyNumberFormat="1" applyFont="1" applyAlignment="1" applyProtection="1">
      <alignment vertical="top"/>
      <protection/>
    </xf>
    <xf numFmtId="10" fontId="0" fillId="4" borderId="0" xfId="59" applyNumberFormat="1" applyFont="1" applyFill="1" applyAlignment="1" applyProtection="1">
      <alignment vertical="top"/>
      <protection locked="0"/>
    </xf>
    <xf numFmtId="10" fontId="0" fillId="0" borderId="0" xfId="59" applyNumberFormat="1" applyFont="1" applyFill="1" applyAlignment="1" applyProtection="1">
      <alignment vertical="top"/>
      <protection/>
    </xf>
    <xf numFmtId="177" fontId="0" fillId="0" borderId="0" xfId="0" applyNumberFormat="1" applyFill="1" applyAlignment="1" applyProtection="1">
      <alignment vertical="top"/>
      <protection/>
    </xf>
    <xf numFmtId="0" fontId="2" fillId="4" borderId="0" xfId="0" applyFont="1" applyFill="1" applyAlignment="1" applyProtection="1" quotePrefix="1">
      <alignment vertical="top"/>
      <protection locked="0"/>
    </xf>
    <xf numFmtId="0" fontId="0" fillId="0" borderId="0" xfId="0" applyFill="1" applyBorder="1" applyAlignment="1" applyProtection="1">
      <alignment vertical="top"/>
      <protection/>
    </xf>
    <xf numFmtId="6" fontId="0" fillId="0" borderId="0" xfId="0" applyNumberFormat="1" applyFill="1" applyBorder="1" applyAlignment="1" applyProtection="1">
      <alignment vertical="top"/>
      <protection/>
    </xf>
    <xf numFmtId="177" fontId="2" fillId="0" borderId="0" xfId="0" applyNumberFormat="1" applyFont="1" applyFill="1" applyAlignment="1" applyProtection="1" quotePrefix="1">
      <alignment vertical="top"/>
      <protection/>
    </xf>
    <xf numFmtId="172" fontId="0" fillId="4" borderId="0" xfId="0" applyNumberFormat="1" applyFill="1" applyAlignment="1" applyProtection="1">
      <alignment vertical="top"/>
      <protection locked="0"/>
    </xf>
    <xf numFmtId="172" fontId="0" fillId="0" borderId="0" xfId="0" applyNumberFormat="1" applyFill="1" applyAlignment="1" applyProtection="1">
      <alignment vertical="top"/>
      <protection/>
    </xf>
    <xf numFmtId="172" fontId="0" fillId="4" borderId="0" xfId="0" applyNumberFormat="1" applyFill="1" applyBorder="1" applyAlignment="1" applyProtection="1">
      <alignment vertical="top"/>
      <protection locked="0"/>
    </xf>
    <xf numFmtId="172" fontId="0" fillId="0" borderId="32" xfId="0" applyNumberFormat="1" applyFill="1" applyBorder="1" applyAlignment="1" applyProtection="1">
      <alignment vertical="top"/>
      <protection/>
    </xf>
    <xf numFmtId="9" fontId="8" fillId="0" borderId="0" xfId="59" applyFont="1" applyFill="1" applyAlignment="1" applyProtection="1">
      <alignment vertical="top" wrapText="1"/>
      <protection/>
    </xf>
    <xf numFmtId="9" fontId="0" fillId="0" borderId="0" xfId="59" applyFont="1" applyFill="1" applyAlignment="1" applyProtection="1">
      <alignment vertical="top"/>
      <protection/>
    </xf>
    <xf numFmtId="10" fontId="0" fillId="4" borderId="0" xfId="0" applyNumberFormat="1" applyFill="1" applyAlignment="1" applyProtection="1">
      <alignment vertical="top"/>
      <protection locked="0"/>
    </xf>
    <xf numFmtId="10" fontId="0" fillId="0" borderId="0" xfId="0" applyNumberFormat="1" applyFill="1" applyAlignment="1" applyProtection="1">
      <alignment vertical="top"/>
      <protection/>
    </xf>
    <xf numFmtId="174" fontId="0" fillId="0" borderId="11" xfId="44" applyNumberFormat="1" applyFont="1" applyFill="1" applyBorder="1" applyAlignment="1" applyProtection="1">
      <alignment vertical="top"/>
      <protection/>
    </xf>
    <xf numFmtId="174" fontId="0" fillId="0" borderId="0" xfId="44" applyNumberFormat="1" applyFont="1" applyFill="1" applyBorder="1" applyAlignment="1" applyProtection="1">
      <alignment vertical="top"/>
      <protection/>
    </xf>
    <xf numFmtId="174" fontId="0" fillId="0" borderId="0" xfId="44" applyNumberFormat="1" applyFont="1" applyBorder="1" applyAlignment="1" applyProtection="1">
      <alignment vertical="top"/>
      <protection/>
    </xf>
    <xf numFmtId="6" fontId="0" fillId="0" borderId="0" xfId="44" applyNumberFormat="1" applyFont="1" applyAlignment="1" applyProtection="1">
      <alignment vertical="top"/>
      <protection/>
    </xf>
    <xf numFmtId="174" fontId="0" fillId="0" borderId="0" xfId="44" applyNumberFormat="1" applyFont="1" applyAlignment="1" applyProtection="1">
      <alignment vertical="top"/>
      <protection/>
    </xf>
    <xf numFmtId="174" fontId="0" fillId="0" borderId="0" xfId="44" applyNumberFormat="1" applyFont="1" applyBorder="1" applyAlignment="1" applyProtection="1">
      <alignment horizontal="right" vertical="top"/>
      <protection/>
    </xf>
    <xf numFmtId="174" fontId="0" fillId="0" borderId="11" xfId="44" applyNumberFormat="1" applyFont="1" applyBorder="1" applyAlignment="1" applyProtection="1">
      <alignment horizontal="right" vertical="top"/>
      <protection/>
    </xf>
    <xf numFmtId="6" fontId="0" fillId="0" borderId="0" xfId="0" applyNumberFormat="1" applyBorder="1" applyAlignment="1" applyProtection="1">
      <alignment vertical="top"/>
      <protection/>
    </xf>
    <xf numFmtId="174" fontId="0" fillId="0" borderId="0" xfId="0" applyNumberFormat="1" applyAlignment="1" applyProtection="1">
      <alignment vertical="top"/>
      <protection/>
    </xf>
    <xf numFmtId="174" fontId="0" fillId="0" borderId="15" xfId="0" applyNumberFormat="1" applyFill="1" applyBorder="1" applyAlignment="1" applyProtection="1">
      <alignment vertical="top"/>
      <protection/>
    </xf>
    <xf numFmtId="174" fontId="0" fillId="0" borderId="0" xfId="0" applyNumberFormat="1" applyFill="1" applyBorder="1" applyAlignment="1" applyProtection="1">
      <alignment vertical="top"/>
      <protection/>
    </xf>
    <xf numFmtId="174" fontId="6" fillId="0" borderId="0" xfId="0" applyNumberFormat="1" applyFont="1" applyAlignment="1" applyProtection="1">
      <alignment vertical="top"/>
      <protection/>
    </xf>
    <xf numFmtId="6" fontId="6" fillId="0" borderId="0" xfId="0" applyNumberFormat="1" applyFont="1" applyBorder="1" applyAlignment="1" applyProtection="1">
      <alignment vertical="top"/>
      <protection/>
    </xf>
    <xf numFmtId="174" fontId="0" fillId="0" borderId="0" xfId="0" applyNumberFormat="1" applyFont="1" applyFill="1" applyAlignment="1" applyProtection="1">
      <alignment vertical="top"/>
      <protection/>
    </xf>
    <xf numFmtId="174" fontId="0" fillId="0" borderId="0" xfId="44" applyNumberFormat="1" applyFont="1" applyFill="1" applyBorder="1" applyAlignment="1" applyProtection="1" quotePrefix="1">
      <alignment vertical="top"/>
      <protection/>
    </xf>
    <xf numFmtId="177" fontId="0" fillId="0" borderId="0" xfId="0" applyNumberFormat="1" applyFill="1" applyAlignment="1" applyProtection="1" quotePrefix="1">
      <alignment vertical="top"/>
      <protection/>
    </xf>
    <xf numFmtId="6" fontId="0" fillId="0" borderId="0" xfId="0" applyNumberFormat="1" applyBorder="1" applyAlignment="1" applyProtection="1">
      <alignment horizontal="right" vertical="top"/>
      <protection/>
    </xf>
    <xf numFmtId="6" fontId="0" fillId="0" borderId="0" xfId="0" applyNumberFormat="1" applyFill="1" applyBorder="1" applyAlignment="1" applyProtection="1">
      <alignment horizontal="right" vertical="top"/>
      <protection/>
    </xf>
    <xf numFmtId="174" fontId="0" fillId="0" borderId="0" xfId="44" applyNumberFormat="1" applyFont="1" applyBorder="1" applyAlignment="1" applyProtection="1">
      <alignment horizontal="center" vertical="top"/>
      <protection/>
    </xf>
    <xf numFmtId="174" fontId="0" fillId="0" borderId="15" xfId="44" applyNumberFormat="1" applyFont="1" applyBorder="1" applyAlignment="1" applyProtection="1">
      <alignment horizontal="right" vertical="top"/>
      <protection/>
    </xf>
    <xf numFmtId="177" fontId="0" fillId="0" borderId="0" xfId="0" applyNumberFormat="1" applyFill="1" applyAlignment="1" applyProtection="1">
      <alignment vertical="top"/>
      <protection locked="0"/>
    </xf>
    <xf numFmtId="177" fontId="2" fillId="0" borderId="0" xfId="0" applyNumberFormat="1" applyFont="1" applyFill="1" applyAlignment="1" applyProtection="1" quotePrefix="1">
      <alignment vertical="top" wrapText="1"/>
      <protection/>
    </xf>
    <xf numFmtId="0" fontId="0" fillId="0" borderId="0" xfId="0" applyFill="1" applyAlignment="1" applyProtection="1" quotePrefix="1">
      <alignment vertical="top" wrapText="1"/>
      <protection/>
    </xf>
    <xf numFmtId="6" fontId="0" fillId="0" borderId="0" xfId="44" applyNumberFormat="1" applyFont="1" applyAlignment="1" applyProtection="1">
      <alignment/>
      <protection/>
    </xf>
    <xf numFmtId="6" fontId="0" fillId="0" borderId="0" xfId="44" applyNumberFormat="1" applyFont="1" applyFill="1" applyAlignment="1" applyProtection="1">
      <alignment/>
      <protection/>
    </xf>
    <xf numFmtId="2" fontId="23" fillId="24" borderId="0" xfId="0" applyNumberFormat="1" applyFont="1" applyFill="1" applyBorder="1" applyAlignment="1" applyProtection="1">
      <alignment horizontal="left" indent="1"/>
      <protection/>
    </xf>
    <xf numFmtId="174" fontId="0" fillId="0" borderId="21" xfId="0" applyNumberFormat="1" applyBorder="1" applyAlignment="1" applyProtection="1">
      <alignment horizontal="right"/>
      <protection/>
    </xf>
    <xf numFmtId="174" fontId="0" fillId="0" borderId="32" xfId="44" applyNumberFormat="1" applyFont="1" applyBorder="1" applyAlignment="1" applyProtection="1">
      <alignment horizontal="right"/>
      <protection/>
    </xf>
    <xf numFmtId="174" fontId="0" fillId="0" borderId="11" xfId="44" applyNumberFormat="1" applyFont="1" applyBorder="1" applyAlignment="1" applyProtection="1">
      <alignment horizontal="right"/>
      <protection/>
    </xf>
    <xf numFmtId="174" fontId="0" fillId="0" borderId="14" xfId="44" applyNumberFormat="1" applyFont="1" applyFill="1" applyBorder="1" applyAlignment="1" applyProtection="1">
      <alignment horizontal="right"/>
      <protection/>
    </xf>
    <xf numFmtId="174" fontId="0" fillId="0" borderId="15" xfId="44" applyNumberFormat="1" applyFont="1" applyFill="1" applyBorder="1" applyAlignment="1" applyProtection="1">
      <alignment horizontal="right"/>
      <protection/>
    </xf>
    <xf numFmtId="174" fontId="0" fillId="0" borderId="0" xfId="44" applyNumberFormat="1" applyFont="1" applyBorder="1" applyAlignment="1" applyProtection="1">
      <alignment horizontal="right"/>
      <protection/>
    </xf>
    <xf numFmtId="174" fontId="0" fillId="0" borderId="14" xfId="44" applyNumberFormat="1" applyFont="1" applyBorder="1" applyAlignment="1" applyProtection="1">
      <alignment/>
      <protection/>
    </xf>
    <xf numFmtId="174" fontId="0" fillId="0" borderId="15" xfId="44" applyNumberFormat="1" applyFont="1" applyBorder="1" applyAlignment="1" applyProtection="1">
      <alignment/>
      <protection/>
    </xf>
    <xf numFmtId="174" fontId="0" fillId="0" borderId="14" xfId="0" applyNumberFormat="1" applyBorder="1" applyAlignment="1" applyProtection="1">
      <alignment horizontal="right"/>
      <protection/>
    </xf>
    <xf numFmtId="174" fontId="0" fillId="0" borderId="15" xfId="0" applyNumberFormat="1" applyBorder="1" applyAlignment="1" applyProtection="1">
      <alignment horizontal="right"/>
      <protection/>
    </xf>
    <xf numFmtId="174" fontId="0" fillId="0" borderId="19" xfId="0" applyNumberFormat="1" applyBorder="1" applyAlignment="1" applyProtection="1">
      <alignment horizontal="right"/>
      <protection/>
    </xf>
    <xf numFmtId="0" fontId="2" fillId="25" borderId="33" xfId="0" applyFont="1" applyFill="1" applyBorder="1" applyAlignment="1" applyProtection="1">
      <alignment horizontal="left"/>
      <protection/>
    </xf>
    <xf numFmtId="174" fontId="0" fillId="0" borderId="14" xfId="44" applyNumberFormat="1" applyFont="1" applyBorder="1" applyAlignment="1" applyProtection="1">
      <alignment horizontal="right"/>
      <protection/>
    </xf>
    <xf numFmtId="174" fontId="0" fillId="0" borderId="15" xfId="44" applyNumberFormat="1" applyFont="1" applyBorder="1" applyAlignment="1" applyProtection="1">
      <alignment horizontal="right"/>
      <protection/>
    </xf>
    <xf numFmtId="0" fontId="10" fillId="24" borderId="0" xfId="0" applyFont="1" applyFill="1" applyAlignment="1" applyProtection="1">
      <alignment horizontal="left" vertical="top" wrapText="1" indent="7"/>
      <protection/>
    </xf>
    <xf numFmtId="0" fontId="7" fillId="0" borderId="0" xfId="0" applyFont="1" applyBorder="1" applyAlignment="1" applyProtection="1">
      <alignment horizontal="left" wrapText="1"/>
      <protection/>
    </xf>
    <xf numFmtId="0" fontId="5" fillId="20" borderId="0" xfId="0" applyFont="1" applyFill="1" applyAlignment="1" applyProtection="1">
      <alignment horizontal="center"/>
      <protection/>
    </xf>
    <xf numFmtId="0" fontId="2" fillId="0" borderId="0" xfId="0" applyFont="1" applyBorder="1" applyAlignment="1" applyProtection="1">
      <alignment horizontal="left"/>
      <protection/>
    </xf>
    <xf numFmtId="0" fontId="2" fillId="0" borderId="15" xfId="0" applyFont="1" applyBorder="1" applyAlignment="1" applyProtection="1">
      <alignment horizontal="left"/>
      <protection/>
    </xf>
    <xf numFmtId="0" fontId="0" fillId="0" borderId="0" xfId="0" applyFill="1" applyAlignment="1" applyProtection="1">
      <alignment wrapText="1"/>
      <protection/>
    </xf>
    <xf numFmtId="0" fontId="19" fillId="24" borderId="0" xfId="0" applyFont="1" applyFill="1" applyAlignment="1" applyProtection="1" quotePrefix="1">
      <alignment wrapText="1"/>
      <protection/>
    </xf>
    <xf numFmtId="0" fontId="20" fillId="24" borderId="0" xfId="0" applyFont="1" applyFill="1" applyAlignment="1" applyProtection="1">
      <alignment wrapText="1"/>
      <protection/>
    </xf>
    <xf numFmtId="0" fontId="0" fillId="0" borderId="0" xfId="0" applyAlignment="1" applyProtection="1">
      <alignment horizontal="left"/>
      <protection/>
    </xf>
    <xf numFmtId="0" fontId="0" fillId="22" borderId="0" xfId="0" applyFill="1" applyAlignment="1" applyProtection="1">
      <alignment horizontal="left" vertical="top" wrapText="1"/>
      <protection/>
    </xf>
    <xf numFmtId="0" fontId="0" fillId="26" borderId="0" xfId="0" applyFill="1" applyAlignment="1" applyProtection="1">
      <alignment horizontal="left" wrapText="1"/>
      <protection/>
    </xf>
    <xf numFmtId="0" fontId="0" fillId="0" borderId="0" xfId="0" applyAlignment="1" applyProtection="1">
      <alignment wrapText="1"/>
      <protection/>
    </xf>
    <xf numFmtId="0" fontId="11" fillId="24" borderId="0" xfId="0" applyFont="1" applyFill="1" applyBorder="1" applyAlignment="1" applyProtection="1">
      <alignment horizontal="left" indent="7"/>
      <protection/>
    </xf>
    <xf numFmtId="0" fontId="0" fillId="4" borderId="0" xfId="0" applyFill="1" applyAlignment="1" applyProtection="1">
      <alignment wrapText="1"/>
      <protection locked="0"/>
    </xf>
    <xf numFmtId="0" fontId="9" fillId="25" borderId="34" xfId="0" applyFont="1" applyFill="1" applyBorder="1" applyAlignment="1" applyProtection="1">
      <alignment horizontal="left"/>
      <protection/>
    </xf>
    <xf numFmtId="0" fontId="2" fillId="25" borderId="35" xfId="0" applyFont="1" applyFill="1" applyBorder="1" applyAlignment="1" applyProtection="1">
      <alignment horizontal="left"/>
      <protection/>
    </xf>
    <xf numFmtId="0" fontId="21" fillId="24" borderId="0" xfId="0" applyNumberFormat="1" applyFont="1" applyFill="1" applyAlignment="1" applyProtection="1">
      <alignment horizontal="left" vertical="top" wrapText="1"/>
      <protection/>
    </xf>
    <xf numFmtId="0" fontId="10" fillId="24" borderId="0" xfId="0" applyFont="1" applyFill="1" applyAlignment="1" applyProtection="1">
      <alignment horizontal="left" vertical="top" wrapText="1"/>
      <protection/>
    </xf>
    <xf numFmtId="0" fontId="18" fillId="24" borderId="0" xfId="0" applyFont="1" applyFill="1" applyBorder="1" applyAlignment="1" applyProtection="1">
      <alignment horizontal="left" vertical="center" wrapText="1"/>
      <protection/>
    </xf>
    <xf numFmtId="0" fontId="11" fillId="4" borderId="36" xfId="0" applyFont="1" applyFill="1" applyBorder="1" applyAlignment="1" applyProtection="1">
      <alignment horizontal="left" indent="1"/>
      <protection locked="0"/>
    </xf>
    <xf numFmtId="0" fontId="11" fillId="4" borderId="37" xfId="0" applyFont="1" applyFill="1" applyBorder="1" applyAlignment="1" applyProtection="1">
      <alignment horizontal="left" indent="1"/>
      <protection locked="0"/>
    </xf>
    <xf numFmtId="0" fontId="11" fillId="4" borderId="38" xfId="0" applyFont="1" applyFill="1" applyBorder="1" applyAlignment="1" applyProtection="1">
      <alignment horizontal="left" indent="1"/>
      <protection locked="0"/>
    </xf>
    <xf numFmtId="0" fontId="11" fillId="4" borderId="39" xfId="0" applyFont="1" applyFill="1" applyBorder="1" applyAlignment="1" applyProtection="1">
      <alignment horizontal="left" indent="1"/>
      <protection locked="0"/>
    </xf>
    <xf numFmtId="0" fontId="11" fillId="4" borderId="40" xfId="0" applyFont="1" applyFill="1" applyBorder="1" applyAlignment="1" applyProtection="1">
      <alignment horizontal="left" indent="1"/>
      <protection locked="0"/>
    </xf>
    <xf numFmtId="0" fontId="12" fillId="24" borderId="0" xfId="0" applyFont="1" applyFill="1" applyBorder="1" applyAlignment="1" applyProtection="1">
      <alignment horizontal="center"/>
      <protection/>
    </xf>
    <xf numFmtId="0" fontId="0" fillId="22" borderId="0" xfId="0" applyFont="1" applyFill="1" applyBorder="1" applyAlignment="1" applyProtection="1">
      <alignment horizontal="left"/>
      <protection/>
    </xf>
    <xf numFmtId="0" fontId="0" fillId="4" borderId="0" xfId="0" applyFont="1" applyFill="1" applyBorder="1" applyAlignment="1" applyProtection="1">
      <alignment horizontal="left"/>
      <protection/>
    </xf>
    <xf numFmtId="0" fontId="0" fillId="4" borderId="0" xfId="0" applyFill="1" applyAlignment="1" applyProtection="1">
      <alignment horizontal="left" wrapText="1"/>
      <protection locked="0"/>
    </xf>
    <xf numFmtId="0" fontId="2" fillId="25" borderId="0" xfId="0" applyFont="1" applyFill="1" applyBorder="1" applyAlignment="1" applyProtection="1">
      <alignment horizontal="center" vertical="center" wrapText="1"/>
      <protection/>
    </xf>
    <xf numFmtId="0" fontId="2" fillId="25" borderId="11"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protection/>
    </xf>
    <xf numFmtId="0" fontId="0" fillId="0" borderId="0" xfId="0" applyAlignment="1" applyProtection="1">
      <alignment/>
      <protection/>
    </xf>
    <xf numFmtId="0" fontId="2" fillId="22" borderId="0" xfId="0" applyFont="1" applyFill="1" applyBorder="1" applyAlignment="1" applyProtection="1">
      <alignment horizontal="center" vertical="center" wrapText="1"/>
      <protection locked="0"/>
    </xf>
    <xf numFmtId="0" fontId="0" fillId="4" borderId="0" xfId="0" applyFont="1" applyFill="1" applyAlignment="1" applyProtection="1">
      <alignment horizontal="left" wrapText="1"/>
      <protection locked="0"/>
    </xf>
    <xf numFmtId="0" fontId="5" fillId="20" borderId="34" xfId="0" applyFont="1" applyFill="1" applyBorder="1" applyAlignment="1" applyProtection="1">
      <alignment horizontal="center" vertical="center"/>
      <protection/>
    </xf>
    <xf numFmtId="0" fontId="5" fillId="20" borderId="35" xfId="0" applyFont="1" applyFill="1" applyBorder="1" applyAlignment="1" applyProtection="1">
      <alignment horizontal="center" vertical="center"/>
      <protection/>
    </xf>
    <xf numFmtId="0" fontId="5" fillId="20" borderId="33" xfId="0" applyFont="1" applyFill="1" applyBorder="1" applyAlignment="1" applyProtection="1">
      <alignment horizontal="center" vertical="center"/>
      <protection/>
    </xf>
    <xf numFmtId="0" fontId="7" fillId="0" borderId="0" xfId="0" applyFont="1" applyBorder="1" applyAlignment="1" applyProtection="1">
      <alignment horizontal="left"/>
      <protection/>
    </xf>
    <xf numFmtId="174" fontId="0" fillId="0" borderId="11" xfId="44" applyNumberFormat="1" applyFont="1" applyBorder="1" applyAlignment="1" applyProtection="1">
      <alignment/>
      <protection/>
    </xf>
    <xf numFmtId="0" fontId="0" fillId="4" borderId="0" xfId="0" applyFill="1" applyBorder="1" applyAlignment="1" applyProtection="1">
      <alignment wrapText="1"/>
      <protection locked="0"/>
    </xf>
    <xf numFmtId="49" fontId="7" fillId="0" borderId="0" xfId="0" applyNumberFormat="1" applyFont="1" applyBorder="1" applyAlignment="1" applyProtection="1">
      <alignment horizontal="left"/>
      <protection/>
    </xf>
    <xf numFmtId="0" fontId="0" fillId="0" borderId="0" xfId="0" applyAlignment="1" applyProtection="1">
      <alignment horizontal="left" wrapText="1"/>
      <protection/>
    </xf>
    <xf numFmtId="0" fontId="5" fillId="20" borderId="0" xfId="0" applyFont="1" applyFill="1" applyAlignment="1" applyProtection="1">
      <alignment horizontal="center" vertical="center"/>
      <protection/>
    </xf>
    <xf numFmtId="0" fontId="2" fillId="0" borderId="11" xfId="0" applyFont="1" applyBorder="1" applyAlignment="1" applyProtection="1">
      <alignment horizontal="center" vertical="center"/>
      <protection/>
    </xf>
    <xf numFmtId="0" fontId="2" fillId="25" borderId="34" xfId="0" applyNumberFormat="1" applyFont="1" applyFill="1" applyBorder="1" applyAlignment="1" applyProtection="1">
      <alignment horizontal="center"/>
      <protection/>
    </xf>
    <xf numFmtId="0" fontId="2" fillId="25" borderId="35" xfId="0" applyNumberFormat="1" applyFont="1" applyFill="1" applyBorder="1" applyAlignment="1" applyProtection="1">
      <alignment horizontal="center"/>
      <protection/>
    </xf>
    <xf numFmtId="0" fontId="2" fillId="25" borderId="33" xfId="0" applyNumberFormat="1" applyFont="1" applyFill="1" applyBorder="1" applyAlignment="1" applyProtection="1">
      <alignment horizontal="center"/>
      <protection/>
    </xf>
    <xf numFmtId="49" fontId="2" fillId="25" borderId="34" xfId="0" applyNumberFormat="1" applyFont="1" applyFill="1" applyBorder="1" applyAlignment="1" applyProtection="1">
      <alignment horizontal="center"/>
      <protection/>
    </xf>
    <xf numFmtId="49" fontId="2" fillId="25" borderId="35" xfId="0" applyNumberFormat="1" applyFont="1" applyFill="1" applyBorder="1" applyAlignment="1" applyProtection="1">
      <alignment horizontal="center"/>
      <protection/>
    </xf>
    <xf numFmtId="49" fontId="2" fillId="25" borderId="33" xfId="0" applyNumberFormat="1" applyFont="1" applyFill="1" applyBorder="1" applyAlignment="1" applyProtection="1">
      <alignment horizontal="center"/>
      <protection/>
    </xf>
    <xf numFmtId="0" fontId="10" fillId="24" borderId="0" xfId="0" applyFont="1" applyFill="1" applyAlignment="1" applyProtection="1">
      <alignment horizontal="left" vertical="top" wrapText="1" indent="8"/>
      <protection/>
    </xf>
    <xf numFmtId="0" fontId="11" fillId="24" borderId="0" xfId="0" applyFont="1" applyFill="1" applyBorder="1" applyAlignment="1" applyProtection="1">
      <alignment horizontal="left" indent="8"/>
      <protection/>
    </xf>
    <xf numFmtId="0" fontId="2" fillId="25" borderId="19" xfId="0" applyFont="1" applyFill="1" applyBorder="1" applyAlignment="1" applyProtection="1">
      <alignment horizontal="center" vertical="center" wrapText="1"/>
      <protection/>
    </xf>
    <xf numFmtId="0" fontId="2" fillId="25" borderId="13" xfId="0" applyFont="1" applyFill="1" applyBorder="1" applyAlignment="1" applyProtection="1">
      <alignment horizontal="center" vertical="center" wrapText="1"/>
      <protection/>
    </xf>
    <xf numFmtId="0" fontId="2" fillId="0" borderId="0" xfId="0" applyFont="1" applyAlignment="1" applyProtection="1">
      <alignment horizontal="left"/>
      <protection/>
    </xf>
    <xf numFmtId="0" fontId="2" fillId="0" borderId="0" xfId="0" applyFont="1" applyBorder="1" applyAlignment="1" applyProtection="1">
      <alignment horizontal="center" wrapText="1"/>
      <protection/>
    </xf>
    <xf numFmtId="0" fontId="2" fillId="0" borderId="11" xfId="0" applyFont="1" applyBorder="1" applyAlignment="1" applyProtection="1">
      <alignment horizontal="center" wrapText="1"/>
      <protection/>
    </xf>
    <xf numFmtId="0" fontId="2" fillId="25" borderId="11" xfId="0" applyFont="1" applyFill="1" applyBorder="1" applyAlignment="1" applyProtection="1">
      <alignment horizontal="center"/>
      <protection/>
    </xf>
    <xf numFmtId="0" fontId="10" fillId="24" borderId="0" xfId="0" applyFont="1" applyFill="1" applyAlignment="1" applyProtection="1">
      <alignment horizontal="left" vertical="top" wrapText="1" indent="6"/>
      <protection/>
    </xf>
    <xf numFmtId="0" fontId="11" fillId="24" borderId="0" xfId="0" applyFont="1" applyFill="1" applyBorder="1" applyAlignment="1" applyProtection="1">
      <alignment horizontal="left" indent="6"/>
      <protection/>
    </xf>
    <xf numFmtId="0" fontId="2" fillId="25" borderId="18" xfId="0" applyFont="1" applyFill="1" applyBorder="1" applyAlignment="1" applyProtection="1">
      <alignment horizontal="center" vertical="center" wrapText="1"/>
      <protection/>
    </xf>
    <xf numFmtId="0" fontId="2" fillId="25" borderId="20" xfId="0" applyFont="1" applyFill="1" applyBorder="1" applyAlignment="1" applyProtection="1">
      <alignment horizontal="center" vertical="center" wrapText="1"/>
      <protection/>
    </xf>
    <xf numFmtId="0" fontId="2" fillId="0" borderId="0" xfId="0" applyFont="1" applyBorder="1" applyAlignment="1" applyProtection="1">
      <alignment horizontal="center" vertical="center"/>
      <protection/>
    </xf>
    <xf numFmtId="174" fontId="0" fillId="0" borderId="11" xfId="0" applyNumberFormat="1" applyBorder="1" applyAlignment="1" applyProtection="1">
      <alignment/>
      <protection/>
    </xf>
    <xf numFmtId="174" fontId="0" fillId="0" borderId="0" xfId="44" applyNumberFormat="1" applyFont="1" applyFill="1" applyBorder="1" applyAlignment="1" applyProtection="1">
      <alignment horizontal="right"/>
      <protection/>
    </xf>
    <xf numFmtId="174" fontId="0" fillId="0" borderId="11" xfId="0" applyNumberFormat="1" applyBorder="1" applyAlignment="1" applyProtection="1">
      <alignment horizontal="right"/>
      <protection/>
    </xf>
    <xf numFmtId="174" fontId="0" fillId="0" borderId="14" xfId="0" applyNumberFormat="1" applyFill="1" applyBorder="1" applyAlignment="1" applyProtection="1">
      <alignment horizontal="right"/>
      <protection/>
    </xf>
    <xf numFmtId="174" fontId="0" fillId="0" borderId="15" xfId="0" applyNumberFormat="1" applyFill="1" applyBorder="1" applyAlignment="1" applyProtection="1">
      <alignment horizontal="right"/>
      <protection/>
    </xf>
    <xf numFmtId="174" fontId="0" fillId="0" borderId="0" xfId="44" applyNumberFormat="1" applyFont="1" applyAlignment="1" applyProtection="1">
      <alignment/>
      <protection/>
    </xf>
    <xf numFmtId="174" fontId="0" fillId="0" borderId="0" xfId="0" applyNumberFormat="1" applyAlignment="1" applyProtection="1">
      <alignment/>
      <protection/>
    </xf>
    <xf numFmtId="174" fontId="0" fillId="0" borderId="0" xfId="44" applyNumberFormat="1" applyFont="1" applyBorder="1" applyAlignment="1" applyProtection="1">
      <alignment/>
      <protection/>
    </xf>
    <xf numFmtId="174" fontId="0" fillId="0" borderId="0" xfId="0" applyNumberFormat="1" applyBorder="1" applyAlignment="1" applyProtection="1">
      <alignment/>
      <protection/>
    </xf>
    <xf numFmtId="174" fontId="0" fillId="0" borderId="11" xfId="44" applyNumberFormat="1" applyFont="1" applyFill="1" applyBorder="1" applyAlignment="1" applyProtection="1">
      <alignment horizontal="right"/>
      <protection/>
    </xf>
    <xf numFmtId="174" fontId="0" fillId="0" borderId="32" xfId="0" applyNumberFormat="1" applyBorder="1" applyAlignment="1" applyProtection="1">
      <alignment horizontal="center"/>
      <protection/>
    </xf>
    <xf numFmtId="0" fontId="23" fillId="24" borderId="0" xfId="0" applyFont="1" applyFill="1" applyAlignment="1" applyProtection="1">
      <alignment horizontal="left" wrapText="1"/>
      <protection/>
    </xf>
    <xf numFmtId="174" fontId="0" fillId="0" borderId="0" xfId="44" applyNumberFormat="1" applyFont="1" applyAlignment="1" applyProtection="1">
      <alignment horizontal="right"/>
      <protection/>
    </xf>
    <xf numFmtId="174" fontId="0" fillId="0" borderId="0" xfId="44" applyNumberFormat="1" applyFont="1" applyBorder="1" applyAlignment="1" applyProtection="1">
      <alignment horizontal="right" vertical="center"/>
      <protection/>
    </xf>
    <xf numFmtId="174" fontId="0" fillId="0" borderId="0" xfId="0" applyNumberFormat="1" applyFont="1" applyAlignment="1" applyProtection="1">
      <alignment horizontal="right"/>
      <protection/>
    </xf>
    <xf numFmtId="0" fontId="0" fillId="4" borderId="16" xfId="0" applyFill="1" applyBorder="1" applyAlignment="1" applyProtection="1">
      <alignment vertical="top" wrapText="1"/>
      <protection locked="0"/>
    </xf>
    <xf numFmtId="0" fontId="0" fillId="0" borderId="0" xfId="0" applyAlignment="1">
      <alignment vertical="top" wrapText="1"/>
    </xf>
    <xf numFmtId="0" fontId="0" fillId="0" borderId="12" xfId="0" applyBorder="1" applyAlignment="1">
      <alignment vertical="top" wrapText="1"/>
    </xf>
    <xf numFmtId="0" fontId="0" fillId="4" borderId="20" xfId="0" applyFill="1" applyBorder="1" applyAlignment="1" applyProtection="1">
      <alignment vertical="top" wrapText="1"/>
      <protection locked="0"/>
    </xf>
    <xf numFmtId="0" fontId="0" fillId="0" borderId="11" xfId="0" applyBorder="1" applyAlignment="1">
      <alignment vertical="top" wrapText="1"/>
    </xf>
    <xf numFmtId="0" fontId="0" fillId="0" borderId="13" xfId="0" applyBorder="1" applyAlignment="1">
      <alignment vertical="top" wrapText="1"/>
    </xf>
    <xf numFmtId="0" fontId="2" fillId="0" borderId="34" xfId="0" applyFont="1" applyBorder="1" applyAlignment="1" applyProtection="1">
      <alignment horizontal="center"/>
      <protection/>
    </xf>
    <xf numFmtId="0" fontId="2" fillId="0" borderId="35" xfId="0" applyFont="1" applyBorder="1" applyAlignment="1" applyProtection="1">
      <alignment horizontal="center"/>
      <protection/>
    </xf>
    <xf numFmtId="0" fontId="2" fillId="0" borderId="33" xfId="0" applyFont="1" applyBorder="1" applyAlignment="1" applyProtection="1">
      <alignment horizontal="center"/>
      <protection/>
    </xf>
    <xf numFmtId="0" fontId="5" fillId="0" borderId="0" xfId="0" applyFont="1" applyAlignment="1" applyProtection="1">
      <alignment horizontal="center"/>
      <protection/>
    </xf>
    <xf numFmtId="0" fontId="2" fillId="0" borderId="0" xfId="0" applyFont="1" applyAlignment="1" applyProtection="1">
      <alignment horizontal="center" wrapText="1"/>
      <protection/>
    </xf>
    <xf numFmtId="0" fontId="0" fillId="0" borderId="0" xfId="0" applyAlignment="1">
      <alignment horizontal="center" wrapText="1"/>
    </xf>
    <xf numFmtId="0" fontId="2" fillId="0" borderId="29" xfId="0" applyFont="1" applyFill="1" applyBorder="1" applyAlignment="1" applyProtection="1">
      <alignment horizontal="center" wrapText="1"/>
      <protection/>
    </xf>
    <xf numFmtId="0" fontId="0" fillId="0" borderId="23" xfId="0" applyBorder="1" applyAlignment="1">
      <alignment wrapText="1"/>
    </xf>
    <xf numFmtId="0" fontId="2" fillId="0" borderId="12" xfId="0" applyFont="1" applyFill="1" applyBorder="1" applyAlignment="1" applyProtection="1">
      <alignment horizontal="center" wrapText="1"/>
      <protection/>
    </xf>
    <xf numFmtId="0" fontId="0" fillId="0" borderId="13" xfId="0" applyBorder="1" applyAlignment="1">
      <alignment wrapText="1"/>
    </xf>
    <xf numFmtId="0" fontId="0" fillId="4" borderId="18" xfId="0" applyFont="1" applyFill="1" applyBorder="1" applyAlignment="1" applyProtection="1">
      <alignment vertical="top" wrapText="1"/>
      <protection locked="0"/>
    </xf>
    <xf numFmtId="0" fontId="0" fillId="0" borderId="14" xfId="0" applyBorder="1" applyAlignment="1">
      <alignment vertical="top" wrapText="1"/>
    </xf>
    <xf numFmtId="0" fontId="0" fillId="0" borderId="19" xfId="0"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2">
    <dxf>
      <fill>
        <patternFill patternType="none">
          <bgColor indexed="65"/>
        </patternFill>
      </fill>
      <border>
        <bottom/>
      </border>
    </dxf>
    <dxf>
      <fill>
        <patternFill patternType="none">
          <bgColor indexed="65"/>
        </patternFill>
      </fill>
      <border>
        <left/>
        <right/>
        <top/>
        <bottom/>
      </border>
    </dxf>
    <dxf>
      <fill>
        <patternFill>
          <bgColor indexed="9"/>
        </patternFill>
      </fill>
      <border>
        <left/>
        <right/>
        <top/>
        <bottom/>
      </border>
    </dxf>
    <dxf>
      <fill>
        <patternFill patternType="none">
          <bgColor indexed="65"/>
        </patternFill>
      </fill>
      <border>
        <bottom/>
      </border>
    </dxf>
    <dxf>
      <fill>
        <patternFill patternType="none">
          <bgColor indexed="65"/>
        </patternFill>
      </fill>
      <border>
        <bottom/>
      </border>
    </dxf>
    <dxf>
      <fill>
        <patternFill patternType="none">
          <bgColor indexed="65"/>
        </patternFill>
      </fill>
      <border>
        <top/>
        <bottom/>
      </border>
    </dxf>
    <dxf>
      <fill>
        <patternFill>
          <bgColor indexed="41"/>
        </patternFill>
      </fill>
      <border>
        <bottom style="thin"/>
      </border>
    </dxf>
    <dxf>
      <font>
        <color indexed="9"/>
      </font>
    </dxf>
    <dxf>
      <font>
        <color indexed="42"/>
      </font>
    </dxf>
    <dxf>
      <font>
        <color indexed="9"/>
      </font>
      <border>
        <top/>
      </border>
    </dxf>
    <dxf>
      <fill>
        <patternFill>
          <bgColor indexed="41"/>
        </patternFill>
      </fill>
      <border>
        <bottom style="thin"/>
      </border>
    </dxf>
    <dxf>
      <fill>
        <patternFill>
          <bgColor rgb="FFCCFFFF"/>
        </patternFill>
      </fill>
      <border>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428625</xdr:colOff>
      <xdr:row>1</xdr:row>
      <xdr:rowOff>180975</xdr:rowOff>
    </xdr:from>
    <xdr:to>
      <xdr:col>9</xdr:col>
      <xdr:colOff>180975</xdr:colOff>
      <xdr:row>5</xdr:row>
      <xdr:rowOff>95250</xdr:rowOff>
    </xdr:to>
    <xdr:sp macro="[0]!printmacro">
      <xdr:nvSpPr>
        <xdr:cNvPr id="1" name="Text Box 3"/>
        <xdr:cNvSpPr txBox="1">
          <a:spLocks noChangeArrowheads="1"/>
        </xdr:cNvSpPr>
      </xdr:nvSpPr>
      <xdr:spPr>
        <a:xfrm>
          <a:off x="6762750" y="523875"/>
          <a:ext cx="971550" cy="571500"/>
        </a:xfrm>
        <a:prstGeom prst="rect">
          <a:avLst/>
        </a:prstGeom>
        <a:solidFill>
          <a:srgbClr val="FFFFFF"/>
        </a:solidFill>
        <a:ln w="9525" cmpd="sng">
          <a:noFill/>
        </a:ln>
      </xdr:spPr>
      <xdr:txBody>
        <a:bodyPr vertOverflow="clip" wrap="square" lIns="27432" tIns="0" rIns="27432" bIns="22860" anchor="b"/>
        <a:p>
          <a:pPr algn="ctr">
            <a:defRPr/>
          </a:pPr>
          <a:r>
            <a:rPr lang="en-US" cap="none" sz="800" b="1" i="0" u="none" baseline="0">
              <a:solidFill>
                <a:srgbClr val="FF0000"/>
              </a:solidFill>
              <a:latin typeface="Arial"/>
              <a:ea typeface="Arial"/>
              <a:cs typeface="Arial"/>
            </a:rPr>
            <a:t>Click here to print the entire workbook</a:t>
          </a:r>
        </a:p>
      </xdr:txBody>
    </xdr:sp>
    <xdr:clientData fPrintsWithSheet="0"/>
  </xdr:twoCellAnchor>
  <xdr:twoCellAnchor>
    <xdr:from>
      <xdr:col>8</xdr:col>
      <xdr:colOff>114300</xdr:colOff>
      <xdr:row>0</xdr:row>
      <xdr:rowOff>19050</xdr:rowOff>
    </xdr:from>
    <xdr:to>
      <xdr:col>9</xdr:col>
      <xdr:colOff>9525</xdr:colOff>
      <xdr:row>2</xdr:row>
      <xdr:rowOff>85725</xdr:rowOff>
    </xdr:to>
    <xdr:pic macro="[0]!printmacro">
      <xdr:nvPicPr>
        <xdr:cNvPr id="2" name="Picture 2" descr="5aa81ab9080e3a4c"/>
        <xdr:cNvPicPr preferRelativeResize="1">
          <a:picLocks noChangeAspect="1"/>
        </xdr:cNvPicPr>
      </xdr:nvPicPr>
      <xdr:blipFill>
        <a:blip r:embed="rId1"/>
        <a:stretch>
          <a:fillRect/>
        </a:stretch>
      </xdr:blipFill>
      <xdr:spPr>
        <a:xfrm>
          <a:off x="6915150" y="19050"/>
          <a:ext cx="647700" cy="63817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oleObject" Target="../embeddings/oleObject_9_0.bin"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oleObject" Target="../embeddings/oleObject_8_0.bin"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IV46"/>
  <sheetViews>
    <sheetView showGridLines="0" zoomScalePageLayoutView="0" workbookViewId="0" topLeftCell="A4">
      <selection activeCell="A1" sqref="A1:H46"/>
    </sheetView>
  </sheetViews>
  <sheetFormatPr defaultColWidth="9.140625" defaultRowHeight="12.75"/>
  <cols>
    <col min="1" max="1" width="3.421875" style="13" customWidth="1"/>
    <col min="2" max="2" width="16.7109375" style="13" customWidth="1"/>
    <col min="3" max="3" width="18.8515625" style="13" customWidth="1"/>
    <col min="4" max="4" width="15.28125" style="13" customWidth="1"/>
    <col min="5" max="5" width="20.28125" style="13" customWidth="1"/>
    <col min="6" max="6" width="12.140625" style="13" customWidth="1"/>
    <col min="7" max="7" width="8.28125" style="13" customWidth="1"/>
    <col min="8" max="8" width="7.00390625" style="13" customWidth="1"/>
    <col min="9" max="9" width="11.28125" style="13" customWidth="1"/>
    <col min="10" max="16384" width="9.140625" style="13" customWidth="1"/>
  </cols>
  <sheetData>
    <row r="1" spans="3:9" s="2" customFormat="1" ht="27" customHeight="1" thickBot="1">
      <c r="C1" s="413" t="s">
        <v>156</v>
      </c>
      <c r="D1" s="413"/>
      <c r="E1" s="413"/>
      <c r="F1" s="1"/>
      <c r="G1" s="1"/>
      <c r="H1" s="1"/>
      <c r="I1" s="1"/>
    </row>
    <row r="2" spans="3:8" s="2" customFormat="1" ht="18">
      <c r="C2" s="3" t="s">
        <v>157</v>
      </c>
      <c r="D2" s="415" t="s">
        <v>251</v>
      </c>
      <c r="E2" s="416"/>
      <c r="F2" s="416"/>
      <c r="G2" s="417"/>
      <c r="H2" s="176" t="s">
        <v>2</v>
      </c>
    </row>
    <row r="3" spans="3:8" s="2" customFormat="1" ht="7.5" customHeight="1" thickBot="1">
      <c r="C3" s="3"/>
      <c r="D3" s="26"/>
      <c r="E3" s="26"/>
      <c r="F3" s="26"/>
      <c r="G3" s="26"/>
      <c r="H3" s="20"/>
    </row>
    <row r="4" spans="3:9" s="2" customFormat="1" ht="18.75" thickBot="1">
      <c r="C4" s="4" t="s">
        <v>8</v>
      </c>
      <c r="D4" s="418" t="s">
        <v>252</v>
      </c>
      <c r="E4" s="419"/>
      <c r="F4" s="4"/>
      <c r="G4" s="4"/>
      <c r="I4" s="22"/>
    </row>
    <row r="5" spans="3:9" s="2" customFormat="1" ht="7.5" customHeight="1" thickBot="1">
      <c r="C5" s="4"/>
      <c r="D5" s="26"/>
      <c r="E5" s="26"/>
      <c r="F5" s="4"/>
      <c r="G5" s="4"/>
      <c r="I5" s="22"/>
    </row>
    <row r="6" spans="3:7" s="2" customFormat="1" ht="18.75" thickBot="1">
      <c r="C6" s="4" t="s">
        <v>10</v>
      </c>
      <c r="D6" s="25">
        <v>2011</v>
      </c>
      <c r="E6" s="4"/>
      <c r="F6" s="179" t="s">
        <v>166</v>
      </c>
      <c r="G6" s="381">
        <v>2.11</v>
      </c>
    </row>
    <row r="7" spans="6:10" s="2" customFormat="1" ht="15.75">
      <c r="F7" s="5"/>
      <c r="G7" s="5"/>
      <c r="J7" s="15"/>
    </row>
    <row r="8" s="2" customFormat="1" ht="12.75"/>
    <row r="9" spans="3:5" s="2" customFormat="1" ht="18">
      <c r="C9" s="420" t="s">
        <v>45</v>
      </c>
      <c r="D9" s="420"/>
      <c r="E9" s="420"/>
    </row>
    <row r="10" spans="3:7" s="2" customFormat="1" ht="39.75" customHeight="1">
      <c r="C10" s="6" t="s">
        <v>46</v>
      </c>
      <c r="D10" s="7"/>
      <c r="E10" s="7" t="s">
        <v>48</v>
      </c>
      <c r="F10" s="8"/>
      <c r="G10" s="8"/>
    </row>
    <row r="11" s="2" customFormat="1" ht="12.75"/>
    <row r="12" spans="3:6" s="2" customFormat="1" ht="12.75">
      <c r="C12" s="27" t="s">
        <v>165</v>
      </c>
      <c r="D12" s="15"/>
      <c r="E12" s="16" t="s">
        <v>158</v>
      </c>
      <c r="F12" s="15"/>
    </row>
    <row r="13" spans="4:6" s="2" customFormat="1" ht="12.75">
      <c r="D13" s="15"/>
      <c r="E13" s="15"/>
      <c r="F13" s="15"/>
    </row>
    <row r="14" spans="3:8" s="2" customFormat="1" ht="12.75">
      <c r="C14" s="27">
        <v>1</v>
      </c>
      <c r="D14" s="17"/>
      <c r="E14" s="16" t="s">
        <v>7</v>
      </c>
      <c r="F14" s="28"/>
      <c r="G14" s="10"/>
      <c r="H14" s="10"/>
    </row>
    <row r="15" spans="3:8" s="2" customFormat="1" ht="12.75">
      <c r="C15" s="27"/>
      <c r="D15" s="17"/>
      <c r="E15" s="18"/>
      <c r="F15" s="18"/>
      <c r="G15" s="11"/>
      <c r="H15" s="11"/>
    </row>
    <row r="16" spans="3:8" s="2" customFormat="1" ht="12.75">
      <c r="C16" s="27">
        <v>2</v>
      </c>
      <c r="D16" s="17"/>
      <c r="E16" s="16" t="s">
        <v>55</v>
      </c>
      <c r="F16" s="28"/>
      <c r="G16" s="10"/>
      <c r="H16" s="10"/>
    </row>
    <row r="17" spans="3:8" s="2" customFormat="1" ht="12.75">
      <c r="C17" s="27"/>
      <c r="D17" s="17"/>
      <c r="E17" s="18"/>
      <c r="F17" s="18"/>
      <c r="G17" s="11"/>
      <c r="H17" s="11"/>
    </row>
    <row r="18" spans="3:8" s="2" customFormat="1" ht="12.75">
      <c r="C18" s="27">
        <v>3</v>
      </c>
      <c r="D18" s="17"/>
      <c r="E18" s="16" t="s">
        <v>47</v>
      </c>
      <c r="F18" s="28"/>
      <c r="G18" s="10"/>
      <c r="H18" s="10"/>
    </row>
    <row r="19" spans="3:8" s="2" customFormat="1" ht="12.75">
      <c r="C19" s="27"/>
      <c r="D19" s="17"/>
      <c r="E19" s="18"/>
      <c r="F19" s="18"/>
      <c r="G19" s="11"/>
      <c r="H19" s="11"/>
    </row>
    <row r="20" spans="3:8" s="2" customFormat="1" ht="12.75">
      <c r="C20" s="27">
        <v>4</v>
      </c>
      <c r="D20" s="17"/>
      <c r="E20" s="16" t="s">
        <v>61</v>
      </c>
      <c r="F20" s="28"/>
      <c r="G20" s="10"/>
      <c r="H20" s="10"/>
    </row>
    <row r="21" spans="3:8" s="2" customFormat="1" ht="12.75">
      <c r="C21" s="27"/>
      <c r="D21" s="17"/>
      <c r="E21" s="17"/>
      <c r="F21" s="28"/>
      <c r="G21" s="10"/>
      <c r="H21" s="10"/>
    </row>
    <row r="22" spans="3:8" s="2" customFormat="1" ht="12.75">
      <c r="C22" s="27">
        <v>5</v>
      </c>
      <c r="D22" s="17"/>
      <c r="E22" s="16" t="s">
        <v>56</v>
      </c>
      <c r="F22" s="28"/>
      <c r="G22" s="10"/>
      <c r="H22" s="10"/>
    </row>
    <row r="23" spans="3:8" s="2" customFormat="1" ht="12.75">
      <c r="C23" s="27"/>
      <c r="D23" s="17"/>
      <c r="E23" s="18"/>
      <c r="F23" s="18"/>
      <c r="G23" s="11"/>
      <c r="H23" s="11"/>
    </row>
    <row r="24" spans="3:8" s="2" customFormat="1" ht="12.75">
      <c r="C24" s="27">
        <v>6</v>
      </c>
      <c r="D24" s="17"/>
      <c r="E24" s="19" t="s">
        <v>38</v>
      </c>
      <c r="F24" s="18"/>
      <c r="G24" s="11"/>
      <c r="H24" s="11"/>
    </row>
    <row r="25" spans="3:8" s="2" customFormat="1" ht="12.75">
      <c r="C25" s="27"/>
      <c r="D25" s="17"/>
      <c r="E25" s="18"/>
      <c r="F25" s="18"/>
      <c r="G25" s="11"/>
      <c r="H25" s="11"/>
    </row>
    <row r="26" spans="3:6" s="2" customFormat="1" ht="12.75">
      <c r="C26" s="27" t="s">
        <v>230</v>
      </c>
      <c r="D26" s="17"/>
      <c r="E26" s="16" t="s">
        <v>229</v>
      </c>
      <c r="F26" s="17"/>
    </row>
    <row r="27" s="2" customFormat="1" ht="12.75">
      <c r="E27" s="9"/>
    </row>
    <row r="28" spans="3:5" s="2" customFormat="1" ht="12.75">
      <c r="C28" s="27" t="s">
        <v>231</v>
      </c>
      <c r="E28" s="232" t="s">
        <v>232</v>
      </c>
    </row>
    <row r="29" s="2" customFormat="1" ht="12.75">
      <c r="E29" s="9"/>
    </row>
    <row r="32" ht="12.75">
      <c r="A32" s="12" t="s">
        <v>50</v>
      </c>
    </row>
    <row r="33" spans="1:8" ht="12.75">
      <c r="A33" s="246" t="s">
        <v>2</v>
      </c>
      <c r="B33" s="422" t="s">
        <v>63</v>
      </c>
      <c r="C33" s="422"/>
      <c r="D33" s="14"/>
      <c r="E33" s="14"/>
      <c r="F33" s="14"/>
      <c r="G33" s="14"/>
      <c r="H33" s="14"/>
    </row>
    <row r="34" spans="1:8" ht="12.75">
      <c r="A34" s="246" t="s">
        <v>3</v>
      </c>
      <c r="B34" s="421" t="s">
        <v>244</v>
      </c>
      <c r="C34" s="421"/>
      <c r="D34" s="421"/>
      <c r="E34" s="14"/>
      <c r="F34" s="14"/>
      <c r="G34" s="14"/>
      <c r="H34" s="14"/>
    </row>
    <row r="35" spans="1:9" ht="24.75" customHeight="1">
      <c r="A35" s="24" t="s">
        <v>112</v>
      </c>
      <c r="B35" s="414" t="s">
        <v>164</v>
      </c>
      <c r="C35" s="414"/>
      <c r="D35" s="414"/>
      <c r="E35" s="414"/>
      <c r="F35" s="414"/>
      <c r="G35" s="414"/>
      <c r="H35" s="23"/>
      <c r="I35" s="23"/>
    </row>
    <row r="36" spans="1:9" ht="24.75" customHeight="1">
      <c r="A36" s="24" t="s">
        <v>137</v>
      </c>
      <c r="B36" s="414" t="s">
        <v>237</v>
      </c>
      <c r="C36" s="414"/>
      <c r="D36" s="414"/>
      <c r="E36" s="414"/>
      <c r="F36" s="414"/>
      <c r="G36" s="414"/>
      <c r="H36" s="23"/>
      <c r="I36" s="23"/>
    </row>
    <row r="37" spans="2:9" ht="12.75">
      <c r="B37" s="23"/>
      <c r="C37" s="23"/>
      <c r="D37" s="23"/>
      <c r="E37" s="23"/>
      <c r="F37" s="23"/>
      <c r="G37" s="23"/>
      <c r="H37" s="23"/>
      <c r="I37" s="23"/>
    </row>
    <row r="38" spans="1:256" ht="15.75">
      <c r="A38" s="177" t="s">
        <v>168</v>
      </c>
      <c r="B38" s="177"/>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7"/>
      <c r="AM38" s="177"/>
      <c r="AN38" s="177"/>
      <c r="AO38" s="177"/>
      <c r="AP38" s="177"/>
      <c r="AQ38" s="177"/>
      <c r="AR38" s="177"/>
      <c r="AS38" s="177"/>
      <c r="AT38" s="177"/>
      <c r="AU38" s="177"/>
      <c r="AV38" s="177"/>
      <c r="AW38" s="177"/>
      <c r="AX38" s="177"/>
      <c r="AY38" s="177"/>
      <c r="AZ38" s="177"/>
      <c r="BA38" s="177"/>
      <c r="BB38" s="177"/>
      <c r="BC38" s="177"/>
      <c r="BD38" s="177"/>
      <c r="BE38" s="177"/>
      <c r="BF38" s="177"/>
      <c r="BG38" s="177"/>
      <c r="BH38" s="177"/>
      <c r="BI38" s="177"/>
      <c r="BJ38" s="177"/>
      <c r="BK38" s="177"/>
      <c r="BL38" s="177"/>
      <c r="BM38" s="177"/>
      <c r="BN38" s="177"/>
      <c r="BO38" s="177"/>
      <c r="BP38" s="177"/>
      <c r="BQ38" s="177"/>
      <c r="BR38" s="177"/>
      <c r="BS38" s="177"/>
      <c r="BT38" s="177"/>
      <c r="BU38" s="177"/>
      <c r="BV38" s="177"/>
      <c r="BW38" s="177"/>
      <c r="BX38" s="177"/>
      <c r="BY38" s="177"/>
      <c r="BZ38" s="177"/>
      <c r="CA38" s="177"/>
      <c r="CB38" s="177"/>
      <c r="CC38" s="177"/>
      <c r="CD38" s="177"/>
      <c r="CE38" s="177"/>
      <c r="CF38" s="177"/>
      <c r="CG38" s="177"/>
      <c r="CH38" s="177"/>
      <c r="CI38" s="177"/>
      <c r="CJ38" s="177"/>
      <c r="CK38" s="177"/>
      <c r="CL38" s="177"/>
      <c r="CM38" s="177"/>
      <c r="CN38" s="177"/>
      <c r="CO38" s="177"/>
      <c r="CP38" s="177"/>
      <c r="CQ38" s="177"/>
      <c r="CR38" s="177"/>
      <c r="CS38" s="177"/>
      <c r="CT38" s="177"/>
      <c r="CU38" s="177"/>
      <c r="CV38" s="177"/>
      <c r="CW38" s="177"/>
      <c r="CX38" s="177"/>
      <c r="CY38" s="177"/>
      <c r="CZ38" s="177"/>
      <c r="DA38" s="177"/>
      <c r="DB38" s="177"/>
      <c r="DC38" s="177"/>
      <c r="DD38" s="177"/>
      <c r="DE38" s="177"/>
      <c r="DF38" s="177"/>
      <c r="DG38" s="177"/>
      <c r="DH38" s="177"/>
      <c r="DI38" s="177"/>
      <c r="DJ38" s="177"/>
      <c r="DK38" s="177"/>
      <c r="DL38" s="177"/>
      <c r="DM38" s="177"/>
      <c r="DN38" s="177"/>
      <c r="DO38" s="177"/>
      <c r="DP38" s="177"/>
      <c r="DQ38" s="177"/>
      <c r="DR38" s="177"/>
      <c r="DS38" s="177"/>
      <c r="DT38" s="177"/>
      <c r="DU38" s="177"/>
      <c r="DV38" s="177"/>
      <c r="DW38" s="177"/>
      <c r="DX38" s="177"/>
      <c r="DY38" s="177"/>
      <c r="DZ38" s="177"/>
      <c r="EA38" s="177"/>
      <c r="EB38" s="177"/>
      <c r="EC38" s="177"/>
      <c r="ED38" s="177"/>
      <c r="EE38" s="177"/>
      <c r="EF38" s="177"/>
      <c r="EG38" s="177"/>
      <c r="EH38" s="177"/>
      <c r="EI38" s="177"/>
      <c r="EJ38" s="177"/>
      <c r="EK38" s="177"/>
      <c r="EL38" s="177"/>
      <c r="EM38" s="177"/>
      <c r="EN38" s="177"/>
      <c r="EO38" s="177"/>
      <c r="EP38" s="177"/>
      <c r="EQ38" s="177"/>
      <c r="ER38" s="177"/>
      <c r="ES38" s="177"/>
      <c r="ET38" s="177"/>
      <c r="EU38" s="177"/>
      <c r="EV38" s="177"/>
      <c r="EW38" s="177"/>
      <c r="EX38" s="177"/>
      <c r="EY38" s="177"/>
      <c r="EZ38" s="177"/>
      <c r="FA38" s="177"/>
      <c r="FB38" s="177"/>
      <c r="FC38" s="177"/>
      <c r="FD38" s="177"/>
      <c r="FE38" s="177"/>
      <c r="FF38" s="177"/>
      <c r="FG38" s="177"/>
      <c r="FH38" s="177"/>
      <c r="FI38" s="177"/>
      <c r="FJ38" s="177"/>
      <c r="FK38" s="177"/>
      <c r="FL38" s="177"/>
      <c r="FM38" s="177"/>
      <c r="FN38" s="177"/>
      <c r="FO38" s="177"/>
      <c r="FP38" s="177"/>
      <c r="FQ38" s="177"/>
      <c r="FR38" s="177"/>
      <c r="FS38" s="177"/>
      <c r="FT38" s="177"/>
      <c r="FU38" s="177"/>
      <c r="FV38" s="177"/>
      <c r="FW38" s="177"/>
      <c r="FX38" s="177"/>
      <c r="FY38" s="177"/>
      <c r="FZ38" s="177"/>
      <c r="GA38" s="177"/>
      <c r="GB38" s="177"/>
      <c r="GC38" s="177"/>
      <c r="GD38" s="177"/>
      <c r="GE38" s="177"/>
      <c r="GF38" s="177"/>
      <c r="GG38" s="177"/>
      <c r="GH38" s="177"/>
      <c r="GI38" s="177"/>
      <c r="GJ38" s="177"/>
      <c r="GK38" s="177"/>
      <c r="GL38" s="177"/>
      <c r="GM38" s="177"/>
      <c r="GN38" s="177"/>
      <c r="GO38" s="177"/>
      <c r="GP38" s="177"/>
      <c r="GQ38" s="177"/>
      <c r="GR38" s="177"/>
      <c r="GS38" s="177"/>
      <c r="GT38" s="177"/>
      <c r="GU38" s="177"/>
      <c r="GV38" s="177"/>
      <c r="GW38" s="177"/>
      <c r="GX38" s="177"/>
      <c r="GY38" s="177"/>
      <c r="GZ38" s="177"/>
      <c r="HA38" s="177"/>
      <c r="HB38" s="177"/>
      <c r="HC38" s="177"/>
      <c r="HD38" s="177"/>
      <c r="HE38" s="177"/>
      <c r="HF38" s="177"/>
      <c r="HG38" s="177"/>
      <c r="HH38" s="177"/>
      <c r="HI38" s="177"/>
      <c r="HJ38" s="177"/>
      <c r="HK38" s="177"/>
      <c r="HL38" s="177"/>
      <c r="HM38" s="177"/>
      <c r="HN38" s="177"/>
      <c r="HO38" s="177"/>
      <c r="HP38" s="177"/>
      <c r="HQ38" s="177"/>
      <c r="HR38" s="177"/>
      <c r="HS38" s="177"/>
      <c r="HT38" s="177"/>
      <c r="HU38" s="177"/>
      <c r="HV38" s="177"/>
      <c r="HW38" s="177"/>
      <c r="HX38" s="177"/>
      <c r="HY38" s="177"/>
      <c r="HZ38" s="177"/>
      <c r="IA38" s="177"/>
      <c r="IB38" s="177"/>
      <c r="IC38" s="177"/>
      <c r="ID38" s="177"/>
      <c r="IE38" s="177"/>
      <c r="IF38" s="177"/>
      <c r="IG38" s="177"/>
      <c r="IH38" s="177"/>
      <c r="II38" s="177"/>
      <c r="IJ38" s="177"/>
      <c r="IK38" s="177"/>
      <c r="IL38" s="177"/>
      <c r="IM38" s="177"/>
      <c r="IN38" s="177"/>
      <c r="IO38" s="177"/>
      <c r="IP38" s="177"/>
      <c r="IQ38" s="177"/>
      <c r="IR38" s="177"/>
      <c r="IS38" s="177"/>
      <c r="IT38" s="177"/>
      <c r="IU38" s="177"/>
      <c r="IV38" s="177"/>
    </row>
    <row r="39" spans="1:7" ht="12.75">
      <c r="A39" s="412" t="s">
        <v>167</v>
      </c>
      <c r="B39" s="412"/>
      <c r="C39" s="412"/>
      <c r="D39" s="412"/>
      <c r="E39" s="412"/>
      <c r="F39" s="412"/>
      <c r="G39" s="412"/>
    </row>
    <row r="40" spans="1:7" ht="12.75">
      <c r="A40" s="412"/>
      <c r="B40" s="412"/>
      <c r="C40" s="412"/>
      <c r="D40" s="412"/>
      <c r="E40" s="412"/>
      <c r="F40" s="412"/>
      <c r="G40" s="412"/>
    </row>
    <row r="41" spans="1:7" ht="12.75">
      <c r="A41" s="412"/>
      <c r="B41" s="412"/>
      <c r="C41" s="412"/>
      <c r="D41" s="412"/>
      <c r="E41" s="412"/>
      <c r="F41" s="412"/>
      <c r="G41" s="412"/>
    </row>
    <row r="42" spans="1:7" ht="12.75">
      <c r="A42" s="412"/>
      <c r="B42" s="412"/>
      <c r="C42" s="412"/>
      <c r="D42" s="412"/>
      <c r="E42" s="412"/>
      <c r="F42" s="412"/>
      <c r="G42" s="412"/>
    </row>
    <row r="43" spans="1:7" ht="12.75">
      <c r="A43" s="412"/>
      <c r="B43" s="412"/>
      <c r="C43" s="412"/>
      <c r="D43" s="412"/>
      <c r="E43" s="412"/>
      <c r="F43" s="412"/>
      <c r="G43" s="412"/>
    </row>
    <row r="44" spans="1:7" ht="12.75">
      <c r="A44" s="412"/>
      <c r="B44" s="412"/>
      <c r="C44" s="412"/>
      <c r="D44" s="412"/>
      <c r="E44" s="412"/>
      <c r="F44" s="412"/>
      <c r="G44" s="412"/>
    </row>
    <row r="45" spans="1:7" ht="12.75">
      <c r="A45" s="412"/>
      <c r="B45" s="412"/>
      <c r="C45" s="412"/>
      <c r="D45" s="412"/>
      <c r="E45" s="412"/>
      <c r="F45" s="412"/>
      <c r="G45" s="412"/>
    </row>
    <row r="46" spans="1:7" ht="12.75">
      <c r="A46" s="412"/>
      <c r="B46" s="412"/>
      <c r="C46" s="412"/>
      <c r="D46" s="412"/>
      <c r="E46" s="412"/>
      <c r="F46" s="412"/>
      <c r="G46" s="412"/>
    </row>
  </sheetData>
  <sheetProtection password="82A3" sheet="1" objects="1" scenarios="1"/>
  <mergeCells count="9">
    <mergeCell ref="A39:G46"/>
    <mergeCell ref="C1:E1"/>
    <mergeCell ref="B35:G35"/>
    <mergeCell ref="D2:G2"/>
    <mergeCell ref="D4:E4"/>
    <mergeCell ref="C9:E9"/>
    <mergeCell ref="B36:G36"/>
    <mergeCell ref="B34:D34"/>
    <mergeCell ref="B33:C33"/>
  </mergeCells>
  <hyperlinks>
    <hyperlink ref="E14" location="'1.Rate_Base'!A1" display="Rate Base"/>
    <hyperlink ref="E16" location="'2.Utility Income'!A1" display="Utility Income"/>
    <hyperlink ref="E18" location="'3.Taxes_PILs'!A1" display="Taxes/PILS"/>
    <hyperlink ref="E20" location="'4.Cost_of_Capital'!A1" display="Capitalization/Cost of Capital"/>
    <hyperlink ref="E22" location="'5. Rev_Suff_Def'!A1" display="Revenue Sufficiency/Deficiency"/>
    <hyperlink ref="E24" location="'6.Rev_Reqt'!A1" display="Revenue Requirement"/>
    <hyperlink ref="E26" location="'7A.Bill Impacts - Residential'!A1" display="Bill Impacts -Residential"/>
    <hyperlink ref="E12" location="'A. Data_Input_Sheet'!A1" display="Data Input Sheet"/>
    <hyperlink ref="E28" location="'7B.Bill Impacts - GS_LT_50kW'!A1" display="Bill Impacts - GS &lt; 50 kW"/>
  </hyperlinks>
  <printOptions/>
  <pageMargins left="0.75" right="0.75" top="1" bottom="1" header="0.5" footer="0.5"/>
  <pageSetup horizontalDpi="300" verticalDpi="300" orientation="portrait" scale="89" r:id="rId4"/>
  <headerFooter alignWithMargins="0">
    <oddFooter>&amp;C1</oddFooter>
  </headerFooter>
  <drawing r:id="rId3"/>
  <legacyDrawing r:id="rId2"/>
  <oleObjects>
    <oleObject progId="Unknown" shapeId="8897868" r:id="rId1"/>
  </oleObjects>
</worksheet>
</file>

<file path=xl/worksheets/sheet10.xml><?xml version="1.0" encoding="utf-8"?>
<worksheet xmlns="http://schemas.openxmlformats.org/spreadsheetml/2006/main" xmlns:r="http://schemas.openxmlformats.org/officeDocument/2006/relationships">
  <sheetPr codeName="Sheet11">
    <pageSetUpPr fitToPage="1"/>
  </sheetPr>
  <dimension ref="B1:R53"/>
  <sheetViews>
    <sheetView showGridLines="0" tabSelected="1" zoomScalePageLayoutView="0" workbookViewId="0" topLeftCell="A16">
      <selection activeCell="H24" sqref="H24"/>
    </sheetView>
  </sheetViews>
  <sheetFormatPr defaultColWidth="9.140625" defaultRowHeight="12.75"/>
  <cols>
    <col min="1" max="1" width="2.7109375" style="13" customWidth="1"/>
    <col min="2" max="2" width="3.140625" style="13" customWidth="1"/>
    <col min="3" max="3" width="1.28515625" style="13" customWidth="1"/>
    <col min="4" max="4" width="26.57421875" style="13" customWidth="1"/>
    <col min="5" max="5" width="1.28515625" style="13" customWidth="1"/>
    <col min="6" max="6" width="11.28125" style="13" customWidth="1"/>
    <col min="7" max="7" width="1.421875" style="13" customWidth="1"/>
    <col min="8" max="8" width="13.7109375" style="13" customWidth="1"/>
    <col min="9" max="9" width="8.57421875" style="13" customWidth="1"/>
    <col min="10" max="10" width="9.7109375" style="13" customWidth="1"/>
    <col min="11" max="11" width="1.421875" style="13" customWidth="1"/>
    <col min="12" max="12" width="14.28125" style="13" customWidth="1"/>
    <col min="13" max="13" width="8.57421875" style="13" customWidth="1"/>
    <col min="14" max="14" width="9.7109375" style="13" customWidth="1"/>
    <col min="15" max="15" width="1.421875" style="13" customWidth="1"/>
    <col min="16" max="16" width="8.8515625" style="13" customWidth="1"/>
    <col min="17" max="17" width="8.7109375" style="13" customWidth="1"/>
    <col min="18" max="18" width="3.8515625" style="13" customWidth="1"/>
    <col min="19" max="16384" width="9.140625" style="13" customWidth="1"/>
  </cols>
  <sheetData>
    <row r="1" spans="3:18" s="2" customFormat="1" ht="20.25" customHeight="1">
      <c r="C1" s="396" t="s">
        <v>156</v>
      </c>
      <c r="D1" s="396"/>
      <c r="E1" s="396"/>
      <c r="F1" s="396"/>
      <c r="G1" s="396"/>
      <c r="H1" s="396"/>
      <c r="I1" s="396"/>
      <c r="J1" s="396"/>
      <c r="K1" s="396"/>
      <c r="L1" s="396"/>
      <c r="M1" s="396"/>
      <c r="Q1" s="470" t="str">
        <f>CONCATENATE('Table of Contents'!$F$6," ",'Table of Contents'!$G$6)</f>
        <v>Version: 2.11</v>
      </c>
      <c r="R1" s="470"/>
    </row>
    <row r="2" spans="3:15" s="2" customFormat="1" ht="18">
      <c r="C2" s="408" t="str">
        <f>"Name of LDC:    "&amp;IF(ISBLANK('Table of Contents'!D2),"",'Table of Contents'!D2)</f>
        <v>Name of LDC:    Waterloo North Hydro Inc.</v>
      </c>
      <c r="D2" s="408"/>
      <c r="E2" s="408"/>
      <c r="F2" s="408"/>
      <c r="G2" s="408"/>
      <c r="H2" s="408"/>
      <c r="I2" s="408"/>
      <c r="J2" s="408"/>
      <c r="K2" s="408"/>
      <c r="L2" s="408"/>
      <c r="M2" s="408"/>
      <c r="N2" s="408"/>
      <c r="O2" s="408"/>
    </row>
    <row r="3" spans="3:13" s="2" customFormat="1" ht="18">
      <c r="C3" s="408" t="str">
        <f>"File Number:      "&amp;IF(ISBLANK('Table of Contents'!D4),"",'Table of Contents'!D4)</f>
        <v>File Number:      EB-2010-0144</v>
      </c>
      <c r="D3" s="408"/>
      <c r="E3" s="408"/>
      <c r="F3" s="408"/>
      <c r="G3" s="408"/>
      <c r="H3" s="408"/>
      <c r="I3" s="408"/>
      <c r="J3" s="408"/>
      <c r="K3" s="408"/>
      <c r="L3" s="408"/>
      <c r="M3" s="408"/>
    </row>
    <row r="4" spans="3:13" s="2" customFormat="1" ht="18">
      <c r="C4" s="408" t="str">
        <f>"Rate Year:          "&amp;IF(ISBLANK('Table of Contents'!D6),"",'Table of Contents'!D6)</f>
        <v>Rate Year:          2011</v>
      </c>
      <c r="D4" s="408"/>
      <c r="E4" s="408"/>
      <c r="F4" s="408"/>
      <c r="G4" s="408"/>
      <c r="H4" s="408"/>
      <c r="I4" s="408"/>
      <c r="J4" s="408"/>
      <c r="K4" s="54"/>
      <c r="L4" s="54"/>
      <c r="M4" s="54"/>
    </row>
    <row r="5" spans="5:7" s="2" customFormat="1" ht="16.5" customHeight="1">
      <c r="E5" s="5"/>
      <c r="F5" s="5"/>
      <c r="G5" s="5"/>
    </row>
    <row r="6" s="2" customFormat="1" ht="12.75"/>
    <row r="7" ht="4.5" customHeight="1"/>
    <row r="8" spans="2:17" ht="15.75">
      <c r="B8" s="230" t="s">
        <v>203</v>
      </c>
      <c r="F8" s="483" t="s">
        <v>233</v>
      </c>
      <c r="G8" s="483"/>
      <c r="H8" s="483"/>
      <c r="I8" s="483"/>
      <c r="J8" s="483"/>
      <c r="K8" s="483"/>
      <c r="L8" s="483"/>
      <c r="M8" s="483"/>
      <c r="N8" s="483"/>
      <c r="O8" s="483"/>
      <c r="P8" s="483"/>
      <c r="Q8" s="483"/>
    </row>
    <row r="9" spans="2:9" ht="12.75">
      <c r="B9" s="230" t="s">
        <v>204</v>
      </c>
      <c r="F9" s="12" t="s">
        <v>222</v>
      </c>
      <c r="G9" s="12"/>
      <c r="H9" s="235">
        <v>2000</v>
      </c>
      <c r="I9" s="12" t="s">
        <v>228</v>
      </c>
    </row>
    <row r="10" ht="12.75">
      <c r="B10" s="230" t="s">
        <v>205</v>
      </c>
    </row>
    <row r="11" spans="2:17" ht="12.75">
      <c r="B11" s="217"/>
      <c r="F11" s="72"/>
      <c r="G11" s="72"/>
      <c r="H11" s="480" t="s">
        <v>223</v>
      </c>
      <c r="I11" s="481"/>
      <c r="J11" s="482"/>
      <c r="L11" s="480" t="s">
        <v>224</v>
      </c>
      <c r="M11" s="481"/>
      <c r="N11" s="482"/>
      <c r="P11" s="480" t="s">
        <v>225</v>
      </c>
      <c r="Q11" s="482"/>
    </row>
    <row r="12" spans="2:17" ht="12.75">
      <c r="B12" s="217"/>
      <c r="F12" s="484" t="s">
        <v>202</v>
      </c>
      <c r="G12" s="218"/>
      <c r="H12" s="222" t="s">
        <v>208</v>
      </c>
      <c r="I12" s="222" t="s">
        <v>200</v>
      </c>
      <c r="J12" s="219" t="s">
        <v>220</v>
      </c>
      <c r="L12" s="222" t="s">
        <v>208</v>
      </c>
      <c r="M12" s="221" t="s">
        <v>200</v>
      </c>
      <c r="N12" s="219" t="s">
        <v>220</v>
      </c>
      <c r="P12" s="486" t="s">
        <v>226</v>
      </c>
      <c r="Q12" s="488" t="s">
        <v>227</v>
      </c>
    </row>
    <row r="13" spans="2:17" ht="12.75">
      <c r="B13" s="217"/>
      <c r="F13" s="485"/>
      <c r="G13" s="218"/>
      <c r="H13" s="223" t="s">
        <v>9</v>
      </c>
      <c r="I13" s="223"/>
      <c r="J13" s="220" t="s">
        <v>9</v>
      </c>
      <c r="L13" s="223" t="s">
        <v>9</v>
      </c>
      <c r="M13" s="220"/>
      <c r="N13" s="220" t="s">
        <v>9</v>
      </c>
      <c r="P13" s="487"/>
      <c r="Q13" s="489"/>
    </row>
    <row r="14" spans="2:17" ht="12.75">
      <c r="B14" s="213">
        <v>1</v>
      </c>
      <c r="D14" s="13" t="s">
        <v>193</v>
      </c>
      <c r="F14" s="261" t="s">
        <v>203</v>
      </c>
      <c r="G14" s="45"/>
      <c r="H14" s="300">
        <v>30.63</v>
      </c>
      <c r="I14" s="264">
        <v>1</v>
      </c>
      <c r="J14" s="301">
        <f aca="true" t="shared" si="0" ref="J14:J28">I14*H14</f>
        <v>30.63</v>
      </c>
      <c r="K14" s="260"/>
      <c r="L14" s="300">
        <v>30.63</v>
      </c>
      <c r="M14" s="266">
        <v>1</v>
      </c>
      <c r="N14" s="301">
        <f aca="true" t="shared" si="1" ref="N14:N28">M14*L14</f>
        <v>30.63</v>
      </c>
      <c r="O14" s="260"/>
      <c r="P14" s="267">
        <f aca="true" t="shared" si="2" ref="P14:P43">N14-J14</f>
        <v>0</v>
      </c>
      <c r="Q14" s="296">
        <f aca="true" t="shared" si="3" ref="Q14:Q43">IF((J14)=0,"",(P14/J14))</f>
        <v>0</v>
      </c>
    </row>
    <row r="15" spans="2:17" ht="12.75">
      <c r="B15" s="213">
        <v>2</v>
      </c>
      <c r="D15" s="260" t="s">
        <v>238</v>
      </c>
      <c r="E15" s="260"/>
      <c r="F15" s="261" t="s">
        <v>203</v>
      </c>
      <c r="G15" s="262"/>
      <c r="H15" s="263">
        <v>1</v>
      </c>
      <c r="I15" s="264">
        <v>1</v>
      </c>
      <c r="J15" s="265">
        <f t="shared" si="0"/>
        <v>1</v>
      </c>
      <c r="K15" s="260"/>
      <c r="L15" s="263">
        <v>1</v>
      </c>
      <c r="M15" s="266">
        <v>1</v>
      </c>
      <c r="N15" s="265">
        <f t="shared" si="1"/>
        <v>1</v>
      </c>
      <c r="O15" s="260"/>
      <c r="P15" s="267">
        <f t="shared" si="2"/>
        <v>0</v>
      </c>
      <c r="Q15" s="296">
        <f t="shared" si="3"/>
        <v>0</v>
      </c>
    </row>
    <row r="16" spans="2:17" ht="12.75">
      <c r="B16" s="213">
        <v>3</v>
      </c>
      <c r="D16" s="13" t="s">
        <v>214</v>
      </c>
      <c r="F16" s="261"/>
      <c r="G16" s="45"/>
      <c r="H16" s="300"/>
      <c r="I16" s="264">
        <v>1</v>
      </c>
      <c r="J16" s="301">
        <f t="shared" si="0"/>
        <v>0</v>
      </c>
      <c r="K16" s="260"/>
      <c r="L16" s="300"/>
      <c r="M16" s="266">
        <v>1</v>
      </c>
      <c r="N16" s="301">
        <f t="shared" si="1"/>
        <v>0</v>
      </c>
      <c r="O16" s="260"/>
      <c r="P16" s="267">
        <f t="shared" si="2"/>
        <v>0</v>
      </c>
      <c r="Q16" s="296">
        <f t="shared" si="3"/>
      </c>
    </row>
    <row r="17" spans="2:17" ht="12.75">
      <c r="B17" s="213">
        <v>4</v>
      </c>
      <c r="D17" s="13" t="s">
        <v>215</v>
      </c>
      <c r="F17" s="261"/>
      <c r="G17" s="45"/>
      <c r="H17" s="300"/>
      <c r="I17" s="264">
        <v>1</v>
      </c>
      <c r="J17" s="301">
        <f t="shared" si="0"/>
        <v>0</v>
      </c>
      <c r="K17" s="260"/>
      <c r="L17" s="300"/>
      <c r="M17" s="266">
        <v>1</v>
      </c>
      <c r="N17" s="301">
        <f t="shared" si="1"/>
        <v>0</v>
      </c>
      <c r="O17" s="260"/>
      <c r="P17" s="267">
        <f t="shared" si="2"/>
        <v>0</v>
      </c>
      <c r="Q17" s="296">
        <f t="shared" si="3"/>
      </c>
    </row>
    <row r="18" spans="2:17" ht="12.75">
      <c r="B18" s="213">
        <v>5</v>
      </c>
      <c r="D18" s="13" t="s">
        <v>216</v>
      </c>
      <c r="F18" s="261" t="s">
        <v>204</v>
      </c>
      <c r="G18" s="45"/>
      <c r="H18" s="300">
        <v>0.0104</v>
      </c>
      <c r="I18" s="264">
        <f>H9</f>
        <v>2000</v>
      </c>
      <c r="J18" s="301">
        <f t="shared" si="0"/>
        <v>20.8</v>
      </c>
      <c r="K18" s="260"/>
      <c r="L18" s="300">
        <v>0.0148</v>
      </c>
      <c r="M18" s="266">
        <f>H9</f>
        <v>2000</v>
      </c>
      <c r="N18" s="301">
        <f t="shared" si="1"/>
        <v>29.6</v>
      </c>
      <c r="O18" s="260"/>
      <c r="P18" s="267">
        <f t="shared" si="2"/>
        <v>8.8</v>
      </c>
      <c r="Q18" s="296">
        <f t="shared" si="3"/>
        <v>0.4230769230769231</v>
      </c>
    </row>
    <row r="19" spans="2:17" ht="12.75">
      <c r="B19" s="213">
        <v>6</v>
      </c>
      <c r="D19" s="13" t="s">
        <v>209</v>
      </c>
      <c r="F19" s="261" t="s">
        <v>204</v>
      </c>
      <c r="G19" s="45"/>
      <c r="H19" s="300">
        <v>0.0001</v>
      </c>
      <c r="I19" s="264">
        <f aca="true" t="shared" si="4" ref="I19:I24">I18</f>
        <v>2000</v>
      </c>
      <c r="J19" s="301">
        <f t="shared" si="0"/>
        <v>0.2</v>
      </c>
      <c r="K19" s="260"/>
      <c r="L19" s="300">
        <v>0.0001</v>
      </c>
      <c r="M19" s="266">
        <f aca="true" t="shared" si="5" ref="M19:M24">M18</f>
        <v>2000</v>
      </c>
      <c r="N19" s="301">
        <f t="shared" si="1"/>
        <v>0.2</v>
      </c>
      <c r="O19" s="260"/>
      <c r="P19" s="267">
        <f t="shared" si="2"/>
        <v>0</v>
      </c>
      <c r="Q19" s="296">
        <f t="shared" si="3"/>
        <v>0</v>
      </c>
    </row>
    <row r="20" spans="2:17" ht="12.75">
      <c r="B20" s="213">
        <v>7</v>
      </c>
      <c r="D20" s="13" t="s">
        <v>217</v>
      </c>
      <c r="F20" s="261"/>
      <c r="G20" s="45"/>
      <c r="H20" s="300"/>
      <c r="I20" s="264">
        <f t="shared" si="4"/>
        <v>2000</v>
      </c>
      <c r="J20" s="301">
        <f t="shared" si="0"/>
        <v>0</v>
      </c>
      <c r="K20" s="260"/>
      <c r="L20" s="300"/>
      <c r="M20" s="266">
        <f t="shared" si="5"/>
        <v>2000</v>
      </c>
      <c r="N20" s="301">
        <f t="shared" si="1"/>
        <v>0</v>
      </c>
      <c r="O20" s="260"/>
      <c r="P20" s="267">
        <f t="shared" si="2"/>
        <v>0</v>
      </c>
      <c r="Q20" s="296">
        <f t="shared" si="3"/>
      </c>
    </row>
    <row r="21" spans="2:17" ht="12.75">
      <c r="B21" s="213">
        <v>8</v>
      </c>
      <c r="D21" s="13" t="s">
        <v>218</v>
      </c>
      <c r="F21" s="261"/>
      <c r="G21" s="45"/>
      <c r="H21" s="300"/>
      <c r="I21" s="264">
        <f t="shared" si="4"/>
        <v>2000</v>
      </c>
      <c r="J21" s="301">
        <f t="shared" si="0"/>
        <v>0</v>
      </c>
      <c r="K21" s="260"/>
      <c r="L21" s="300"/>
      <c r="M21" s="266">
        <f t="shared" si="5"/>
        <v>2000</v>
      </c>
      <c r="N21" s="301">
        <f t="shared" si="1"/>
        <v>0</v>
      </c>
      <c r="O21" s="260"/>
      <c r="P21" s="267">
        <f t="shared" si="2"/>
        <v>0</v>
      </c>
      <c r="Q21" s="296">
        <f t="shared" si="3"/>
      </c>
    </row>
    <row r="22" spans="2:17" ht="12.75">
      <c r="B22" s="213">
        <v>9</v>
      </c>
      <c r="D22" s="13" t="s">
        <v>194</v>
      </c>
      <c r="F22" s="261"/>
      <c r="G22" s="45"/>
      <c r="H22" s="300"/>
      <c r="I22" s="264">
        <f t="shared" si="4"/>
        <v>2000</v>
      </c>
      <c r="J22" s="301">
        <f t="shared" si="0"/>
        <v>0</v>
      </c>
      <c r="K22" s="260"/>
      <c r="L22" s="300"/>
      <c r="M22" s="266">
        <f t="shared" si="5"/>
        <v>2000</v>
      </c>
      <c r="N22" s="301">
        <f t="shared" si="1"/>
        <v>0</v>
      </c>
      <c r="O22" s="260"/>
      <c r="P22" s="267">
        <f t="shared" si="2"/>
        <v>0</v>
      </c>
      <c r="Q22" s="296">
        <f t="shared" si="3"/>
      </c>
    </row>
    <row r="23" spans="2:17" ht="12.75">
      <c r="B23" s="213">
        <v>10</v>
      </c>
      <c r="D23" s="13" t="s">
        <v>195</v>
      </c>
      <c r="F23" s="261" t="s">
        <v>204</v>
      </c>
      <c r="G23" s="45"/>
      <c r="H23" s="300">
        <v>0</v>
      </c>
      <c r="I23" s="264">
        <f t="shared" si="4"/>
        <v>2000</v>
      </c>
      <c r="J23" s="301">
        <f t="shared" si="0"/>
        <v>0</v>
      </c>
      <c r="K23" s="260"/>
      <c r="L23" s="300">
        <v>7.479307992364976E-05</v>
      </c>
      <c r="M23" s="266">
        <f t="shared" si="5"/>
        <v>2000</v>
      </c>
      <c r="N23" s="301">
        <f t="shared" si="1"/>
        <v>0.1495861598472995</v>
      </c>
      <c r="O23" s="260"/>
      <c r="P23" s="267">
        <f t="shared" si="2"/>
        <v>0.1495861598472995</v>
      </c>
      <c r="Q23" s="296">
        <f t="shared" si="3"/>
      </c>
    </row>
    <row r="24" spans="2:17" ht="25.5">
      <c r="B24" s="213">
        <v>11</v>
      </c>
      <c r="D24" s="259" t="s">
        <v>239</v>
      </c>
      <c r="E24" s="260"/>
      <c r="F24" s="261" t="s">
        <v>204</v>
      </c>
      <c r="G24" s="262"/>
      <c r="H24" s="263">
        <v>-0.0024000000000000002</v>
      </c>
      <c r="I24" s="264">
        <f t="shared" si="4"/>
        <v>2000</v>
      </c>
      <c r="J24" s="265">
        <f t="shared" si="0"/>
        <v>-4.800000000000001</v>
      </c>
      <c r="K24" s="260"/>
      <c r="L24" s="263">
        <v>-0.0024000000000000002</v>
      </c>
      <c r="M24" s="266">
        <f t="shared" si="5"/>
        <v>2000</v>
      </c>
      <c r="N24" s="265">
        <f t="shared" si="1"/>
        <v>-4.800000000000001</v>
      </c>
      <c r="O24" s="260"/>
      <c r="P24" s="267">
        <f t="shared" si="2"/>
        <v>0</v>
      </c>
      <c r="Q24" s="296">
        <f t="shared" si="3"/>
        <v>0</v>
      </c>
    </row>
    <row r="25" spans="2:17" ht="12.75">
      <c r="B25" s="213">
        <v>12</v>
      </c>
      <c r="D25" s="236"/>
      <c r="F25" s="261"/>
      <c r="G25" s="45"/>
      <c r="H25" s="300"/>
      <c r="I25" s="270"/>
      <c r="J25" s="301">
        <f t="shared" si="0"/>
        <v>0</v>
      </c>
      <c r="K25" s="260"/>
      <c r="L25" s="300"/>
      <c r="M25" s="271"/>
      <c r="N25" s="301">
        <f t="shared" si="1"/>
        <v>0</v>
      </c>
      <c r="O25" s="260"/>
      <c r="P25" s="267">
        <f t="shared" si="2"/>
        <v>0</v>
      </c>
      <c r="Q25" s="296">
        <f t="shared" si="3"/>
      </c>
    </row>
    <row r="26" spans="2:17" ht="12.75">
      <c r="B26" s="213">
        <v>13</v>
      </c>
      <c r="D26" s="236"/>
      <c r="F26" s="261"/>
      <c r="G26" s="45"/>
      <c r="H26" s="300"/>
      <c r="I26" s="270"/>
      <c r="J26" s="301">
        <f t="shared" si="0"/>
        <v>0</v>
      </c>
      <c r="K26" s="260"/>
      <c r="L26" s="300"/>
      <c r="M26" s="271"/>
      <c r="N26" s="301">
        <f t="shared" si="1"/>
        <v>0</v>
      </c>
      <c r="O26" s="260"/>
      <c r="P26" s="267">
        <f t="shared" si="2"/>
        <v>0</v>
      </c>
      <c r="Q26" s="296">
        <f t="shared" si="3"/>
      </c>
    </row>
    <row r="27" spans="2:17" ht="12.75">
      <c r="B27" s="213">
        <v>14</v>
      </c>
      <c r="D27" s="236"/>
      <c r="F27" s="261"/>
      <c r="G27" s="45"/>
      <c r="H27" s="300"/>
      <c r="I27" s="270"/>
      <c r="J27" s="301">
        <f t="shared" si="0"/>
        <v>0</v>
      </c>
      <c r="K27" s="260"/>
      <c r="L27" s="300"/>
      <c r="M27" s="271"/>
      <c r="N27" s="301">
        <f t="shared" si="1"/>
        <v>0</v>
      </c>
      <c r="O27" s="260"/>
      <c r="P27" s="267">
        <f t="shared" si="2"/>
        <v>0</v>
      </c>
      <c r="Q27" s="296">
        <f t="shared" si="3"/>
      </c>
    </row>
    <row r="28" spans="2:17" ht="13.5" thickBot="1">
      <c r="B28" s="213">
        <v>15</v>
      </c>
      <c r="D28" s="236"/>
      <c r="F28" s="261"/>
      <c r="G28" s="45"/>
      <c r="H28" s="300"/>
      <c r="I28" s="270"/>
      <c r="J28" s="301">
        <f t="shared" si="0"/>
        <v>0</v>
      </c>
      <c r="K28" s="260"/>
      <c r="L28" s="300"/>
      <c r="M28" s="271"/>
      <c r="N28" s="301">
        <f t="shared" si="1"/>
        <v>0</v>
      </c>
      <c r="O28" s="260"/>
      <c r="P28" s="267">
        <f t="shared" si="2"/>
        <v>0</v>
      </c>
      <c r="Q28" s="296">
        <f t="shared" si="3"/>
      </c>
    </row>
    <row r="29" spans="2:17" ht="13.5" thickBot="1">
      <c r="B29" s="213">
        <v>16</v>
      </c>
      <c r="D29" s="12" t="s">
        <v>196</v>
      </c>
      <c r="F29" s="260"/>
      <c r="G29" s="45"/>
      <c r="H29" s="281"/>
      <c r="I29" s="282"/>
      <c r="J29" s="283">
        <f>SUM(J14:J28)</f>
        <v>47.83</v>
      </c>
      <c r="K29" s="260"/>
      <c r="L29" s="281"/>
      <c r="M29" s="302"/>
      <c r="N29" s="283">
        <f>SUM(N14:N28)</f>
        <v>56.77958615984731</v>
      </c>
      <c r="O29" s="260"/>
      <c r="P29" s="286">
        <f t="shared" si="2"/>
        <v>8.949586159847314</v>
      </c>
      <c r="Q29" s="299">
        <f t="shared" si="3"/>
        <v>0.1871124014185096</v>
      </c>
    </row>
    <row r="30" spans="2:17" ht="12.75">
      <c r="B30" s="213">
        <v>17</v>
      </c>
      <c r="D30" s="13" t="s">
        <v>197</v>
      </c>
      <c r="F30" s="261" t="s">
        <v>204</v>
      </c>
      <c r="G30" s="45"/>
      <c r="H30" s="300">
        <v>0.0053</v>
      </c>
      <c r="I30" s="264">
        <f>H9*(1+H45)</f>
        <v>2101</v>
      </c>
      <c r="J30" s="301">
        <f>I30*H30</f>
        <v>11.1353</v>
      </c>
      <c r="K30" s="260"/>
      <c r="L30" s="300">
        <v>0.005175067627589857</v>
      </c>
      <c r="M30" s="266">
        <f>H9*(1+L45)</f>
        <v>2080.8</v>
      </c>
      <c r="N30" s="301">
        <f>M30*L30</f>
        <v>10.768280719488976</v>
      </c>
      <c r="O30" s="260"/>
      <c r="P30" s="267">
        <f t="shared" si="2"/>
        <v>-0.36701928051102506</v>
      </c>
      <c r="Q30" s="296">
        <f t="shared" si="3"/>
        <v>-0.032959981366557256</v>
      </c>
    </row>
    <row r="31" spans="2:17" ht="26.25" thickBot="1">
      <c r="B31" s="213">
        <v>18</v>
      </c>
      <c r="D31" s="47" t="s">
        <v>219</v>
      </c>
      <c r="F31" s="261" t="s">
        <v>204</v>
      </c>
      <c r="G31" s="45"/>
      <c r="H31" s="300">
        <v>0.0018</v>
      </c>
      <c r="I31" s="264">
        <f>I30</f>
        <v>2101</v>
      </c>
      <c r="J31" s="301">
        <f>I31*H31</f>
        <v>3.7818</v>
      </c>
      <c r="K31" s="260"/>
      <c r="L31" s="300">
        <v>0.0015960711313290374</v>
      </c>
      <c r="M31" s="266">
        <f>M30</f>
        <v>2080.8</v>
      </c>
      <c r="N31" s="301">
        <f>M31*L31</f>
        <v>3.3211048100694613</v>
      </c>
      <c r="O31" s="260"/>
      <c r="P31" s="267">
        <f t="shared" si="2"/>
        <v>-0.4606951899305387</v>
      </c>
      <c r="Q31" s="296">
        <f t="shared" si="3"/>
        <v>-0.1218190253134853</v>
      </c>
    </row>
    <row r="32" spans="2:17" ht="26.25" thickBot="1">
      <c r="B32" s="213">
        <v>19</v>
      </c>
      <c r="D32" s="202" t="s">
        <v>198</v>
      </c>
      <c r="F32" s="260"/>
      <c r="G32" s="45"/>
      <c r="H32" s="281"/>
      <c r="I32" s="282"/>
      <c r="J32" s="283">
        <f>SUM(J29:J31)</f>
        <v>62.747099999999996</v>
      </c>
      <c r="K32" s="213"/>
      <c r="L32" s="284"/>
      <c r="M32" s="285"/>
      <c r="N32" s="283">
        <f>SUM(N29:N31)</f>
        <v>70.86897168940574</v>
      </c>
      <c r="O32" s="213"/>
      <c r="P32" s="286">
        <f t="shared" si="2"/>
        <v>8.121871689405744</v>
      </c>
      <c r="Q32" s="299">
        <f t="shared" si="3"/>
        <v>0.12943820016233012</v>
      </c>
    </row>
    <row r="33" spans="2:17" ht="25.5">
      <c r="B33" s="213">
        <v>20</v>
      </c>
      <c r="D33" s="47" t="s">
        <v>212</v>
      </c>
      <c r="F33" s="261" t="s">
        <v>204</v>
      </c>
      <c r="G33" s="45"/>
      <c r="H33" s="300">
        <v>0.0052</v>
      </c>
      <c r="I33" s="264">
        <f>I31</f>
        <v>2101</v>
      </c>
      <c r="J33" s="301">
        <f aca="true" t="shared" si="6" ref="J33:J38">I33*H33</f>
        <v>10.9252</v>
      </c>
      <c r="K33" s="260"/>
      <c r="L33" s="300">
        <v>0.0052</v>
      </c>
      <c r="M33" s="266">
        <f>M31</f>
        <v>2080.8</v>
      </c>
      <c r="N33" s="301">
        <f aca="true" t="shared" si="7" ref="N33:N40">M33*L33</f>
        <v>10.820160000000001</v>
      </c>
      <c r="O33" s="260"/>
      <c r="P33" s="267">
        <f t="shared" si="2"/>
        <v>-0.10503999999999891</v>
      </c>
      <c r="Q33" s="296">
        <f t="shared" si="3"/>
        <v>-0.009614469300333075</v>
      </c>
    </row>
    <row r="34" spans="2:17" ht="25.5">
      <c r="B34" s="213">
        <v>21</v>
      </c>
      <c r="D34" s="47" t="s">
        <v>211</v>
      </c>
      <c r="F34" s="261" t="s">
        <v>204</v>
      </c>
      <c r="G34" s="45"/>
      <c r="H34" s="300">
        <v>0.0013</v>
      </c>
      <c r="I34" s="264">
        <f>I31</f>
        <v>2101</v>
      </c>
      <c r="J34" s="301">
        <f t="shared" si="6"/>
        <v>2.7313</v>
      </c>
      <c r="K34" s="260"/>
      <c r="L34" s="300">
        <v>0.0013</v>
      </c>
      <c r="M34" s="266">
        <f>M31</f>
        <v>2080.8</v>
      </c>
      <c r="N34" s="301">
        <f t="shared" si="7"/>
        <v>2.7050400000000003</v>
      </c>
      <c r="O34" s="260"/>
      <c r="P34" s="267">
        <f t="shared" si="2"/>
        <v>-0.026259999999999728</v>
      </c>
      <c r="Q34" s="296">
        <f t="shared" si="3"/>
        <v>-0.009614469300333075</v>
      </c>
    </row>
    <row r="35" spans="2:17" ht="12.75">
      <c r="B35" s="213">
        <v>22</v>
      </c>
      <c r="D35" s="259" t="s">
        <v>241</v>
      </c>
      <c r="E35" s="260"/>
      <c r="F35" s="261" t="s">
        <v>204</v>
      </c>
      <c r="G35" s="262"/>
      <c r="H35" s="295">
        <v>0.0003725</v>
      </c>
      <c r="I35" s="264">
        <f>I31</f>
        <v>2101</v>
      </c>
      <c r="J35" s="265">
        <f t="shared" si="6"/>
        <v>0.7826225</v>
      </c>
      <c r="K35" s="260"/>
      <c r="L35" s="295">
        <v>0.0003725</v>
      </c>
      <c r="M35" s="266">
        <f>M31</f>
        <v>2080.8</v>
      </c>
      <c r="N35" s="265">
        <f t="shared" si="7"/>
        <v>0.7750980000000001</v>
      </c>
      <c r="O35" s="260"/>
      <c r="P35" s="267">
        <f t="shared" si="2"/>
        <v>-0.007524499999999934</v>
      </c>
      <c r="Q35" s="296">
        <f t="shared" si="3"/>
        <v>-0.00961446930033309</v>
      </c>
    </row>
    <row r="36" spans="2:17" ht="12.75">
      <c r="B36" s="213">
        <v>23</v>
      </c>
      <c r="D36" s="13" t="s">
        <v>210</v>
      </c>
      <c r="F36" s="261" t="s">
        <v>203</v>
      </c>
      <c r="G36" s="45"/>
      <c r="H36" s="300">
        <v>0.25</v>
      </c>
      <c r="I36" s="264">
        <v>1</v>
      </c>
      <c r="J36" s="301">
        <f t="shared" si="6"/>
        <v>0.25</v>
      </c>
      <c r="K36" s="260"/>
      <c r="L36" s="300">
        <v>0.25</v>
      </c>
      <c r="M36" s="266">
        <v>1</v>
      </c>
      <c r="N36" s="301">
        <f t="shared" si="7"/>
        <v>0.25</v>
      </c>
      <c r="O36" s="260"/>
      <c r="P36" s="267">
        <f t="shared" si="2"/>
        <v>0</v>
      </c>
      <c r="Q36" s="296">
        <f t="shared" si="3"/>
        <v>0</v>
      </c>
    </row>
    <row r="37" spans="2:17" ht="12.75">
      <c r="B37" s="213">
        <v>24</v>
      </c>
      <c r="D37" s="13" t="s">
        <v>213</v>
      </c>
      <c r="F37" s="261" t="s">
        <v>204</v>
      </c>
      <c r="G37" s="45"/>
      <c r="H37" s="300">
        <v>0.007</v>
      </c>
      <c r="I37" s="264">
        <f>I34</f>
        <v>2101</v>
      </c>
      <c r="J37" s="301">
        <f t="shared" si="6"/>
        <v>14.707</v>
      </c>
      <c r="K37" s="260"/>
      <c r="L37" s="300">
        <v>0.007</v>
      </c>
      <c r="M37" s="266">
        <f>M34</f>
        <v>2080.8</v>
      </c>
      <c r="N37" s="301">
        <f t="shared" si="7"/>
        <v>14.565600000000002</v>
      </c>
      <c r="O37" s="260"/>
      <c r="P37" s="267">
        <f t="shared" si="2"/>
        <v>-0.14139999999999908</v>
      </c>
      <c r="Q37" s="296">
        <f t="shared" si="3"/>
        <v>-0.009614469300333111</v>
      </c>
    </row>
    <row r="38" spans="2:17" ht="12.75">
      <c r="B38" s="213">
        <v>25</v>
      </c>
      <c r="D38" s="13" t="s">
        <v>242</v>
      </c>
      <c r="F38" s="261" t="s">
        <v>204</v>
      </c>
      <c r="G38" s="45"/>
      <c r="H38" s="300">
        <v>0.07143027129938125</v>
      </c>
      <c r="I38" s="264">
        <f>I37</f>
        <v>2101</v>
      </c>
      <c r="J38" s="301">
        <f t="shared" si="6"/>
        <v>150.075</v>
      </c>
      <c r="K38" s="260"/>
      <c r="L38" s="300">
        <v>0.07143027129938125</v>
      </c>
      <c r="M38" s="266">
        <f>M37</f>
        <v>2080.8</v>
      </c>
      <c r="N38" s="301">
        <f t="shared" si="7"/>
        <v>148.6321085197525</v>
      </c>
      <c r="O38" s="260"/>
      <c r="P38" s="267">
        <f t="shared" si="2"/>
        <v>-1.4428914802474821</v>
      </c>
      <c r="Q38" s="296">
        <f t="shared" si="3"/>
        <v>-0.009614469300333049</v>
      </c>
    </row>
    <row r="39" spans="2:17" ht="12.75">
      <c r="B39" s="213">
        <v>26</v>
      </c>
      <c r="D39" s="236"/>
      <c r="F39" s="261"/>
      <c r="G39" s="45"/>
      <c r="H39" s="300"/>
      <c r="I39" s="270"/>
      <c r="J39" s="301">
        <f>I39*H39</f>
        <v>0</v>
      </c>
      <c r="K39" s="260"/>
      <c r="L39" s="300"/>
      <c r="M39" s="271"/>
      <c r="N39" s="301">
        <f t="shared" si="7"/>
        <v>0</v>
      </c>
      <c r="O39" s="260"/>
      <c r="P39" s="267">
        <f t="shared" si="2"/>
        <v>0</v>
      </c>
      <c r="Q39" s="296">
        <f t="shared" si="3"/>
      </c>
    </row>
    <row r="40" spans="2:17" ht="13.5" thickBot="1">
      <c r="B40" s="213">
        <v>27</v>
      </c>
      <c r="D40" s="236"/>
      <c r="F40" s="261"/>
      <c r="G40" s="45"/>
      <c r="H40" s="300"/>
      <c r="I40" s="270"/>
      <c r="J40" s="301">
        <f>I40*H40</f>
        <v>0</v>
      </c>
      <c r="K40" s="260"/>
      <c r="L40" s="300"/>
      <c r="M40" s="271"/>
      <c r="N40" s="301">
        <f t="shared" si="7"/>
        <v>0</v>
      </c>
      <c r="O40" s="260"/>
      <c r="P40" s="267">
        <f t="shared" si="2"/>
        <v>0</v>
      </c>
      <c r="Q40" s="296">
        <f t="shared" si="3"/>
      </c>
    </row>
    <row r="41" spans="2:17" ht="13.5" thickBot="1">
      <c r="B41" s="213">
        <v>28</v>
      </c>
      <c r="D41" s="40" t="s">
        <v>206</v>
      </c>
      <c r="H41" s="288"/>
      <c r="I41" s="289"/>
      <c r="J41" s="283">
        <f>SUM(J32:J40)</f>
        <v>242.2182225</v>
      </c>
      <c r="K41" s="213"/>
      <c r="L41" s="290"/>
      <c r="M41" s="291"/>
      <c r="N41" s="283">
        <f>SUM(N32:N40)</f>
        <v>248.61697820915825</v>
      </c>
      <c r="O41" s="213"/>
      <c r="P41" s="286">
        <f t="shared" si="2"/>
        <v>6.398755709158252</v>
      </c>
      <c r="Q41" s="299">
        <f t="shared" si="3"/>
        <v>0.02641731758707069</v>
      </c>
    </row>
    <row r="42" spans="2:17" ht="13.5" thickBot="1">
      <c r="B42" s="213">
        <v>29</v>
      </c>
      <c r="D42" s="45" t="s">
        <v>207</v>
      </c>
      <c r="H42" s="303">
        <f>'7A.Bill Impacts - Residential'!H42</f>
        <v>0.13</v>
      </c>
      <c r="I42" s="293"/>
      <c r="J42" s="294">
        <f>J41*H42</f>
        <v>31.488368925</v>
      </c>
      <c r="K42" s="260"/>
      <c r="L42" s="303">
        <f>'7A.Bill Impacts - Residential'!L42</f>
        <v>0.13</v>
      </c>
      <c r="M42" s="268"/>
      <c r="N42" s="294">
        <f>N41*L42</f>
        <v>32.320207167190574</v>
      </c>
      <c r="O42" s="260"/>
      <c r="P42" s="267">
        <f t="shared" si="2"/>
        <v>0.8318382421905746</v>
      </c>
      <c r="Q42" s="296">
        <f t="shared" si="3"/>
        <v>0.02641731758707075</v>
      </c>
    </row>
    <row r="43" spans="2:17" ht="26.25" thickBot="1">
      <c r="B43" s="213">
        <v>30</v>
      </c>
      <c r="D43" s="202" t="s">
        <v>199</v>
      </c>
      <c r="H43" s="281"/>
      <c r="I43" s="282"/>
      <c r="J43" s="283">
        <f>ROUND(SUM(J41:J42),2)</f>
        <v>273.71</v>
      </c>
      <c r="K43" s="213"/>
      <c r="L43" s="284"/>
      <c r="M43" s="285"/>
      <c r="N43" s="283">
        <f>ROUND(SUM(N41:N42),2)</f>
        <v>280.94</v>
      </c>
      <c r="O43" s="213"/>
      <c r="P43" s="286">
        <f t="shared" si="2"/>
        <v>7.230000000000018</v>
      </c>
      <c r="Q43" s="299">
        <f t="shared" si="3"/>
        <v>0.026414818603631648</v>
      </c>
    </row>
    <row r="44" ht="12.75">
      <c r="B44" s="213"/>
    </row>
    <row r="45" spans="2:12" ht="12.75">
      <c r="B45" s="213">
        <v>31</v>
      </c>
      <c r="D45" s="12" t="s">
        <v>201</v>
      </c>
      <c r="F45" s="12" t="s">
        <v>247</v>
      </c>
      <c r="H45" s="231">
        <f>'7A.Bill Impacts - Residential'!H45</f>
        <v>0.0505</v>
      </c>
      <c r="L45" s="231">
        <f>'7A.Bill Impacts - Residential'!L45</f>
        <v>0.0404</v>
      </c>
    </row>
    <row r="47" ht="12.75">
      <c r="B47" s="12" t="s">
        <v>50</v>
      </c>
    </row>
    <row r="48" ht="12.75">
      <c r="B48" s="12" t="s">
        <v>249</v>
      </c>
    </row>
    <row r="49" spans="2:17" ht="12.75">
      <c r="B49" s="490" t="s">
        <v>253</v>
      </c>
      <c r="C49" s="491"/>
      <c r="D49" s="491"/>
      <c r="E49" s="491"/>
      <c r="F49" s="491"/>
      <c r="G49" s="491"/>
      <c r="H49" s="491"/>
      <c r="I49" s="491"/>
      <c r="J49" s="491"/>
      <c r="K49" s="491"/>
      <c r="L49" s="491"/>
      <c r="M49" s="491"/>
      <c r="N49" s="491"/>
      <c r="O49" s="491"/>
      <c r="P49" s="491"/>
      <c r="Q49" s="492"/>
    </row>
    <row r="50" spans="2:17" ht="12.75">
      <c r="B50" s="474"/>
      <c r="C50" s="475"/>
      <c r="D50" s="475"/>
      <c r="E50" s="475"/>
      <c r="F50" s="475"/>
      <c r="G50" s="475"/>
      <c r="H50" s="475"/>
      <c r="I50" s="475"/>
      <c r="J50" s="475"/>
      <c r="K50" s="475"/>
      <c r="L50" s="475"/>
      <c r="M50" s="475"/>
      <c r="N50" s="475"/>
      <c r="O50" s="475"/>
      <c r="P50" s="475"/>
      <c r="Q50" s="476"/>
    </row>
    <row r="51" spans="2:17" ht="12.75">
      <c r="B51" s="474"/>
      <c r="C51" s="475"/>
      <c r="D51" s="475"/>
      <c r="E51" s="475"/>
      <c r="F51" s="475"/>
      <c r="G51" s="475"/>
      <c r="H51" s="475"/>
      <c r="I51" s="475"/>
      <c r="J51" s="475"/>
      <c r="K51" s="475"/>
      <c r="L51" s="475"/>
      <c r="M51" s="475"/>
      <c r="N51" s="475"/>
      <c r="O51" s="475"/>
      <c r="P51" s="475"/>
      <c r="Q51" s="476"/>
    </row>
    <row r="52" spans="2:17" ht="12.75">
      <c r="B52" s="474"/>
      <c r="C52" s="475"/>
      <c r="D52" s="475"/>
      <c r="E52" s="475"/>
      <c r="F52" s="475"/>
      <c r="G52" s="475"/>
      <c r="H52" s="475"/>
      <c r="I52" s="475"/>
      <c r="J52" s="475"/>
      <c r="K52" s="475"/>
      <c r="L52" s="475"/>
      <c r="M52" s="475"/>
      <c r="N52" s="475"/>
      <c r="O52" s="475"/>
      <c r="P52" s="475"/>
      <c r="Q52" s="476"/>
    </row>
    <row r="53" spans="2:17" ht="12.75">
      <c r="B53" s="477"/>
      <c r="C53" s="478"/>
      <c r="D53" s="478"/>
      <c r="E53" s="478"/>
      <c r="F53" s="478"/>
      <c r="G53" s="478"/>
      <c r="H53" s="478"/>
      <c r="I53" s="478"/>
      <c r="J53" s="478"/>
      <c r="K53" s="478"/>
      <c r="L53" s="478"/>
      <c r="M53" s="478"/>
      <c r="N53" s="478"/>
      <c r="O53" s="478"/>
      <c r="P53" s="478"/>
      <c r="Q53" s="479"/>
    </row>
  </sheetData>
  <sheetProtection password="82A3" sheet="1" objects="1" scenarios="1"/>
  <mergeCells count="17">
    <mergeCell ref="Q1:R1"/>
    <mergeCell ref="H11:J11"/>
    <mergeCell ref="L11:N11"/>
    <mergeCell ref="P11:Q11"/>
    <mergeCell ref="F8:Q8"/>
    <mergeCell ref="C1:M1"/>
    <mergeCell ref="C3:M3"/>
    <mergeCell ref="C4:J4"/>
    <mergeCell ref="C2:O2"/>
    <mergeCell ref="B52:Q52"/>
    <mergeCell ref="B53:Q53"/>
    <mergeCell ref="P12:P13"/>
    <mergeCell ref="Q12:Q13"/>
    <mergeCell ref="F12:F13"/>
    <mergeCell ref="B49:Q49"/>
    <mergeCell ref="B50:Q50"/>
    <mergeCell ref="B51:Q51"/>
  </mergeCells>
  <dataValidations count="2">
    <dataValidation type="list" allowBlank="1" showInputMessage="1" showErrorMessage="1" sqref="G14:G28 G33:G40 G30:G31">
      <formula1>$B$8:$B$12</formula1>
    </dataValidation>
    <dataValidation type="list" allowBlank="1" showInputMessage="1" showErrorMessage="1" prompt="Select Charge Unit (monthly, per kWh, per kW)" sqref="F14:F28 F33:F40 F30:F31">
      <formula1>$B$8:$B$10</formula1>
    </dataValidation>
  </dataValidations>
  <printOptions/>
  <pageMargins left="0.75" right="0.75" top="1" bottom="1" header="0.5" footer="0.5"/>
  <pageSetup fitToHeight="1" fitToWidth="1" horizontalDpi="600" verticalDpi="600" orientation="portrait" scale="66" r:id="rId3"/>
  <headerFooter alignWithMargins="0">
    <oddFooter>&amp;C9</oddFooter>
  </headerFooter>
  <legacyDrawing r:id="rId2"/>
  <oleObjects>
    <oleObject progId="Unknown" shapeId="7005167" r:id="rId1"/>
  </oleObjects>
</worksheet>
</file>

<file path=xl/worksheets/sheet2.xml><?xml version="1.0" encoding="utf-8"?>
<worksheet xmlns="http://schemas.openxmlformats.org/spreadsheetml/2006/main" xmlns:r="http://schemas.openxmlformats.org/officeDocument/2006/relationships">
  <sheetPr codeName="Sheet2">
    <pageSetUpPr fitToPage="1"/>
  </sheetPr>
  <dimension ref="A1:AC80"/>
  <sheetViews>
    <sheetView showGridLines="0" zoomScalePageLayoutView="0" workbookViewId="0" topLeftCell="A7">
      <selection activeCell="E15" sqref="E15"/>
    </sheetView>
  </sheetViews>
  <sheetFormatPr defaultColWidth="9.140625" defaultRowHeight="12.75"/>
  <cols>
    <col min="1" max="1" width="3.8515625" style="13" customWidth="1"/>
    <col min="2" max="2" width="2.421875" style="13" customWidth="1"/>
    <col min="3" max="3" width="2.140625" style="13" customWidth="1"/>
    <col min="4" max="4" width="33.57421875" style="13" customWidth="1"/>
    <col min="5" max="5" width="15.28125" style="13" customWidth="1"/>
    <col min="6" max="6" width="0.9921875" style="13" customWidth="1"/>
    <col min="7" max="7" width="3.00390625" style="13" customWidth="1"/>
    <col min="8" max="8" width="0.9921875" style="13" customWidth="1"/>
    <col min="9" max="9" width="13.140625" style="13" customWidth="1"/>
    <col min="10" max="10" width="1.1484375" style="13" customWidth="1"/>
    <col min="11" max="11" width="2.57421875" style="13" customWidth="1"/>
    <col min="12" max="12" width="1.1484375" style="13" customWidth="1"/>
    <col min="13" max="13" width="14.7109375" style="13" customWidth="1"/>
    <col min="14" max="14" width="1.1484375" style="13" customWidth="1"/>
    <col min="15" max="15" width="2.7109375" style="13" customWidth="1"/>
    <col min="16" max="16" width="1.1484375" style="13" customWidth="1"/>
    <col min="17" max="17" width="14.421875" style="13" customWidth="1"/>
    <col min="18" max="18" width="2.00390625" style="13" customWidth="1"/>
    <col min="19" max="19" width="2.8515625" style="13" customWidth="1"/>
    <col min="20" max="20" width="1.1484375" style="13" customWidth="1"/>
    <col min="21" max="21" width="15.7109375" style="13" customWidth="1"/>
    <col min="22" max="22" width="0.85546875" style="13" customWidth="1"/>
    <col min="23" max="23" width="2.8515625" style="13" customWidth="1"/>
    <col min="24" max="16384" width="9.140625" style="13" customWidth="1"/>
  </cols>
  <sheetData>
    <row r="1" spans="3:22" s="2" customFormat="1" ht="20.25" customHeight="1">
      <c r="C1" s="413" t="s">
        <v>179</v>
      </c>
      <c r="D1" s="413"/>
      <c r="E1" s="413"/>
      <c r="F1" s="413"/>
      <c r="G1" s="413"/>
      <c r="H1" s="413"/>
      <c r="I1" s="413"/>
      <c r="J1" s="413"/>
      <c r="K1" s="413"/>
      <c r="L1" s="413"/>
      <c r="M1" s="413"/>
      <c r="N1" s="21"/>
      <c r="O1" s="21"/>
      <c r="P1" s="21"/>
      <c r="Q1" s="21"/>
      <c r="R1" s="21"/>
      <c r="S1" s="21"/>
      <c r="T1" s="21"/>
      <c r="U1" s="178" t="str">
        <f>CONCATENATE('Table of Contents'!$F$6," ",'Table of Contents'!$G$6)</f>
        <v>Version: 2.11</v>
      </c>
      <c r="V1" s="1"/>
    </row>
    <row r="2" spans="3:20" s="2" customFormat="1" ht="18">
      <c r="C2" s="408" t="str">
        <f>"Name of LDC:    "&amp;IF(ISBLANK('Table of Contents'!D2),"",'Table of Contents'!D2)</f>
        <v>Name of LDC:    Waterloo North Hydro Inc.</v>
      </c>
      <c r="D2" s="408"/>
      <c r="E2" s="408"/>
      <c r="F2" s="408"/>
      <c r="G2" s="408"/>
      <c r="H2" s="408"/>
      <c r="I2" s="408"/>
      <c r="J2" s="408"/>
      <c r="K2" s="408"/>
      <c r="L2" s="57"/>
      <c r="M2" s="57"/>
      <c r="N2" s="57"/>
      <c r="O2" s="57"/>
      <c r="P2" s="57"/>
      <c r="Q2" s="57"/>
      <c r="R2" s="57"/>
      <c r="S2" s="57"/>
      <c r="T2" s="57"/>
    </row>
    <row r="3" spans="3:20" s="2" customFormat="1" ht="18">
      <c r="C3" s="408" t="str">
        <f>"File Number:      "&amp;IF(ISBLANK('Table of Contents'!D4),"",'Table of Contents'!D4)</f>
        <v>File Number:      EB-2010-0144</v>
      </c>
      <c r="D3" s="408"/>
      <c r="E3" s="408"/>
      <c r="F3" s="408"/>
      <c r="G3" s="408"/>
      <c r="H3" s="408"/>
      <c r="I3" s="408"/>
      <c r="J3" s="408"/>
      <c r="K3" s="408"/>
      <c r="L3" s="57"/>
      <c r="M3" s="57"/>
      <c r="N3" s="57"/>
      <c r="O3" s="57"/>
      <c r="P3" s="57"/>
      <c r="Q3" s="57"/>
      <c r="R3" s="57"/>
      <c r="S3" s="57"/>
      <c r="T3" s="57"/>
    </row>
    <row r="4" spans="3:20" s="2" customFormat="1" ht="18">
      <c r="C4" s="408" t="str">
        <f>"Rate Year:          "&amp;IF(ISBLANK('Table of Contents'!D6),"",'Table of Contents'!D6)</f>
        <v>Rate Year:          2011</v>
      </c>
      <c r="D4" s="408"/>
      <c r="E4" s="408"/>
      <c r="F4" s="408"/>
      <c r="G4" s="408"/>
      <c r="H4" s="408"/>
      <c r="I4" s="408"/>
      <c r="J4" s="408"/>
      <c r="K4" s="408"/>
      <c r="L4" s="57"/>
      <c r="M4" s="190" t="s">
        <v>176</v>
      </c>
      <c r="N4" s="57"/>
      <c r="O4" s="57"/>
      <c r="P4" s="57"/>
      <c r="Q4" s="57"/>
      <c r="R4" s="57"/>
      <c r="S4" s="57"/>
      <c r="T4" s="57"/>
    </row>
    <row r="5" spans="7:13" s="2" customFormat="1" ht="15.75">
      <c r="G5" s="5"/>
      <c r="H5" s="5"/>
      <c r="I5" s="5"/>
      <c r="J5" s="5"/>
      <c r="M5" s="191" t="s">
        <v>174</v>
      </c>
    </row>
    <row r="6" s="2" customFormat="1" ht="12.75">
      <c r="M6" s="191" t="s">
        <v>173</v>
      </c>
    </row>
    <row r="7" ht="4.5" customHeight="1"/>
    <row r="8" spans="5:24" ht="22.5" customHeight="1">
      <c r="E8" s="430" t="s">
        <v>73</v>
      </c>
      <c r="F8" s="431"/>
      <c r="G8" s="431"/>
      <c r="H8" s="431"/>
      <c r="I8" s="431"/>
      <c r="J8" s="431"/>
      <c r="K8" s="431"/>
      <c r="L8" s="431"/>
      <c r="M8" s="431"/>
      <c r="N8" s="431"/>
      <c r="O8" s="431"/>
      <c r="P8" s="431"/>
      <c r="Q8" s="431"/>
      <c r="R8" s="431"/>
      <c r="S8" s="431"/>
      <c r="T8" s="431"/>
      <c r="U8" s="432"/>
      <c r="V8" s="173"/>
      <c r="W8" s="29" t="s">
        <v>2</v>
      </c>
      <c r="X8" s="30"/>
    </row>
    <row r="9" ht="10.5" customHeight="1">
      <c r="V9" s="45"/>
    </row>
    <row r="10" spans="5:22" ht="12.75" customHeight="1">
      <c r="E10" s="424" t="s">
        <v>189</v>
      </c>
      <c r="F10" s="92"/>
      <c r="I10" s="426">
        <f>IF(ISBLANK(M10),"","Adjustments")</f>
      </c>
      <c r="J10" s="92"/>
      <c r="K10" s="31"/>
      <c r="L10" s="31"/>
      <c r="M10" s="428"/>
      <c r="N10" s="31"/>
      <c r="O10" s="216" t="s">
        <v>192</v>
      </c>
      <c r="P10" s="31"/>
      <c r="Q10" s="426">
        <f>IF(ISBLANK(M10),"","Adjustments")</f>
      </c>
      <c r="R10" s="31"/>
      <c r="S10" s="31"/>
      <c r="T10" s="31"/>
      <c r="U10" s="424" t="s">
        <v>188</v>
      </c>
      <c r="V10" s="174"/>
    </row>
    <row r="11" spans="5:22" ht="15.75" customHeight="1">
      <c r="E11" s="425"/>
      <c r="F11" s="92"/>
      <c r="I11" s="426"/>
      <c r="J11" s="92"/>
      <c r="K11" s="31"/>
      <c r="L11" s="31"/>
      <c r="M11" s="428"/>
      <c r="N11" s="31"/>
      <c r="O11" s="31"/>
      <c r="P11" s="31"/>
      <c r="Q11" s="426"/>
      <c r="R11" s="31"/>
      <c r="S11" s="31"/>
      <c r="T11" s="31"/>
      <c r="U11" s="425"/>
      <c r="V11" s="174"/>
    </row>
    <row r="12" spans="10:22" ht="10.5" customHeight="1">
      <c r="J12" s="45"/>
      <c r="V12" s="45"/>
    </row>
    <row r="13" spans="1:22" ht="12.75">
      <c r="A13" s="34">
        <v>1</v>
      </c>
      <c r="C13" s="35" t="s">
        <v>7</v>
      </c>
      <c r="D13" s="35"/>
      <c r="J13" s="45"/>
      <c r="V13" s="45"/>
    </row>
    <row r="14" spans="3:22" ht="12.75">
      <c r="C14" s="13" t="s">
        <v>114</v>
      </c>
      <c r="E14" s="333">
        <v>243087167.74297386</v>
      </c>
      <c r="F14" s="334"/>
      <c r="G14" s="344"/>
      <c r="H14" s="24"/>
      <c r="I14" s="333"/>
      <c r="J14" s="334"/>
      <c r="K14" s="335"/>
      <c r="L14" s="262"/>
      <c r="M14" s="336">
        <f>IF(ISBLANK(E14),0,E14+I14)</f>
        <v>243087167.74297386</v>
      </c>
      <c r="N14" s="262"/>
      <c r="O14" s="335"/>
      <c r="P14" s="262"/>
      <c r="Q14" s="333"/>
      <c r="R14" s="334"/>
      <c r="S14" s="335"/>
      <c r="T14" s="262"/>
      <c r="U14" s="337">
        <f>IF(ISBLANK(E14),"",E14+I14+Q14)</f>
        <v>243087167.74297386</v>
      </c>
      <c r="V14" s="37"/>
    </row>
    <row r="15" spans="3:22" ht="12.75">
      <c r="C15" s="13" t="s">
        <v>115</v>
      </c>
      <c r="E15" s="333">
        <v>-109118578.345627</v>
      </c>
      <c r="F15" s="334"/>
      <c r="G15" s="24" t="s">
        <v>138</v>
      </c>
      <c r="H15" s="24"/>
      <c r="I15" s="333"/>
      <c r="J15" s="334"/>
      <c r="K15" s="335"/>
      <c r="L15" s="262"/>
      <c r="M15" s="338">
        <f>IF(ISBLANK(E15),0,E15+I15)</f>
        <v>-109118578.345627</v>
      </c>
      <c r="N15" s="262"/>
      <c r="O15" s="335"/>
      <c r="P15" s="262"/>
      <c r="Q15" s="333"/>
      <c r="R15" s="334"/>
      <c r="S15" s="335"/>
      <c r="T15" s="262"/>
      <c r="U15" s="337">
        <f>IF(ISBLANK(E15),"",E15+I15+Q15)</f>
        <v>-109118578.345627</v>
      </c>
      <c r="V15" s="37"/>
    </row>
    <row r="16" spans="3:22" ht="12.75">
      <c r="C16" s="38" t="s">
        <v>99</v>
      </c>
      <c r="D16" s="38"/>
      <c r="E16" s="339"/>
      <c r="F16" s="339"/>
      <c r="G16" s="287"/>
      <c r="H16" s="287"/>
      <c r="I16" s="339"/>
      <c r="J16" s="339"/>
      <c r="K16" s="260"/>
      <c r="L16" s="260"/>
      <c r="M16" s="340"/>
      <c r="N16" s="260"/>
      <c r="O16" s="260"/>
      <c r="P16" s="260"/>
      <c r="Q16" s="339"/>
      <c r="R16" s="339"/>
      <c r="S16" s="260"/>
      <c r="T16" s="260"/>
      <c r="U16" s="339"/>
      <c r="V16" s="39"/>
    </row>
    <row r="17" spans="3:22" ht="12.75">
      <c r="C17" s="13" t="s">
        <v>75</v>
      </c>
      <c r="E17" s="333">
        <v>10183837.617624432</v>
      </c>
      <c r="F17" s="334"/>
      <c r="G17" s="335"/>
      <c r="H17" s="260"/>
      <c r="I17" s="333"/>
      <c r="J17" s="334"/>
      <c r="K17" s="335"/>
      <c r="L17" s="262"/>
      <c r="M17" s="338">
        <f>IF(ISBLANK(E17),0,E17+I17)</f>
        <v>10183837.617624432</v>
      </c>
      <c r="N17" s="262"/>
      <c r="O17" s="335"/>
      <c r="P17" s="262"/>
      <c r="Q17" s="333"/>
      <c r="R17" s="334"/>
      <c r="S17" s="335"/>
      <c r="T17" s="262"/>
      <c r="U17" s="337">
        <f>IF(ISBLANK(E17),"",E17+I17+Q17)</f>
        <v>10183837.617624432</v>
      </c>
      <c r="V17" s="37"/>
    </row>
    <row r="18" spans="3:25" ht="12.75">
      <c r="C18" s="13" t="s">
        <v>76</v>
      </c>
      <c r="E18" s="333">
        <v>115414347.34591153</v>
      </c>
      <c r="F18" s="334"/>
      <c r="G18" s="335"/>
      <c r="H18" s="260"/>
      <c r="I18" s="333"/>
      <c r="J18" s="334"/>
      <c r="K18" s="335"/>
      <c r="L18" s="262"/>
      <c r="M18" s="338">
        <f>IF(ISBLANK(E18),0,E18+I18)</f>
        <v>115414347.34591153</v>
      </c>
      <c r="N18" s="262"/>
      <c r="O18" s="335"/>
      <c r="P18" s="262"/>
      <c r="Q18" s="333"/>
      <c r="R18" s="334"/>
      <c r="S18" s="335"/>
      <c r="T18" s="262"/>
      <c r="U18" s="337">
        <f>IF(ISBLANK(E18),"",E18+I18+Q18)</f>
        <v>115414347.34591153</v>
      </c>
      <c r="V18" s="37"/>
      <c r="Y18" s="426"/>
    </row>
    <row r="19" spans="3:25" ht="12.75">
      <c r="C19" s="13" t="s">
        <v>77</v>
      </c>
      <c r="E19" s="341">
        <v>0.15</v>
      </c>
      <c r="F19" s="342"/>
      <c r="G19" s="335"/>
      <c r="H19" s="260"/>
      <c r="I19" s="339"/>
      <c r="J19" s="339"/>
      <c r="K19" s="260"/>
      <c r="L19" s="260"/>
      <c r="M19" s="341">
        <f>IF(ISBLANK(E19),0,E19)</f>
        <v>0.15</v>
      </c>
      <c r="N19" s="342"/>
      <c r="O19" s="335"/>
      <c r="P19" s="260"/>
      <c r="Q19" s="260"/>
      <c r="R19" s="260"/>
      <c r="S19" s="260"/>
      <c r="T19" s="260"/>
      <c r="U19" s="341">
        <f>IF(ISBLANK(M19),IF(ISBLANK(E19),0,E19),M19)</f>
        <v>0.15</v>
      </c>
      <c r="V19" s="238"/>
      <c r="W19" s="175"/>
      <c r="Y19" s="426"/>
    </row>
    <row r="20" spans="5:22" ht="10.5" customHeight="1">
      <c r="E20" s="330"/>
      <c r="F20" s="339"/>
      <c r="G20" s="260"/>
      <c r="H20" s="260"/>
      <c r="I20" s="330"/>
      <c r="J20" s="339"/>
      <c r="K20" s="260"/>
      <c r="L20" s="260"/>
      <c r="M20" s="342"/>
      <c r="N20" s="342"/>
      <c r="O20" s="343"/>
      <c r="P20" s="260"/>
      <c r="Q20" s="260"/>
      <c r="R20" s="260"/>
      <c r="S20" s="260"/>
      <c r="T20" s="260"/>
      <c r="U20" s="330"/>
      <c r="V20" s="39"/>
    </row>
    <row r="21" spans="1:29" ht="12.75">
      <c r="A21" s="34">
        <v>2</v>
      </c>
      <c r="C21" s="42" t="s">
        <v>55</v>
      </c>
      <c r="D21" s="42"/>
      <c r="E21" s="330"/>
      <c r="F21" s="339"/>
      <c r="G21" s="260"/>
      <c r="H21" s="260"/>
      <c r="I21" s="330"/>
      <c r="J21" s="339"/>
      <c r="K21" s="260"/>
      <c r="L21" s="260"/>
      <c r="M21" s="260"/>
      <c r="N21" s="260"/>
      <c r="O21" s="260"/>
      <c r="P21" s="260"/>
      <c r="Q21" s="260"/>
      <c r="R21" s="260"/>
      <c r="S21" s="260"/>
      <c r="T21" s="260"/>
      <c r="U21" s="330"/>
      <c r="V21" s="172"/>
      <c r="W21" s="31"/>
      <c r="X21" s="31"/>
      <c r="Y21" s="31"/>
      <c r="Z21" s="31"/>
      <c r="AA21" s="31"/>
      <c r="AB21" s="31"/>
      <c r="AC21" s="31"/>
    </row>
    <row r="22" spans="3:29" ht="12.75">
      <c r="C22" s="43" t="s">
        <v>26</v>
      </c>
      <c r="D22" s="43"/>
      <c r="E22" s="330"/>
      <c r="F22" s="339"/>
      <c r="G22" s="260"/>
      <c r="H22" s="260"/>
      <c r="I22" s="330"/>
      <c r="J22" s="339"/>
      <c r="K22" s="260"/>
      <c r="L22" s="260"/>
      <c r="M22" s="260"/>
      <c r="N22" s="260"/>
      <c r="O22" s="260"/>
      <c r="P22" s="260"/>
      <c r="Q22" s="260"/>
      <c r="R22" s="260"/>
      <c r="S22" s="260"/>
      <c r="T22" s="260"/>
      <c r="U22" s="330"/>
      <c r="V22" s="172"/>
      <c r="W22" s="31"/>
      <c r="X22" s="31"/>
      <c r="Y22" s="31"/>
      <c r="Z22" s="31"/>
      <c r="AA22" s="31"/>
      <c r="AB22" s="31"/>
      <c r="AC22" s="31"/>
    </row>
    <row r="23" spans="3:23" ht="12.75">
      <c r="C23" s="44" t="s">
        <v>127</v>
      </c>
      <c r="D23" s="44"/>
      <c r="E23" s="333">
        <v>23968200.30682454</v>
      </c>
      <c r="F23" s="334"/>
      <c r="G23" s="335"/>
      <c r="H23" s="260"/>
      <c r="I23" s="339">
        <f>IF(ISBLANK(M23),"",IF(ISBLANK(E23),"",M23-E23))</f>
      </c>
      <c r="J23" s="339"/>
      <c r="K23" s="260"/>
      <c r="L23" s="260"/>
      <c r="M23" s="333"/>
      <c r="N23" s="334"/>
      <c r="O23" s="335"/>
      <c r="P23" s="260"/>
      <c r="Q23" s="339">
        <f>IF(ISBLANK(U23),"",IF(ISBLANK(M23),"",U23-M23))</f>
      </c>
      <c r="R23" s="260"/>
      <c r="S23" s="260"/>
      <c r="T23" s="260"/>
      <c r="U23" s="333"/>
      <c r="V23" s="48"/>
      <c r="W23" s="175"/>
    </row>
    <row r="24" spans="3:23" ht="12.75">
      <c r="C24" s="13" t="s">
        <v>123</v>
      </c>
      <c r="E24" s="333">
        <v>28980640.278744973</v>
      </c>
      <c r="F24" s="334"/>
      <c r="G24" s="335"/>
      <c r="H24" s="260"/>
      <c r="I24" s="339">
        <f>IF(ISBLANK(M24),"",IF(ISBLANK(E24),"",M24-E24))</f>
      </c>
      <c r="J24" s="337"/>
      <c r="K24" s="260"/>
      <c r="L24" s="260"/>
      <c r="M24" s="333"/>
      <c r="N24" s="334"/>
      <c r="O24" s="335"/>
      <c r="P24" s="260"/>
      <c r="Q24" s="339">
        <f>IF(ISBLANK(U24),"",IF(ISBLANK(M24),"",U24-M24))</f>
      </c>
      <c r="R24" s="260"/>
      <c r="S24" s="260"/>
      <c r="T24" s="260"/>
      <c r="U24" s="333"/>
      <c r="V24" s="48"/>
      <c r="W24" s="175"/>
    </row>
    <row r="25" spans="3:22" ht="12.75">
      <c r="C25" s="38" t="s">
        <v>100</v>
      </c>
      <c r="D25" s="38"/>
      <c r="E25" s="330"/>
      <c r="F25" s="339"/>
      <c r="G25" s="260"/>
      <c r="H25" s="260"/>
      <c r="I25" s="330"/>
      <c r="J25" s="339"/>
      <c r="K25" s="260"/>
      <c r="L25" s="260"/>
      <c r="M25" s="330"/>
      <c r="N25" s="339"/>
      <c r="O25" s="260"/>
      <c r="P25" s="260"/>
      <c r="Q25" s="330"/>
      <c r="R25" s="260"/>
      <c r="S25" s="260"/>
      <c r="T25" s="260"/>
      <c r="U25" s="330"/>
      <c r="V25" s="39"/>
    </row>
    <row r="26" spans="3:23" ht="12.75">
      <c r="C26" s="13" t="s">
        <v>82</v>
      </c>
      <c r="E26" s="333">
        <v>245845</v>
      </c>
      <c r="F26" s="334"/>
      <c r="G26" s="335"/>
      <c r="H26" s="260"/>
      <c r="I26" s="339">
        <f>IF(ISBLANK(M26),"",IF(ISBLANK(E26),"",M26-E26))</f>
      </c>
      <c r="J26" s="339"/>
      <c r="K26" s="260"/>
      <c r="L26" s="260"/>
      <c r="M26" s="333"/>
      <c r="N26" s="334"/>
      <c r="O26" s="335"/>
      <c r="P26" s="260"/>
      <c r="Q26" s="339">
        <f>IF(ISBLANK(U26),"",IF(ISBLANK(M26),"",U26-M26))</f>
      </c>
      <c r="R26" s="260"/>
      <c r="S26" s="260"/>
      <c r="T26" s="260"/>
      <c r="U26" s="333"/>
      <c r="V26" s="48"/>
      <c r="W26" s="175"/>
    </row>
    <row r="27" spans="3:23" ht="12.75">
      <c r="C27" s="13" t="s">
        <v>83</v>
      </c>
      <c r="E27" s="333">
        <v>180000</v>
      </c>
      <c r="F27" s="334"/>
      <c r="G27" s="335"/>
      <c r="H27" s="260"/>
      <c r="I27" s="339">
        <f>IF(ISBLANK(M27),"",IF(ISBLANK(E27),"",M27-E27))</f>
      </c>
      <c r="J27" s="339"/>
      <c r="K27" s="260"/>
      <c r="L27" s="260"/>
      <c r="M27" s="333"/>
      <c r="N27" s="334"/>
      <c r="O27" s="335"/>
      <c r="P27" s="260"/>
      <c r="Q27" s="339">
        <f>IF(ISBLANK(U27),"",IF(ISBLANK(M27),"",U27-M27))</f>
      </c>
      <c r="R27" s="260"/>
      <c r="S27" s="260"/>
      <c r="T27" s="260"/>
      <c r="U27" s="333"/>
      <c r="V27" s="48"/>
      <c r="W27" s="175"/>
    </row>
    <row r="28" spans="3:23" ht="12.75">
      <c r="C28" s="13" t="s">
        <v>84</v>
      </c>
      <c r="E28" s="333">
        <v>278819</v>
      </c>
      <c r="F28" s="334"/>
      <c r="G28" s="335"/>
      <c r="H28" s="260"/>
      <c r="I28" s="339">
        <f>IF(ISBLANK(M28),"",IF(ISBLANK(E28),"",M28-E28))</f>
      </c>
      <c r="J28" s="339"/>
      <c r="K28" s="260"/>
      <c r="L28" s="260"/>
      <c r="M28" s="333"/>
      <c r="N28" s="334"/>
      <c r="O28" s="335"/>
      <c r="P28" s="260"/>
      <c r="Q28" s="339">
        <f>IF(ISBLANK(U28),"",IF(ISBLANK(M28),"",U28-M28))</f>
      </c>
      <c r="R28" s="260"/>
      <c r="S28" s="260"/>
      <c r="T28" s="260"/>
      <c r="U28" s="333"/>
      <c r="V28" s="48"/>
      <c r="W28" s="175"/>
    </row>
    <row r="29" spans="3:23" ht="12.75">
      <c r="C29" s="13" t="s">
        <v>85</v>
      </c>
      <c r="E29" s="333">
        <v>351298.648167087</v>
      </c>
      <c r="F29" s="334"/>
      <c r="G29" s="335"/>
      <c r="H29" s="260"/>
      <c r="I29" s="339">
        <f>IF(ISBLANK(M29),"",IF(ISBLANK(E29),"",M29-E29))</f>
      </c>
      <c r="J29" s="339"/>
      <c r="K29" s="260"/>
      <c r="L29" s="260"/>
      <c r="M29" s="333"/>
      <c r="N29" s="334"/>
      <c r="O29" s="335"/>
      <c r="P29" s="260"/>
      <c r="Q29" s="339">
        <f>IF(ISBLANK(U29),"",IF(ISBLANK(M29),"",U29-M29))</f>
      </c>
      <c r="R29" s="260"/>
      <c r="S29" s="260"/>
      <c r="T29" s="260"/>
      <c r="U29" s="333"/>
      <c r="V29" s="48"/>
      <c r="W29" s="175"/>
    </row>
    <row r="30" spans="5:22" ht="10.5" customHeight="1">
      <c r="E30" s="339"/>
      <c r="F30" s="339"/>
      <c r="G30" s="262"/>
      <c r="H30" s="262"/>
      <c r="I30" s="339"/>
      <c r="J30" s="339"/>
      <c r="K30" s="262"/>
      <c r="L30" s="262"/>
      <c r="M30" s="262"/>
      <c r="N30" s="262"/>
      <c r="O30" s="262"/>
      <c r="P30" s="262"/>
      <c r="Q30" s="262"/>
      <c r="R30" s="262"/>
      <c r="S30" s="262"/>
      <c r="T30" s="262"/>
      <c r="U30" s="339"/>
      <c r="V30" s="39"/>
    </row>
    <row r="31" spans="3:22" ht="12.75">
      <c r="C31" s="38" t="s">
        <v>27</v>
      </c>
      <c r="D31" s="38"/>
      <c r="E31" s="330"/>
      <c r="F31" s="339"/>
      <c r="G31" s="260"/>
      <c r="H31" s="260"/>
      <c r="I31" s="330"/>
      <c r="J31" s="339"/>
      <c r="K31" s="260"/>
      <c r="L31" s="260"/>
      <c r="M31" s="260"/>
      <c r="N31" s="260"/>
      <c r="O31" s="260"/>
      <c r="P31" s="260"/>
      <c r="Q31" s="260"/>
      <c r="R31" s="260"/>
      <c r="S31" s="260"/>
      <c r="T31" s="260"/>
      <c r="U31" s="330"/>
      <c r="V31" s="39"/>
    </row>
    <row r="32" spans="3:22" ht="12.75">
      <c r="C32" s="13" t="s">
        <v>79</v>
      </c>
      <c r="E32" s="333">
        <v>10183837.617624432</v>
      </c>
      <c r="F32" s="334"/>
      <c r="G32" s="335"/>
      <c r="H32" s="260"/>
      <c r="I32" s="333"/>
      <c r="J32" s="334"/>
      <c r="K32" s="335"/>
      <c r="L32" s="260"/>
      <c r="M32" s="338">
        <f>IF(ISBLANK(E32),"",E32+I32)</f>
        <v>10183837.617624432</v>
      </c>
      <c r="N32" s="260"/>
      <c r="O32" s="260"/>
      <c r="P32" s="260"/>
      <c r="Q32" s="333"/>
      <c r="R32" s="334"/>
      <c r="S32" s="335"/>
      <c r="T32" s="260"/>
      <c r="U32" s="337">
        <f>IF(ISBLANK(E32),"",E32+I32+Q32)</f>
        <v>10183837.617624432</v>
      </c>
      <c r="V32" s="37"/>
    </row>
    <row r="33" spans="3:22" ht="12.75">
      <c r="C33" s="13" t="s">
        <v>170</v>
      </c>
      <c r="E33" s="333">
        <v>7816330.806039127</v>
      </c>
      <c r="F33" s="334"/>
      <c r="G33" s="335"/>
      <c r="H33" s="260"/>
      <c r="I33" s="333"/>
      <c r="J33" s="334"/>
      <c r="K33" s="335"/>
      <c r="L33" s="260"/>
      <c r="M33" s="338">
        <f>IF(ISBLANK(E33),"",E33+I33)</f>
        <v>7816330.806039127</v>
      </c>
      <c r="N33" s="260"/>
      <c r="O33" s="260"/>
      <c r="P33" s="260"/>
      <c r="Q33" s="333"/>
      <c r="R33" s="334"/>
      <c r="S33" s="335"/>
      <c r="T33" s="260"/>
      <c r="U33" s="337">
        <f>IF(ISBLANK(E33),"",E33+I33+Q33)</f>
        <v>7816330.806039127</v>
      </c>
      <c r="V33" s="37"/>
    </row>
    <row r="34" spans="3:22" ht="12.75">
      <c r="C34" s="13" t="s">
        <v>80</v>
      </c>
      <c r="E34" s="333"/>
      <c r="F34" s="334"/>
      <c r="G34" s="335"/>
      <c r="H34" s="260"/>
      <c r="I34" s="333"/>
      <c r="J34" s="334"/>
      <c r="K34" s="335"/>
      <c r="L34" s="260"/>
      <c r="M34" s="338">
        <f>IF(ISBLANK(E34),"",E34+I34)</f>
      </c>
      <c r="N34" s="260"/>
      <c r="O34" s="260"/>
      <c r="P34" s="260"/>
      <c r="Q34" s="333"/>
      <c r="R34" s="334"/>
      <c r="S34" s="335"/>
      <c r="T34" s="260"/>
      <c r="U34" s="337">
        <f>IF(ISBLANK(E34),"",E34+I34+Q34)</f>
      </c>
      <c r="V34" s="37"/>
    </row>
    <row r="35" spans="3:22" ht="12.75">
      <c r="C35" s="38" t="s">
        <v>81</v>
      </c>
      <c r="D35" s="38"/>
      <c r="E35" s="337">
        <f>IF(ISBLANK(E44),"",E44)</f>
      </c>
      <c r="F35" s="337"/>
      <c r="G35" s="262"/>
      <c r="H35" s="262"/>
      <c r="I35" s="339"/>
      <c r="J35" s="339"/>
      <c r="K35" s="260"/>
      <c r="L35" s="260"/>
      <c r="M35" s="337">
        <f>IF(ISBLANK(M44),"",M44)</f>
      </c>
      <c r="N35" s="260"/>
      <c r="O35" s="260"/>
      <c r="P35" s="260"/>
      <c r="Q35" s="339"/>
      <c r="R35" s="339"/>
      <c r="S35" s="260"/>
      <c r="T35" s="260"/>
      <c r="U35" s="337">
        <f>IF(ISBLANK(U44),"",U44)</f>
      </c>
      <c r="V35" s="37"/>
    </row>
    <row r="36" spans="3:22" ht="12.75">
      <c r="C36" s="13" t="s">
        <v>107</v>
      </c>
      <c r="E36" s="333"/>
      <c r="F36" s="334"/>
      <c r="G36" s="335"/>
      <c r="H36" s="260"/>
      <c r="I36" s="333"/>
      <c r="J36" s="334"/>
      <c r="K36" s="335"/>
      <c r="L36" s="260"/>
      <c r="M36" s="262">
        <f>IF(ISBLANK(E36),"",E36+I36)</f>
      </c>
      <c r="N36" s="260"/>
      <c r="O36" s="260"/>
      <c r="P36" s="260"/>
      <c r="Q36" s="333"/>
      <c r="R36" s="334"/>
      <c r="S36" s="335"/>
      <c r="T36" s="260"/>
      <c r="U36" s="337">
        <f>IF(ISBLANK(E36),"",E36+I36+Q36)</f>
      </c>
      <c r="V36" s="37"/>
    </row>
    <row r="37" spans="5:22" ht="9.75" customHeight="1">
      <c r="E37" s="330"/>
      <c r="F37" s="339"/>
      <c r="G37" s="260"/>
      <c r="H37" s="260"/>
      <c r="I37" s="330"/>
      <c r="J37" s="339"/>
      <c r="K37" s="260"/>
      <c r="L37" s="260"/>
      <c r="M37" s="260"/>
      <c r="N37" s="260"/>
      <c r="O37" s="260"/>
      <c r="P37" s="260"/>
      <c r="Q37" s="260"/>
      <c r="R37" s="260"/>
      <c r="S37" s="260"/>
      <c r="T37" s="260"/>
      <c r="U37" s="330"/>
      <c r="V37" s="39"/>
    </row>
    <row r="38" spans="1:22" ht="12.75">
      <c r="A38" s="34">
        <v>3</v>
      </c>
      <c r="C38" s="46" t="s">
        <v>6</v>
      </c>
      <c r="D38" s="46"/>
      <c r="E38" s="330"/>
      <c r="F38" s="339"/>
      <c r="G38" s="260"/>
      <c r="H38" s="260"/>
      <c r="I38" s="330"/>
      <c r="J38" s="339"/>
      <c r="K38" s="260"/>
      <c r="L38" s="260"/>
      <c r="M38" s="260"/>
      <c r="N38" s="260"/>
      <c r="O38" s="260"/>
      <c r="P38" s="260"/>
      <c r="Q38" s="260"/>
      <c r="R38" s="260"/>
      <c r="S38" s="260"/>
      <c r="T38" s="260"/>
      <c r="U38" s="330"/>
      <c r="V38" s="39"/>
    </row>
    <row r="39" spans="3:22" ht="12.75">
      <c r="C39" s="13" t="s">
        <v>86</v>
      </c>
      <c r="E39" s="330"/>
      <c r="F39" s="339"/>
      <c r="G39" s="260"/>
      <c r="H39" s="260"/>
      <c r="I39" s="330"/>
      <c r="J39" s="339"/>
      <c r="K39" s="260"/>
      <c r="L39" s="260"/>
      <c r="M39" s="260"/>
      <c r="N39" s="260"/>
      <c r="O39" s="260"/>
      <c r="P39" s="260"/>
      <c r="Q39" s="260"/>
      <c r="R39" s="260"/>
      <c r="S39" s="260"/>
      <c r="T39" s="260"/>
      <c r="U39" s="330"/>
      <c r="V39" s="39"/>
    </row>
    <row r="40" spans="3:23" ht="26.25" customHeight="1">
      <c r="C40" s="47"/>
      <c r="D40" s="47" t="s">
        <v>175</v>
      </c>
      <c r="E40" s="333">
        <v>-2724062.6162643284</v>
      </c>
      <c r="F40" s="334"/>
      <c r="G40" s="24" t="s">
        <v>112</v>
      </c>
      <c r="H40" s="24"/>
      <c r="I40" s="337"/>
      <c r="J40" s="337"/>
      <c r="K40" s="260"/>
      <c r="L40" s="260"/>
      <c r="M40" s="333"/>
      <c r="N40" s="334"/>
      <c r="O40" s="344"/>
      <c r="P40" s="260"/>
      <c r="Q40" s="260"/>
      <c r="R40" s="260"/>
      <c r="S40" s="260"/>
      <c r="T40" s="260"/>
      <c r="U40" s="333"/>
      <c r="V40" s="48"/>
      <c r="W40" s="175"/>
    </row>
    <row r="41" spans="3:22" ht="12.75">
      <c r="C41" s="38" t="s">
        <v>87</v>
      </c>
      <c r="D41" s="38"/>
      <c r="E41" s="330"/>
      <c r="F41" s="339"/>
      <c r="G41" s="260"/>
      <c r="H41" s="260"/>
      <c r="I41" s="330"/>
      <c r="J41" s="339"/>
      <c r="K41" s="260"/>
      <c r="L41" s="260"/>
      <c r="M41" s="330"/>
      <c r="N41" s="339"/>
      <c r="O41" s="260"/>
      <c r="P41" s="260"/>
      <c r="Q41" s="260"/>
      <c r="R41" s="260"/>
      <c r="S41" s="260"/>
      <c r="T41" s="260"/>
      <c r="U41" s="330"/>
      <c r="V41" s="39"/>
    </row>
    <row r="42" spans="3:23" ht="12.75">
      <c r="C42" s="13" t="s">
        <v>140</v>
      </c>
      <c r="E42" s="333">
        <v>886355.1970846106</v>
      </c>
      <c r="F42" s="334"/>
      <c r="G42" s="335"/>
      <c r="H42" s="260"/>
      <c r="I42" s="330"/>
      <c r="J42" s="339"/>
      <c r="K42" s="260"/>
      <c r="L42" s="260"/>
      <c r="M42" s="333"/>
      <c r="N42" s="334"/>
      <c r="O42" s="335"/>
      <c r="P42" s="260"/>
      <c r="Q42" s="260"/>
      <c r="R42" s="260"/>
      <c r="S42" s="260"/>
      <c r="T42" s="260"/>
      <c r="U42" s="333"/>
      <c r="V42" s="48"/>
      <c r="W42" s="175"/>
    </row>
    <row r="43" spans="3:22" ht="12.75">
      <c r="C43" s="38" t="s">
        <v>141</v>
      </c>
      <c r="D43" s="38"/>
      <c r="E43" s="334">
        <f>IF(ISBLANK(E42),"",E42/(1-SUM(E45:E46)))</f>
        <v>1212309.8046731665</v>
      </c>
      <c r="F43" s="334"/>
      <c r="G43" s="345"/>
      <c r="H43" s="345"/>
      <c r="I43" s="346"/>
      <c r="J43" s="346"/>
      <c r="K43" s="345"/>
      <c r="L43" s="345"/>
      <c r="M43" s="334">
        <f>IF(ISBLANK(M42),"",M42/(1-SUM(M45:M46)))</f>
      </c>
      <c r="N43" s="334"/>
      <c r="O43" s="345"/>
      <c r="P43" s="345"/>
      <c r="Q43" s="345"/>
      <c r="R43" s="345"/>
      <c r="S43" s="345"/>
      <c r="T43" s="345"/>
      <c r="U43" s="334">
        <f>IF(ISBLANK(U42),"",U42/(1-SUM(U45:U46)))</f>
      </c>
      <c r="V43" s="48"/>
    </row>
    <row r="44" spans="3:23" ht="12.75">
      <c r="C44" s="13" t="s">
        <v>101</v>
      </c>
      <c r="E44" s="333"/>
      <c r="F44" s="334"/>
      <c r="G44" s="347" t="s">
        <v>177</v>
      </c>
      <c r="H44" s="260"/>
      <c r="I44" s="330"/>
      <c r="J44" s="339"/>
      <c r="K44" s="260"/>
      <c r="L44" s="260"/>
      <c r="M44" s="333"/>
      <c r="N44" s="334"/>
      <c r="O44" s="347" t="s">
        <v>177</v>
      </c>
      <c r="P44" s="260"/>
      <c r="Q44" s="260"/>
      <c r="R44" s="260"/>
      <c r="S44" s="260"/>
      <c r="T44" s="260"/>
      <c r="U44" s="333"/>
      <c r="V44" s="48"/>
      <c r="W44" s="240" t="s">
        <v>177</v>
      </c>
    </row>
    <row r="45" spans="3:23" ht="12.75">
      <c r="C45" s="13" t="s">
        <v>97</v>
      </c>
      <c r="E45" s="341">
        <v>0.165</v>
      </c>
      <c r="F45" s="342"/>
      <c r="G45" s="335"/>
      <c r="H45" s="260"/>
      <c r="I45" s="260"/>
      <c r="J45" s="262"/>
      <c r="K45" s="260"/>
      <c r="L45" s="260"/>
      <c r="M45" s="341"/>
      <c r="N45" s="342"/>
      <c r="O45" s="335"/>
      <c r="P45" s="260"/>
      <c r="Q45" s="260"/>
      <c r="R45" s="260"/>
      <c r="S45" s="260"/>
      <c r="T45" s="260"/>
      <c r="U45" s="341"/>
      <c r="V45" s="238"/>
      <c r="W45" s="175"/>
    </row>
    <row r="46" spans="3:23" ht="12.75">
      <c r="C46" s="13" t="s">
        <v>98</v>
      </c>
      <c r="E46" s="341">
        <v>0.1038707179733086</v>
      </c>
      <c r="F46" s="342"/>
      <c r="G46" s="335"/>
      <c r="H46" s="260"/>
      <c r="I46" s="260"/>
      <c r="J46" s="262"/>
      <c r="K46" s="260"/>
      <c r="L46" s="260"/>
      <c r="M46" s="341"/>
      <c r="N46" s="342"/>
      <c r="O46" s="335"/>
      <c r="P46" s="260"/>
      <c r="Q46" s="260"/>
      <c r="R46" s="260"/>
      <c r="S46" s="260"/>
      <c r="T46" s="260"/>
      <c r="U46" s="341"/>
      <c r="V46" s="238"/>
      <c r="W46" s="175"/>
    </row>
    <row r="47" spans="3:23" ht="12.75">
      <c r="C47" s="50" t="s">
        <v>130</v>
      </c>
      <c r="D47" s="50"/>
      <c r="E47" s="333"/>
      <c r="F47" s="334"/>
      <c r="G47" s="335"/>
      <c r="H47" s="260"/>
      <c r="I47" s="260"/>
      <c r="J47" s="262"/>
      <c r="K47" s="260"/>
      <c r="L47" s="260"/>
      <c r="M47" s="333"/>
      <c r="N47" s="334"/>
      <c r="O47" s="335"/>
      <c r="P47" s="260"/>
      <c r="Q47" s="260"/>
      <c r="R47" s="260"/>
      <c r="S47" s="260"/>
      <c r="T47" s="260"/>
      <c r="U47" s="333"/>
      <c r="V47" s="48"/>
      <c r="W47" s="175"/>
    </row>
    <row r="48" spans="3:22" ht="10.5" customHeight="1">
      <c r="C48" s="13" t="s">
        <v>74</v>
      </c>
      <c r="E48" s="260"/>
      <c r="F48" s="262"/>
      <c r="G48" s="260"/>
      <c r="H48" s="260"/>
      <c r="I48" s="260"/>
      <c r="J48" s="262"/>
      <c r="K48" s="260"/>
      <c r="L48" s="260"/>
      <c r="M48" s="260"/>
      <c r="N48" s="262"/>
      <c r="O48" s="260"/>
      <c r="P48" s="260"/>
      <c r="Q48" s="260"/>
      <c r="R48" s="260"/>
      <c r="S48" s="260"/>
      <c r="T48" s="260"/>
      <c r="U48" s="260"/>
      <c r="V48" s="45"/>
    </row>
    <row r="49" spans="1:22" ht="12.75">
      <c r="A49" s="34">
        <v>4</v>
      </c>
      <c r="C49" s="46" t="s">
        <v>61</v>
      </c>
      <c r="D49" s="46"/>
      <c r="E49" s="260"/>
      <c r="F49" s="262"/>
      <c r="G49" s="260"/>
      <c r="H49" s="260"/>
      <c r="I49" s="260"/>
      <c r="J49" s="262"/>
      <c r="K49" s="260"/>
      <c r="L49" s="260"/>
      <c r="M49" s="260"/>
      <c r="N49" s="262"/>
      <c r="O49" s="260"/>
      <c r="P49" s="260"/>
      <c r="Q49" s="260"/>
      <c r="R49" s="260"/>
      <c r="S49" s="260"/>
      <c r="T49" s="260"/>
      <c r="U49" s="260"/>
      <c r="V49" s="45"/>
    </row>
    <row r="50" spans="3:22" ht="12.75">
      <c r="C50" s="38" t="s">
        <v>102</v>
      </c>
      <c r="D50" s="38"/>
      <c r="E50" s="260"/>
      <c r="F50" s="262"/>
      <c r="G50" s="260"/>
      <c r="H50" s="260"/>
      <c r="I50" s="260"/>
      <c r="J50" s="262"/>
      <c r="K50" s="260"/>
      <c r="L50" s="260"/>
      <c r="M50" s="260"/>
      <c r="N50" s="262"/>
      <c r="O50" s="260"/>
      <c r="P50" s="260"/>
      <c r="Q50" s="260"/>
      <c r="R50" s="260"/>
      <c r="S50" s="260"/>
      <c r="T50" s="260"/>
      <c r="U50" s="260"/>
      <c r="V50" s="45"/>
    </row>
    <row r="51" spans="3:23" ht="12.75">
      <c r="C51" s="13" t="s">
        <v>88</v>
      </c>
      <c r="E51" s="348">
        <v>0.56</v>
      </c>
      <c r="F51" s="349"/>
      <c r="G51" s="335"/>
      <c r="H51" s="260"/>
      <c r="I51" s="260"/>
      <c r="J51" s="262"/>
      <c r="K51" s="260"/>
      <c r="L51" s="260"/>
      <c r="M51" s="348"/>
      <c r="N51" s="349"/>
      <c r="O51" s="335"/>
      <c r="P51" s="260"/>
      <c r="Q51" s="260"/>
      <c r="R51" s="260"/>
      <c r="S51" s="260"/>
      <c r="T51" s="260"/>
      <c r="U51" s="348"/>
      <c r="V51" s="241"/>
      <c r="W51" s="175"/>
    </row>
    <row r="52" spans="3:23" ht="12.75">
      <c r="C52" s="13" t="s">
        <v>89</v>
      </c>
      <c r="E52" s="348">
        <v>0.04</v>
      </c>
      <c r="F52" s="349"/>
      <c r="G52" s="24" t="s">
        <v>3</v>
      </c>
      <c r="H52" s="24"/>
      <c r="I52" s="260"/>
      <c r="J52" s="262"/>
      <c r="K52" s="260"/>
      <c r="L52" s="260"/>
      <c r="M52" s="348"/>
      <c r="N52" s="349"/>
      <c r="O52" s="24" t="s">
        <v>3</v>
      </c>
      <c r="P52" s="260"/>
      <c r="Q52" s="260"/>
      <c r="R52" s="260"/>
      <c r="S52" s="260"/>
      <c r="T52" s="260"/>
      <c r="U52" s="348"/>
      <c r="V52" s="241"/>
      <c r="W52" s="36" t="s">
        <v>3</v>
      </c>
    </row>
    <row r="53" spans="3:23" ht="12.75">
      <c r="C53" s="13" t="s">
        <v>90</v>
      </c>
      <c r="E53" s="348">
        <v>0.4</v>
      </c>
      <c r="F53" s="349"/>
      <c r="G53" s="335"/>
      <c r="H53" s="260"/>
      <c r="I53" s="260"/>
      <c r="J53" s="262"/>
      <c r="K53" s="260"/>
      <c r="L53" s="260"/>
      <c r="M53" s="348"/>
      <c r="N53" s="349"/>
      <c r="O53" s="335"/>
      <c r="P53" s="260"/>
      <c r="Q53" s="260"/>
      <c r="R53" s="260"/>
      <c r="S53" s="260"/>
      <c r="T53" s="260"/>
      <c r="U53" s="348"/>
      <c r="V53" s="241"/>
      <c r="W53" s="175"/>
    </row>
    <row r="54" spans="3:23" ht="13.5" thickBot="1">
      <c r="C54" s="13" t="s">
        <v>91</v>
      </c>
      <c r="E54" s="350"/>
      <c r="F54" s="349"/>
      <c r="G54" s="335"/>
      <c r="H54" s="260"/>
      <c r="I54" s="260"/>
      <c r="J54" s="262"/>
      <c r="K54" s="260"/>
      <c r="L54" s="260"/>
      <c r="M54" s="350"/>
      <c r="N54" s="349"/>
      <c r="O54" s="335"/>
      <c r="P54" s="260"/>
      <c r="Q54" s="260"/>
      <c r="R54" s="260"/>
      <c r="S54" s="260"/>
      <c r="T54" s="260"/>
      <c r="U54" s="350"/>
      <c r="V54" s="241"/>
      <c r="W54" s="175"/>
    </row>
    <row r="55" spans="5:23" ht="13.5" thickTop="1">
      <c r="E55" s="351">
        <f>SUM(E51:E54)</f>
        <v>1</v>
      </c>
      <c r="F55" s="349"/>
      <c r="G55" s="343"/>
      <c r="H55" s="262"/>
      <c r="I55" s="262"/>
      <c r="J55" s="262"/>
      <c r="K55" s="262"/>
      <c r="L55" s="262"/>
      <c r="M55" s="351">
        <f>SUM(M51:M54)</f>
        <v>0</v>
      </c>
      <c r="N55" s="349"/>
      <c r="O55" s="343"/>
      <c r="P55" s="262"/>
      <c r="Q55" s="262"/>
      <c r="R55" s="262"/>
      <c r="S55" s="262"/>
      <c r="T55" s="262"/>
      <c r="U55" s="351">
        <f>SUM(U51:U54)</f>
        <v>0</v>
      </c>
      <c r="V55" s="241"/>
      <c r="W55" s="239"/>
    </row>
    <row r="56" spans="5:22" ht="25.5" customHeight="1">
      <c r="E56" s="352">
        <f>IF(ISBLANK(E53),"",IF(SUM(E51:E54)=100%,"","Capital Structure must total 100%"))</f>
      </c>
      <c r="F56" s="352"/>
      <c r="G56" s="353"/>
      <c r="H56" s="353"/>
      <c r="I56" s="353"/>
      <c r="J56" s="353"/>
      <c r="K56" s="353"/>
      <c r="L56" s="353"/>
      <c r="M56" s="352">
        <f>IF(ISBLANK(M53),"",IF(SUM(M51:M54)=100%,"","Capital Structure must total 100%"))</f>
      </c>
      <c r="N56" s="353"/>
      <c r="O56" s="353"/>
      <c r="P56" s="353"/>
      <c r="Q56" s="353"/>
      <c r="R56" s="353"/>
      <c r="S56" s="353"/>
      <c r="T56" s="353"/>
      <c r="U56" s="352">
        <f>IF(ISBLANK(U53),"",IF(SUM(U51:U54)=100%,"","Capital Structure must total 100%"))</f>
      </c>
      <c r="V56" s="51"/>
    </row>
    <row r="57" spans="3:22" ht="12.75">
      <c r="C57" s="38" t="s">
        <v>103</v>
      </c>
      <c r="D57" s="38"/>
      <c r="E57" s="260"/>
      <c r="F57" s="262"/>
      <c r="G57" s="260"/>
      <c r="H57" s="260"/>
      <c r="I57" s="260"/>
      <c r="J57" s="262"/>
      <c r="K57" s="260"/>
      <c r="L57" s="260"/>
      <c r="M57" s="260"/>
      <c r="N57" s="260"/>
      <c r="O57" s="260"/>
      <c r="P57" s="260"/>
      <c r="Q57" s="260"/>
      <c r="R57" s="260"/>
      <c r="S57" s="260"/>
      <c r="T57" s="260"/>
      <c r="U57" s="260"/>
      <c r="V57" s="45"/>
    </row>
    <row r="58" spans="3:23" ht="12.75">
      <c r="C58" s="13" t="s">
        <v>92</v>
      </c>
      <c r="E58" s="354">
        <v>0.0546547398316402</v>
      </c>
      <c r="F58" s="355"/>
      <c r="G58" s="335"/>
      <c r="H58" s="260"/>
      <c r="I58" s="260"/>
      <c r="J58" s="262"/>
      <c r="K58" s="260"/>
      <c r="L58" s="260"/>
      <c r="M58" s="354"/>
      <c r="N58" s="355"/>
      <c r="O58" s="335"/>
      <c r="P58" s="260"/>
      <c r="Q58" s="260"/>
      <c r="R58" s="260"/>
      <c r="S58" s="260"/>
      <c r="T58" s="260"/>
      <c r="U58" s="354"/>
      <c r="V58" s="242"/>
      <c r="W58" s="175"/>
    </row>
    <row r="59" spans="3:23" ht="12.75">
      <c r="C59" s="13" t="s">
        <v>93</v>
      </c>
      <c r="E59" s="354">
        <v>0.0207</v>
      </c>
      <c r="F59" s="355"/>
      <c r="G59" s="335"/>
      <c r="H59" s="260"/>
      <c r="I59" s="260"/>
      <c r="J59" s="262"/>
      <c r="K59" s="260"/>
      <c r="L59" s="260"/>
      <c r="M59" s="354"/>
      <c r="N59" s="355"/>
      <c r="O59" s="335"/>
      <c r="P59" s="260"/>
      <c r="Q59" s="260"/>
      <c r="R59" s="260"/>
      <c r="S59" s="260"/>
      <c r="T59" s="260"/>
      <c r="U59" s="354"/>
      <c r="V59" s="242"/>
      <c r="W59" s="175"/>
    </row>
    <row r="60" spans="3:23" ht="12.75">
      <c r="C60" s="13" t="s">
        <v>94</v>
      </c>
      <c r="E60" s="354">
        <v>0.0985</v>
      </c>
      <c r="F60" s="355"/>
      <c r="G60" s="335"/>
      <c r="H60" s="260"/>
      <c r="I60" s="260"/>
      <c r="J60" s="262"/>
      <c r="K60" s="260"/>
      <c r="L60" s="260"/>
      <c r="M60" s="354"/>
      <c r="N60" s="355"/>
      <c r="O60" s="335"/>
      <c r="P60" s="260"/>
      <c r="Q60" s="260"/>
      <c r="R60" s="260"/>
      <c r="S60" s="260"/>
      <c r="T60" s="260"/>
      <c r="U60" s="354"/>
      <c r="V60" s="242"/>
      <c r="W60" s="175"/>
    </row>
    <row r="61" spans="3:23" ht="12.75">
      <c r="C61" s="13" t="s">
        <v>95</v>
      </c>
      <c r="E61" s="354"/>
      <c r="F61" s="355"/>
      <c r="G61" s="335"/>
      <c r="H61" s="260"/>
      <c r="I61" s="260"/>
      <c r="J61" s="262"/>
      <c r="K61" s="260"/>
      <c r="L61" s="260"/>
      <c r="M61" s="354"/>
      <c r="N61" s="355"/>
      <c r="O61" s="335"/>
      <c r="P61" s="260"/>
      <c r="Q61" s="260"/>
      <c r="R61" s="260"/>
      <c r="S61" s="260"/>
      <c r="T61" s="260"/>
      <c r="U61" s="354"/>
      <c r="V61" s="242"/>
      <c r="W61" s="175"/>
    </row>
    <row r="62" ht="10.5" customHeight="1"/>
    <row r="63" spans="1:4" ht="12.75">
      <c r="A63" s="12" t="s">
        <v>50</v>
      </c>
      <c r="B63" s="12"/>
      <c r="C63" s="12"/>
      <c r="D63" s="12"/>
    </row>
    <row r="64" spans="3:22" ht="27" customHeight="1">
      <c r="C64" s="406" t="s">
        <v>243</v>
      </c>
      <c r="D64" s="406"/>
      <c r="E64" s="406"/>
      <c r="F64" s="406"/>
      <c r="G64" s="406"/>
      <c r="H64" s="406"/>
      <c r="I64" s="406"/>
      <c r="J64" s="406"/>
      <c r="K64" s="407"/>
      <c r="L64" s="407"/>
      <c r="M64" s="407"/>
      <c r="N64" s="407"/>
      <c r="O64" s="407"/>
      <c r="P64" s="407"/>
      <c r="Q64" s="407"/>
      <c r="R64" s="407"/>
      <c r="S64" s="407"/>
      <c r="T64" s="407"/>
      <c r="U64" s="407"/>
      <c r="V64" s="47"/>
    </row>
    <row r="65" spans="1:22" ht="12.75">
      <c r="A65" s="36" t="s">
        <v>2</v>
      </c>
      <c r="B65" s="52"/>
      <c r="C65" s="404" t="s">
        <v>104</v>
      </c>
      <c r="D65" s="404"/>
      <c r="E65" s="404"/>
      <c r="F65" s="404"/>
      <c r="G65" s="404"/>
      <c r="H65" s="404"/>
      <c r="I65" s="404"/>
      <c r="J65" s="404"/>
      <c r="K65" s="404"/>
      <c r="L65" s="404"/>
      <c r="M65" s="404"/>
      <c r="N65" s="404"/>
      <c r="O65" s="404"/>
      <c r="P65" s="404"/>
      <c r="Q65" s="404"/>
      <c r="R65" s="404"/>
      <c r="S65" s="404"/>
      <c r="T65" s="404"/>
      <c r="U65" s="404"/>
      <c r="V65" s="65"/>
    </row>
    <row r="66" spans="1:22" ht="12.75">
      <c r="A66" s="36" t="s">
        <v>3</v>
      </c>
      <c r="B66" s="52"/>
      <c r="C66" s="427" t="s">
        <v>106</v>
      </c>
      <c r="D66" s="427"/>
      <c r="E66" s="427"/>
      <c r="F66" s="427"/>
      <c r="G66" s="427"/>
      <c r="H66" s="427"/>
      <c r="I66" s="427"/>
      <c r="J66" s="427"/>
      <c r="K66" s="427"/>
      <c r="L66" s="427"/>
      <c r="M66" s="427"/>
      <c r="N66" s="427"/>
      <c r="O66" s="427"/>
      <c r="P66" s="427"/>
      <c r="Q66" s="427"/>
      <c r="R66" s="427"/>
      <c r="S66" s="427"/>
      <c r="T66" s="427"/>
      <c r="U66" s="427"/>
      <c r="V66" s="31"/>
    </row>
    <row r="67" spans="1:22" ht="12.75">
      <c r="A67" s="36" t="s">
        <v>112</v>
      </c>
      <c r="B67" s="52"/>
      <c r="C67" s="427" t="s">
        <v>113</v>
      </c>
      <c r="D67" s="427"/>
      <c r="E67" s="427"/>
      <c r="F67" s="427"/>
      <c r="G67" s="427"/>
      <c r="H67" s="427"/>
      <c r="I67" s="427"/>
      <c r="J67" s="427"/>
      <c r="K67" s="427"/>
      <c r="L67" s="427"/>
      <c r="M67" s="427"/>
      <c r="N67" s="427"/>
      <c r="O67" s="427"/>
      <c r="P67" s="427"/>
      <c r="Q67" s="427"/>
      <c r="R67" s="427"/>
      <c r="S67" s="427"/>
      <c r="T67" s="427"/>
      <c r="U67" s="427"/>
      <c r="V67" s="31"/>
    </row>
    <row r="68" spans="1:22" ht="12.75">
      <c r="A68" s="36" t="s">
        <v>137</v>
      </c>
      <c r="B68" s="52"/>
      <c r="C68" s="407" t="s">
        <v>139</v>
      </c>
      <c r="D68" s="407"/>
      <c r="E68" s="407"/>
      <c r="F68" s="407"/>
      <c r="G68" s="407"/>
      <c r="H68" s="407"/>
      <c r="I68" s="407"/>
      <c r="J68" s="407"/>
      <c r="K68" s="407"/>
      <c r="L68" s="407"/>
      <c r="M68" s="407"/>
      <c r="N68" s="407"/>
      <c r="O68" s="407"/>
      <c r="P68" s="407"/>
      <c r="Q68" s="407"/>
      <c r="R68" s="407"/>
      <c r="S68" s="407"/>
      <c r="T68" s="407"/>
      <c r="U68" s="407"/>
      <c r="V68" s="47"/>
    </row>
    <row r="69" spans="1:22" ht="12.75">
      <c r="A69" s="36" t="s">
        <v>138</v>
      </c>
      <c r="B69" s="52"/>
      <c r="C69" s="427" t="s">
        <v>155</v>
      </c>
      <c r="D69" s="427"/>
      <c r="E69" s="427"/>
      <c r="F69" s="427"/>
      <c r="G69" s="427"/>
      <c r="H69" s="427"/>
      <c r="I69" s="427"/>
      <c r="J69" s="427"/>
      <c r="K69" s="427"/>
      <c r="L69" s="427"/>
      <c r="M69" s="427"/>
      <c r="N69" s="427"/>
      <c r="O69" s="427"/>
      <c r="P69" s="427"/>
      <c r="Q69" s="427"/>
      <c r="R69" s="427"/>
      <c r="S69" s="427"/>
      <c r="T69" s="427"/>
      <c r="U69" s="427"/>
      <c r="V69" s="31"/>
    </row>
    <row r="70" spans="1:22" ht="12.75">
      <c r="A70" s="36" t="s">
        <v>177</v>
      </c>
      <c r="B70" s="52"/>
      <c r="C70" s="31" t="s">
        <v>178</v>
      </c>
      <c r="D70" s="31"/>
      <c r="E70" s="31"/>
      <c r="F70" s="31"/>
      <c r="G70" s="31"/>
      <c r="H70" s="31"/>
      <c r="I70" s="31"/>
      <c r="J70" s="31"/>
      <c r="K70" s="31"/>
      <c r="L70" s="31"/>
      <c r="M70" s="31"/>
      <c r="N70" s="31"/>
      <c r="O70" s="31"/>
      <c r="P70" s="31"/>
      <c r="Q70" s="31"/>
      <c r="R70" s="31"/>
      <c r="S70" s="31"/>
      <c r="T70" s="31"/>
      <c r="U70" s="31"/>
      <c r="V70" s="31"/>
    </row>
    <row r="71" spans="1:22" ht="26.25" customHeight="1">
      <c r="A71" s="377" t="s">
        <v>192</v>
      </c>
      <c r="B71" s="378"/>
      <c r="C71" s="405" t="s">
        <v>250</v>
      </c>
      <c r="D71" s="405"/>
      <c r="E71" s="405"/>
      <c r="F71" s="405"/>
      <c r="G71" s="405"/>
      <c r="H71" s="405"/>
      <c r="I71" s="405"/>
      <c r="J71" s="405"/>
      <c r="K71" s="405"/>
      <c r="L71" s="405"/>
      <c r="M71" s="405"/>
      <c r="N71" s="405"/>
      <c r="O71" s="405"/>
      <c r="P71" s="405"/>
      <c r="Q71" s="405"/>
      <c r="R71" s="405"/>
      <c r="S71" s="405"/>
      <c r="T71" s="405"/>
      <c r="U71" s="405"/>
      <c r="V71" s="243"/>
    </row>
    <row r="72" spans="1:22" ht="12.75">
      <c r="A72" s="244"/>
      <c r="B72" s="53"/>
      <c r="C72" s="429" t="s">
        <v>255</v>
      </c>
      <c r="D72" s="423"/>
      <c r="E72" s="423"/>
      <c r="F72" s="423"/>
      <c r="G72" s="423"/>
      <c r="H72" s="423"/>
      <c r="I72" s="423"/>
      <c r="J72" s="423"/>
      <c r="K72" s="423"/>
      <c r="L72" s="423"/>
      <c r="M72" s="423"/>
      <c r="N72" s="423"/>
      <c r="O72" s="423"/>
      <c r="P72" s="423"/>
      <c r="Q72" s="423"/>
      <c r="R72" s="423"/>
      <c r="S72" s="423"/>
      <c r="T72" s="423"/>
      <c r="U72" s="423"/>
      <c r="V72" s="243"/>
    </row>
    <row r="73" spans="1:22" ht="12.75">
      <c r="A73" s="244"/>
      <c r="B73" s="53"/>
      <c r="C73" s="423"/>
      <c r="D73" s="423"/>
      <c r="E73" s="423"/>
      <c r="F73" s="423"/>
      <c r="G73" s="423"/>
      <c r="H73" s="423"/>
      <c r="I73" s="423"/>
      <c r="J73" s="423"/>
      <c r="K73" s="423"/>
      <c r="L73" s="423"/>
      <c r="M73" s="423"/>
      <c r="N73" s="423"/>
      <c r="O73" s="423"/>
      <c r="P73" s="423"/>
      <c r="Q73" s="423"/>
      <c r="R73" s="423"/>
      <c r="S73" s="423"/>
      <c r="T73" s="423"/>
      <c r="U73" s="423"/>
      <c r="V73" s="243"/>
    </row>
    <row r="74" spans="1:22" ht="12.75">
      <c r="A74" s="244"/>
      <c r="B74" s="53"/>
      <c r="C74" s="423"/>
      <c r="D74" s="423"/>
      <c r="E74" s="423"/>
      <c r="F74" s="423"/>
      <c r="G74" s="423"/>
      <c r="H74" s="423"/>
      <c r="I74" s="423"/>
      <c r="J74" s="423"/>
      <c r="K74" s="423"/>
      <c r="L74" s="423"/>
      <c r="M74" s="423"/>
      <c r="N74" s="423"/>
      <c r="O74" s="423"/>
      <c r="P74" s="423"/>
      <c r="Q74" s="423"/>
      <c r="R74" s="423"/>
      <c r="S74" s="423"/>
      <c r="T74" s="423"/>
      <c r="U74" s="423"/>
      <c r="V74" s="243"/>
    </row>
    <row r="75" spans="1:22" ht="12.75">
      <c r="A75" s="244"/>
      <c r="B75" s="53"/>
      <c r="C75" s="423"/>
      <c r="D75" s="423"/>
      <c r="E75" s="423"/>
      <c r="F75" s="423"/>
      <c r="G75" s="423"/>
      <c r="H75" s="423"/>
      <c r="I75" s="423"/>
      <c r="J75" s="423"/>
      <c r="K75" s="423"/>
      <c r="L75" s="423"/>
      <c r="M75" s="423"/>
      <c r="N75" s="423"/>
      <c r="O75" s="423"/>
      <c r="P75" s="423"/>
      <c r="Q75" s="423"/>
      <c r="R75" s="423"/>
      <c r="S75" s="423"/>
      <c r="T75" s="423"/>
      <c r="U75" s="423"/>
      <c r="V75" s="243"/>
    </row>
    <row r="76" spans="1:22" ht="12.75">
      <c r="A76" s="244"/>
      <c r="B76" s="53"/>
      <c r="C76" s="423"/>
      <c r="D76" s="423"/>
      <c r="E76" s="423"/>
      <c r="F76" s="423"/>
      <c r="G76" s="423"/>
      <c r="H76" s="423"/>
      <c r="I76" s="423"/>
      <c r="J76" s="423"/>
      <c r="K76" s="423"/>
      <c r="L76" s="423"/>
      <c r="M76" s="423"/>
      <c r="N76" s="423"/>
      <c r="O76" s="423"/>
      <c r="P76" s="423"/>
      <c r="Q76" s="423"/>
      <c r="R76" s="423"/>
      <c r="S76" s="423"/>
      <c r="T76" s="423"/>
      <c r="U76" s="423"/>
      <c r="V76" s="243"/>
    </row>
    <row r="77" spans="1:22" ht="12.75">
      <c r="A77" s="244"/>
      <c r="B77" s="53"/>
      <c r="C77" s="423"/>
      <c r="D77" s="423"/>
      <c r="E77" s="423"/>
      <c r="F77" s="423"/>
      <c r="G77" s="423"/>
      <c r="H77" s="423"/>
      <c r="I77" s="423"/>
      <c r="J77" s="423"/>
      <c r="K77" s="423"/>
      <c r="L77" s="423"/>
      <c r="M77" s="423"/>
      <c r="N77" s="423"/>
      <c r="O77" s="423"/>
      <c r="P77" s="423"/>
      <c r="Q77" s="423"/>
      <c r="R77" s="423"/>
      <c r="S77" s="423"/>
      <c r="T77" s="423"/>
      <c r="U77" s="423"/>
      <c r="V77" s="243"/>
    </row>
    <row r="78" spans="1:22" ht="12.75">
      <c r="A78" s="244"/>
      <c r="B78" s="45"/>
      <c r="C78" s="423"/>
      <c r="D78" s="423"/>
      <c r="E78" s="423"/>
      <c r="F78" s="423"/>
      <c r="G78" s="423"/>
      <c r="H78" s="423"/>
      <c r="I78" s="423"/>
      <c r="J78" s="423"/>
      <c r="K78" s="423"/>
      <c r="L78" s="423"/>
      <c r="M78" s="423"/>
      <c r="N78" s="423"/>
      <c r="O78" s="423"/>
      <c r="P78" s="423"/>
      <c r="Q78" s="423"/>
      <c r="R78" s="423"/>
      <c r="S78" s="423"/>
      <c r="T78" s="423"/>
      <c r="U78" s="423"/>
      <c r="V78" s="243"/>
    </row>
    <row r="79" spans="3:22" ht="12.75">
      <c r="C79" s="402"/>
      <c r="D79" s="402"/>
      <c r="E79" s="403"/>
      <c r="F79" s="403"/>
      <c r="G79" s="403"/>
      <c r="H79" s="403"/>
      <c r="I79" s="403"/>
      <c r="J79" s="403"/>
      <c r="K79" s="403"/>
      <c r="L79" s="403"/>
      <c r="M79" s="403"/>
      <c r="N79" s="403"/>
      <c r="O79" s="403"/>
      <c r="P79" s="403"/>
      <c r="Q79" s="403"/>
      <c r="R79" s="403"/>
      <c r="S79" s="403"/>
      <c r="T79" s="403"/>
      <c r="U79" s="403"/>
      <c r="V79" s="47"/>
    </row>
    <row r="80" spans="3:22" ht="12.75">
      <c r="C80" s="403"/>
      <c r="D80" s="403"/>
      <c r="E80" s="403"/>
      <c r="F80" s="403"/>
      <c r="G80" s="403"/>
      <c r="H80" s="403"/>
      <c r="I80" s="403"/>
      <c r="J80" s="403"/>
      <c r="K80" s="403"/>
      <c r="L80" s="403"/>
      <c r="M80" s="403"/>
      <c r="N80" s="403"/>
      <c r="O80" s="403"/>
      <c r="P80" s="403"/>
      <c r="Q80" s="403"/>
      <c r="R80" s="403"/>
      <c r="S80" s="403"/>
      <c r="T80" s="403"/>
      <c r="U80" s="403"/>
      <c r="V80" s="47"/>
    </row>
  </sheetData>
  <sheetProtection password="82A3" sheet="1" objects="1" scenarios="1"/>
  <mergeCells count="26">
    <mergeCell ref="C75:U75"/>
    <mergeCell ref="C76:U76"/>
    <mergeCell ref="C4:K4"/>
    <mergeCell ref="C2:K2"/>
    <mergeCell ref="C3:K3"/>
    <mergeCell ref="C68:U68"/>
    <mergeCell ref="C1:M1"/>
    <mergeCell ref="E8:U8"/>
    <mergeCell ref="Y18:Y19"/>
    <mergeCell ref="C79:U80"/>
    <mergeCell ref="C66:U66"/>
    <mergeCell ref="C67:U67"/>
    <mergeCell ref="C65:U65"/>
    <mergeCell ref="C78:U78"/>
    <mergeCell ref="C71:U71"/>
    <mergeCell ref="C64:U64"/>
    <mergeCell ref="C77:U77"/>
    <mergeCell ref="E10:E11"/>
    <mergeCell ref="I10:I11"/>
    <mergeCell ref="U10:U11"/>
    <mergeCell ref="C69:U69"/>
    <mergeCell ref="M10:M11"/>
    <mergeCell ref="Q10:Q11"/>
    <mergeCell ref="C72:U72"/>
    <mergeCell ref="C73:U73"/>
    <mergeCell ref="C74:U74"/>
  </mergeCells>
  <conditionalFormatting sqref="Q10:Q11 I10:I11 M10:M11">
    <cfRule type="cellIs" priority="1" dxfId="11" operator="notEqual" stopIfTrue="1">
      <formula>""</formula>
    </cfRule>
  </conditionalFormatting>
  <conditionalFormatting sqref="U55 M55 E55">
    <cfRule type="cellIs" priority="2" dxfId="9" operator="equal" stopIfTrue="1">
      <formula>0</formula>
    </cfRule>
  </conditionalFormatting>
  <conditionalFormatting sqref="M19 U19">
    <cfRule type="cellIs" priority="3" dxfId="8" operator="equal" stopIfTrue="1">
      <formula>0</formula>
    </cfRule>
  </conditionalFormatting>
  <conditionalFormatting sqref="M14:M15 M17:M18">
    <cfRule type="cellIs" priority="4" dxfId="7" operator="equal" stopIfTrue="1">
      <formula>0</formula>
    </cfRule>
  </conditionalFormatting>
  <dataValidations count="1">
    <dataValidation type="list" allowBlank="1" showInputMessage="1" showErrorMessage="1" prompt="Select either Close of Discovery, Argument-in-Chief, or Settlement Agreement" sqref="M10:M11">
      <formula1>$M$4:$M$6</formula1>
    </dataValidation>
  </dataValidations>
  <printOptions/>
  <pageMargins left="0.75" right="0.75" top="0.46" bottom="0.79" header="0.26" footer="0.5"/>
  <pageSetup fitToHeight="1" fitToWidth="1" horizontalDpi="600" verticalDpi="600" orientation="portrait" scale="65" r:id="rId3"/>
  <headerFooter alignWithMargins="0">
    <oddFooter>&amp;C2</oddFooter>
  </headerFooter>
  <legacyDrawing r:id="rId2"/>
  <oleObjects>
    <oleObject progId="Unknown" shapeId="8921410" r:id="rId1"/>
  </oleObjects>
</worksheet>
</file>

<file path=xl/worksheets/sheet3.xml><?xml version="1.0" encoding="utf-8"?>
<worksheet xmlns="http://schemas.openxmlformats.org/spreadsheetml/2006/main" xmlns:r="http://schemas.openxmlformats.org/officeDocument/2006/relationships">
  <sheetPr codeName="Sheet3">
    <pageSetUpPr fitToPage="1"/>
  </sheetPr>
  <dimension ref="B1:AB41"/>
  <sheetViews>
    <sheetView showGridLines="0" zoomScalePageLayoutView="0" workbookViewId="0" topLeftCell="A1">
      <selection activeCell="K20" sqref="K20"/>
    </sheetView>
  </sheetViews>
  <sheetFormatPr defaultColWidth="9.140625" defaultRowHeight="12.75"/>
  <cols>
    <col min="1" max="1" width="1.1484375" style="13" customWidth="1"/>
    <col min="2" max="2" width="5.28125" style="13" customWidth="1"/>
    <col min="3" max="3" width="1.28515625" style="13" customWidth="1"/>
    <col min="4" max="4" width="31.140625" style="13" customWidth="1"/>
    <col min="5" max="5" width="3.7109375" style="13" customWidth="1"/>
    <col min="6" max="6" width="1.28515625" style="13" customWidth="1"/>
    <col min="7" max="7" width="14.421875" style="13" customWidth="1"/>
    <col min="8" max="8" width="1.1484375" style="13" customWidth="1"/>
    <col min="9" max="9" width="3.421875" style="13" customWidth="1"/>
    <col min="10" max="10" width="1.1484375" style="13" customWidth="1"/>
    <col min="11" max="11" width="12.140625" style="13" customWidth="1"/>
    <col min="12" max="12" width="1.1484375" style="13" customWidth="1"/>
    <col min="13" max="13" width="3.421875" style="13" customWidth="1"/>
    <col min="14" max="14" width="1.1484375" style="13" customWidth="1"/>
    <col min="15" max="15" width="14.57421875" style="13" customWidth="1"/>
    <col min="16" max="16" width="1.421875" style="13" customWidth="1"/>
    <col min="17" max="17" width="3.421875" style="13" customWidth="1"/>
    <col min="18" max="18" width="1.1484375" style="13" customWidth="1"/>
    <col min="19" max="19" width="12.00390625" style="13" customWidth="1"/>
    <col min="20" max="20" width="1.1484375" style="13" customWidth="1"/>
    <col min="21" max="21" width="3.421875" style="13" customWidth="1"/>
    <col min="22" max="22" width="1.1484375" style="13" customWidth="1"/>
    <col min="23" max="23" width="14.7109375" style="13" customWidth="1"/>
    <col min="24" max="24" width="2.8515625" style="13" customWidth="1"/>
    <col min="25" max="16384" width="9.140625" style="13" customWidth="1"/>
  </cols>
  <sheetData>
    <row r="1" spans="3:23" s="2" customFormat="1" ht="20.25" customHeight="1">
      <c r="C1" s="396" t="s">
        <v>156</v>
      </c>
      <c r="D1" s="396"/>
      <c r="E1" s="396"/>
      <c r="F1" s="396"/>
      <c r="G1" s="396"/>
      <c r="H1" s="396"/>
      <c r="I1" s="396"/>
      <c r="J1" s="396"/>
      <c r="K1" s="396"/>
      <c r="L1" s="170"/>
      <c r="W1" s="178" t="str">
        <f>CONCATENATE('Table of Contents'!$F$6," ",'Table of Contents'!$G$6)</f>
        <v>Version: 2.11</v>
      </c>
    </row>
    <row r="2" spans="3:23" s="2" customFormat="1" ht="18">
      <c r="C2" s="408" t="str">
        <f>"Name of LDC:    "&amp;IF(ISBLANK('Table of Contents'!D2),"",'Table of Contents'!D2)</f>
        <v>Name of LDC:    Waterloo North Hydro Inc.</v>
      </c>
      <c r="D2" s="408"/>
      <c r="E2" s="408"/>
      <c r="F2" s="408"/>
      <c r="G2" s="408"/>
      <c r="H2" s="408"/>
      <c r="I2" s="408"/>
      <c r="J2" s="408"/>
      <c r="K2" s="408"/>
      <c r="L2" s="408"/>
      <c r="M2" s="408"/>
      <c r="N2" s="408"/>
      <c r="O2" s="408"/>
      <c r="P2" s="408"/>
      <c r="Q2" s="408"/>
      <c r="R2" s="408"/>
      <c r="S2" s="408"/>
      <c r="T2" s="408"/>
      <c r="U2" s="408"/>
      <c r="V2" s="408"/>
      <c r="W2" s="408"/>
    </row>
    <row r="3" spans="3:12" s="2" customFormat="1" ht="18">
      <c r="C3" s="408" t="str">
        <f>"File Number:      "&amp;IF(ISBLANK('Table of Contents'!D4),"",'Table of Contents'!D4)</f>
        <v>File Number:      EB-2010-0144</v>
      </c>
      <c r="D3" s="408"/>
      <c r="E3" s="408"/>
      <c r="F3" s="408"/>
      <c r="G3" s="408"/>
      <c r="H3" s="57"/>
      <c r="I3" s="54"/>
      <c r="J3" s="54"/>
      <c r="K3" s="54"/>
      <c r="L3" s="54"/>
    </row>
    <row r="4" spans="3:12" s="2" customFormat="1" ht="18">
      <c r="C4" s="408" t="str">
        <f>"Rate Year:          "&amp;IF(ISBLANK('Table of Contents'!D6),"",'Table of Contents'!D6)</f>
        <v>Rate Year:          2011</v>
      </c>
      <c r="D4" s="408"/>
      <c r="E4" s="408"/>
      <c r="F4" s="408"/>
      <c r="G4" s="408"/>
      <c r="H4" s="57"/>
      <c r="I4" s="54"/>
      <c r="J4" s="54"/>
      <c r="K4" s="54"/>
      <c r="L4" s="54"/>
    </row>
    <row r="5" spans="5:6" s="2" customFormat="1" ht="15.75">
      <c r="E5" s="5"/>
      <c r="F5" s="5"/>
    </row>
    <row r="6" s="2" customFormat="1" ht="12.75"/>
    <row r="7" ht="4.5" customHeight="1"/>
    <row r="8" spans="6:23" ht="15.75">
      <c r="F8" s="398" t="s">
        <v>7</v>
      </c>
      <c r="G8" s="398"/>
      <c r="H8" s="398"/>
      <c r="I8" s="398"/>
      <c r="J8" s="398"/>
      <c r="K8" s="398"/>
      <c r="L8" s="398"/>
      <c r="M8" s="398"/>
      <c r="N8" s="398"/>
      <c r="O8" s="398"/>
      <c r="P8" s="398"/>
      <c r="Q8" s="398"/>
      <c r="R8" s="398"/>
      <c r="S8" s="398"/>
      <c r="T8" s="398"/>
      <c r="U8" s="398"/>
      <c r="V8" s="398"/>
      <c r="W8" s="398"/>
    </row>
    <row r="9" spans="6:23" ht="12.75">
      <c r="F9" s="155"/>
      <c r="G9" s="155"/>
      <c r="H9" s="155"/>
      <c r="I9" s="155"/>
      <c r="J9" s="155"/>
      <c r="K9" s="155"/>
      <c r="L9" s="155"/>
      <c r="M9" s="155"/>
      <c r="N9" s="155"/>
      <c r="O9" s="155"/>
      <c r="P9" s="155"/>
      <c r="Q9" s="155"/>
      <c r="R9" s="155"/>
      <c r="S9" s="155"/>
      <c r="T9" s="155"/>
      <c r="U9" s="155"/>
      <c r="V9" s="155"/>
      <c r="W9" s="155"/>
    </row>
    <row r="10" spans="2:23" ht="25.5">
      <c r="B10" s="63" t="s">
        <v>41</v>
      </c>
      <c r="C10" s="47"/>
      <c r="D10" s="64" t="s">
        <v>40</v>
      </c>
      <c r="E10" s="89"/>
      <c r="F10" s="55"/>
      <c r="G10" s="33" t="s">
        <v>189</v>
      </c>
      <c r="H10" s="92"/>
      <c r="I10" s="99"/>
      <c r="J10" s="99"/>
      <c r="K10" s="92">
        <f>IF(ISBLANK('A. Data_Input_Sheet'!M10:M11),"","Adjustments")</f>
      </c>
      <c r="L10" s="92"/>
      <c r="M10" s="99"/>
      <c r="N10" s="99"/>
      <c r="O10" s="205">
        <f>IF(ISBLANK('A. Data_Input_Sheet'!M10:M11),"",'A. Data_Input_Sheet'!M10:M11)</f>
      </c>
      <c r="P10" s="99"/>
      <c r="Q10" s="99"/>
      <c r="R10" s="99"/>
      <c r="S10" s="92">
        <f>IF(ISBLANK('A. Data_Input_Sheet'!Q10:Q11),"",'A. Data_Input_Sheet'!Q10:Q11)</f>
      </c>
      <c r="T10" s="99"/>
      <c r="U10" s="99"/>
      <c r="V10" s="99"/>
      <c r="W10" s="33" t="str">
        <f>'A. Data_Input_Sheet'!U10</f>
        <v>Per Board Decision</v>
      </c>
    </row>
    <row r="11" spans="6:23" ht="12.75">
      <c r="F11" s="55"/>
      <c r="G11" s="55"/>
      <c r="H11" s="55"/>
      <c r="I11" s="55"/>
      <c r="J11" s="55"/>
      <c r="K11" s="55"/>
      <c r="L11" s="55"/>
      <c r="M11" s="55"/>
      <c r="N11" s="55"/>
      <c r="O11" s="55"/>
      <c r="P11" s="55"/>
      <c r="Q11" s="55"/>
      <c r="R11" s="55"/>
      <c r="S11" s="55"/>
      <c r="T11" s="55"/>
      <c r="U11" s="55"/>
      <c r="V11" s="55"/>
      <c r="W11" s="55"/>
    </row>
    <row r="12" spans="2:28" ht="12.75">
      <c r="B12" s="12">
        <v>1</v>
      </c>
      <c r="D12" s="13" t="s">
        <v>116</v>
      </c>
      <c r="E12" s="36" t="s">
        <v>112</v>
      </c>
      <c r="F12" s="55"/>
      <c r="G12" s="123">
        <f>'A. Data_Input_Sheet'!E14</f>
        <v>243087167.74297386</v>
      </c>
      <c r="H12" s="123"/>
      <c r="I12" s="175"/>
      <c r="J12" s="239"/>
      <c r="K12" s="123">
        <f>'A. Data_Input_Sheet'!I14</f>
        <v>0</v>
      </c>
      <c r="L12" s="123"/>
      <c r="M12" s="175"/>
      <c r="N12" s="239"/>
      <c r="O12" s="123">
        <f>G12+K12</f>
        <v>243087167.74297386</v>
      </c>
      <c r="P12" s="239"/>
      <c r="Q12" s="175"/>
      <c r="R12" s="239"/>
      <c r="S12" s="123">
        <f>'A. Data_Input_Sheet'!Q14</f>
        <v>0</v>
      </c>
      <c r="T12" s="239"/>
      <c r="U12" s="175"/>
      <c r="V12" s="239"/>
      <c r="W12" s="123">
        <f>G12+K12+S12</f>
        <v>243087167.74297386</v>
      </c>
      <c r="Z12" s="76"/>
      <c r="AA12" s="76"/>
      <c r="AB12" s="76"/>
    </row>
    <row r="13" spans="2:23" ht="12.75">
      <c r="B13" s="12">
        <v>2</v>
      </c>
      <c r="D13" s="13" t="s">
        <v>117</v>
      </c>
      <c r="E13" s="36" t="s">
        <v>112</v>
      </c>
      <c r="F13" s="55"/>
      <c r="G13" s="125">
        <f>'A. Data_Input_Sheet'!E15</f>
        <v>-109118578.345627</v>
      </c>
      <c r="H13" s="123"/>
      <c r="I13" s="175"/>
      <c r="J13" s="239"/>
      <c r="K13" s="125">
        <f>'A. Data_Input_Sheet'!I15</f>
        <v>0</v>
      </c>
      <c r="L13" s="123"/>
      <c r="M13" s="175"/>
      <c r="N13" s="239"/>
      <c r="O13" s="125">
        <f>G13+K13</f>
        <v>-109118578.345627</v>
      </c>
      <c r="P13" s="239"/>
      <c r="Q13" s="175"/>
      <c r="R13" s="239"/>
      <c r="S13" s="125">
        <f>'A. Data_Input_Sheet'!Q15</f>
        <v>0</v>
      </c>
      <c r="T13" s="239"/>
      <c r="U13" s="175"/>
      <c r="V13" s="239"/>
      <c r="W13" s="125">
        <f>G13+K13+S13</f>
        <v>-109118578.345627</v>
      </c>
    </row>
    <row r="14" spans="2:23" ht="12.75">
      <c r="B14" s="12">
        <v>3</v>
      </c>
      <c r="D14" s="83" t="s">
        <v>118</v>
      </c>
      <c r="E14" s="36" t="s">
        <v>112</v>
      </c>
      <c r="F14" s="55"/>
      <c r="G14" s="69">
        <f>SUM(G12:G13)</f>
        <v>133968589.39734687</v>
      </c>
      <c r="H14" s="69"/>
      <c r="I14" s="156"/>
      <c r="J14" s="156"/>
      <c r="K14" s="69">
        <f>SUM(K12:K13)</f>
        <v>0</v>
      </c>
      <c r="L14" s="69"/>
      <c r="M14" s="156"/>
      <c r="N14" s="156"/>
      <c r="O14" s="69">
        <f>SUM(O12:O13)</f>
        <v>133968589.39734687</v>
      </c>
      <c r="P14" s="156"/>
      <c r="Q14" s="156"/>
      <c r="R14" s="156"/>
      <c r="S14" s="69">
        <f>SUM(S12:S13)</f>
        <v>0</v>
      </c>
      <c r="T14" s="156"/>
      <c r="U14" s="156"/>
      <c r="V14" s="156"/>
      <c r="W14" s="69">
        <f>SUM(W12:W13)</f>
        <v>133968589.39734687</v>
      </c>
    </row>
    <row r="15" spans="2:23" ht="12.75">
      <c r="B15" s="12"/>
      <c r="E15" s="12"/>
      <c r="F15" s="55"/>
      <c r="G15" s="69"/>
      <c r="H15" s="69"/>
      <c r="I15" s="156"/>
      <c r="J15" s="156"/>
      <c r="K15" s="69"/>
      <c r="L15" s="69"/>
      <c r="M15" s="156"/>
      <c r="N15" s="156"/>
      <c r="O15" s="69"/>
      <c r="P15" s="156"/>
      <c r="Q15" s="156"/>
      <c r="R15" s="156"/>
      <c r="S15" s="69"/>
      <c r="T15" s="156"/>
      <c r="U15" s="156"/>
      <c r="V15" s="156"/>
      <c r="W15" s="69"/>
    </row>
    <row r="16" spans="2:23" ht="12.75">
      <c r="B16" s="12">
        <v>4</v>
      </c>
      <c r="D16" s="154" t="s">
        <v>71</v>
      </c>
      <c r="E16" s="204" t="s">
        <v>2</v>
      </c>
      <c r="F16" s="55"/>
      <c r="G16" s="77">
        <f>G29</f>
        <v>18839727.744530395</v>
      </c>
      <c r="H16" s="69"/>
      <c r="I16" s="156"/>
      <c r="J16" s="156"/>
      <c r="K16" s="77">
        <f>K29</f>
        <v>0</v>
      </c>
      <c r="L16" s="69"/>
      <c r="M16" s="156"/>
      <c r="N16" s="156"/>
      <c r="O16" s="77">
        <f>O29</f>
        <v>18839727.744530395</v>
      </c>
      <c r="P16" s="156"/>
      <c r="Q16" s="156"/>
      <c r="R16" s="156"/>
      <c r="S16" s="77">
        <f>S29</f>
        <v>0</v>
      </c>
      <c r="T16" s="156"/>
      <c r="U16" s="156"/>
      <c r="V16" s="156"/>
      <c r="W16" s="77">
        <f>W29</f>
        <v>18839727.744530395</v>
      </c>
    </row>
    <row r="17" spans="2:23" ht="12.75">
      <c r="B17" s="12"/>
      <c r="D17" s="399" t="s">
        <v>1</v>
      </c>
      <c r="E17" s="59"/>
      <c r="F17" s="93"/>
      <c r="G17" s="394">
        <f>G16+G14</f>
        <v>152808317.14187726</v>
      </c>
      <c r="H17" s="71"/>
      <c r="I17" s="156"/>
      <c r="J17" s="156"/>
      <c r="K17" s="394">
        <f>K16+K14</f>
        <v>0</v>
      </c>
      <c r="L17" s="71"/>
      <c r="M17" s="156"/>
      <c r="N17" s="156"/>
      <c r="O17" s="394">
        <f>O16+O14</f>
        <v>152808317.14187726</v>
      </c>
      <c r="P17" s="156"/>
      <c r="Q17" s="156"/>
      <c r="R17" s="156"/>
      <c r="S17" s="394">
        <f>S16+S14</f>
        <v>0</v>
      </c>
      <c r="T17" s="156"/>
      <c r="U17" s="156"/>
      <c r="V17" s="156"/>
      <c r="W17" s="394">
        <f>W14+W16</f>
        <v>152808317.14187726</v>
      </c>
    </row>
    <row r="18" spans="2:23" ht="13.5" thickBot="1">
      <c r="B18" s="12">
        <v>5</v>
      </c>
      <c r="D18" s="400"/>
      <c r="E18" s="59"/>
      <c r="F18" s="93"/>
      <c r="G18" s="395"/>
      <c r="H18" s="71"/>
      <c r="I18" s="124"/>
      <c r="J18" s="124"/>
      <c r="K18" s="395"/>
      <c r="L18" s="71"/>
      <c r="M18" s="124"/>
      <c r="N18" s="124"/>
      <c r="O18" s="395"/>
      <c r="P18" s="124"/>
      <c r="Q18" s="124"/>
      <c r="R18" s="124"/>
      <c r="S18" s="395"/>
      <c r="T18" s="124"/>
      <c r="U18" s="124"/>
      <c r="V18" s="124"/>
      <c r="W18" s="395"/>
    </row>
    <row r="19" ht="13.5" thickTop="1">
      <c r="B19" s="12"/>
    </row>
    <row r="20" spans="2:24" ht="12.75">
      <c r="B20" s="89"/>
      <c r="C20" s="55"/>
      <c r="D20" s="55"/>
      <c r="E20" s="55"/>
      <c r="F20" s="55"/>
      <c r="G20" s="55"/>
      <c r="H20" s="55"/>
      <c r="I20" s="55"/>
      <c r="J20" s="55"/>
      <c r="K20" s="55"/>
      <c r="L20" s="55"/>
      <c r="M20" s="55"/>
      <c r="N20" s="55"/>
      <c r="O20" s="55"/>
      <c r="P20" s="55"/>
      <c r="Q20" s="55"/>
      <c r="R20" s="55"/>
      <c r="S20" s="55"/>
      <c r="T20" s="55"/>
      <c r="U20" s="55"/>
      <c r="V20" s="55"/>
      <c r="W20" s="55"/>
      <c r="X20" s="55"/>
    </row>
    <row r="21" spans="2:26" ht="12.75">
      <c r="B21" s="93"/>
      <c r="C21" s="112"/>
      <c r="D21" s="410" t="s">
        <v>191</v>
      </c>
      <c r="E21" s="411"/>
      <c r="F21" s="411"/>
      <c r="G21" s="411"/>
      <c r="H21" s="411"/>
      <c r="I21" s="411"/>
      <c r="J21" s="411"/>
      <c r="K21" s="411"/>
      <c r="L21" s="411"/>
      <c r="M21" s="411"/>
      <c r="N21" s="411"/>
      <c r="O21" s="411"/>
      <c r="P21" s="411"/>
      <c r="Q21" s="411"/>
      <c r="R21" s="411"/>
      <c r="S21" s="411"/>
      <c r="T21" s="411"/>
      <c r="U21" s="411"/>
      <c r="V21" s="411"/>
      <c r="W21" s="393"/>
      <c r="X21" s="157"/>
      <c r="Y21" s="31"/>
      <c r="Z21" s="31"/>
    </row>
    <row r="22" spans="2:26" ht="12.75">
      <c r="B22" s="93"/>
      <c r="C22" s="112"/>
      <c r="D22" s="158"/>
      <c r="E22" s="112"/>
      <c r="F22" s="112"/>
      <c r="G22" s="112"/>
      <c r="H22" s="112"/>
      <c r="I22" s="112"/>
      <c r="J22" s="112"/>
      <c r="K22" s="112"/>
      <c r="L22" s="112"/>
      <c r="M22" s="112"/>
      <c r="N22" s="112"/>
      <c r="O22" s="112"/>
      <c r="P22" s="112"/>
      <c r="Q22" s="112"/>
      <c r="R22" s="112"/>
      <c r="S22" s="112"/>
      <c r="T22" s="112"/>
      <c r="U22" s="112"/>
      <c r="V22" s="112"/>
      <c r="W22" s="159"/>
      <c r="X22" s="112"/>
      <c r="Y22" s="31"/>
      <c r="Z22" s="31"/>
    </row>
    <row r="23" spans="2:24" ht="12.75">
      <c r="B23" s="89">
        <v>6</v>
      </c>
      <c r="C23" s="55"/>
      <c r="D23" s="88" t="s">
        <v>11</v>
      </c>
      <c r="E23" s="55"/>
      <c r="F23" s="55"/>
      <c r="G23" s="123">
        <f>'A. Data_Input_Sheet'!E17</f>
        <v>10183837.617624432</v>
      </c>
      <c r="H23" s="123"/>
      <c r="I23" s="175"/>
      <c r="J23" s="239"/>
      <c r="K23" s="123">
        <f>'A. Data_Input_Sheet'!I17</f>
        <v>0</v>
      </c>
      <c r="L23" s="123"/>
      <c r="M23" s="175"/>
      <c r="N23" s="239"/>
      <c r="O23" s="123">
        <f>G23+K23</f>
        <v>10183837.617624432</v>
      </c>
      <c r="P23" s="239"/>
      <c r="Q23" s="175"/>
      <c r="R23" s="239"/>
      <c r="S23" s="123">
        <f>'A. Data_Input_Sheet'!Q17</f>
        <v>0</v>
      </c>
      <c r="T23" s="239"/>
      <c r="U23" s="175"/>
      <c r="V23" s="239"/>
      <c r="W23" s="151">
        <f>G23+K23+S23</f>
        <v>10183837.617624432</v>
      </c>
      <c r="X23" s="55"/>
    </row>
    <row r="24" spans="2:24" ht="12.75">
      <c r="B24" s="89">
        <v>7</v>
      </c>
      <c r="C24" s="55"/>
      <c r="D24" s="153" t="s">
        <v>5</v>
      </c>
      <c r="E24" s="55"/>
      <c r="F24" s="55"/>
      <c r="G24" s="125">
        <f>'A. Data_Input_Sheet'!E18</f>
        <v>115414347.34591153</v>
      </c>
      <c r="H24" s="123"/>
      <c r="I24" s="175"/>
      <c r="J24" s="239"/>
      <c r="K24" s="125">
        <f>'A. Data_Input_Sheet'!I18</f>
        <v>0</v>
      </c>
      <c r="L24" s="123"/>
      <c r="M24" s="175"/>
      <c r="N24" s="239"/>
      <c r="O24" s="125">
        <f>G24+K24</f>
        <v>115414347.34591153</v>
      </c>
      <c r="P24" s="239"/>
      <c r="Q24" s="175"/>
      <c r="R24" s="239"/>
      <c r="S24" s="125">
        <f>'A. Data_Input_Sheet'!Q18</f>
        <v>0</v>
      </c>
      <c r="T24" s="239"/>
      <c r="U24" s="175"/>
      <c r="V24" s="239"/>
      <c r="W24" s="160">
        <f>G24+K24+S24</f>
        <v>115414347.34591153</v>
      </c>
      <c r="X24" s="55"/>
    </row>
    <row r="25" spans="2:24" ht="12.75">
      <c r="B25" s="89">
        <v>8</v>
      </c>
      <c r="C25" s="55"/>
      <c r="D25" s="88" t="s">
        <v>12</v>
      </c>
      <c r="E25" s="55"/>
      <c r="F25" s="55"/>
      <c r="G25" s="69">
        <f>SUM(G23:G24)</f>
        <v>125598184.96353596</v>
      </c>
      <c r="H25" s="69"/>
      <c r="I25" s="156"/>
      <c r="J25" s="192"/>
      <c r="K25" s="69">
        <f>K23+K24</f>
        <v>0</v>
      </c>
      <c r="L25" s="69"/>
      <c r="M25" s="156"/>
      <c r="N25" s="156"/>
      <c r="O25" s="69">
        <f>SUM(O23:O24)</f>
        <v>125598184.96353596</v>
      </c>
      <c r="P25" s="156"/>
      <c r="Q25" s="156"/>
      <c r="R25" s="156"/>
      <c r="S25" s="69">
        <f>S23+S24</f>
        <v>0</v>
      </c>
      <c r="T25" s="156"/>
      <c r="U25" s="156"/>
      <c r="V25" s="156"/>
      <c r="W25" s="91">
        <f>SUM(W23:W24)</f>
        <v>125598184.96353596</v>
      </c>
      <c r="X25" s="55"/>
    </row>
    <row r="26" spans="2:24" ht="12.75">
      <c r="B26" s="89"/>
      <c r="C26" s="55"/>
      <c r="D26" s="88"/>
      <c r="E26" s="55"/>
      <c r="F26" s="55"/>
      <c r="G26" s="55"/>
      <c r="H26" s="55"/>
      <c r="I26" s="55"/>
      <c r="J26" s="49"/>
      <c r="K26" s="55"/>
      <c r="L26" s="55"/>
      <c r="M26" s="55"/>
      <c r="N26" s="55"/>
      <c r="O26" s="55"/>
      <c r="P26" s="55"/>
      <c r="Q26" s="55"/>
      <c r="R26" s="55"/>
      <c r="S26" s="55"/>
      <c r="T26" s="55"/>
      <c r="U26" s="55"/>
      <c r="V26" s="55"/>
      <c r="W26" s="56"/>
      <c r="X26" s="55"/>
    </row>
    <row r="27" spans="2:24" ht="12.75">
      <c r="B27" s="96">
        <v>9</v>
      </c>
      <c r="C27" s="49"/>
      <c r="D27" s="88" t="s">
        <v>96</v>
      </c>
      <c r="E27" s="161" t="s">
        <v>3</v>
      </c>
      <c r="F27" s="55"/>
      <c r="G27" s="103">
        <f>'A. Data_Input_Sheet'!E19</f>
        <v>0.15</v>
      </c>
      <c r="H27" s="103"/>
      <c r="I27" s="175"/>
      <c r="J27" s="239"/>
      <c r="K27" s="111">
        <f>O27-G27</f>
        <v>0</v>
      </c>
      <c r="L27" s="111"/>
      <c r="M27" s="175"/>
      <c r="N27" s="111"/>
      <c r="O27" s="103">
        <f>'A. Data_Input_Sheet'!M19</f>
        <v>0.15</v>
      </c>
      <c r="P27" s="111"/>
      <c r="Q27" s="175"/>
      <c r="R27" s="111"/>
      <c r="S27" s="111">
        <f>W27-O27</f>
        <v>0</v>
      </c>
      <c r="T27" s="111"/>
      <c r="U27" s="175"/>
      <c r="V27" s="111"/>
      <c r="W27" s="162">
        <f>'A. Data_Input_Sheet'!U19</f>
        <v>0.15</v>
      </c>
      <c r="X27" s="55"/>
    </row>
    <row r="28" spans="2:24" ht="13.5" thickBot="1">
      <c r="B28" s="89"/>
      <c r="C28" s="55"/>
      <c r="D28" s="88"/>
      <c r="E28" s="55"/>
      <c r="F28" s="55"/>
      <c r="G28" s="163"/>
      <c r="H28" s="55"/>
      <c r="I28" s="55"/>
      <c r="J28" s="55"/>
      <c r="K28" s="163"/>
      <c r="L28" s="55"/>
      <c r="M28" s="55"/>
      <c r="N28" s="55"/>
      <c r="O28" s="163"/>
      <c r="P28" s="55"/>
      <c r="Q28" s="55"/>
      <c r="R28" s="55"/>
      <c r="S28" s="163"/>
      <c r="T28" s="55"/>
      <c r="U28" s="55"/>
      <c r="V28" s="55"/>
      <c r="W28" s="164"/>
      <c r="X28" s="55"/>
    </row>
    <row r="29" spans="2:24" ht="13.5" thickTop="1">
      <c r="B29" s="96">
        <v>10</v>
      </c>
      <c r="C29" s="49"/>
      <c r="D29" s="153" t="s">
        <v>0</v>
      </c>
      <c r="E29" s="154"/>
      <c r="F29" s="154"/>
      <c r="G29" s="125">
        <f>G25*G27</f>
        <v>18839727.744530395</v>
      </c>
      <c r="H29" s="125"/>
      <c r="I29" s="125"/>
      <c r="J29" s="125"/>
      <c r="K29" s="125">
        <f>O29-G29</f>
        <v>0</v>
      </c>
      <c r="L29" s="125"/>
      <c r="M29" s="125"/>
      <c r="N29" s="125"/>
      <c r="O29" s="125">
        <f>O25*O27</f>
        <v>18839727.744530395</v>
      </c>
      <c r="P29" s="125"/>
      <c r="Q29" s="125"/>
      <c r="R29" s="125"/>
      <c r="S29" s="125">
        <f>W29-O29</f>
        <v>0</v>
      </c>
      <c r="T29" s="125"/>
      <c r="U29" s="125"/>
      <c r="V29" s="125"/>
      <c r="W29" s="160">
        <f>W25*W27</f>
        <v>18839727.744530395</v>
      </c>
      <c r="X29" s="55"/>
    </row>
    <row r="30" spans="2:24" ht="12.75">
      <c r="B30" s="55"/>
      <c r="C30" s="55"/>
      <c r="D30" s="55"/>
      <c r="E30" s="55"/>
      <c r="F30" s="55"/>
      <c r="G30" s="55"/>
      <c r="H30" s="55"/>
      <c r="I30" s="55"/>
      <c r="J30" s="55"/>
      <c r="K30" s="55"/>
      <c r="L30" s="55"/>
      <c r="M30" s="55"/>
      <c r="N30" s="55"/>
      <c r="O30" s="55"/>
      <c r="P30" s="55"/>
      <c r="Q30" s="55"/>
      <c r="R30" s="55"/>
      <c r="S30" s="55"/>
      <c r="T30" s="55"/>
      <c r="U30" s="55"/>
      <c r="V30" s="55"/>
      <c r="W30" s="55"/>
      <c r="X30" s="55"/>
    </row>
    <row r="32" spans="2:23" ht="12.75">
      <c r="B32" s="397" t="s">
        <v>42</v>
      </c>
      <c r="C32" s="397"/>
      <c r="D32" s="397"/>
      <c r="E32" s="397"/>
      <c r="F32" s="397"/>
      <c r="G32" s="397"/>
      <c r="H32" s="397"/>
      <c r="I32" s="397"/>
      <c r="J32" s="397"/>
      <c r="K32" s="397"/>
      <c r="L32" s="397"/>
      <c r="M32" s="397"/>
      <c r="N32" s="397"/>
      <c r="O32" s="397"/>
      <c r="P32" s="397"/>
      <c r="Q32" s="397"/>
      <c r="R32" s="397"/>
      <c r="S32" s="397"/>
      <c r="T32" s="397"/>
      <c r="U32" s="397"/>
      <c r="V32" s="397"/>
      <c r="W32" s="397"/>
    </row>
    <row r="33" spans="2:23" ht="12.75">
      <c r="B33" s="165" t="s">
        <v>3</v>
      </c>
      <c r="D33" s="407" t="s">
        <v>62</v>
      </c>
      <c r="E33" s="407"/>
      <c r="F33" s="407"/>
      <c r="G33" s="407"/>
      <c r="H33" s="407"/>
      <c r="I33" s="407"/>
      <c r="J33" s="407"/>
      <c r="K33" s="407"/>
      <c r="L33" s="407"/>
      <c r="M33" s="407"/>
      <c r="N33" s="407"/>
      <c r="O33" s="407"/>
      <c r="P33" s="407"/>
      <c r="Q33" s="407"/>
      <c r="R33" s="407"/>
      <c r="S33" s="407"/>
      <c r="T33" s="407"/>
      <c r="U33" s="407"/>
      <c r="V33" s="407"/>
      <c r="W33" s="407"/>
    </row>
    <row r="34" spans="2:23" ht="12.75">
      <c r="B34" s="166" t="s">
        <v>112</v>
      </c>
      <c r="C34" s="45"/>
      <c r="D34" s="401" t="s">
        <v>151</v>
      </c>
      <c r="E34" s="401"/>
      <c r="F34" s="401"/>
      <c r="G34" s="401"/>
      <c r="H34" s="401"/>
      <c r="I34" s="401"/>
      <c r="J34" s="401"/>
      <c r="K34" s="401"/>
      <c r="L34" s="401"/>
      <c r="M34" s="401"/>
      <c r="N34" s="401"/>
      <c r="O34" s="401"/>
      <c r="P34" s="401"/>
      <c r="Q34" s="401"/>
      <c r="R34" s="401"/>
      <c r="S34" s="401"/>
      <c r="T34" s="401"/>
      <c r="U34" s="401"/>
      <c r="V34" s="401"/>
      <c r="W34" s="401"/>
    </row>
    <row r="35" spans="2:23" ht="12.75">
      <c r="B35" s="175"/>
      <c r="D35" s="409"/>
      <c r="E35" s="409"/>
      <c r="F35" s="409"/>
      <c r="G35" s="409"/>
      <c r="H35" s="409"/>
      <c r="I35" s="409"/>
      <c r="J35" s="409"/>
      <c r="K35" s="409"/>
      <c r="L35" s="409"/>
      <c r="M35" s="409"/>
      <c r="N35" s="409"/>
      <c r="O35" s="409"/>
      <c r="P35" s="409"/>
      <c r="Q35" s="409"/>
      <c r="R35" s="409"/>
      <c r="S35" s="409"/>
      <c r="T35" s="409"/>
      <c r="U35" s="409"/>
      <c r="V35" s="409"/>
      <c r="W35" s="409"/>
    </row>
    <row r="36" spans="2:23" ht="12.75">
      <c r="B36" s="175"/>
      <c r="D36" s="409"/>
      <c r="E36" s="409"/>
      <c r="F36" s="409"/>
      <c r="G36" s="409"/>
      <c r="H36" s="409"/>
      <c r="I36" s="409"/>
      <c r="J36" s="409"/>
      <c r="K36" s="409"/>
      <c r="L36" s="409"/>
      <c r="M36" s="409"/>
      <c r="N36" s="409"/>
      <c r="O36" s="409"/>
      <c r="P36" s="409"/>
      <c r="Q36" s="409"/>
      <c r="R36" s="409"/>
      <c r="S36" s="409"/>
      <c r="T36" s="409"/>
      <c r="U36" s="409"/>
      <c r="V36" s="409"/>
      <c r="W36" s="409"/>
    </row>
    <row r="37" spans="2:23" ht="12.75">
      <c r="B37" s="175"/>
      <c r="D37" s="409"/>
      <c r="E37" s="409"/>
      <c r="F37" s="409"/>
      <c r="G37" s="409"/>
      <c r="H37" s="409"/>
      <c r="I37" s="409"/>
      <c r="J37" s="409"/>
      <c r="K37" s="409"/>
      <c r="L37" s="409"/>
      <c r="M37" s="409"/>
      <c r="N37" s="409"/>
      <c r="O37" s="409"/>
      <c r="P37" s="409"/>
      <c r="Q37" s="409"/>
      <c r="R37" s="409"/>
      <c r="S37" s="409"/>
      <c r="T37" s="409"/>
      <c r="U37" s="409"/>
      <c r="V37" s="409"/>
      <c r="W37" s="409"/>
    </row>
    <row r="38" spans="2:23" ht="12.75">
      <c r="B38" s="175"/>
      <c r="D38" s="409"/>
      <c r="E38" s="409"/>
      <c r="F38" s="409"/>
      <c r="G38" s="409"/>
      <c r="H38" s="409"/>
      <c r="I38" s="409"/>
      <c r="J38" s="409"/>
      <c r="K38" s="409"/>
      <c r="L38" s="409"/>
      <c r="M38" s="409"/>
      <c r="N38" s="409"/>
      <c r="O38" s="409"/>
      <c r="P38" s="409"/>
      <c r="Q38" s="409"/>
      <c r="R38" s="409"/>
      <c r="S38" s="409"/>
      <c r="T38" s="409"/>
      <c r="U38" s="409"/>
      <c r="V38" s="409"/>
      <c r="W38" s="409"/>
    </row>
    <row r="39" spans="2:23" ht="12.75">
      <c r="B39" s="175"/>
      <c r="D39" s="409"/>
      <c r="E39" s="409"/>
      <c r="F39" s="409"/>
      <c r="G39" s="409"/>
      <c r="H39" s="409"/>
      <c r="I39" s="409"/>
      <c r="J39" s="409"/>
      <c r="K39" s="409"/>
      <c r="L39" s="409"/>
      <c r="M39" s="409"/>
      <c r="N39" s="409"/>
      <c r="O39" s="409"/>
      <c r="P39" s="409"/>
      <c r="Q39" s="409"/>
      <c r="R39" s="409"/>
      <c r="S39" s="409"/>
      <c r="T39" s="409"/>
      <c r="U39" s="409"/>
      <c r="V39" s="409"/>
      <c r="W39" s="409"/>
    </row>
    <row r="40" spans="2:23" ht="12.75">
      <c r="B40" s="175"/>
      <c r="D40" s="409"/>
      <c r="E40" s="409"/>
      <c r="F40" s="409"/>
      <c r="G40" s="409"/>
      <c r="H40" s="409"/>
      <c r="I40" s="409"/>
      <c r="J40" s="409"/>
      <c r="K40" s="409"/>
      <c r="L40" s="409"/>
      <c r="M40" s="409"/>
      <c r="N40" s="409"/>
      <c r="O40" s="409"/>
      <c r="P40" s="409"/>
      <c r="Q40" s="409"/>
      <c r="R40" s="409"/>
      <c r="S40" s="409"/>
      <c r="T40" s="409"/>
      <c r="U40" s="409"/>
      <c r="V40" s="409"/>
      <c r="W40" s="409"/>
    </row>
    <row r="41" spans="2:23" ht="12.75">
      <c r="B41" s="175"/>
      <c r="D41" s="409"/>
      <c r="E41" s="409"/>
      <c r="F41" s="409"/>
      <c r="G41" s="409"/>
      <c r="H41" s="409"/>
      <c r="I41" s="409"/>
      <c r="J41" s="409"/>
      <c r="K41" s="409"/>
      <c r="L41" s="409"/>
      <c r="M41" s="409"/>
      <c r="N41" s="409"/>
      <c r="O41" s="409"/>
      <c r="P41" s="409"/>
      <c r="Q41" s="409"/>
      <c r="R41" s="409"/>
      <c r="S41" s="409"/>
      <c r="T41" s="409"/>
      <c r="U41" s="409"/>
      <c r="V41" s="409"/>
      <c r="W41" s="409"/>
    </row>
  </sheetData>
  <sheetProtection password="82A3" sheet="1" objects="1" scenarios="1"/>
  <mergeCells count="22">
    <mergeCell ref="C1:K1"/>
    <mergeCell ref="C2:W2"/>
    <mergeCell ref="B32:W32"/>
    <mergeCell ref="F8:W8"/>
    <mergeCell ref="G17:G18"/>
    <mergeCell ref="K17:K18"/>
    <mergeCell ref="W17:W18"/>
    <mergeCell ref="D17:D18"/>
    <mergeCell ref="C3:G3"/>
    <mergeCell ref="C4:G4"/>
    <mergeCell ref="D35:W35"/>
    <mergeCell ref="D40:W40"/>
    <mergeCell ref="D21:W21"/>
    <mergeCell ref="O17:O18"/>
    <mergeCell ref="S17:S18"/>
    <mergeCell ref="D33:W33"/>
    <mergeCell ref="D34:W34"/>
    <mergeCell ref="D41:W41"/>
    <mergeCell ref="D36:W36"/>
    <mergeCell ref="D37:W37"/>
    <mergeCell ref="D38:W38"/>
    <mergeCell ref="D39:W39"/>
  </mergeCells>
  <conditionalFormatting sqref="O10 K10 S10">
    <cfRule type="cellIs" priority="1" dxfId="11" operator="notEqual" stopIfTrue="1">
      <formula>""</formula>
    </cfRule>
  </conditionalFormatting>
  <printOptions/>
  <pageMargins left="0.75" right="0.75" top="0.57" bottom="1" header="0.34" footer="0.5"/>
  <pageSetup fitToHeight="1" fitToWidth="1" horizontalDpi="600" verticalDpi="600" orientation="landscape" scale="91" r:id="rId3"/>
  <headerFooter alignWithMargins="0">
    <oddFooter>&amp;C3</oddFooter>
  </headerFooter>
  <legacyDrawing r:id="rId2"/>
  <oleObjects>
    <oleObject progId="Unknown" shapeId="8966950" r:id="rId1"/>
  </oleObjects>
</worksheet>
</file>

<file path=xl/worksheets/sheet4.xml><?xml version="1.0" encoding="utf-8"?>
<worksheet xmlns="http://schemas.openxmlformats.org/spreadsheetml/2006/main" xmlns:r="http://schemas.openxmlformats.org/officeDocument/2006/relationships">
  <sheetPr codeName="Sheet4">
    <pageSetUpPr fitToPage="1"/>
  </sheetPr>
  <dimension ref="B1:Z53"/>
  <sheetViews>
    <sheetView showGridLines="0" zoomScalePageLayoutView="0" workbookViewId="0" topLeftCell="A10">
      <selection activeCell="F32" activeCellId="1" sqref="F34:F35 F32:F33"/>
    </sheetView>
  </sheetViews>
  <sheetFormatPr defaultColWidth="9.140625" defaultRowHeight="12.75"/>
  <cols>
    <col min="1" max="1" width="1.421875" style="13" customWidth="1"/>
    <col min="2" max="2" width="5.28125" style="13" customWidth="1"/>
    <col min="3" max="3" width="1.28515625" style="13" customWidth="1"/>
    <col min="4" max="4" width="26.140625" style="13" customWidth="1"/>
    <col min="5" max="5" width="2.8515625" style="13" customWidth="1"/>
    <col min="6" max="6" width="15.421875" style="13" customWidth="1"/>
    <col min="7" max="7" width="1.28515625" style="13" customWidth="1"/>
    <col min="8" max="8" width="2.8515625" style="13" customWidth="1"/>
    <col min="9" max="9" width="1.28515625" style="13" customWidth="1"/>
    <col min="10" max="10" width="15.140625" style="13" customWidth="1"/>
    <col min="11" max="11" width="1.28515625" style="13" customWidth="1"/>
    <col min="12" max="12" width="2.8515625" style="13" customWidth="1"/>
    <col min="13" max="13" width="1.28515625" style="13" customWidth="1"/>
    <col min="14" max="14" width="15.57421875" style="13" customWidth="1"/>
    <col min="15" max="15" width="1.28515625" style="13" customWidth="1"/>
    <col min="16" max="16" width="2.8515625" style="13" customWidth="1"/>
    <col min="17" max="17" width="1.28515625" style="13" customWidth="1"/>
    <col min="18" max="18" width="14.8515625" style="13" customWidth="1"/>
    <col min="19" max="19" width="1.28515625" style="13" customWidth="1"/>
    <col min="20" max="20" width="2.8515625" style="13" customWidth="1"/>
    <col min="21" max="21" width="1.28515625" style="13" customWidth="1"/>
    <col min="22" max="22" width="15.57421875" style="13" customWidth="1"/>
    <col min="23" max="23" width="1.421875" style="13" customWidth="1"/>
    <col min="24" max="24" width="11.7109375" style="13" bestFit="1" customWidth="1"/>
    <col min="25" max="16384" width="9.140625" style="13" customWidth="1"/>
  </cols>
  <sheetData>
    <row r="1" spans="3:22" s="2" customFormat="1" ht="20.25" customHeight="1">
      <c r="C1" s="396" t="s">
        <v>156</v>
      </c>
      <c r="D1" s="396"/>
      <c r="E1" s="396"/>
      <c r="F1" s="396"/>
      <c r="G1" s="396"/>
      <c r="H1" s="396"/>
      <c r="I1" s="396"/>
      <c r="J1" s="396"/>
      <c r="K1" s="396"/>
      <c r="L1" s="396"/>
      <c r="M1" s="170"/>
      <c r="N1" s="170"/>
      <c r="O1" s="170"/>
      <c r="P1" s="170"/>
      <c r="Q1" s="170"/>
      <c r="R1" s="170"/>
      <c r="S1" s="170"/>
      <c r="T1" s="170"/>
      <c r="U1" s="170"/>
      <c r="V1" s="178" t="str">
        <f>CONCATENATE('Table of Contents'!$F$6," ",'Table of Contents'!$G$6)</f>
        <v>Version: 2.11</v>
      </c>
    </row>
    <row r="2" spans="3:22" s="2" customFormat="1" ht="18">
      <c r="C2" s="408" t="str">
        <f>"Name of LDC:    "&amp;IF(ISBLANK('Table of Contents'!D2),"",'Table of Contents'!D2)</f>
        <v>Name of LDC:    Waterloo North Hydro Inc.</v>
      </c>
      <c r="D2" s="408"/>
      <c r="E2" s="408"/>
      <c r="F2" s="408"/>
      <c r="G2" s="408"/>
      <c r="H2" s="408"/>
      <c r="I2" s="408"/>
      <c r="J2" s="408"/>
      <c r="K2" s="408"/>
      <c r="L2" s="408"/>
      <c r="M2" s="408"/>
      <c r="N2" s="408"/>
      <c r="O2" s="408"/>
      <c r="P2" s="408"/>
      <c r="Q2" s="408"/>
      <c r="R2" s="408"/>
      <c r="S2" s="408"/>
      <c r="T2" s="408"/>
      <c r="U2" s="408"/>
      <c r="V2" s="408"/>
    </row>
    <row r="3" spans="3:21" s="2" customFormat="1" ht="18">
      <c r="C3" s="408" t="str">
        <f>"File Number:      "&amp;IF(ISBLANK('Table of Contents'!D4),"",'Table of Contents'!D4)</f>
        <v>File Number:      EB-2010-0144</v>
      </c>
      <c r="D3" s="408"/>
      <c r="E3" s="408"/>
      <c r="F3" s="408"/>
      <c r="G3" s="408"/>
      <c r="H3" s="408"/>
      <c r="I3" s="57"/>
      <c r="J3" s="54"/>
      <c r="K3" s="54"/>
      <c r="L3" s="54"/>
      <c r="M3" s="54"/>
      <c r="N3" s="54"/>
      <c r="O3" s="54"/>
      <c r="P3" s="54"/>
      <c r="Q3" s="54"/>
      <c r="R3" s="54"/>
      <c r="S3" s="54"/>
      <c r="T3" s="54"/>
      <c r="U3" s="54"/>
    </row>
    <row r="4" spans="3:21" s="2" customFormat="1" ht="18">
      <c r="C4" s="408" t="str">
        <f>"Rate Year:          "&amp;IF(ISBLANK('Table of Contents'!D6),"",'Table of Contents'!D6)</f>
        <v>Rate Year:          2011</v>
      </c>
      <c r="D4" s="408"/>
      <c r="E4" s="408"/>
      <c r="F4" s="408"/>
      <c r="G4" s="408"/>
      <c r="H4" s="408"/>
      <c r="I4" s="57"/>
      <c r="J4" s="54"/>
      <c r="K4" s="54"/>
      <c r="L4" s="54"/>
      <c r="M4" s="54"/>
      <c r="N4" s="54"/>
      <c r="O4" s="54"/>
      <c r="P4" s="54"/>
      <c r="Q4" s="54"/>
      <c r="R4" s="54"/>
      <c r="S4" s="54"/>
      <c r="T4" s="54"/>
      <c r="U4" s="54"/>
    </row>
    <row r="5" spans="5:7" s="2" customFormat="1" ht="15.75">
      <c r="E5" s="5"/>
      <c r="F5" s="5"/>
      <c r="G5" s="5"/>
    </row>
    <row r="6" s="2" customFormat="1" ht="7.5" customHeight="1"/>
    <row r="7" ht="4.5" customHeight="1"/>
    <row r="8" spans="4:23" ht="15.75">
      <c r="D8" s="142"/>
      <c r="E8" s="81"/>
      <c r="F8" s="398" t="s">
        <v>39</v>
      </c>
      <c r="G8" s="398"/>
      <c r="H8" s="398"/>
      <c r="I8" s="398"/>
      <c r="J8" s="398"/>
      <c r="K8" s="398"/>
      <c r="L8" s="398"/>
      <c r="M8" s="398"/>
      <c r="N8" s="398"/>
      <c r="O8" s="398"/>
      <c r="P8" s="398"/>
      <c r="Q8" s="398"/>
      <c r="R8" s="398"/>
      <c r="S8" s="398"/>
      <c r="T8" s="398"/>
      <c r="U8" s="398"/>
      <c r="V8" s="398"/>
      <c r="W8" s="81"/>
    </row>
    <row r="10" spans="2:22" ht="30.75" customHeight="1">
      <c r="B10" s="63" t="s">
        <v>41</v>
      </c>
      <c r="D10" s="64" t="s">
        <v>49</v>
      </c>
      <c r="E10" s="143"/>
      <c r="F10" s="33" t="s">
        <v>190</v>
      </c>
      <c r="G10" s="174"/>
      <c r="J10" s="33">
        <f>IF(N10="","","Adjustments")</f>
      </c>
      <c r="K10" s="174"/>
      <c r="N10" s="33">
        <f>IF(ISBLANK('A. Data_Input_Sheet'!M10:M11),"",'A. Data_Input_Sheet'!M10:M11)</f>
      </c>
      <c r="R10" s="33">
        <f>IF(N10="","","Adjustments")</f>
      </c>
      <c r="V10" s="33" t="str">
        <f>'A. Data_Input_Sheet'!U10</f>
        <v>Per Board Decision</v>
      </c>
    </row>
    <row r="12" ht="12.75">
      <c r="D12" s="46" t="s">
        <v>26</v>
      </c>
    </row>
    <row r="13" spans="2:22" ht="25.5">
      <c r="B13" s="213">
        <v>1</v>
      </c>
      <c r="D13" s="47" t="s">
        <v>144</v>
      </c>
      <c r="E13" s="144"/>
      <c r="F13" s="334">
        <f>'A. Data_Input_Sheet'!E24</f>
        <v>28980640.278744973</v>
      </c>
      <c r="G13" s="334"/>
      <c r="H13" s="335"/>
      <c r="I13" s="343"/>
      <c r="J13" s="334">
        <f>N13-F13</f>
        <v>-28980640.278744973</v>
      </c>
      <c r="K13" s="334"/>
      <c r="L13" s="335"/>
      <c r="M13" s="343"/>
      <c r="N13" s="334">
        <f>'A. Data_Input_Sheet'!M24</f>
        <v>0</v>
      </c>
      <c r="O13" s="343"/>
      <c r="P13" s="335"/>
      <c r="Q13" s="343"/>
      <c r="R13" s="334">
        <f>V13-N13</f>
        <v>0</v>
      </c>
      <c r="S13" s="343"/>
      <c r="T13" s="335"/>
      <c r="U13" s="343"/>
      <c r="V13" s="334">
        <f>IF(ISBLANK('A. Data_Input_Sheet'!U24),'2.Utility Income'!N13,'A. Data_Input_Sheet'!U24)</f>
        <v>0</v>
      </c>
    </row>
    <row r="14" spans="2:22" ht="12.75">
      <c r="B14" s="213">
        <v>2</v>
      </c>
      <c r="D14" s="13" t="s">
        <v>78</v>
      </c>
      <c r="E14" s="36" t="s">
        <v>2</v>
      </c>
      <c r="F14" s="356">
        <f>F45</f>
        <v>1055962.648167087</v>
      </c>
      <c r="G14" s="357"/>
      <c r="H14" s="335"/>
      <c r="I14" s="343"/>
      <c r="J14" s="356">
        <f>-N14-F14</f>
        <v>-1055962.648167087</v>
      </c>
      <c r="K14" s="357"/>
      <c r="L14" s="335"/>
      <c r="M14" s="343"/>
      <c r="N14" s="356">
        <f>N45</f>
        <v>0</v>
      </c>
      <c r="O14" s="343"/>
      <c r="P14" s="335"/>
      <c r="Q14" s="343"/>
      <c r="R14" s="356">
        <f>V14-N14</f>
        <v>0</v>
      </c>
      <c r="S14" s="343"/>
      <c r="T14" s="335"/>
      <c r="U14" s="343"/>
      <c r="V14" s="356">
        <f>V45</f>
        <v>0</v>
      </c>
    </row>
    <row r="15" spans="2:22" ht="12.75">
      <c r="B15" s="213"/>
      <c r="F15" s="388">
        <f>SUM(F13:F14)</f>
        <v>30036602.926912062</v>
      </c>
      <c r="G15" s="70"/>
      <c r="H15" s="379"/>
      <c r="I15" s="379"/>
      <c r="J15" s="388">
        <f>SUM(J13:J14)</f>
        <v>-30036602.926912062</v>
      </c>
      <c r="K15" s="70"/>
      <c r="L15" s="379"/>
      <c r="M15" s="380"/>
      <c r="N15" s="388">
        <f>SUM(N13:N14)</f>
        <v>0</v>
      </c>
      <c r="O15" s="380"/>
      <c r="P15" s="379"/>
      <c r="Q15" s="380"/>
      <c r="R15" s="388">
        <f>SUM(R13:R14)</f>
        <v>0</v>
      </c>
      <c r="S15" s="380"/>
      <c r="T15" s="379"/>
      <c r="U15" s="380"/>
      <c r="V15" s="388">
        <f>SUM(V13:V14)</f>
        <v>0</v>
      </c>
    </row>
    <row r="16" spans="2:24" ht="12.75">
      <c r="B16" s="213">
        <v>3</v>
      </c>
      <c r="D16" s="13" t="s">
        <v>128</v>
      </c>
      <c r="F16" s="434"/>
      <c r="G16" s="70"/>
      <c r="H16" s="379"/>
      <c r="I16" s="379"/>
      <c r="J16" s="434"/>
      <c r="K16" s="70"/>
      <c r="L16" s="379"/>
      <c r="M16" s="380"/>
      <c r="N16" s="434"/>
      <c r="O16" s="380"/>
      <c r="P16" s="379"/>
      <c r="Q16" s="380"/>
      <c r="R16" s="434"/>
      <c r="S16" s="380"/>
      <c r="T16" s="379"/>
      <c r="U16" s="380"/>
      <c r="V16" s="434"/>
      <c r="X16" s="41"/>
    </row>
    <row r="17" spans="2:22" ht="12.75">
      <c r="B17" s="213"/>
      <c r="F17" s="360"/>
      <c r="G17" s="360"/>
      <c r="H17" s="359"/>
      <c r="I17" s="359"/>
      <c r="J17" s="360"/>
      <c r="K17" s="360"/>
      <c r="L17" s="359"/>
      <c r="M17" s="337"/>
      <c r="N17" s="360"/>
      <c r="O17" s="337"/>
      <c r="P17" s="359"/>
      <c r="Q17" s="337"/>
      <c r="R17" s="360"/>
      <c r="S17" s="337"/>
      <c r="T17" s="359"/>
      <c r="U17" s="337"/>
      <c r="V17" s="360"/>
    </row>
    <row r="18" spans="2:22" ht="12.75">
      <c r="B18" s="213"/>
      <c r="D18" s="46" t="s">
        <v>27</v>
      </c>
      <c r="F18" s="360"/>
      <c r="G18" s="360"/>
      <c r="H18" s="359"/>
      <c r="I18" s="359"/>
      <c r="J18" s="360"/>
      <c r="K18" s="360"/>
      <c r="L18" s="359"/>
      <c r="M18" s="337"/>
      <c r="N18" s="360"/>
      <c r="O18" s="337"/>
      <c r="P18" s="359"/>
      <c r="Q18" s="337"/>
      <c r="R18" s="360"/>
      <c r="S18" s="337"/>
      <c r="T18" s="359"/>
      <c r="U18" s="337"/>
      <c r="V18" s="360"/>
    </row>
    <row r="19" spans="2:22" ht="12.75">
      <c r="B19" s="213">
        <v>4</v>
      </c>
      <c r="D19" s="13" t="s">
        <v>43</v>
      </c>
      <c r="F19" s="334">
        <f>'A. Data_Input_Sheet'!E32</f>
        <v>10183837.617624432</v>
      </c>
      <c r="G19" s="334"/>
      <c r="H19" s="335"/>
      <c r="I19" s="343"/>
      <c r="J19" s="334">
        <f>'A. Data_Input_Sheet'!I32</f>
        <v>0</v>
      </c>
      <c r="K19" s="334"/>
      <c r="L19" s="335"/>
      <c r="M19" s="343"/>
      <c r="N19" s="334">
        <f>'A. Data_Input_Sheet'!M32</f>
        <v>10183837.617624432</v>
      </c>
      <c r="O19" s="343"/>
      <c r="P19" s="335"/>
      <c r="Q19" s="343"/>
      <c r="R19" s="334">
        <f>'A. Data_Input_Sheet'!Q32</f>
        <v>0</v>
      </c>
      <c r="S19" s="343"/>
      <c r="T19" s="335"/>
      <c r="U19" s="343"/>
      <c r="V19" s="334">
        <f>'A. Data_Input_Sheet'!U32</f>
        <v>10183837.617624432</v>
      </c>
    </row>
    <row r="20" spans="2:22" ht="12.75">
      <c r="B20" s="213">
        <v>5</v>
      </c>
      <c r="D20" s="13" t="s">
        <v>28</v>
      </c>
      <c r="F20" s="334">
        <f>'A. Data_Input_Sheet'!E33</f>
        <v>7816330.806039127</v>
      </c>
      <c r="G20" s="334"/>
      <c r="H20" s="335"/>
      <c r="I20" s="343"/>
      <c r="J20" s="334">
        <f>'A. Data_Input_Sheet'!I33</f>
        <v>0</v>
      </c>
      <c r="K20" s="334"/>
      <c r="L20" s="335"/>
      <c r="M20" s="343"/>
      <c r="N20" s="334">
        <f>'A. Data_Input_Sheet'!M33</f>
        <v>7816330.806039127</v>
      </c>
      <c r="O20" s="343"/>
      <c r="P20" s="335"/>
      <c r="Q20" s="343"/>
      <c r="R20" s="334">
        <f>'A. Data_Input_Sheet'!Q33</f>
        <v>0</v>
      </c>
      <c r="S20" s="343"/>
      <c r="T20" s="335"/>
      <c r="U20" s="343"/>
      <c r="V20" s="334">
        <f>'A. Data_Input_Sheet'!U33</f>
        <v>7816330.806039127</v>
      </c>
    </row>
    <row r="21" spans="2:26" ht="12.75">
      <c r="B21" s="213">
        <v>6</v>
      </c>
      <c r="C21" s="31"/>
      <c r="D21" s="31" t="s">
        <v>52</v>
      </c>
      <c r="E21" s="31"/>
      <c r="F21" s="334">
        <f>'A. Data_Input_Sheet'!E34</f>
        <v>0</v>
      </c>
      <c r="G21" s="334"/>
      <c r="H21" s="335"/>
      <c r="I21" s="343"/>
      <c r="J21" s="334">
        <f>'A. Data_Input_Sheet'!I34</f>
        <v>0</v>
      </c>
      <c r="K21" s="334"/>
      <c r="L21" s="335"/>
      <c r="M21" s="343"/>
      <c r="N21" s="334">
        <f>'A. Data_Input_Sheet'!M34</f>
      </c>
      <c r="O21" s="343"/>
      <c r="P21" s="335"/>
      <c r="Q21" s="343"/>
      <c r="R21" s="334">
        <f>'A. Data_Input_Sheet'!Q34</f>
        <v>0</v>
      </c>
      <c r="S21" s="343"/>
      <c r="T21" s="335"/>
      <c r="U21" s="343"/>
      <c r="V21" s="334">
        <f>'A. Data_Input_Sheet'!U34</f>
      </c>
      <c r="W21" s="31"/>
      <c r="X21" s="31"/>
      <c r="Y21" s="31"/>
      <c r="Z21" s="31"/>
    </row>
    <row r="22" spans="2:26" ht="12.75">
      <c r="B22" s="213">
        <v>7</v>
      </c>
      <c r="C22" s="31"/>
      <c r="D22" s="31" t="s">
        <v>51</v>
      </c>
      <c r="E22" s="31"/>
      <c r="F22" s="358">
        <f>'3.Taxes_PILs'!G23</f>
        <v>0</v>
      </c>
      <c r="G22" s="358"/>
      <c r="H22" s="335"/>
      <c r="I22" s="343"/>
      <c r="J22" s="358">
        <f>N22-F22</f>
        <v>0</v>
      </c>
      <c r="K22" s="358"/>
      <c r="L22" s="335"/>
      <c r="M22" s="343"/>
      <c r="N22" s="358">
        <f>'3.Taxes_PILs'!K23</f>
        <v>0</v>
      </c>
      <c r="O22" s="343"/>
      <c r="P22" s="335"/>
      <c r="Q22" s="343"/>
      <c r="R22" s="358">
        <f>V22-N22</f>
        <v>0</v>
      </c>
      <c r="S22" s="343"/>
      <c r="T22" s="335"/>
      <c r="U22" s="343"/>
      <c r="V22" s="358">
        <f>'3.Taxes_PILs'!O23</f>
        <v>0</v>
      </c>
      <c r="W22" s="31"/>
      <c r="X22" s="31"/>
      <c r="Y22" s="31"/>
      <c r="Z22" s="31"/>
    </row>
    <row r="23" spans="2:22" ht="12.75">
      <c r="B23" s="213">
        <v>8</v>
      </c>
      <c r="D23" s="13" t="s">
        <v>108</v>
      </c>
      <c r="F23" s="356">
        <f>'A. Data_Input_Sheet'!E36</f>
        <v>0</v>
      </c>
      <c r="G23" s="357"/>
      <c r="H23" s="335"/>
      <c r="I23" s="343"/>
      <c r="J23" s="356">
        <f>'A. Data_Input_Sheet'!I36</f>
        <v>0</v>
      </c>
      <c r="K23" s="357"/>
      <c r="L23" s="335"/>
      <c r="M23" s="343"/>
      <c r="N23" s="356">
        <f>'A. Data_Input_Sheet'!M36</f>
      </c>
      <c r="O23" s="343"/>
      <c r="P23" s="335"/>
      <c r="Q23" s="343"/>
      <c r="R23" s="356">
        <f>'A. Data_Input_Sheet'!Q36</f>
        <v>0</v>
      </c>
      <c r="S23" s="343"/>
      <c r="T23" s="335"/>
      <c r="U23" s="343"/>
      <c r="V23" s="356">
        <f>'A. Data_Input_Sheet'!U36</f>
      </c>
    </row>
    <row r="24" spans="2:22" ht="12.75">
      <c r="B24" s="213"/>
      <c r="D24" s="44"/>
      <c r="F24" s="394">
        <f>SUM(F19:F23)</f>
        <v>18000168.423663557</v>
      </c>
      <c r="G24" s="71"/>
      <c r="H24" s="379"/>
      <c r="I24" s="379"/>
      <c r="J24" s="394">
        <f>SUM(J19:J23)</f>
        <v>0</v>
      </c>
      <c r="K24" s="71"/>
      <c r="L24" s="379"/>
      <c r="M24" s="379"/>
      <c r="N24" s="394">
        <f>SUM(N19:N23)</f>
        <v>18000168.423663557</v>
      </c>
      <c r="O24" s="379"/>
      <c r="P24" s="379"/>
      <c r="Q24" s="379"/>
      <c r="R24" s="394">
        <f>SUM(R19:R23)</f>
        <v>0</v>
      </c>
      <c r="S24" s="379"/>
      <c r="T24" s="379"/>
      <c r="U24" s="379"/>
      <c r="V24" s="394">
        <f>SUM(V19:V23)</f>
        <v>18000168.423663557</v>
      </c>
    </row>
    <row r="25" spans="2:22" ht="12.75">
      <c r="B25" s="213">
        <v>9</v>
      </c>
      <c r="D25" s="145" t="s">
        <v>235</v>
      </c>
      <c r="F25" s="387"/>
      <c r="G25" s="71"/>
      <c r="H25" s="379"/>
      <c r="I25" s="379"/>
      <c r="J25" s="387"/>
      <c r="K25" s="71"/>
      <c r="L25" s="379"/>
      <c r="M25" s="379"/>
      <c r="N25" s="387"/>
      <c r="O25" s="379"/>
      <c r="P25" s="379"/>
      <c r="Q25" s="379"/>
      <c r="R25" s="387"/>
      <c r="S25" s="379"/>
      <c r="T25" s="379"/>
      <c r="U25" s="379"/>
      <c r="V25" s="387"/>
    </row>
    <row r="26" spans="2:22" ht="12.75">
      <c r="B26" s="213"/>
      <c r="F26" s="361"/>
      <c r="G26" s="361"/>
      <c r="H26" s="359"/>
      <c r="I26" s="359"/>
      <c r="J26" s="361"/>
      <c r="K26" s="361"/>
      <c r="L26" s="359"/>
      <c r="M26" s="359"/>
      <c r="N26" s="361"/>
      <c r="O26" s="359"/>
      <c r="P26" s="359"/>
      <c r="Q26" s="359"/>
      <c r="R26" s="361"/>
      <c r="S26" s="359"/>
      <c r="T26" s="359"/>
      <c r="U26" s="359"/>
      <c r="V26" s="361"/>
    </row>
    <row r="27" spans="2:22" ht="12.75">
      <c r="B27" s="213">
        <v>10</v>
      </c>
      <c r="D27" s="44" t="s">
        <v>109</v>
      </c>
      <c r="F27" s="362">
        <f>'4.Cost_of_Capital'!P19</f>
        <v>4803476.6243935125</v>
      </c>
      <c r="G27" s="361"/>
      <c r="H27" s="359"/>
      <c r="I27" s="359"/>
      <c r="J27" s="362">
        <f>N27-F27</f>
        <v>-4803476.6243935125</v>
      </c>
      <c r="K27" s="361"/>
      <c r="L27" s="359"/>
      <c r="M27" s="359"/>
      <c r="N27" s="362">
        <f>'4.Cost_of_Capital'!P35</f>
        <v>0</v>
      </c>
      <c r="O27" s="359"/>
      <c r="P27" s="359"/>
      <c r="Q27" s="359"/>
      <c r="R27" s="362">
        <f>V27-N27</f>
        <v>0</v>
      </c>
      <c r="S27" s="359"/>
      <c r="T27" s="359"/>
      <c r="U27" s="359"/>
      <c r="V27" s="362">
        <f>'4.Cost_of_Capital'!P51</f>
        <v>0</v>
      </c>
    </row>
    <row r="28" spans="2:22" ht="12.75">
      <c r="B28" s="213"/>
      <c r="F28" s="361"/>
      <c r="G28" s="361"/>
      <c r="H28" s="359"/>
      <c r="I28" s="359"/>
      <c r="J28" s="361"/>
      <c r="K28" s="361"/>
      <c r="L28" s="359"/>
      <c r="M28" s="359"/>
      <c r="N28" s="361"/>
      <c r="O28" s="359"/>
      <c r="P28" s="359"/>
      <c r="Q28" s="359"/>
      <c r="R28" s="361"/>
      <c r="S28" s="359"/>
      <c r="T28" s="359"/>
      <c r="U28" s="359"/>
      <c r="V28" s="361"/>
    </row>
    <row r="29" spans="2:22" ht="12.75">
      <c r="B29" s="213">
        <v>11</v>
      </c>
      <c r="D29" s="145" t="s">
        <v>236</v>
      </c>
      <c r="F29" s="361">
        <f>F24+F27</f>
        <v>22803645.04805707</v>
      </c>
      <c r="G29" s="361"/>
      <c r="H29" s="359"/>
      <c r="I29" s="359"/>
      <c r="J29" s="361">
        <f>J27+J24</f>
        <v>-4803476.6243935125</v>
      </c>
      <c r="K29" s="361"/>
      <c r="L29" s="359"/>
      <c r="M29" s="359"/>
      <c r="N29" s="361">
        <f>N27+N24</f>
        <v>18000168.423663557</v>
      </c>
      <c r="O29" s="359"/>
      <c r="P29" s="359"/>
      <c r="Q29" s="359"/>
      <c r="R29" s="361">
        <f>R27+R24</f>
        <v>0</v>
      </c>
      <c r="S29" s="359"/>
      <c r="T29" s="359"/>
      <c r="U29" s="359"/>
      <c r="V29" s="361">
        <f>V24+V27</f>
        <v>18000168.423663557</v>
      </c>
    </row>
    <row r="30" spans="2:22" ht="12.75">
      <c r="B30" s="213"/>
      <c r="F30" s="388">
        <f>F15-F29</f>
        <v>7232957.878854994</v>
      </c>
      <c r="G30" s="70"/>
      <c r="H30" s="379"/>
      <c r="I30" s="379"/>
      <c r="J30" s="388">
        <f>J15-J29</f>
        <v>-25233126.30251855</v>
      </c>
      <c r="K30" s="70"/>
      <c r="L30" s="379"/>
      <c r="M30" s="379"/>
      <c r="N30" s="388">
        <f>N15-N29</f>
        <v>-18000168.423663557</v>
      </c>
      <c r="O30" s="379"/>
      <c r="P30" s="379"/>
      <c r="Q30" s="379"/>
      <c r="R30" s="388">
        <f>R15-R29</f>
        <v>0</v>
      </c>
      <c r="S30" s="379"/>
      <c r="T30" s="379"/>
      <c r="U30" s="379"/>
      <c r="V30" s="388">
        <f>V15-V29</f>
        <v>-18000168.423663557</v>
      </c>
    </row>
    <row r="31" spans="2:24" ht="26.25" thickBot="1">
      <c r="B31" s="213">
        <v>12</v>
      </c>
      <c r="D31" s="79" t="s">
        <v>111</v>
      </c>
      <c r="E31" s="144"/>
      <c r="F31" s="389"/>
      <c r="G31" s="70"/>
      <c r="H31" s="146"/>
      <c r="I31" s="146"/>
      <c r="J31" s="389"/>
      <c r="K31" s="70"/>
      <c r="L31" s="147"/>
      <c r="M31" s="147"/>
      <c r="N31" s="389"/>
      <c r="O31" s="147"/>
      <c r="P31" s="147"/>
      <c r="Q31" s="147"/>
      <c r="R31" s="389"/>
      <c r="S31" s="147"/>
      <c r="T31" s="147"/>
      <c r="U31" s="147"/>
      <c r="V31" s="389"/>
      <c r="X31" s="41"/>
    </row>
    <row r="32" spans="2:22" ht="13.5" thickTop="1">
      <c r="B32" s="213"/>
      <c r="F32" s="383">
        <f>'3.Taxes_PILs'!G29</f>
        <v>1212309.8046731665</v>
      </c>
      <c r="G32" s="71"/>
      <c r="H32" s="379"/>
      <c r="I32" s="379"/>
      <c r="J32" s="383">
        <f>N32-F32</f>
        <v>0</v>
      </c>
      <c r="K32" s="71"/>
      <c r="L32" s="379"/>
      <c r="M32" s="379"/>
      <c r="N32" s="383">
        <f>'3.Taxes_PILs'!K29</f>
        <v>1212309.8046731665</v>
      </c>
      <c r="O32" s="379"/>
      <c r="P32" s="379"/>
      <c r="Q32" s="379"/>
      <c r="R32" s="383">
        <f>V32-N32</f>
        <v>0</v>
      </c>
      <c r="S32" s="379"/>
      <c r="T32" s="379"/>
      <c r="U32" s="379"/>
      <c r="V32" s="383">
        <f>IF('3.Taxes_PILs'!O29=0,N32,'3.Taxes_PILs'!O29)</f>
        <v>1212309.8046731665</v>
      </c>
    </row>
    <row r="33" spans="2:22" ht="12.75">
      <c r="B33" s="213">
        <v>13</v>
      </c>
      <c r="D33" s="44" t="s">
        <v>122</v>
      </c>
      <c r="F33" s="384"/>
      <c r="G33" s="71"/>
      <c r="H33" s="379"/>
      <c r="I33" s="379"/>
      <c r="J33" s="384"/>
      <c r="K33" s="71"/>
      <c r="L33" s="379"/>
      <c r="M33" s="379"/>
      <c r="N33" s="384"/>
      <c r="O33" s="379"/>
      <c r="P33" s="379"/>
      <c r="Q33" s="379"/>
      <c r="R33" s="384"/>
      <c r="S33" s="379"/>
      <c r="T33" s="379"/>
      <c r="U33" s="379"/>
      <c r="V33" s="384"/>
    </row>
    <row r="34" spans="2:22" ht="12.75">
      <c r="B34" s="213"/>
      <c r="F34" s="385">
        <f>F30-F32</f>
        <v>6020648.074181827</v>
      </c>
      <c r="G34" s="183"/>
      <c r="H34" s="379"/>
      <c r="I34" s="379"/>
      <c r="J34" s="385">
        <f>J30-J32</f>
        <v>-25233126.30251855</v>
      </c>
      <c r="K34" s="183"/>
      <c r="L34" s="379"/>
      <c r="M34" s="379"/>
      <c r="N34" s="385">
        <f>N30-N32</f>
        <v>-19212478.22833672</v>
      </c>
      <c r="O34" s="379"/>
      <c r="P34" s="379"/>
      <c r="Q34" s="379"/>
      <c r="R34" s="385">
        <f>R30-R32</f>
        <v>0</v>
      </c>
      <c r="S34" s="379"/>
      <c r="T34" s="379"/>
      <c r="U34" s="379"/>
      <c r="V34" s="385">
        <f>V30-V32</f>
        <v>-19212478.22833672</v>
      </c>
    </row>
    <row r="35" spans="2:22" ht="13.5" thickBot="1">
      <c r="B35" s="213">
        <v>14</v>
      </c>
      <c r="D35" s="34" t="s">
        <v>119</v>
      </c>
      <c r="F35" s="386"/>
      <c r="G35" s="183"/>
      <c r="H35" s="146"/>
      <c r="I35" s="146"/>
      <c r="J35" s="386"/>
      <c r="K35" s="183"/>
      <c r="L35" s="146"/>
      <c r="M35" s="146"/>
      <c r="N35" s="386"/>
      <c r="O35" s="146"/>
      <c r="P35" s="146"/>
      <c r="Q35" s="146"/>
      <c r="R35" s="386"/>
      <c r="S35" s="146"/>
      <c r="T35" s="146"/>
      <c r="U35" s="146"/>
      <c r="V35" s="386"/>
    </row>
    <row r="36" ht="13.5" thickTop="1"/>
    <row r="37" ht="7.5" customHeight="1"/>
    <row r="38" spans="2:22" ht="12.75">
      <c r="B38" s="433" t="s">
        <v>42</v>
      </c>
      <c r="C38" s="433"/>
      <c r="D38" s="433"/>
      <c r="E38" s="433"/>
      <c r="F38" s="433"/>
      <c r="G38" s="433"/>
      <c r="H38" s="433"/>
      <c r="I38" s="433"/>
      <c r="J38" s="433"/>
      <c r="K38" s="433"/>
      <c r="L38" s="433"/>
      <c r="M38" s="433"/>
      <c r="N38" s="433"/>
      <c r="O38" s="433"/>
      <c r="P38" s="433"/>
      <c r="Q38" s="433"/>
      <c r="R38" s="433"/>
      <c r="S38" s="433"/>
      <c r="T38" s="433"/>
      <c r="U38" s="433"/>
      <c r="V38" s="433"/>
    </row>
    <row r="39" ht="7.5" customHeight="1"/>
    <row r="40" spans="2:22" ht="12.75">
      <c r="B40" s="36" t="s">
        <v>2</v>
      </c>
      <c r="D40" s="148" t="s">
        <v>65</v>
      </c>
      <c r="E40" s="83"/>
      <c r="F40" s="83"/>
      <c r="G40" s="83"/>
      <c r="H40" s="83"/>
      <c r="I40" s="83"/>
      <c r="J40" s="83"/>
      <c r="K40" s="83"/>
      <c r="L40" s="83"/>
      <c r="M40" s="83"/>
      <c r="N40" s="83"/>
      <c r="O40" s="83"/>
      <c r="P40" s="83"/>
      <c r="Q40" s="83"/>
      <c r="R40" s="83"/>
      <c r="S40" s="83"/>
      <c r="T40" s="83"/>
      <c r="U40" s="83"/>
      <c r="V40" s="149"/>
    </row>
    <row r="41" spans="4:22" ht="12.75">
      <c r="D41" s="150" t="s">
        <v>66</v>
      </c>
      <c r="E41" s="55"/>
      <c r="F41" s="123">
        <f>'A. Data_Input_Sheet'!E26</f>
        <v>245845</v>
      </c>
      <c r="G41" s="123"/>
      <c r="H41" s="175"/>
      <c r="I41" s="239"/>
      <c r="J41" s="123">
        <f>'A. Data_Input_Sheet'!I26</f>
      </c>
      <c r="K41" s="123"/>
      <c r="L41" s="175"/>
      <c r="M41" s="55"/>
      <c r="N41" s="123">
        <f>'A. Data_Input_Sheet'!M26</f>
        <v>0</v>
      </c>
      <c r="O41" s="123"/>
      <c r="P41" s="175"/>
      <c r="Q41" s="55"/>
      <c r="R41" s="123">
        <f>'A. Data_Input_Sheet'!Q26</f>
      </c>
      <c r="S41" s="123"/>
      <c r="T41" s="175"/>
      <c r="U41" s="55"/>
      <c r="V41" s="151">
        <f>IF(ISBLANK('A. Data_Input_Sheet'!U26),N41,'A. Data_Input_Sheet'!U26)</f>
        <v>0</v>
      </c>
    </row>
    <row r="42" spans="4:22" ht="12.75">
      <c r="D42" s="150" t="s">
        <v>67</v>
      </c>
      <c r="E42" s="55"/>
      <c r="F42" s="123">
        <f>'A. Data_Input_Sheet'!E27</f>
        <v>180000</v>
      </c>
      <c r="G42" s="123"/>
      <c r="H42" s="175"/>
      <c r="I42" s="239"/>
      <c r="J42" s="123">
        <f>'A. Data_Input_Sheet'!I27</f>
      </c>
      <c r="K42" s="123"/>
      <c r="L42" s="175"/>
      <c r="M42" s="55"/>
      <c r="N42" s="123">
        <f>'A. Data_Input_Sheet'!M27</f>
        <v>0</v>
      </c>
      <c r="O42" s="123"/>
      <c r="P42" s="175"/>
      <c r="Q42" s="55"/>
      <c r="R42" s="123">
        <f>'A. Data_Input_Sheet'!Q27</f>
      </c>
      <c r="S42" s="123"/>
      <c r="T42" s="175"/>
      <c r="U42" s="55"/>
      <c r="V42" s="151">
        <f>IF(ISBLANK('A. Data_Input_Sheet'!U27),N42,'A. Data_Input_Sheet'!U27)</f>
        <v>0</v>
      </c>
    </row>
    <row r="43" spans="4:22" ht="12.75">
      <c r="D43" s="150" t="s">
        <v>68</v>
      </c>
      <c r="E43" s="55"/>
      <c r="F43" s="123">
        <f>'A. Data_Input_Sheet'!E28</f>
        <v>278819</v>
      </c>
      <c r="G43" s="123"/>
      <c r="H43" s="175"/>
      <c r="I43" s="239"/>
      <c r="J43" s="123">
        <f>'A. Data_Input_Sheet'!I28</f>
      </c>
      <c r="K43" s="123"/>
      <c r="L43" s="175"/>
      <c r="M43" s="55"/>
      <c r="N43" s="123">
        <f>'A. Data_Input_Sheet'!M28</f>
        <v>0</v>
      </c>
      <c r="O43" s="123"/>
      <c r="P43" s="175"/>
      <c r="Q43" s="55"/>
      <c r="R43" s="123">
        <f>'A. Data_Input_Sheet'!Q28</f>
      </c>
      <c r="S43" s="123"/>
      <c r="T43" s="175"/>
      <c r="U43" s="55"/>
      <c r="V43" s="151">
        <f>IF(ISBLANK('A. Data_Input_Sheet'!U28),N43,'A. Data_Input_Sheet'!U28)</f>
        <v>0</v>
      </c>
    </row>
    <row r="44" spans="4:22" ht="12.75">
      <c r="D44" s="150" t="s">
        <v>69</v>
      </c>
      <c r="E44" s="55"/>
      <c r="F44" s="123">
        <f>'A. Data_Input_Sheet'!E29</f>
        <v>351298.648167087</v>
      </c>
      <c r="G44" s="123"/>
      <c r="H44" s="175"/>
      <c r="I44" s="239"/>
      <c r="J44" s="123">
        <f>'A. Data_Input_Sheet'!I29</f>
      </c>
      <c r="K44" s="123"/>
      <c r="L44" s="175"/>
      <c r="M44" s="55"/>
      <c r="N44" s="123">
        <f>'A. Data_Input_Sheet'!M29</f>
        <v>0</v>
      </c>
      <c r="O44" s="123"/>
      <c r="P44" s="175"/>
      <c r="Q44" s="55"/>
      <c r="R44" s="123">
        <f>'A. Data_Input_Sheet'!Q29</f>
      </c>
      <c r="S44" s="123"/>
      <c r="T44" s="175"/>
      <c r="U44" s="55"/>
      <c r="V44" s="151">
        <f>IF(ISBLANK('A. Data_Input_Sheet'!U29),N44,'A. Data_Input_Sheet'!U29)</f>
        <v>0</v>
      </c>
    </row>
    <row r="45" spans="4:22" ht="12.75">
      <c r="D45" s="150"/>
      <c r="E45" s="55"/>
      <c r="F45" s="390">
        <f>SUM(F41:F44)</f>
        <v>1055962.648167087</v>
      </c>
      <c r="G45" s="195"/>
      <c r="H45" s="55"/>
      <c r="I45" s="55"/>
      <c r="J45" s="390">
        <f>SUM(J41:J44)</f>
        <v>0</v>
      </c>
      <c r="K45" s="55"/>
      <c r="L45" s="55"/>
      <c r="M45" s="55"/>
      <c r="N45" s="390">
        <f>SUM(N41:N44)</f>
        <v>0</v>
      </c>
      <c r="O45" s="55"/>
      <c r="P45" s="55"/>
      <c r="Q45" s="55"/>
      <c r="R45" s="390">
        <f>SUM(R41:R44)</f>
        <v>0</v>
      </c>
      <c r="S45" s="55"/>
      <c r="T45" s="55"/>
      <c r="U45" s="55"/>
      <c r="V45" s="392">
        <f>SUM(V41:V44)</f>
        <v>0</v>
      </c>
    </row>
    <row r="46" spans="4:22" ht="13.5" thickBot="1">
      <c r="D46" s="152" t="s">
        <v>70</v>
      </c>
      <c r="E46" s="55"/>
      <c r="F46" s="391"/>
      <c r="G46" s="195"/>
      <c r="H46" s="55"/>
      <c r="I46" s="55"/>
      <c r="J46" s="391"/>
      <c r="K46" s="55"/>
      <c r="L46" s="55"/>
      <c r="M46" s="55"/>
      <c r="N46" s="391"/>
      <c r="O46" s="55"/>
      <c r="P46" s="55"/>
      <c r="Q46" s="55"/>
      <c r="R46" s="391"/>
      <c r="S46" s="55"/>
      <c r="T46" s="55"/>
      <c r="U46" s="55"/>
      <c r="V46" s="382"/>
    </row>
    <row r="47" spans="4:22" ht="13.5" thickTop="1">
      <c r="D47" s="153"/>
      <c r="E47" s="154"/>
      <c r="F47" s="154"/>
      <c r="G47" s="154"/>
      <c r="H47" s="154"/>
      <c r="I47" s="154"/>
      <c r="J47" s="154"/>
      <c r="K47" s="154"/>
      <c r="L47" s="154"/>
      <c r="M47" s="154"/>
      <c r="N47" s="154"/>
      <c r="O47" s="154"/>
      <c r="P47" s="154"/>
      <c r="Q47" s="154"/>
      <c r="R47" s="154"/>
      <c r="S47" s="154"/>
      <c r="T47" s="154"/>
      <c r="U47" s="154"/>
      <c r="V47" s="58"/>
    </row>
    <row r="48" spans="2:22" ht="12.75">
      <c r="B48" s="175"/>
      <c r="D48" s="435"/>
      <c r="E48" s="435"/>
      <c r="F48" s="435"/>
      <c r="G48" s="435"/>
      <c r="H48" s="435"/>
      <c r="I48" s="435"/>
      <c r="J48" s="435"/>
      <c r="K48" s="435"/>
      <c r="L48" s="435"/>
      <c r="M48" s="435"/>
      <c r="N48" s="435"/>
      <c r="O48" s="435"/>
      <c r="P48" s="435"/>
      <c r="Q48" s="435"/>
      <c r="R48" s="435"/>
      <c r="S48" s="435"/>
      <c r="T48" s="435"/>
      <c r="U48" s="435"/>
      <c r="V48" s="435"/>
    </row>
    <row r="49" spans="2:22" ht="12.75">
      <c r="B49" s="175"/>
      <c r="D49" s="435"/>
      <c r="E49" s="435"/>
      <c r="F49" s="435"/>
      <c r="G49" s="435"/>
      <c r="H49" s="435"/>
      <c r="I49" s="435"/>
      <c r="J49" s="435"/>
      <c r="K49" s="435"/>
      <c r="L49" s="435"/>
      <c r="M49" s="435"/>
      <c r="N49" s="435"/>
      <c r="O49" s="435"/>
      <c r="P49" s="435"/>
      <c r="Q49" s="435"/>
      <c r="R49" s="435"/>
      <c r="S49" s="435"/>
      <c r="T49" s="435"/>
      <c r="U49" s="435"/>
      <c r="V49" s="435"/>
    </row>
    <row r="50" spans="2:22" ht="12.75">
      <c r="B50" s="175"/>
      <c r="D50" s="435"/>
      <c r="E50" s="435"/>
      <c r="F50" s="435"/>
      <c r="G50" s="435"/>
      <c r="H50" s="435"/>
      <c r="I50" s="435"/>
      <c r="J50" s="435"/>
      <c r="K50" s="435"/>
      <c r="L50" s="435"/>
      <c r="M50" s="435"/>
      <c r="N50" s="435"/>
      <c r="O50" s="435"/>
      <c r="P50" s="435"/>
      <c r="Q50" s="435"/>
      <c r="R50" s="435"/>
      <c r="S50" s="435"/>
      <c r="T50" s="435"/>
      <c r="U50" s="435"/>
      <c r="V50" s="435"/>
    </row>
    <row r="51" spans="2:22" ht="12.75">
      <c r="B51" s="175"/>
      <c r="D51" s="435"/>
      <c r="E51" s="435"/>
      <c r="F51" s="435"/>
      <c r="G51" s="435"/>
      <c r="H51" s="435"/>
      <c r="I51" s="435"/>
      <c r="J51" s="435"/>
      <c r="K51" s="435"/>
      <c r="L51" s="435"/>
      <c r="M51" s="435"/>
      <c r="N51" s="435"/>
      <c r="O51" s="435"/>
      <c r="P51" s="435"/>
      <c r="Q51" s="435"/>
      <c r="R51" s="435"/>
      <c r="S51" s="435"/>
      <c r="T51" s="435"/>
      <c r="U51" s="435"/>
      <c r="V51" s="435"/>
    </row>
    <row r="52" spans="2:22" ht="12.75">
      <c r="B52" s="175"/>
      <c r="D52" s="435"/>
      <c r="E52" s="435"/>
      <c r="F52" s="435"/>
      <c r="G52" s="435"/>
      <c r="H52" s="435"/>
      <c r="I52" s="435"/>
      <c r="J52" s="435"/>
      <c r="K52" s="435"/>
      <c r="L52" s="435"/>
      <c r="M52" s="435"/>
      <c r="N52" s="435"/>
      <c r="O52" s="435"/>
      <c r="P52" s="435"/>
      <c r="Q52" s="435"/>
      <c r="R52" s="435"/>
      <c r="S52" s="435"/>
      <c r="T52" s="435"/>
      <c r="U52" s="435"/>
      <c r="V52" s="435"/>
    </row>
    <row r="53" spans="2:22" ht="12.75">
      <c r="B53" s="175"/>
      <c r="D53" s="435"/>
      <c r="E53" s="435"/>
      <c r="F53" s="435"/>
      <c r="G53" s="435"/>
      <c r="H53" s="435"/>
      <c r="I53" s="435"/>
      <c r="J53" s="435"/>
      <c r="K53" s="435"/>
      <c r="L53" s="435"/>
      <c r="M53" s="435"/>
      <c r="N53" s="435"/>
      <c r="O53" s="435"/>
      <c r="P53" s="435"/>
      <c r="Q53" s="435"/>
      <c r="R53" s="435"/>
      <c r="S53" s="435"/>
      <c r="T53" s="435"/>
      <c r="U53" s="435"/>
      <c r="V53" s="435"/>
    </row>
  </sheetData>
  <sheetProtection password="82A3" sheet="1" objects="1" scenarios="1"/>
  <mergeCells count="42">
    <mergeCell ref="J24:J25"/>
    <mergeCell ref="D53:V53"/>
    <mergeCell ref="D51:V51"/>
    <mergeCell ref="D52:V52"/>
    <mergeCell ref="D48:V48"/>
    <mergeCell ref="J30:J31"/>
    <mergeCell ref="F30:F31"/>
    <mergeCell ref="F24:F25"/>
    <mergeCell ref="D50:V50"/>
    <mergeCell ref="D49:V49"/>
    <mergeCell ref="N15:N16"/>
    <mergeCell ref="R15:R16"/>
    <mergeCell ref="C1:L1"/>
    <mergeCell ref="C3:H3"/>
    <mergeCell ref="C4:H4"/>
    <mergeCell ref="C2:V2"/>
    <mergeCell ref="F8:V8"/>
    <mergeCell ref="F15:F16"/>
    <mergeCell ref="J15:J16"/>
    <mergeCell ref="V15:V16"/>
    <mergeCell ref="N24:N25"/>
    <mergeCell ref="N30:N31"/>
    <mergeCell ref="F45:F46"/>
    <mergeCell ref="V45:V46"/>
    <mergeCell ref="B38:V38"/>
    <mergeCell ref="N34:N35"/>
    <mergeCell ref="R34:R35"/>
    <mergeCell ref="J45:J46"/>
    <mergeCell ref="N45:N46"/>
    <mergeCell ref="R45:R46"/>
    <mergeCell ref="R24:R25"/>
    <mergeCell ref="R30:R31"/>
    <mergeCell ref="R32:R33"/>
    <mergeCell ref="V24:V25"/>
    <mergeCell ref="V30:V31"/>
    <mergeCell ref="J32:J33"/>
    <mergeCell ref="J34:J35"/>
    <mergeCell ref="V32:V33"/>
    <mergeCell ref="F32:F33"/>
    <mergeCell ref="V34:V35"/>
    <mergeCell ref="F34:F35"/>
    <mergeCell ref="N32:N33"/>
  </mergeCells>
  <conditionalFormatting sqref="J10">
    <cfRule type="cellIs" priority="1" dxfId="5" operator="equal" stopIfTrue="1">
      <formula>""</formula>
    </cfRule>
  </conditionalFormatting>
  <conditionalFormatting sqref="N10 R10">
    <cfRule type="cellIs" priority="2" dxfId="0" operator="equal" stopIfTrue="1">
      <formula>""</formula>
    </cfRule>
  </conditionalFormatting>
  <printOptions horizontalCentered="1"/>
  <pageMargins left="0.7480314960629921" right="0.7480314960629921" top="0.4724409448818898" bottom="0.984251968503937" header="0.31496062992125984" footer="0.5118110236220472"/>
  <pageSetup fitToHeight="1" fitToWidth="1" horizontalDpi="600" verticalDpi="600" orientation="landscape" scale="71" r:id="rId3"/>
  <headerFooter alignWithMargins="0">
    <oddFooter>&amp;C4</oddFooter>
  </headerFooter>
  <legacyDrawing r:id="rId2"/>
  <oleObjects>
    <oleObject progId="Unknown" shapeId="8976929" r:id="rId1"/>
  </oleObjects>
</worksheet>
</file>

<file path=xl/worksheets/sheet5.xml><?xml version="1.0" encoding="utf-8"?>
<worksheet xmlns="http://schemas.openxmlformats.org/spreadsheetml/2006/main" xmlns:r="http://schemas.openxmlformats.org/officeDocument/2006/relationships">
  <sheetPr codeName="Sheet5">
    <pageSetUpPr fitToPage="1"/>
  </sheetPr>
  <dimension ref="B1:U51"/>
  <sheetViews>
    <sheetView showGridLines="0" zoomScalePageLayoutView="0" workbookViewId="0" topLeftCell="A7">
      <selection activeCell="G31" sqref="G31"/>
    </sheetView>
  </sheetViews>
  <sheetFormatPr defaultColWidth="9.140625" defaultRowHeight="12.75"/>
  <cols>
    <col min="1" max="1" width="1.28515625" style="13" customWidth="1"/>
    <col min="2" max="2" width="5.8515625" style="13" customWidth="1"/>
    <col min="3" max="3" width="1.28515625" style="13" customWidth="1"/>
    <col min="4" max="4" width="22.28125" style="13" customWidth="1"/>
    <col min="5" max="5" width="15.28125" style="13" customWidth="1"/>
    <col min="6" max="6" width="1.28515625" style="13" customWidth="1"/>
    <col min="7" max="7" width="15.7109375" style="13" customWidth="1"/>
    <col min="8" max="8" width="1.421875" style="13" customWidth="1"/>
    <col min="9" max="9" width="3.421875" style="13" customWidth="1"/>
    <col min="10" max="10" width="1.28515625" style="13" customWidth="1"/>
    <col min="11" max="11" width="15.7109375" style="13" customWidth="1"/>
    <col min="12" max="12" width="1.28515625" style="13" customWidth="1"/>
    <col min="13" max="13" width="3.421875" style="13" customWidth="1"/>
    <col min="14" max="14" width="1.28515625" style="13" customWidth="1"/>
    <col min="15" max="15" width="15.7109375" style="13" customWidth="1"/>
    <col min="16" max="16" width="1.28515625" style="13" customWidth="1"/>
    <col min="17" max="17" width="3.28125" style="13" customWidth="1"/>
    <col min="18" max="16384" width="9.140625" style="13" customWidth="1"/>
  </cols>
  <sheetData>
    <row r="1" spans="4:16" s="2" customFormat="1" ht="20.25" customHeight="1">
      <c r="D1" s="413" t="s">
        <v>181</v>
      </c>
      <c r="E1" s="413"/>
      <c r="F1" s="413"/>
      <c r="G1" s="413"/>
      <c r="H1" s="413"/>
      <c r="I1" s="413"/>
      <c r="J1" s="413"/>
      <c r="K1" s="413"/>
      <c r="L1" s="413"/>
      <c r="M1" s="413"/>
      <c r="N1" s="1"/>
      <c r="O1" s="178" t="str">
        <f>CONCATENATE('Table of Contents'!$F$6," ",'Table of Contents'!$G$6)</f>
        <v>Version: 2.11</v>
      </c>
      <c r="P1" s="178"/>
    </row>
    <row r="2" spans="3:16" s="2" customFormat="1" ht="18">
      <c r="C2" s="408" t="str">
        <f>"Name of LDC:    "&amp;IF(ISBLANK('Table of Contents'!D2),"",'Table of Contents'!D2)</f>
        <v>Name of LDC:    Waterloo North Hydro Inc.</v>
      </c>
      <c r="D2" s="408"/>
      <c r="E2" s="408"/>
      <c r="F2" s="408"/>
      <c r="G2" s="408"/>
      <c r="H2" s="408"/>
      <c r="I2" s="408"/>
      <c r="J2" s="408"/>
      <c r="K2" s="408"/>
      <c r="L2" s="408"/>
      <c r="M2" s="408"/>
      <c r="N2" s="408"/>
      <c r="O2" s="408"/>
      <c r="P2" s="57"/>
    </row>
    <row r="3" spans="3:16" s="2" customFormat="1" ht="18">
      <c r="C3" s="408" t="str">
        <f>"File Number:      "&amp;IF(ISBLANK('Table of Contents'!D4),"",'Table of Contents'!D4)</f>
        <v>File Number:      EB-2010-0144</v>
      </c>
      <c r="D3" s="408"/>
      <c r="E3" s="408"/>
      <c r="F3" s="408"/>
      <c r="G3" s="408"/>
      <c r="H3" s="57"/>
      <c r="I3" s="57"/>
      <c r="J3" s="57"/>
      <c r="K3" s="57"/>
      <c r="L3" s="54"/>
      <c r="M3" s="54"/>
      <c r="N3" s="54"/>
      <c r="O3" s="54"/>
      <c r="P3" s="54"/>
    </row>
    <row r="4" spans="3:16" s="2" customFormat="1" ht="18">
      <c r="C4" s="408" t="str">
        <f>"Rate Year:          "&amp;IF(ISBLANK('Table of Contents'!D6),"",'Table of Contents'!D6)</f>
        <v>Rate Year:          2011</v>
      </c>
      <c r="D4" s="408"/>
      <c r="E4" s="408"/>
      <c r="F4" s="408"/>
      <c r="G4" s="408"/>
      <c r="H4" s="57"/>
      <c r="I4" s="57"/>
      <c r="J4" s="57"/>
      <c r="K4" s="57"/>
      <c r="L4" s="54"/>
      <c r="M4" s="54"/>
      <c r="N4" s="54"/>
      <c r="O4" s="54"/>
      <c r="P4" s="54"/>
    </row>
    <row r="5" spans="3:16" s="2" customFormat="1" ht="15.75">
      <c r="C5" s="54"/>
      <c r="D5" s="54"/>
      <c r="E5" s="120"/>
      <c r="F5" s="120"/>
      <c r="G5" s="54"/>
      <c r="H5" s="54"/>
      <c r="I5" s="54"/>
      <c r="J5" s="54"/>
      <c r="K5" s="54"/>
      <c r="L5" s="54"/>
      <c r="M5" s="54"/>
      <c r="N5" s="54"/>
      <c r="O5" s="54"/>
      <c r="P5" s="54"/>
    </row>
    <row r="6" s="2" customFormat="1" ht="9" customHeight="1"/>
    <row r="7" ht="4.5" customHeight="1"/>
    <row r="8" spans="4:16" ht="15.75">
      <c r="D8" s="398" t="s">
        <v>6</v>
      </c>
      <c r="E8" s="398"/>
      <c r="F8" s="398"/>
      <c r="G8" s="398"/>
      <c r="H8" s="398"/>
      <c r="I8" s="398"/>
      <c r="J8" s="398"/>
      <c r="K8" s="398"/>
      <c r="L8" s="398"/>
      <c r="M8" s="398"/>
      <c r="N8" s="398"/>
      <c r="O8" s="398"/>
      <c r="P8" s="82"/>
    </row>
    <row r="10" spans="2:16" ht="25.5">
      <c r="B10" s="63" t="s">
        <v>41</v>
      </c>
      <c r="D10" s="64" t="s">
        <v>72</v>
      </c>
      <c r="E10" s="66"/>
      <c r="F10" s="66"/>
      <c r="G10" s="32" t="s">
        <v>4</v>
      </c>
      <c r="H10" s="92"/>
      <c r="I10" s="92"/>
      <c r="J10" s="92"/>
      <c r="K10" s="33">
        <f>IF(ISBLANK('A. Data_Input_Sheet'!M10:M11),"",'A. Data_Input_Sheet'!M10:M11)</f>
      </c>
      <c r="L10" s="66"/>
      <c r="M10" s="66"/>
      <c r="N10" s="66"/>
      <c r="O10" s="33" t="str">
        <f>'A. Data_Input_Sheet'!U10</f>
        <v>Per Board Decision</v>
      </c>
      <c r="P10" s="174"/>
    </row>
    <row r="11" spans="6:14" ht="12.75">
      <c r="F11" s="55"/>
      <c r="L11" s="55"/>
      <c r="M11" s="55"/>
      <c r="N11" s="55"/>
    </row>
    <row r="12" spans="4:16" ht="12.75">
      <c r="D12" s="42" t="s">
        <v>30</v>
      </c>
      <c r="E12" s="121"/>
      <c r="F12" s="122"/>
      <c r="G12" s="121"/>
      <c r="H12" s="121"/>
      <c r="I12" s="121"/>
      <c r="J12" s="121"/>
      <c r="K12" s="121"/>
      <c r="L12" s="122"/>
      <c r="M12" s="122"/>
      <c r="N12" s="122"/>
      <c r="O12" s="121"/>
      <c r="P12" s="121"/>
    </row>
    <row r="13" spans="6:14" ht="12.75">
      <c r="F13" s="55"/>
      <c r="L13" s="55"/>
      <c r="M13" s="55"/>
      <c r="N13" s="55"/>
    </row>
    <row r="14" spans="2:16" ht="12.75">
      <c r="B14" s="213">
        <v>1</v>
      </c>
      <c r="D14" s="404" t="s">
        <v>172</v>
      </c>
      <c r="E14" s="404"/>
      <c r="F14" s="55"/>
      <c r="G14" s="357">
        <f>'4.Cost_of_Capital'!P22</f>
        <v>6020647.695389965</v>
      </c>
      <c r="H14" s="357"/>
      <c r="I14" s="357"/>
      <c r="J14" s="357"/>
      <c r="K14" s="357">
        <f>'4.Cost_of_Capital'!P38</f>
        <v>0</v>
      </c>
      <c r="L14" s="363"/>
      <c r="M14" s="363"/>
      <c r="N14" s="363"/>
      <c r="O14" s="357">
        <f>'4.Cost_of_Capital'!P54</f>
        <v>0</v>
      </c>
      <c r="P14" s="123"/>
    </row>
    <row r="15" spans="2:16" ht="12.75">
      <c r="B15" s="213"/>
      <c r="F15" s="55"/>
      <c r="G15" s="364"/>
      <c r="H15" s="364"/>
      <c r="I15" s="364"/>
      <c r="J15" s="364"/>
      <c r="K15" s="364"/>
      <c r="L15" s="363"/>
      <c r="M15" s="363"/>
      <c r="N15" s="363"/>
      <c r="O15" s="364"/>
      <c r="P15" s="76"/>
    </row>
    <row r="16" spans="2:17" ht="24.75" customHeight="1">
      <c r="B16" s="213">
        <v>2</v>
      </c>
      <c r="D16" s="437" t="s">
        <v>31</v>
      </c>
      <c r="E16" s="437"/>
      <c r="F16" s="55"/>
      <c r="G16" s="356">
        <f>'A. Data_Input_Sheet'!E40</f>
        <v>-2724062.6162643284</v>
      </c>
      <c r="H16" s="357"/>
      <c r="I16" s="335"/>
      <c r="J16" s="357"/>
      <c r="K16" s="356">
        <f>'A. Data_Input_Sheet'!M40</f>
        <v>0</v>
      </c>
      <c r="L16" s="343"/>
      <c r="M16" s="335"/>
      <c r="N16" s="343"/>
      <c r="O16" s="356">
        <f>IF(ISBLANK('A. Data_Input_Sheet'!U40),G16,'A. Data_Input_Sheet'!U40)</f>
        <v>-2724062.6162643284</v>
      </c>
      <c r="P16" s="123"/>
      <c r="Q16" s="335"/>
    </row>
    <row r="17" spans="2:16" ht="12.75">
      <c r="B17" s="213"/>
      <c r="F17" s="55"/>
      <c r="G17" s="364"/>
      <c r="H17" s="364"/>
      <c r="I17" s="364"/>
      <c r="J17" s="364"/>
      <c r="K17" s="364"/>
      <c r="L17" s="363"/>
      <c r="M17" s="363"/>
      <c r="N17" s="363"/>
      <c r="O17" s="364"/>
      <c r="P17" s="76"/>
    </row>
    <row r="18" spans="2:16" ht="13.5" thickBot="1">
      <c r="B18" s="213">
        <v>3</v>
      </c>
      <c r="D18" s="404" t="s">
        <v>32</v>
      </c>
      <c r="E18" s="404"/>
      <c r="F18" s="55"/>
      <c r="G18" s="365">
        <f>G14+G16</f>
        <v>3296585.0791256363</v>
      </c>
      <c r="H18" s="366"/>
      <c r="I18" s="366"/>
      <c r="J18" s="366"/>
      <c r="K18" s="365">
        <f>K14+K16</f>
        <v>0</v>
      </c>
      <c r="L18" s="363"/>
      <c r="M18" s="363"/>
      <c r="N18" s="363"/>
      <c r="O18" s="365">
        <f>O14+O16</f>
        <v>-2724062.6162643284</v>
      </c>
      <c r="P18" s="197"/>
    </row>
    <row r="19" spans="2:16" ht="13.5" thickTop="1">
      <c r="B19" s="213"/>
      <c r="F19" s="55"/>
      <c r="G19" s="364"/>
      <c r="H19" s="364"/>
      <c r="I19" s="364"/>
      <c r="J19" s="364"/>
      <c r="K19" s="364"/>
      <c r="L19" s="363"/>
      <c r="M19" s="363"/>
      <c r="N19" s="363"/>
      <c r="O19" s="364"/>
      <c r="P19" s="76"/>
    </row>
    <row r="20" spans="2:16" ht="12.75">
      <c r="B20" s="213"/>
      <c r="D20" s="46" t="s">
        <v>33</v>
      </c>
      <c r="E20" s="126"/>
      <c r="F20" s="127"/>
      <c r="G20" s="367"/>
      <c r="H20" s="367"/>
      <c r="I20" s="367"/>
      <c r="J20" s="367"/>
      <c r="K20" s="367"/>
      <c r="L20" s="368"/>
      <c r="M20" s="368"/>
      <c r="N20" s="368"/>
      <c r="O20" s="367"/>
      <c r="P20" s="128"/>
    </row>
    <row r="21" spans="2:21" ht="12.75">
      <c r="B21" s="213"/>
      <c r="C21" s="31"/>
      <c r="D21" s="31"/>
      <c r="E21" s="31"/>
      <c r="F21" s="112"/>
      <c r="G21" s="369"/>
      <c r="H21" s="369"/>
      <c r="I21" s="369"/>
      <c r="J21" s="369"/>
      <c r="K21" s="369"/>
      <c r="L21" s="363"/>
      <c r="M21" s="363"/>
      <c r="N21" s="363"/>
      <c r="O21" s="369"/>
      <c r="P21" s="129"/>
      <c r="Q21" s="31"/>
      <c r="R21" s="31"/>
      <c r="S21" s="31"/>
      <c r="T21" s="31"/>
      <c r="U21" s="31"/>
    </row>
    <row r="22" spans="2:21" ht="12.75">
      <c r="B22" s="213">
        <v>4</v>
      </c>
      <c r="C22" s="31"/>
      <c r="D22" s="31" t="s">
        <v>29</v>
      </c>
      <c r="E22" s="31"/>
      <c r="F22" s="112"/>
      <c r="G22" s="357">
        <f>'A. Data_Input_Sheet'!E42</f>
        <v>886355.1970846106</v>
      </c>
      <c r="H22" s="357"/>
      <c r="I22" s="335"/>
      <c r="J22" s="357"/>
      <c r="K22" s="357">
        <f>IF(ISBLANK('A. Data_Input_Sheet'!M42),'3.Taxes_PILs'!G22,'A. Data_Input_Sheet'!M42)</f>
        <v>886355.1970846106</v>
      </c>
      <c r="L22" s="343"/>
      <c r="M22" s="335"/>
      <c r="N22" s="343"/>
      <c r="O22" s="357">
        <f>IF(ISBLANK('A. Data_Input_Sheet'!U42),'3.Taxes_PILs'!K22,'A. Data_Input_Sheet'!U42)</f>
        <v>886355.1970846106</v>
      </c>
      <c r="P22" s="130"/>
      <c r="Q22" s="335"/>
      <c r="R22" s="31"/>
      <c r="S22" s="31"/>
      <c r="T22" s="31"/>
      <c r="U22" s="31"/>
    </row>
    <row r="23" spans="2:17" ht="12.75">
      <c r="B23" s="213">
        <v>5</v>
      </c>
      <c r="D23" s="13" t="s">
        <v>51</v>
      </c>
      <c r="F23" s="55"/>
      <c r="G23" s="356">
        <f>'A. Data_Input_Sheet'!E44</f>
        <v>0</v>
      </c>
      <c r="H23" s="357"/>
      <c r="I23" s="370" t="s">
        <v>2</v>
      </c>
      <c r="J23" s="357"/>
      <c r="K23" s="356">
        <f>IF(ISBLANK('A. Data_Input_Sheet'!M44),'3.Taxes_PILs'!G23,'A. Data_Input_Sheet'!M44)</f>
        <v>0</v>
      </c>
      <c r="L23" s="343"/>
      <c r="M23" s="371" t="s">
        <v>2</v>
      </c>
      <c r="N23" s="343"/>
      <c r="O23" s="356">
        <f>IF(ISBLANK('A. Data_Input_Sheet'!U44),'3.Taxes_PILs'!K23,'A. Data_Input_Sheet'!U44)</f>
        <v>0</v>
      </c>
      <c r="P23" s="123"/>
      <c r="Q23" s="245" t="s">
        <v>2</v>
      </c>
    </row>
    <row r="24" spans="2:16" ht="12.75">
      <c r="B24" s="213"/>
      <c r="F24" s="55"/>
      <c r="G24" s="394">
        <f>SUM(G22:G23)</f>
        <v>886355.1970846106</v>
      </c>
      <c r="H24" s="71"/>
      <c r="I24" s="71"/>
      <c r="J24" s="71"/>
      <c r="K24" s="394">
        <f>SUM(K22:K23)</f>
        <v>886355.1970846106</v>
      </c>
      <c r="L24" s="131"/>
      <c r="M24" s="131"/>
      <c r="N24" s="199"/>
      <c r="O24" s="394">
        <f>SUM(O22:O23)</f>
        <v>886355.1970846106</v>
      </c>
      <c r="P24" s="71"/>
    </row>
    <row r="25" spans="2:16" ht="13.5" thickBot="1">
      <c r="B25" s="213">
        <v>6</v>
      </c>
      <c r="D25" s="13" t="s">
        <v>34</v>
      </c>
      <c r="F25" s="55"/>
      <c r="G25" s="395"/>
      <c r="H25" s="71"/>
      <c r="I25" s="71"/>
      <c r="J25" s="71"/>
      <c r="K25" s="395"/>
      <c r="L25" s="131"/>
      <c r="M25" s="131"/>
      <c r="N25" s="199"/>
      <c r="O25" s="395"/>
      <c r="P25" s="71"/>
    </row>
    <row r="26" spans="2:16" ht="13.5" thickTop="1">
      <c r="B26" s="213"/>
      <c r="F26" s="55"/>
      <c r="G26" s="374"/>
      <c r="H26" s="374"/>
      <c r="I26" s="374"/>
      <c r="J26" s="374"/>
      <c r="K26" s="374"/>
      <c r="L26" s="363"/>
      <c r="M26" s="363"/>
      <c r="N26" s="346"/>
      <c r="O26" s="374"/>
      <c r="P26" s="132"/>
    </row>
    <row r="27" spans="2:16" ht="12.75">
      <c r="B27" s="213">
        <v>7</v>
      </c>
      <c r="D27" s="13" t="s">
        <v>110</v>
      </c>
      <c r="F27" s="55"/>
      <c r="G27" s="362">
        <f>(G22/(1-G39))-G22</f>
        <v>325954.6075885559</v>
      </c>
      <c r="H27" s="361"/>
      <c r="I27" s="361"/>
      <c r="J27" s="361"/>
      <c r="K27" s="362">
        <f>(K22/(1-K39))-K22</f>
        <v>325954.6075885559</v>
      </c>
      <c r="L27" s="372"/>
      <c r="M27" s="372"/>
      <c r="N27" s="373"/>
      <c r="O27" s="362">
        <f>(O22/(1-O39))-O22</f>
        <v>325954.6075885559</v>
      </c>
      <c r="P27" s="71"/>
    </row>
    <row r="28" spans="2:16" ht="12.75">
      <c r="B28" s="213"/>
      <c r="F28" s="55"/>
      <c r="G28" s="361"/>
      <c r="H28" s="361"/>
      <c r="I28" s="361"/>
      <c r="J28" s="361"/>
      <c r="K28" s="361"/>
      <c r="L28" s="372"/>
      <c r="M28" s="372"/>
      <c r="N28" s="373"/>
      <c r="O28" s="361"/>
      <c r="P28" s="71"/>
    </row>
    <row r="29" spans="2:16" ht="13.5" thickBot="1">
      <c r="B29" s="213">
        <v>8</v>
      </c>
      <c r="D29" s="13" t="s">
        <v>120</v>
      </c>
      <c r="F29" s="55"/>
      <c r="G29" s="375">
        <f>G22+G27</f>
        <v>1212309.8046731665</v>
      </c>
      <c r="H29" s="361"/>
      <c r="I29" s="361"/>
      <c r="J29" s="361"/>
      <c r="K29" s="375">
        <f>K22+K27</f>
        <v>1212309.8046731665</v>
      </c>
      <c r="L29" s="372"/>
      <c r="M29" s="372"/>
      <c r="N29" s="373"/>
      <c r="O29" s="375">
        <f>O22+O27</f>
        <v>1212309.8046731665</v>
      </c>
      <c r="P29" s="71"/>
    </row>
    <row r="30" spans="2:16" ht="13.5" thickTop="1">
      <c r="B30" s="213"/>
      <c r="F30" s="55"/>
      <c r="G30" s="361"/>
      <c r="H30" s="361"/>
      <c r="I30" s="361"/>
      <c r="J30" s="361"/>
      <c r="K30" s="361"/>
      <c r="L30" s="372"/>
      <c r="M30" s="372"/>
      <c r="N30" s="373"/>
      <c r="O30" s="361"/>
      <c r="P30" s="71"/>
    </row>
    <row r="31" spans="2:16" ht="25.5" customHeight="1" thickBot="1">
      <c r="B31" s="213">
        <v>9</v>
      </c>
      <c r="D31" s="407" t="s">
        <v>121</v>
      </c>
      <c r="E31" s="407"/>
      <c r="F31" s="55"/>
      <c r="G31" s="171">
        <f>G24+G27</f>
        <v>1212309.8046731665</v>
      </c>
      <c r="H31" s="71"/>
      <c r="I31" s="71"/>
      <c r="J31" s="71"/>
      <c r="K31" s="171">
        <f>K27+K24</f>
        <v>1212309.8046731665</v>
      </c>
      <c r="L31" s="131"/>
      <c r="M31" s="131"/>
      <c r="N31" s="199"/>
      <c r="O31" s="171">
        <f>O27+O24</f>
        <v>1212309.8046731665</v>
      </c>
      <c r="P31" s="71"/>
    </row>
    <row r="32" spans="2:16" ht="12.75" customHeight="1" thickTop="1">
      <c r="B32" s="213"/>
      <c r="D32" s="47"/>
      <c r="E32" s="47"/>
      <c r="F32" s="55"/>
      <c r="G32" s="361"/>
      <c r="H32" s="361"/>
      <c r="I32" s="361"/>
      <c r="J32" s="361"/>
      <c r="K32" s="361"/>
      <c r="L32" s="372"/>
      <c r="M32" s="372"/>
      <c r="N32" s="373"/>
      <c r="O32" s="361"/>
      <c r="P32" s="71"/>
    </row>
    <row r="33" spans="2:17" ht="14.25" customHeight="1">
      <c r="B33" s="213">
        <v>10</v>
      </c>
      <c r="D33" s="47" t="s">
        <v>149</v>
      </c>
      <c r="E33" s="47"/>
      <c r="F33" s="55"/>
      <c r="G33" s="361">
        <f>'A. Data_Input_Sheet'!E47</f>
        <v>0</v>
      </c>
      <c r="H33" s="361"/>
      <c r="I33" s="335"/>
      <c r="J33" s="361"/>
      <c r="K33" s="361">
        <f>IF(ISBLANK('A. Data_Input_Sheet'!M47),G33,'A. Data_Input_Sheet'!M47)</f>
        <v>0</v>
      </c>
      <c r="L33" s="343"/>
      <c r="M33" s="335"/>
      <c r="N33" s="376"/>
      <c r="O33" s="361">
        <f>IF(ISBLANK('A. Data_Input_Sheet'!U47),K33,'A. Data_Input_Sheet'!U47)</f>
        <v>0</v>
      </c>
      <c r="P33" s="71"/>
      <c r="Q33" s="335"/>
    </row>
    <row r="34" spans="2:14" ht="12.75">
      <c r="B34" s="213"/>
      <c r="F34" s="55"/>
      <c r="L34" s="49"/>
      <c r="M34" s="55"/>
      <c r="N34" s="49"/>
    </row>
    <row r="35" spans="2:14" ht="12.75">
      <c r="B35" s="213"/>
      <c r="D35" s="46" t="s">
        <v>35</v>
      </c>
      <c r="E35" s="133"/>
      <c r="F35" s="134"/>
      <c r="G35" s="133"/>
      <c r="H35" s="133"/>
      <c r="I35" s="133"/>
      <c r="J35" s="133"/>
      <c r="L35" s="200"/>
      <c r="M35" s="134"/>
      <c r="N35" s="200"/>
    </row>
    <row r="36" spans="2:16" ht="12.75">
      <c r="B36" s="213"/>
      <c r="F36" s="55"/>
      <c r="G36" s="135"/>
      <c r="H36" s="135"/>
      <c r="I36" s="135"/>
      <c r="J36" s="135"/>
      <c r="K36" s="137"/>
      <c r="L36" s="201"/>
      <c r="M36" s="136"/>
      <c r="N36" s="201"/>
      <c r="O36" s="137"/>
      <c r="P36" s="137"/>
    </row>
    <row r="37" spans="2:17" ht="12.75">
      <c r="B37" s="213">
        <v>11</v>
      </c>
      <c r="D37" s="13" t="s">
        <v>159</v>
      </c>
      <c r="F37" s="55"/>
      <c r="G37" s="103">
        <f>'A. Data_Input_Sheet'!E45</f>
        <v>0.165</v>
      </c>
      <c r="H37" s="103"/>
      <c r="I37" s="335"/>
      <c r="J37" s="103"/>
      <c r="K37" s="138">
        <f>IF(ISBLANK('A. Data_Input_Sheet'!M45),G37,'A. Data_Input_Sheet'!M45)</f>
        <v>0.165</v>
      </c>
      <c r="L37" s="239"/>
      <c r="M37" s="335"/>
      <c r="N37" s="239"/>
      <c r="O37" s="138">
        <f>IF(ISBLANK('A. Data_Input_Sheet'!U45),K37,'A. Data_Input_Sheet'!U45)</f>
        <v>0.165</v>
      </c>
      <c r="P37" s="138"/>
      <c r="Q37" s="335"/>
    </row>
    <row r="38" spans="2:17" ht="12.75">
      <c r="B38" s="213">
        <v>12</v>
      </c>
      <c r="D38" s="13" t="s">
        <v>160</v>
      </c>
      <c r="F38" s="55"/>
      <c r="G38" s="104">
        <f>'A. Data_Input_Sheet'!E46</f>
        <v>0.1038707179733086</v>
      </c>
      <c r="H38" s="103"/>
      <c r="I38" s="335"/>
      <c r="J38" s="103"/>
      <c r="K38" s="116">
        <f>IF(ISBLANK('A. Data_Input_Sheet'!M46),G38,'A. Data_Input_Sheet'!M46)</f>
        <v>0.1038707179733086</v>
      </c>
      <c r="L38" s="239"/>
      <c r="M38" s="335"/>
      <c r="N38" s="239"/>
      <c r="O38" s="116">
        <f>IF(ISBLANK('A. Data_Input_Sheet'!U46),K38,'A. Data_Input_Sheet'!U46)</f>
        <v>0.1038707179733086</v>
      </c>
      <c r="P38" s="115"/>
      <c r="Q38" s="335"/>
    </row>
    <row r="39" spans="2:16" ht="13.5" thickBot="1">
      <c r="B39" s="213">
        <v>13</v>
      </c>
      <c r="D39" s="13" t="s">
        <v>161</v>
      </c>
      <c r="F39" s="55"/>
      <c r="G39" s="139">
        <f>G37+G38</f>
        <v>0.26887071797330864</v>
      </c>
      <c r="H39" s="198"/>
      <c r="I39" s="198"/>
      <c r="J39" s="198"/>
      <c r="K39" s="141">
        <f>K37+K38</f>
        <v>0.26887071797330864</v>
      </c>
      <c r="L39" s="140"/>
      <c r="M39" s="140"/>
      <c r="N39" s="140"/>
      <c r="O39" s="141">
        <f>O37+O38</f>
        <v>0.26887071797330864</v>
      </c>
      <c r="P39" s="114"/>
    </row>
    <row r="40" spans="6:14" ht="13.5" thickTop="1">
      <c r="F40" s="55"/>
      <c r="L40" s="55"/>
      <c r="M40" s="55"/>
      <c r="N40" s="55"/>
    </row>
    <row r="41" spans="12:14" ht="12.75">
      <c r="L41" s="55"/>
      <c r="M41" s="55"/>
      <c r="N41" s="55"/>
    </row>
    <row r="42" spans="2:16" ht="12.75">
      <c r="B42" s="436" t="s">
        <v>42</v>
      </c>
      <c r="C42" s="436"/>
      <c r="D42" s="436"/>
      <c r="E42" s="436"/>
      <c r="F42" s="436"/>
      <c r="G42" s="436"/>
      <c r="H42" s="436"/>
      <c r="I42" s="436"/>
      <c r="J42" s="436"/>
      <c r="K42" s="436"/>
      <c r="L42" s="436"/>
      <c r="M42" s="436"/>
      <c r="N42" s="436"/>
      <c r="O42" s="436"/>
      <c r="P42" s="193"/>
    </row>
    <row r="43" spans="2:16" ht="12.75">
      <c r="B43" s="246" t="s">
        <v>2</v>
      </c>
      <c r="C43" s="45"/>
      <c r="D43" s="401" t="s">
        <v>182</v>
      </c>
      <c r="E43" s="401"/>
      <c r="F43" s="401"/>
      <c r="G43" s="401"/>
      <c r="H43" s="401"/>
      <c r="I43" s="401"/>
      <c r="J43" s="401"/>
      <c r="K43" s="401"/>
      <c r="L43" s="401"/>
      <c r="M43" s="401"/>
      <c r="N43" s="401"/>
      <c r="O43" s="401"/>
      <c r="P43" s="233"/>
    </row>
    <row r="44" spans="2:16" ht="12.75">
      <c r="B44" s="168"/>
      <c r="D44" s="409"/>
      <c r="E44" s="409"/>
      <c r="F44" s="409"/>
      <c r="G44" s="409"/>
      <c r="H44" s="409"/>
      <c r="I44" s="409"/>
      <c r="J44" s="409"/>
      <c r="K44" s="409"/>
      <c r="L44" s="409"/>
      <c r="M44" s="409"/>
      <c r="N44" s="409"/>
      <c r="O44" s="409"/>
      <c r="P44" s="233"/>
    </row>
    <row r="45" spans="2:16" ht="12.75">
      <c r="B45" s="168"/>
      <c r="D45" s="180"/>
      <c r="E45" s="180"/>
      <c r="F45" s="180"/>
      <c r="G45" s="180"/>
      <c r="H45" s="180"/>
      <c r="I45" s="180"/>
      <c r="J45" s="180"/>
      <c r="K45" s="180"/>
      <c r="L45" s="180"/>
      <c r="M45" s="180"/>
      <c r="N45" s="180"/>
      <c r="O45" s="180"/>
      <c r="P45" s="233"/>
    </row>
    <row r="46" spans="2:16" ht="12.75">
      <c r="B46" s="168"/>
      <c r="D46" s="180"/>
      <c r="E46" s="180"/>
      <c r="F46" s="180"/>
      <c r="G46" s="180"/>
      <c r="H46" s="180"/>
      <c r="I46" s="180"/>
      <c r="J46" s="180"/>
      <c r="K46" s="180"/>
      <c r="L46" s="180"/>
      <c r="M46" s="180"/>
      <c r="N46" s="180"/>
      <c r="O46" s="180"/>
      <c r="P46" s="233"/>
    </row>
    <row r="47" spans="2:16" ht="12.75">
      <c r="B47" s="168"/>
      <c r="D47" s="180"/>
      <c r="E47" s="180"/>
      <c r="F47" s="180"/>
      <c r="G47" s="180"/>
      <c r="H47" s="180"/>
      <c r="I47" s="180"/>
      <c r="J47" s="180"/>
      <c r="K47" s="180"/>
      <c r="L47" s="180"/>
      <c r="M47" s="180"/>
      <c r="N47" s="180"/>
      <c r="O47" s="180"/>
      <c r="P47" s="233"/>
    </row>
    <row r="48" spans="2:16" ht="12.75">
      <c r="B48" s="168"/>
      <c r="D48" s="409"/>
      <c r="E48" s="409"/>
      <c r="F48" s="409"/>
      <c r="G48" s="409"/>
      <c r="H48" s="409"/>
      <c r="I48" s="409"/>
      <c r="J48" s="409"/>
      <c r="K48" s="409"/>
      <c r="L48" s="409"/>
      <c r="M48" s="409"/>
      <c r="N48" s="409"/>
      <c r="O48" s="409"/>
      <c r="P48" s="233"/>
    </row>
    <row r="49" spans="2:16" ht="12.75">
      <c r="B49" s="168"/>
      <c r="D49" s="409"/>
      <c r="E49" s="409"/>
      <c r="F49" s="409"/>
      <c r="G49" s="409"/>
      <c r="H49" s="409"/>
      <c r="I49" s="409"/>
      <c r="J49" s="409"/>
      <c r="K49" s="409"/>
      <c r="L49" s="409"/>
      <c r="M49" s="409"/>
      <c r="N49" s="409"/>
      <c r="O49" s="409"/>
      <c r="P49" s="233"/>
    </row>
    <row r="50" spans="2:16" ht="12.75">
      <c r="B50" s="168"/>
      <c r="D50" s="409"/>
      <c r="E50" s="409"/>
      <c r="F50" s="409"/>
      <c r="G50" s="409"/>
      <c r="H50" s="409"/>
      <c r="I50" s="409"/>
      <c r="J50" s="409"/>
      <c r="K50" s="409"/>
      <c r="L50" s="409"/>
      <c r="M50" s="409"/>
      <c r="N50" s="409"/>
      <c r="O50" s="409"/>
      <c r="P50" s="233"/>
    </row>
    <row r="51" spans="2:16" ht="12.75">
      <c r="B51" s="168"/>
      <c r="D51" s="409"/>
      <c r="E51" s="409"/>
      <c r="F51" s="409"/>
      <c r="G51" s="409"/>
      <c r="H51" s="409"/>
      <c r="I51" s="409"/>
      <c r="J51" s="409"/>
      <c r="K51" s="409"/>
      <c r="L51" s="409"/>
      <c r="M51" s="409"/>
      <c r="N51" s="409"/>
      <c r="O51" s="409"/>
      <c r="P51" s="233"/>
    </row>
  </sheetData>
  <sheetProtection password="82A3" sheet="1" objects="1" scenarios="1"/>
  <mergeCells count="19">
    <mergeCell ref="D1:M1"/>
    <mergeCell ref="C3:G3"/>
    <mergeCell ref="C4:G4"/>
    <mergeCell ref="C2:O2"/>
    <mergeCell ref="B42:O42"/>
    <mergeCell ref="D8:O8"/>
    <mergeCell ref="G24:G25"/>
    <mergeCell ref="O24:O25"/>
    <mergeCell ref="D14:E14"/>
    <mergeCell ref="D16:E16"/>
    <mergeCell ref="D18:E18"/>
    <mergeCell ref="D31:E31"/>
    <mergeCell ref="K24:K25"/>
    <mergeCell ref="D50:O50"/>
    <mergeCell ref="D51:O51"/>
    <mergeCell ref="D43:O43"/>
    <mergeCell ref="D44:O44"/>
    <mergeCell ref="D48:O48"/>
    <mergeCell ref="D49:O49"/>
  </mergeCells>
  <conditionalFormatting sqref="K10">
    <cfRule type="cellIs" priority="1" dxfId="0" operator="equal" stopIfTrue="1">
      <formula>""</formula>
    </cfRule>
  </conditionalFormatting>
  <printOptions/>
  <pageMargins left="0.75" right="0.75" top="0.47" bottom="1" header="0.31" footer="0.5"/>
  <pageSetup fitToHeight="1" fitToWidth="1" horizontalDpi="600" verticalDpi="600" orientation="portrait" scale="82" r:id="rId3"/>
  <headerFooter alignWithMargins="0">
    <oddFooter>&amp;C5</oddFooter>
  </headerFooter>
  <legacyDrawing r:id="rId2"/>
  <oleObjects>
    <oleObject progId="Unknown" shapeId="8984323" r:id="rId1"/>
  </oleObjects>
</worksheet>
</file>

<file path=xl/worksheets/sheet6.xml><?xml version="1.0" encoding="utf-8"?>
<worksheet xmlns="http://schemas.openxmlformats.org/spreadsheetml/2006/main" xmlns:r="http://schemas.openxmlformats.org/officeDocument/2006/relationships">
  <sheetPr codeName="Sheet6">
    <pageSetUpPr fitToPage="1"/>
  </sheetPr>
  <dimension ref="A1:R68"/>
  <sheetViews>
    <sheetView showGridLines="0" zoomScalePageLayoutView="0" workbookViewId="0" topLeftCell="A16">
      <selection activeCell="L26" sqref="L26"/>
    </sheetView>
  </sheetViews>
  <sheetFormatPr defaultColWidth="9.140625" defaultRowHeight="12.75"/>
  <cols>
    <col min="1" max="1" width="1.7109375" style="13" customWidth="1"/>
    <col min="2" max="2" width="5.00390625" style="13" customWidth="1"/>
    <col min="3" max="3" width="2.7109375" style="13" customWidth="1"/>
    <col min="4" max="4" width="17.28125" style="13" customWidth="1"/>
    <col min="5" max="5" width="2.140625" style="13" customWidth="1"/>
    <col min="6" max="6" width="9.28125" style="13" customWidth="1"/>
    <col min="7" max="7" width="1.28515625" style="13" customWidth="1"/>
    <col min="8" max="8" width="3.28125" style="13" customWidth="1"/>
    <col min="9" max="9" width="1.28515625" style="13" customWidth="1"/>
    <col min="10" max="10" width="17.8515625" style="13" customWidth="1"/>
    <col min="11" max="11" width="3.00390625" style="13" customWidth="1"/>
    <col min="12" max="12" width="9.00390625" style="13" customWidth="1"/>
    <col min="13" max="13" width="1.28515625" style="13" customWidth="1"/>
    <col min="14" max="14" width="2.8515625" style="13" customWidth="1"/>
    <col min="15" max="15" width="1.28515625" style="13" customWidth="1"/>
    <col min="16" max="16" width="14.7109375" style="13" customWidth="1"/>
    <col min="17" max="17" width="2.8515625" style="13" customWidth="1"/>
    <col min="18" max="16384" width="9.140625" style="13" customWidth="1"/>
  </cols>
  <sheetData>
    <row r="1" spans="3:16" s="2" customFormat="1" ht="20.25" customHeight="1">
      <c r="C1" s="446" t="s">
        <v>156</v>
      </c>
      <c r="D1" s="446"/>
      <c r="E1" s="446"/>
      <c r="F1" s="446"/>
      <c r="G1" s="446"/>
      <c r="H1" s="446"/>
      <c r="I1" s="446"/>
      <c r="J1" s="446"/>
      <c r="K1" s="446"/>
      <c r="L1" s="446"/>
      <c r="M1" s="446"/>
      <c r="N1" s="446"/>
      <c r="O1" s="188"/>
      <c r="P1" s="178" t="str">
        <f>CONCATENATE('Table of Contents'!$F$6," ",'Table of Contents'!$G$6)</f>
        <v>Version: 2.11</v>
      </c>
    </row>
    <row r="2" spans="3:18" s="2" customFormat="1" ht="18">
      <c r="C2" s="447" t="str">
        <f>"Name of LDC:    "&amp;IF(ISBLANK('Table of Contents'!D2),"",'Table of Contents'!D2)</f>
        <v>Name of LDC:    Waterloo North Hydro Inc.</v>
      </c>
      <c r="D2" s="447"/>
      <c r="E2" s="447"/>
      <c r="F2" s="447"/>
      <c r="G2" s="447"/>
      <c r="H2" s="447"/>
      <c r="I2" s="447"/>
      <c r="J2" s="447"/>
      <c r="K2" s="447"/>
      <c r="L2" s="447"/>
      <c r="M2" s="447"/>
      <c r="N2" s="447"/>
      <c r="O2" s="447"/>
      <c r="P2" s="447"/>
      <c r="Q2" s="447"/>
      <c r="R2" s="447"/>
    </row>
    <row r="3" spans="3:15" s="2" customFormat="1" ht="18">
      <c r="C3" s="447" t="str">
        <f>"File Number:      "&amp;IF(ISBLANK('Table of Contents'!D4),"",'Table of Contents'!D4)</f>
        <v>File Number:      EB-2010-0144</v>
      </c>
      <c r="D3" s="447"/>
      <c r="E3" s="447"/>
      <c r="F3" s="447"/>
      <c r="G3" s="447"/>
      <c r="H3" s="447"/>
      <c r="I3" s="447"/>
      <c r="J3" s="447"/>
      <c r="K3" s="447"/>
      <c r="L3" s="447"/>
      <c r="M3" s="447"/>
      <c r="N3" s="447"/>
      <c r="O3" s="189"/>
    </row>
    <row r="4" spans="3:15" s="2" customFormat="1" ht="18">
      <c r="C4" s="447" t="str">
        <f>"Rate Year:          "&amp;IF(ISBLANK('Table of Contents'!D6),"",'Table of Contents'!D6)</f>
        <v>Rate Year:          2011</v>
      </c>
      <c r="D4" s="447"/>
      <c r="E4" s="447"/>
      <c r="F4" s="447"/>
      <c r="G4" s="447"/>
      <c r="H4" s="447"/>
      <c r="I4" s="447"/>
      <c r="J4" s="447"/>
      <c r="K4" s="60"/>
      <c r="L4" s="60"/>
      <c r="M4" s="60"/>
      <c r="N4" s="60"/>
      <c r="O4" s="60"/>
    </row>
    <row r="5" spans="5:7" s="2" customFormat="1" ht="15.75">
      <c r="E5" s="5"/>
      <c r="F5" s="5"/>
      <c r="G5" s="5"/>
    </row>
    <row r="6" s="2" customFormat="1" ht="12.75"/>
    <row r="7" ht="4.5" customHeight="1"/>
    <row r="8" spans="4:17" ht="21" customHeight="1">
      <c r="D8" s="438" t="s">
        <v>61</v>
      </c>
      <c r="E8" s="438"/>
      <c r="F8" s="438"/>
      <c r="G8" s="438"/>
      <c r="H8" s="438"/>
      <c r="I8" s="438"/>
      <c r="J8" s="438"/>
      <c r="K8" s="438"/>
      <c r="L8" s="438"/>
      <c r="M8" s="438"/>
      <c r="N8" s="438"/>
      <c r="O8" s="438"/>
      <c r="P8" s="438"/>
      <c r="Q8" s="81"/>
    </row>
    <row r="9" ht="7.5" customHeight="1"/>
    <row r="10" spans="3:17" ht="7.5" customHeight="1">
      <c r="C10" s="55"/>
      <c r="D10" s="55"/>
      <c r="E10" s="55"/>
      <c r="F10" s="55"/>
      <c r="G10" s="55"/>
      <c r="H10" s="55"/>
      <c r="I10" s="55"/>
      <c r="J10" s="55"/>
      <c r="K10" s="55"/>
      <c r="L10" s="55"/>
      <c r="M10" s="55"/>
      <c r="N10" s="55"/>
      <c r="O10" s="55"/>
      <c r="P10" s="55"/>
      <c r="Q10" s="55"/>
    </row>
    <row r="11" spans="1:17" ht="25.5">
      <c r="A11" s="12"/>
      <c r="B11" s="63" t="s">
        <v>41</v>
      </c>
      <c r="C11" s="55"/>
      <c r="D11" s="64" t="s">
        <v>40</v>
      </c>
      <c r="E11" s="55"/>
      <c r="F11" s="439" t="s">
        <v>54</v>
      </c>
      <c r="G11" s="439"/>
      <c r="H11" s="439"/>
      <c r="I11" s="439"/>
      <c r="J11" s="439"/>
      <c r="K11" s="98"/>
      <c r="L11" s="64" t="s">
        <v>23</v>
      </c>
      <c r="M11" s="66"/>
      <c r="N11" s="55"/>
      <c r="O11" s="55"/>
      <c r="P11" s="64" t="s">
        <v>24</v>
      </c>
      <c r="Q11" s="55"/>
    </row>
    <row r="12" spans="1:17" ht="12.75">
      <c r="A12" s="12"/>
      <c r="B12" s="12"/>
      <c r="C12" s="55"/>
      <c r="D12" s="55"/>
      <c r="E12" s="55"/>
      <c r="F12" s="55"/>
      <c r="G12" s="55"/>
      <c r="H12" s="55"/>
      <c r="I12" s="55"/>
      <c r="J12" s="99"/>
      <c r="K12" s="99"/>
      <c r="L12" s="55"/>
      <c r="M12" s="55"/>
      <c r="N12" s="55"/>
      <c r="O12" s="55"/>
      <c r="P12" s="55"/>
      <c r="Q12" s="55"/>
    </row>
    <row r="13" spans="1:17" ht="12.75">
      <c r="A13" s="12"/>
      <c r="B13" s="206"/>
      <c r="C13" s="83"/>
      <c r="D13" s="83"/>
      <c r="E13" s="83"/>
      <c r="F13" s="83"/>
      <c r="G13" s="83"/>
      <c r="H13" s="83"/>
      <c r="I13" s="83"/>
      <c r="J13" s="207"/>
      <c r="K13" s="207"/>
      <c r="L13" s="83"/>
      <c r="M13" s="83"/>
      <c r="N13" s="83"/>
      <c r="O13" s="83"/>
      <c r="P13" s="83"/>
      <c r="Q13" s="149"/>
    </row>
    <row r="14" spans="1:17" ht="12.75">
      <c r="A14" s="12"/>
      <c r="B14" s="208"/>
      <c r="C14" s="100"/>
      <c r="D14" s="443" t="s">
        <v>189</v>
      </c>
      <c r="E14" s="444"/>
      <c r="F14" s="444"/>
      <c r="G14" s="444"/>
      <c r="H14" s="444"/>
      <c r="I14" s="444"/>
      <c r="J14" s="444"/>
      <c r="K14" s="444"/>
      <c r="L14" s="444"/>
      <c r="M14" s="444"/>
      <c r="N14" s="444"/>
      <c r="O14" s="444"/>
      <c r="P14" s="445"/>
      <c r="Q14" s="56"/>
    </row>
    <row r="15" spans="1:17" ht="12.75">
      <c r="A15" s="12"/>
      <c r="B15" s="208"/>
      <c r="C15" s="55"/>
      <c r="D15" s="55"/>
      <c r="E15" s="55"/>
      <c r="F15" s="212" t="s">
        <v>22</v>
      </c>
      <c r="G15" s="212"/>
      <c r="H15" s="212"/>
      <c r="I15" s="212"/>
      <c r="J15" s="212" t="s">
        <v>9</v>
      </c>
      <c r="K15" s="99"/>
      <c r="L15" s="212" t="s">
        <v>22</v>
      </c>
      <c r="M15" s="212"/>
      <c r="N15" s="99"/>
      <c r="O15" s="99"/>
      <c r="P15" s="99" t="s">
        <v>9</v>
      </c>
      <c r="Q15" s="56"/>
    </row>
    <row r="16" spans="1:17" ht="12.75">
      <c r="A16" s="12"/>
      <c r="B16" s="208"/>
      <c r="C16" s="55"/>
      <c r="D16" s="102" t="s">
        <v>13</v>
      </c>
      <c r="E16" s="55"/>
      <c r="F16" s="55"/>
      <c r="G16" s="55"/>
      <c r="H16" s="55"/>
      <c r="I16" s="55"/>
      <c r="J16" s="55"/>
      <c r="K16" s="55"/>
      <c r="L16" s="55"/>
      <c r="M16" s="55"/>
      <c r="N16" s="55"/>
      <c r="O16" s="55"/>
      <c r="P16" s="55"/>
      <c r="Q16" s="56"/>
    </row>
    <row r="17" spans="1:17" ht="12.75">
      <c r="A17" s="12"/>
      <c r="B17" s="208">
        <v>1</v>
      </c>
      <c r="C17" s="55"/>
      <c r="D17" s="101" t="s">
        <v>14</v>
      </c>
      <c r="E17" s="55"/>
      <c r="F17" s="103">
        <f>'A. Data_Input_Sheet'!E51</f>
        <v>0.56</v>
      </c>
      <c r="G17" s="103"/>
      <c r="H17" s="209"/>
      <c r="I17" s="247"/>
      <c r="J17" s="69">
        <f>$J$26*F17</f>
        <v>85572657.59945127</v>
      </c>
      <c r="K17" s="55"/>
      <c r="L17" s="103">
        <f>'A. Data_Input_Sheet'!E58</f>
        <v>0.0546547398316402</v>
      </c>
      <c r="M17" s="103"/>
      <c r="N17" s="209"/>
      <c r="O17" s="247"/>
      <c r="P17" s="69">
        <f>L17*J17</f>
        <v>4676951.337800038</v>
      </c>
      <c r="Q17" s="56"/>
    </row>
    <row r="18" spans="1:17" ht="12.75">
      <c r="A18" s="12"/>
      <c r="B18" s="208">
        <v>2</v>
      </c>
      <c r="C18" s="55"/>
      <c r="D18" s="101" t="s">
        <v>15</v>
      </c>
      <c r="E18" s="55"/>
      <c r="F18" s="104">
        <f>'A. Data_Input_Sheet'!E52</f>
        <v>0.04</v>
      </c>
      <c r="G18" s="103"/>
      <c r="H18" s="209"/>
      <c r="I18" s="247"/>
      <c r="J18" s="77">
        <f>$J$26*F18</f>
        <v>6112332.685675091</v>
      </c>
      <c r="K18" s="55"/>
      <c r="L18" s="104">
        <f>'A. Data_Input_Sheet'!E59</f>
        <v>0.0207</v>
      </c>
      <c r="M18" s="103"/>
      <c r="N18" s="209"/>
      <c r="O18" s="247"/>
      <c r="P18" s="77">
        <f>L18*J18</f>
        <v>126525.28659347439</v>
      </c>
      <c r="Q18" s="56"/>
    </row>
    <row r="19" spans="1:17" ht="13.5" thickBot="1">
      <c r="A19" s="12"/>
      <c r="B19" s="208">
        <v>3</v>
      </c>
      <c r="C19" s="55"/>
      <c r="D19" s="105" t="s">
        <v>16</v>
      </c>
      <c r="E19" s="55"/>
      <c r="F19" s="106">
        <f>SUM(F17:F18)</f>
        <v>0.6000000000000001</v>
      </c>
      <c r="G19" s="106"/>
      <c r="H19" s="107"/>
      <c r="I19" s="215"/>
      <c r="J19" s="108">
        <f>SUM(J17:J18)</f>
        <v>91684990.28512636</v>
      </c>
      <c r="K19" s="55"/>
      <c r="L19" s="106">
        <f>IF(F19=0,0,SUMPRODUCT(F17:F18,L17:L18)/F19)</f>
        <v>0.052391090509530856</v>
      </c>
      <c r="M19" s="111"/>
      <c r="N19" s="55"/>
      <c r="O19" s="49"/>
      <c r="P19" s="108">
        <f>SUM(P17:P18)</f>
        <v>4803476.6243935125</v>
      </c>
      <c r="Q19" s="56"/>
    </row>
    <row r="20" spans="1:17" ht="13.5" thickTop="1">
      <c r="A20" s="12"/>
      <c r="B20" s="208"/>
      <c r="C20" s="55"/>
      <c r="D20" s="55"/>
      <c r="E20" s="55"/>
      <c r="F20" s="109"/>
      <c r="G20" s="109"/>
      <c r="H20" s="109"/>
      <c r="I20" s="214"/>
      <c r="J20" s="110"/>
      <c r="K20" s="55"/>
      <c r="L20" s="111"/>
      <c r="M20" s="111"/>
      <c r="N20" s="55"/>
      <c r="O20" s="49"/>
      <c r="P20" s="110"/>
      <c r="Q20" s="56"/>
    </row>
    <row r="21" spans="1:17" ht="12.75">
      <c r="A21" s="12"/>
      <c r="B21" s="208"/>
      <c r="C21" s="55"/>
      <c r="D21" s="102" t="s">
        <v>17</v>
      </c>
      <c r="E21" s="55"/>
      <c r="F21" s="109"/>
      <c r="G21" s="109"/>
      <c r="H21" s="109"/>
      <c r="I21" s="214"/>
      <c r="J21" s="110"/>
      <c r="K21" s="55"/>
      <c r="L21" s="111"/>
      <c r="M21" s="111"/>
      <c r="N21" s="55"/>
      <c r="O21" s="49"/>
      <c r="P21" s="110"/>
      <c r="Q21" s="56"/>
    </row>
    <row r="22" spans="1:18" ht="12.75">
      <c r="A22" s="12"/>
      <c r="B22" s="210">
        <v>4</v>
      </c>
      <c r="C22" s="112"/>
      <c r="D22" s="113" t="s">
        <v>18</v>
      </c>
      <c r="E22" s="112"/>
      <c r="F22" s="114">
        <f>'A. Data_Input_Sheet'!E53</f>
        <v>0.4</v>
      </c>
      <c r="G22" s="114"/>
      <c r="H22" s="209"/>
      <c r="I22" s="247"/>
      <c r="J22" s="70">
        <f>$J$26*F22</f>
        <v>61123326.856750906</v>
      </c>
      <c r="K22" s="112"/>
      <c r="L22" s="115">
        <f>'A. Data_Input_Sheet'!E60</f>
        <v>0.0985</v>
      </c>
      <c r="M22" s="115"/>
      <c r="N22" s="209"/>
      <c r="O22" s="247"/>
      <c r="P22" s="70">
        <f>L22*J22</f>
        <v>6020647.695389965</v>
      </c>
      <c r="Q22" s="159"/>
      <c r="R22" s="31"/>
    </row>
    <row r="23" spans="1:18" ht="12.75">
      <c r="A23" s="12"/>
      <c r="B23" s="210">
        <v>5</v>
      </c>
      <c r="C23" s="112"/>
      <c r="D23" s="113" t="s">
        <v>19</v>
      </c>
      <c r="E23" s="112"/>
      <c r="F23" s="116">
        <f>'A. Data_Input_Sheet'!E54</f>
        <v>0</v>
      </c>
      <c r="G23" s="115"/>
      <c r="H23" s="209"/>
      <c r="I23" s="247"/>
      <c r="J23" s="78">
        <f>$J$26*F23</f>
        <v>0</v>
      </c>
      <c r="K23" s="112"/>
      <c r="L23" s="116">
        <f>'A. Data_Input_Sheet'!E61</f>
        <v>0</v>
      </c>
      <c r="M23" s="115"/>
      <c r="N23" s="209"/>
      <c r="O23" s="247"/>
      <c r="P23" s="78">
        <f>L23*J23</f>
        <v>0</v>
      </c>
      <c r="Q23" s="159"/>
      <c r="R23" s="31"/>
    </row>
    <row r="24" spans="1:17" ht="13.5" thickBot="1">
      <c r="A24" s="12"/>
      <c r="B24" s="208">
        <v>6</v>
      </c>
      <c r="C24" s="55"/>
      <c r="D24" s="105" t="s">
        <v>20</v>
      </c>
      <c r="E24" s="55"/>
      <c r="F24" s="106">
        <f>SUM(F22:F23)</f>
        <v>0.4</v>
      </c>
      <c r="G24" s="106"/>
      <c r="H24" s="107"/>
      <c r="I24" s="107"/>
      <c r="J24" s="108">
        <f>SUM(J22:J23)</f>
        <v>61123326.856750906</v>
      </c>
      <c r="K24" s="55"/>
      <c r="L24" s="106">
        <f>IF(F24=0,0,SUMPRODUCT(F22:F23,L22:L23)/F24)</f>
        <v>0.0985</v>
      </c>
      <c r="M24" s="111"/>
      <c r="N24" s="55"/>
      <c r="O24" s="55"/>
      <c r="P24" s="108">
        <f>SUM(P22:P23)</f>
        <v>6020647.695389965</v>
      </c>
      <c r="Q24" s="56"/>
    </row>
    <row r="25" spans="1:17" ht="13.5" thickTop="1">
      <c r="A25" s="12"/>
      <c r="B25" s="208"/>
      <c r="C25" s="55"/>
      <c r="D25" s="55"/>
      <c r="E25" s="55"/>
      <c r="F25" s="55"/>
      <c r="G25" s="55"/>
      <c r="H25" s="55"/>
      <c r="I25" s="55"/>
      <c r="J25" s="110"/>
      <c r="K25" s="55"/>
      <c r="L25" s="111"/>
      <c r="M25" s="111"/>
      <c r="N25" s="55"/>
      <c r="O25" s="55"/>
      <c r="P25" s="110"/>
      <c r="Q25" s="56"/>
    </row>
    <row r="26" spans="1:17" ht="13.5" thickBot="1">
      <c r="A26" s="12"/>
      <c r="B26" s="208">
        <v>7</v>
      </c>
      <c r="C26" s="55"/>
      <c r="D26" s="102" t="s">
        <v>21</v>
      </c>
      <c r="E26" s="55"/>
      <c r="F26" s="234">
        <f>SUM(F19,F24)</f>
        <v>1</v>
      </c>
      <c r="G26" s="117"/>
      <c r="H26" s="117"/>
      <c r="I26" s="117"/>
      <c r="J26" s="118">
        <f>'1.Rate_Base'!G17</f>
        <v>152808317.14187726</v>
      </c>
      <c r="K26" s="55"/>
      <c r="L26" s="119">
        <f>(L19*F19)+(L24*F24)</f>
        <v>0.07083465430571853</v>
      </c>
      <c r="M26" s="111"/>
      <c r="N26" s="55"/>
      <c r="O26" s="55"/>
      <c r="P26" s="118">
        <f>P19+P24</f>
        <v>10824124.319783477</v>
      </c>
      <c r="Q26" s="56"/>
    </row>
    <row r="27" spans="1:17" ht="13.5" thickTop="1">
      <c r="A27" s="12"/>
      <c r="B27" s="211"/>
      <c r="C27" s="154"/>
      <c r="D27" s="154"/>
      <c r="E27" s="154"/>
      <c r="F27" s="154"/>
      <c r="G27" s="154"/>
      <c r="H27" s="154"/>
      <c r="I27" s="154"/>
      <c r="J27" s="154"/>
      <c r="K27" s="154"/>
      <c r="L27" s="154"/>
      <c r="M27" s="154"/>
      <c r="N27" s="154"/>
      <c r="O27" s="154"/>
      <c r="P27" s="154"/>
      <c r="Q27" s="58"/>
    </row>
    <row r="28" spans="1:17" ht="12.75">
      <c r="A28" s="12"/>
      <c r="B28" s="12"/>
      <c r="C28" s="55"/>
      <c r="D28" s="55"/>
      <c r="E28" s="55"/>
      <c r="F28" s="55"/>
      <c r="G28" s="55"/>
      <c r="H28" s="55"/>
      <c r="I28" s="55"/>
      <c r="J28" s="55"/>
      <c r="K28" s="55"/>
      <c r="L28" s="55"/>
      <c r="M28" s="55"/>
      <c r="N28" s="55"/>
      <c r="O28" s="55"/>
      <c r="P28" s="55"/>
      <c r="Q28" s="55"/>
    </row>
    <row r="29" spans="1:17" ht="12.75">
      <c r="A29" s="12"/>
      <c r="B29" s="206"/>
      <c r="C29" s="83"/>
      <c r="D29" s="83"/>
      <c r="E29" s="83"/>
      <c r="F29" s="83"/>
      <c r="G29" s="83"/>
      <c r="H29" s="83"/>
      <c r="I29" s="83"/>
      <c r="J29" s="83"/>
      <c r="K29" s="83"/>
      <c r="L29" s="83"/>
      <c r="M29" s="83"/>
      <c r="N29" s="83"/>
      <c r="O29" s="83"/>
      <c r="P29" s="83"/>
      <c r="Q29" s="149"/>
    </row>
    <row r="30" spans="1:17" ht="12.75">
      <c r="A30" s="12"/>
      <c r="B30" s="208"/>
      <c r="C30" s="100"/>
      <c r="D30" s="440">
        <f>IF(ISBLANK('A. Data_Input_Sheet'!M10),"",'A. Data_Input_Sheet'!M10)</f>
      </c>
      <c r="E30" s="441"/>
      <c r="F30" s="441"/>
      <c r="G30" s="441"/>
      <c r="H30" s="441"/>
      <c r="I30" s="441"/>
      <c r="J30" s="441"/>
      <c r="K30" s="441"/>
      <c r="L30" s="441"/>
      <c r="M30" s="441"/>
      <c r="N30" s="441"/>
      <c r="O30" s="441"/>
      <c r="P30" s="442"/>
      <c r="Q30" s="56"/>
    </row>
    <row r="31" spans="1:17" ht="12.75">
      <c r="A31" s="12"/>
      <c r="B31" s="208"/>
      <c r="C31" s="55"/>
      <c r="D31" s="55"/>
      <c r="E31" s="55"/>
      <c r="F31" s="212" t="s">
        <v>22</v>
      </c>
      <c r="G31" s="212"/>
      <c r="H31" s="212"/>
      <c r="I31" s="212"/>
      <c r="J31" s="212" t="s">
        <v>9</v>
      </c>
      <c r="K31" s="99"/>
      <c r="L31" s="212" t="s">
        <v>22</v>
      </c>
      <c r="M31" s="212"/>
      <c r="N31" s="99"/>
      <c r="O31" s="99"/>
      <c r="P31" s="99" t="s">
        <v>9</v>
      </c>
      <c r="Q31" s="56"/>
    </row>
    <row r="32" spans="1:17" ht="12.75">
      <c r="A32" s="12"/>
      <c r="B32" s="208"/>
      <c r="C32" s="55"/>
      <c r="D32" s="102" t="s">
        <v>13</v>
      </c>
      <c r="E32" s="55"/>
      <c r="F32" s="55"/>
      <c r="G32" s="55"/>
      <c r="H32" s="55"/>
      <c r="I32" s="55"/>
      <c r="J32" s="55"/>
      <c r="K32" s="55"/>
      <c r="L32" s="55"/>
      <c r="M32" s="55"/>
      <c r="N32" s="55"/>
      <c r="O32" s="55"/>
      <c r="P32" s="55"/>
      <c r="Q32" s="56"/>
    </row>
    <row r="33" spans="1:17" ht="12.75">
      <c r="A33" s="12"/>
      <c r="B33" s="208">
        <v>1</v>
      </c>
      <c r="C33" s="55"/>
      <c r="D33" s="101" t="s">
        <v>14</v>
      </c>
      <c r="E33" s="55"/>
      <c r="F33" s="103">
        <f>'A. Data_Input_Sheet'!M51</f>
        <v>0</v>
      </c>
      <c r="G33" s="103"/>
      <c r="H33" s="209"/>
      <c r="I33" s="247"/>
      <c r="J33" s="69">
        <f>$J$42*F33</f>
        <v>0</v>
      </c>
      <c r="K33" s="55"/>
      <c r="L33" s="103">
        <f>'A. Data_Input_Sheet'!M58</f>
        <v>0</v>
      </c>
      <c r="M33" s="103"/>
      <c r="N33" s="209"/>
      <c r="O33" s="247"/>
      <c r="P33" s="69">
        <f>L33*J33</f>
        <v>0</v>
      </c>
      <c r="Q33" s="56"/>
    </row>
    <row r="34" spans="1:17" ht="12.75">
      <c r="A34" s="12"/>
      <c r="B34" s="208">
        <v>2</v>
      </c>
      <c r="C34" s="55"/>
      <c r="D34" s="101" t="s">
        <v>15</v>
      </c>
      <c r="E34" s="55"/>
      <c r="F34" s="104">
        <f>'A. Data_Input_Sheet'!M52</f>
        <v>0</v>
      </c>
      <c r="G34" s="103"/>
      <c r="H34" s="209"/>
      <c r="I34" s="247"/>
      <c r="J34" s="77">
        <f>$J$42*F34</f>
        <v>0</v>
      </c>
      <c r="K34" s="55"/>
      <c r="L34" s="104">
        <f>'A. Data_Input_Sheet'!M59</f>
        <v>0</v>
      </c>
      <c r="M34" s="103"/>
      <c r="N34" s="209"/>
      <c r="O34" s="247"/>
      <c r="P34" s="77">
        <f>L34*J34</f>
        <v>0</v>
      </c>
      <c r="Q34" s="56"/>
    </row>
    <row r="35" spans="1:17" ht="13.5" thickBot="1">
      <c r="A35" s="12"/>
      <c r="B35" s="208">
        <v>3</v>
      </c>
      <c r="C35" s="55"/>
      <c r="D35" s="105" t="s">
        <v>16</v>
      </c>
      <c r="E35" s="55"/>
      <c r="F35" s="106">
        <f>SUM(F33:F34)</f>
        <v>0</v>
      </c>
      <c r="G35" s="111"/>
      <c r="H35" s="109"/>
      <c r="I35" s="214"/>
      <c r="J35" s="108">
        <f>SUM(J33:J34)</f>
        <v>0</v>
      </c>
      <c r="K35" s="55"/>
      <c r="L35" s="106">
        <f>IF(F35=0,0,SUMPRODUCT(F33:F34,L33:L34)/F35)</f>
        <v>0</v>
      </c>
      <c r="M35" s="111"/>
      <c r="N35" s="55"/>
      <c r="O35" s="49"/>
      <c r="P35" s="108">
        <f>SUM(P33:P34)</f>
        <v>0</v>
      </c>
      <c r="Q35" s="56"/>
    </row>
    <row r="36" spans="1:17" ht="13.5" thickTop="1">
      <c r="A36" s="12"/>
      <c r="B36" s="208"/>
      <c r="C36" s="55"/>
      <c r="D36" s="55"/>
      <c r="E36" s="55"/>
      <c r="F36" s="109"/>
      <c r="G36" s="109"/>
      <c r="H36" s="109"/>
      <c r="I36" s="214"/>
      <c r="J36" s="110"/>
      <c r="K36" s="55"/>
      <c r="L36" s="111"/>
      <c r="M36" s="111"/>
      <c r="N36" s="55"/>
      <c r="O36" s="49"/>
      <c r="P36" s="110"/>
      <c r="Q36" s="56"/>
    </row>
    <row r="37" spans="1:17" ht="12.75">
      <c r="A37" s="12"/>
      <c r="B37" s="208"/>
      <c r="C37" s="55"/>
      <c r="D37" s="102" t="s">
        <v>17</v>
      </c>
      <c r="E37" s="55"/>
      <c r="F37" s="109"/>
      <c r="G37" s="109"/>
      <c r="H37" s="109"/>
      <c r="I37" s="214"/>
      <c r="J37" s="110"/>
      <c r="K37" s="55"/>
      <c r="L37" s="111"/>
      <c r="M37" s="111"/>
      <c r="N37" s="55"/>
      <c r="O37" s="49"/>
      <c r="P37" s="110"/>
      <c r="Q37" s="56"/>
    </row>
    <row r="38" spans="1:17" ht="12.75">
      <c r="A38" s="12"/>
      <c r="B38" s="210">
        <v>4</v>
      </c>
      <c r="C38" s="112"/>
      <c r="D38" s="113" t="s">
        <v>18</v>
      </c>
      <c r="E38" s="112"/>
      <c r="F38" s="114">
        <f>'A. Data_Input_Sheet'!M53</f>
        <v>0</v>
      </c>
      <c r="G38" s="114"/>
      <c r="H38" s="209"/>
      <c r="I38" s="247"/>
      <c r="J38" s="70">
        <f>$J$42*F38</f>
        <v>0</v>
      </c>
      <c r="K38" s="112"/>
      <c r="L38" s="115">
        <f>'A. Data_Input_Sheet'!M60</f>
        <v>0</v>
      </c>
      <c r="M38" s="115"/>
      <c r="N38" s="209"/>
      <c r="O38" s="247"/>
      <c r="P38" s="70">
        <f>L38*J38</f>
        <v>0</v>
      </c>
      <c r="Q38" s="56"/>
    </row>
    <row r="39" spans="1:17" ht="12.75">
      <c r="A39" s="12"/>
      <c r="B39" s="210">
        <v>5</v>
      </c>
      <c r="C39" s="112"/>
      <c r="D39" s="113" t="s">
        <v>19</v>
      </c>
      <c r="E39" s="112"/>
      <c r="F39" s="116">
        <f>'A. Data_Input_Sheet'!M54</f>
        <v>0</v>
      </c>
      <c r="G39" s="115"/>
      <c r="H39" s="209"/>
      <c r="I39" s="247"/>
      <c r="J39" s="78">
        <f>$J$42*F39</f>
        <v>0</v>
      </c>
      <c r="K39" s="112"/>
      <c r="L39" s="116">
        <f>'A. Data_Input_Sheet'!M61</f>
        <v>0</v>
      </c>
      <c r="M39" s="115"/>
      <c r="N39" s="209"/>
      <c r="O39" s="247"/>
      <c r="P39" s="78">
        <f>L39*J39</f>
        <v>0</v>
      </c>
      <c r="Q39" s="56"/>
    </row>
    <row r="40" spans="1:17" ht="13.5" thickBot="1">
      <c r="A40" s="12"/>
      <c r="B40" s="208">
        <v>6</v>
      </c>
      <c r="C40" s="55"/>
      <c r="D40" s="105" t="s">
        <v>20</v>
      </c>
      <c r="E40" s="55"/>
      <c r="F40" s="106">
        <f>SUM(F38:F39)</f>
        <v>0</v>
      </c>
      <c r="G40" s="111"/>
      <c r="H40" s="109"/>
      <c r="I40" s="109"/>
      <c r="J40" s="108">
        <f>SUM(J38:J39)</f>
        <v>0</v>
      </c>
      <c r="K40" s="55"/>
      <c r="L40" s="106">
        <f>IF(F40=0,0,SUMPRODUCT(F38:F39,L38:L39)/F40)</f>
        <v>0</v>
      </c>
      <c r="M40" s="111"/>
      <c r="N40" s="55"/>
      <c r="O40" s="55"/>
      <c r="P40" s="108">
        <f>SUM(P38:P39)</f>
        <v>0</v>
      </c>
      <c r="Q40" s="56"/>
    </row>
    <row r="41" spans="1:17" ht="13.5" thickTop="1">
      <c r="A41" s="12"/>
      <c r="B41" s="208"/>
      <c r="C41" s="55"/>
      <c r="D41" s="55"/>
      <c r="E41" s="55"/>
      <c r="F41" s="55"/>
      <c r="G41" s="55"/>
      <c r="H41" s="55"/>
      <c r="I41" s="55"/>
      <c r="J41" s="110"/>
      <c r="K41" s="55"/>
      <c r="L41" s="111"/>
      <c r="M41" s="111"/>
      <c r="N41" s="55"/>
      <c r="O41" s="55"/>
      <c r="P41" s="110"/>
      <c r="Q41" s="56"/>
    </row>
    <row r="42" spans="1:17" ht="13.5" thickBot="1">
      <c r="A42" s="12"/>
      <c r="B42" s="208">
        <v>7</v>
      </c>
      <c r="C42" s="55"/>
      <c r="D42" s="102" t="s">
        <v>21</v>
      </c>
      <c r="E42" s="55"/>
      <c r="F42" s="234">
        <f>F35+F40</f>
        <v>0</v>
      </c>
      <c r="G42" s="140"/>
      <c r="H42" s="140"/>
      <c r="I42" s="140"/>
      <c r="J42" s="118">
        <f>'1.Rate_Base'!O17</f>
        <v>152808317.14187726</v>
      </c>
      <c r="K42" s="55"/>
      <c r="L42" s="119">
        <f>(L35*F35)+(L40*F40)</f>
        <v>0</v>
      </c>
      <c r="M42" s="111"/>
      <c r="N42" s="55"/>
      <c r="O42" s="55"/>
      <c r="P42" s="118">
        <f>P35+P40</f>
        <v>0</v>
      </c>
      <c r="Q42" s="56"/>
    </row>
    <row r="43" spans="1:17" ht="13.5" thickTop="1">
      <c r="A43" s="12"/>
      <c r="B43" s="211"/>
      <c r="C43" s="154"/>
      <c r="D43" s="154"/>
      <c r="E43" s="154"/>
      <c r="F43" s="154"/>
      <c r="G43" s="154"/>
      <c r="H43" s="154"/>
      <c r="I43" s="154"/>
      <c r="J43" s="154"/>
      <c r="K43" s="154"/>
      <c r="L43" s="154"/>
      <c r="M43" s="154"/>
      <c r="N43" s="154"/>
      <c r="O43" s="154"/>
      <c r="P43" s="154"/>
      <c r="Q43" s="58"/>
    </row>
    <row r="44" spans="1:17" ht="12.75">
      <c r="A44" s="12"/>
      <c r="B44" s="12"/>
      <c r="C44" s="55"/>
      <c r="D44" s="55"/>
      <c r="E44" s="55"/>
      <c r="F44" s="55"/>
      <c r="G44" s="55"/>
      <c r="H44" s="55"/>
      <c r="I44" s="55"/>
      <c r="J44" s="55"/>
      <c r="K44" s="55"/>
      <c r="L44" s="55"/>
      <c r="M44" s="55"/>
      <c r="N44" s="55"/>
      <c r="O44" s="55"/>
      <c r="P44" s="55"/>
      <c r="Q44" s="55"/>
    </row>
    <row r="45" spans="1:17" ht="12.75">
      <c r="A45" s="12"/>
      <c r="B45" s="206"/>
      <c r="C45" s="83"/>
      <c r="D45" s="83"/>
      <c r="E45" s="83"/>
      <c r="F45" s="83"/>
      <c r="G45" s="83"/>
      <c r="H45" s="83"/>
      <c r="I45" s="83"/>
      <c r="J45" s="83"/>
      <c r="K45" s="83"/>
      <c r="L45" s="83"/>
      <c r="M45" s="83"/>
      <c r="N45" s="83"/>
      <c r="O45" s="83"/>
      <c r="P45" s="83"/>
      <c r="Q45" s="149"/>
    </row>
    <row r="46" spans="1:17" ht="12.75">
      <c r="A46" s="12"/>
      <c r="B46" s="208"/>
      <c r="C46" s="55"/>
      <c r="D46" s="440" t="str">
        <f>'A. Data_Input_Sheet'!U10</f>
        <v>Per Board Decision</v>
      </c>
      <c r="E46" s="441"/>
      <c r="F46" s="441"/>
      <c r="G46" s="441"/>
      <c r="H46" s="441"/>
      <c r="I46" s="441"/>
      <c r="J46" s="441"/>
      <c r="K46" s="441"/>
      <c r="L46" s="441"/>
      <c r="M46" s="441"/>
      <c r="N46" s="441"/>
      <c r="O46" s="441"/>
      <c r="P46" s="442"/>
      <c r="Q46" s="56"/>
    </row>
    <row r="47" spans="1:17" ht="12.75">
      <c r="A47" s="12"/>
      <c r="B47" s="208"/>
      <c r="C47" s="55"/>
      <c r="D47" s="55"/>
      <c r="E47" s="55"/>
      <c r="F47" s="212" t="s">
        <v>22</v>
      </c>
      <c r="G47" s="212"/>
      <c r="H47" s="212"/>
      <c r="I47" s="212"/>
      <c r="J47" s="212" t="s">
        <v>9</v>
      </c>
      <c r="K47" s="99"/>
      <c r="L47" s="212" t="s">
        <v>22</v>
      </c>
      <c r="M47" s="212"/>
      <c r="N47" s="99"/>
      <c r="O47" s="99"/>
      <c r="P47" s="212" t="s">
        <v>9</v>
      </c>
      <c r="Q47" s="56"/>
    </row>
    <row r="48" spans="1:17" ht="12.75">
      <c r="A48" s="12"/>
      <c r="B48" s="208"/>
      <c r="C48" s="55"/>
      <c r="D48" s="102" t="s">
        <v>13</v>
      </c>
      <c r="E48" s="55"/>
      <c r="F48" s="55"/>
      <c r="G48" s="55"/>
      <c r="H48" s="55"/>
      <c r="I48" s="55"/>
      <c r="J48" s="55"/>
      <c r="K48" s="55"/>
      <c r="L48" s="55"/>
      <c r="M48" s="55"/>
      <c r="N48" s="55"/>
      <c r="O48" s="55"/>
      <c r="P48" s="55"/>
      <c r="Q48" s="56"/>
    </row>
    <row r="49" spans="1:17" ht="12.75">
      <c r="A49" s="12"/>
      <c r="B49" s="208">
        <v>8</v>
      </c>
      <c r="C49" s="55"/>
      <c r="D49" s="101" t="s">
        <v>14</v>
      </c>
      <c r="E49" s="55"/>
      <c r="F49" s="103">
        <f>IF(ISBLANK('A. Data_Input_Sheet'!U51),F33,'A. Data_Input_Sheet'!U51)</f>
        <v>0</v>
      </c>
      <c r="G49" s="103"/>
      <c r="H49" s="209"/>
      <c r="I49" s="247"/>
      <c r="J49" s="69">
        <f>$J$58*F49</f>
        <v>0</v>
      </c>
      <c r="K49" s="55"/>
      <c r="L49" s="103">
        <f>IF(ISBLANK('A. Data_Input_Sheet'!U58),L17,'A. Data_Input_Sheet'!U58)</f>
        <v>0.0546547398316402</v>
      </c>
      <c r="M49" s="103"/>
      <c r="N49" s="209"/>
      <c r="O49" s="247"/>
      <c r="P49" s="69">
        <f>L49*J49</f>
        <v>0</v>
      </c>
      <c r="Q49" s="56"/>
    </row>
    <row r="50" spans="1:17" ht="12.75">
      <c r="A50" s="12"/>
      <c r="B50" s="208">
        <v>9</v>
      </c>
      <c r="C50" s="55"/>
      <c r="D50" s="101" t="s">
        <v>15</v>
      </c>
      <c r="E50" s="55"/>
      <c r="F50" s="104">
        <f>IF(ISBLANK('A. Data_Input_Sheet'!U52),F34,'A. Data_Input_Sheet'!U52)</f>
        <v>0</v>
      </c>
      <c r="G50" s="103"/>
      <c r="H50" s="209"/>
      <c r="I50" s="247"/>
      <c r="J50" s="77">
        <f>$J$58*F50</f>
        <v>0</v>
      </c>
      <c r="K50" s="55"/>
      <c r="L50" s="104">
        <f>IF(ISBLANK('A. Data_Input_Sheet'!U59),L18,'A. Data_Input_Sheet'!U59)</f>
        <v>0.0207</v>
      </c>
      <c r="M50" s="103"/>
      <c r="N50" s="209"/>
      <c r="O50" s="247"/>
      <c r="P50" s="77">
        <f>L50*J50</f>
        <v>0</v>
      </c>
      <c r="Q50" s="56"/>
    </row>
    <row r="51" spans="1:17" ht="13.5" thickBot="1">
      <c r="A51" s="12"/>
      <c r="B51" s="208">
        <v>10</v>
      </c>
      <c r="C51" s="55"/>
      <c r="D51" s="105" t="s">
        <v>16</v>
      </c>
      <c r="E51" s="55"/>
      <c r="F51" s="106">
        <f>SUM(F49:F50)</f>
        <v>0</v>
      </c>
      <c r="G51" s="111"/>
      <c r="H51" s="109"/>
      <c r="I51" s="214"/>
      <c r="J51" s="108">
        <f>SUM(J49:J50)</f>
        <v>0</v>
      </c>
      <c r="K51" s="55"/>
      <c r="L51" s="106">
        <f>IF(F51=0,0,SUMPRODUCT(F49:F50,L49:L50)/F51)</f>
        <v>0</v>
      </c>
      <c r="M51" s="111"/>
      <c r="N51" s="55"/>
      <c r="O51" s="49"/>
      <c r="P51" s="108">
        <f>SUM(P49:P50)</f>
        <v>0</v>
      </c>
      <c r="Q51" s="56"/>
    </row>
    <row r="52" spans="1:17" ht="13.5" thickTop="1">
      <c r="A52" s="12"/>
      <c r="B52" s="208"/>
      <c r="C52" s="55"/>
      <c r="D52" s="55"/>
      <c r="E52" s="55"/>
      <c r="F52" s="109"/>
      <c r="G52" s="109"/>
      <c r="H52" s="109"/>
      <c r="I52" s="214"/>
      <c r="J52" s="110"/>
      <c r="K52" s="55"/>
      <c r="L52" s="111"/>
      <c r="M52" s="111"/>
      <c r="N52" s="55"/>
      <c r="O52" s="49"/>
      <c r="P52" s="110"/>
      <c r="Q52" s="56"/>
    </row>
    <row r="53" spans="1:17" ht="12.75">
      <c r="A53" s="12"/>
      <c r="B53" s="208"/>
      <c r="C53" s="55"/>
      <c r="D53" s="102" t="s">
        <v>17</v>
      </c>
      <c r="E53" s="55"/>
      <c r="F53" s="109"/>
      <c r="G53" s="109"/>
      <c r="H53" s="109"/>
      <c r="I53" s="214"/>
      <c r="J53" s="110"/>
      <c r="K53" s="55"/>
      <c r="L53" s="111"/>
      <c r="M53" s="111"/>
      <c r="N53" s="55"/>
      <c r="O53" s="49"/>
      <c r="P53" s="110"/>
      <c r="Q53" s="56"/>
    </row>
    <row r="54" spans="1:17" ht="12.75">
      <c r="A54" s="12"/>
      <c r="B54" s="208">
        <v>11</v>
      </c>
      <c r="C54" s="55"/>
      <c r="D54" s="101" t="s">
        <v>18</v>
      </c>
      <c r="E54" s="55"/>
      <c r="F54" s="111">
        <f>IF(ISBLANK('A. Data_Input_Sheet'!U53),F38,'A. Data_Input_Sheet'!U53)</f>
        <v>0</v>
      </c>
      <c r="G54" s="109"/>
      <c r="H54" s="209"/>
      <c r="I54" s="247"/>
      <c r="J54" s="69">
        <f>$J$58*F54</f>
        <v>0</v>
      </c>
      <c r="K54" s="55"/>
      <c r="L54" s="103">
        <f>IF(ISBLANK('A. Data_Input_Sheet'!U60),L22,'A. Data_Input_Sheet'!U60)</f>
        <v>0.0985</v>
      </c>
      <c r="M54" s="103"/>
      <c r="N54" s="209"/>
      <c r="O54" s="247"/>
      <c r="P54" s="69">
        <f>L54*J54</f>
        <v>0</v>
      </c>
      <c r="Q54" s="56"/>
    </row>
    <row r="55" spans="1:17" ht="12.75">
      <c r="A55" s="12"/>
      <c r="B55" s="208">
        <v>12</v>
      </c>
      <c r="C55" s="55"/>
      <c r="D55" s="101" t="s">
        <v>19</v>
      </c>
      <c r="E55" s="55"/>
      <c r="F55" s="104">
        <f>IF(ISBLANK('A. Data_Input_Sheet'!U54),F39,'A. Data_Input_Sheet'!U54)</f>
        <v>0</v>
      </c>
      <c r="G55" s="214"/>
      <c r="H55" s="209"/>
      <c r="I55" s="247"/>
      <c r="J55" s="77">
        <f>$J$58*F55</f>
        <v>0</v>
      </c>
      <c r="K55" s="55"/>
      <c r="L55" s="104">
        <f>IF(ISBLANK('A. Data_Input_Sheet'!U61),L23,'A. Data_Input_Sheet'!U61)</f>
        <v>0</v>
      </c>
      <c r="M55" s="103"/>
      <c r="N55" s="209"/>
      <c r="O55" s="247"/>
      <c r="P55" s="77">
        <f>L55*J55</f>
        <v>0</v>
      </c>
      <c r="Q55" s="56"/>
    </row>
    <row r="56" spans="1:17" ht="13.5" thickBot="1">
      <c r="A56" s="12"/>
      <c r="B56" s="208">
        <v>13</v>
      </c>
      <c r="C56" s="55"/>
      <c r="D56" s="105" t="s">
        <v>20</v>
      </c>
      <c r="E56" s="55"/>
      <c r="F56" s="106">
        <f>SUM(F54:F55)</f>
        <v>0</v>
      </c>
      <c r="G56" s="109"/>
      <c r="H56" s="109"/>
      <c r="I56" s="109"/>
      <c r="J56" s="108">
        <f>SUM(J54:J55)</f>
        <v>0</v>
      </c>
      <c r="K56" s="55"/>
      <c r="L56" s="106">
        <f>IF(F56=0,0,SUMPRODUCT(F54:F55,L54:L55)/F56)</f>
        <v>0</v>
      </c>
      <c r="M56" s="111"/>
      <c r="N56" s="55"/>
      <c r="O56" s="55"/>
      <c r="P56" s="108">
        <f>SUM(P54:P55)</f>
        <v>0</v>
      </c>
      <c r="Q56" s="56"/>
    </row>
    <row r="57" spans="1:17" ht="13.5" thickTop="1">
      <c r="A57" s="12"/>
      <c r="B57" s="208"/>
      <c r="C57" s="55"/>
      <c r="D57" s="55"/>
      <c r="E57" s="55"/>
      <c r="F57" s="55"/>
      <c r="G57" s="55"/>
      <c r="H57" s="55"/>
      <c r="I57" s="55"/>
      <c r="J57" s="110"/>
      <c r="K57" s="55"/>
      <c r="L57" s="111"/>
      <c r="M57" s="111"/>
      <c r="N57" s="55"/>
      <c r="O57" s="55"/>
      <c r="P57" s="110"/>
      <c r="Q57" s="56"/>
    </row>
    <row r="58" spans="1:17" ht="13.5" thickBot="1">
      <c r="A58" s="12"/>
      <c r="B58" s="208">
        <v>14</v>
      </c>
      <c r="C58" s="55"/>
      <c r="D58" s="105" t="s">
        <v>21</v>
      </c>
      <c r="E58" s="55"/>
      <c r="F58" s="234">
        <f>F51+F56</f>
        <v>0</v>
      </c>
      <c r="G58" s="140"/>
      <c r="H58" s="140"/>
      <c r="I58" s="140"/>
      <c r="J58" s="118">
        <f>'1.Rate_Base'!W17</f>
        <v>152808317.14187726</v>
      </c>
      <c r="K58" s="55"/>
      <c r="L58" s="119">
        <f>(L51*F51)+(L56*F56)</f>
        <v>0</v>
      </c>
      <c r="M58" s="111"/>
      <c r="N58" s="55"/>
      <c r="O58" s="55"/>
      <c r="P58" s="118">
        <f>P51+P56</f>
        <v>0</v>
      </c>
      <c r="Q58" s="56"/>
    </row>
    <row r="59" spans="2:17" ht="13.5" thickTop="1">
      <c r="B59" s="153"/>
      <c r="C59" s="154"/>
      <c r="D59" s="154"/>
      <c r="E59" s="154"/>
      <c r="F59" s="154"/>
      <c r="G59" s="154"/>
      <c r="H59" s="154"/>
      <c r="I59" s="154"/>
      <c r="J59" s="154"/>
      <c r="K59" s="154"/>
      <c r="L59" s="154"/>
      <c r="M59" s="154"/>
      <c r="N59" s="154"/>
      <c r="O59" s="154"/>
      <c r="P59" s="154"/>
      <c r="Q59" s="58"/>
    </row>
    <row r="61" spans="2:16" ht="12.75">
      <c r="B61" s="433" t="s">
        <v>42</v>
      </c>
      <c r="C61" s="433"/>
      <c r="D61" s="433"/>
      <c r="E61" s="433"/>
      <c r="F61" s="433"/>
      <c r="G61" s="433"/>
      <c r="H61" s="433"/>
      <c r="I61" s="433"/>
      <c r="J61" s="433"/>
      <c r="K61" s="433"/>
      <c r="L61" s="433"/>
      <c r="M61" s="433"/>
      <c r="N61" s="433"/>
      <c r="O61" s="433"/>
      <c r="P61" s="433"/>
    </row>
    <row r="62" spans="2:16" ht="12.75">
      <c r="B62" s="36" t="s">
        <v>2</v>
      </c>
      <c r="D62" s="427" t="str">
        <f>'A. Data_Input_Sheet'!C66</f>
        <v>4.0% unless an Applicant has proposed or been approved for another amount.</v>
      </c>
      <c r="E62" s="427"/>
      <c r="F62" s="427"/>
      <c r="G62" s="427"/>
      <c r="H62" s="427"/>
      <c r="I62" s="427"/>
      <c r="J62" s="427"/>
      <c r="K62" s="427"/>
      <c r="L62" s="427"/>
      <c r="M62" s="427"/>
      <c r="N62" s="427"/>
      <c r="O62" s="427"/>
      <c r="P62" s="427"/>
    </row>
    <row r="63" spans="2:16" ht="12.75">
      <c r="B63" s="175"/>
      <c r="D63" s="409"/>
      <c r="E63" s="409"/>
      <c r="F63" s="409"/>
      <c r="G63" s="409"/>
      <c r="H63" s="409"/>
      <c r="I63" s="409"/>
      <c r="J63" s="409"/>
      <c r="K63" s="409"/>
      <c r="L63" s="409"/>
      <c r="M63" s="409"/>
      <c r="N63" s="409"/>
      <c r="O63" s="409"/>
      <c r="P63" s="409"/>
    </row>
    <row r="64" spans="2:16" ht="12.75">
      <c r="B64" s="175"/>
      <c r="D64" s="409"/>
      <c r="E64" s="409"/>
      <c r="F64" s="409"/>
      <c r="G64" s="409"/>
      <c r="H64" s="409"/>
      <c r="I64" s="409"/>
      <c r="J64" s="409"/>
      <c r="K64" s="409"/>
      <c r="L64" s="409"/>
      <c r="M64" s="409"/>
      <c r="N64" s="409"/>
      <c r="O64" s="409"/>
      <c r="P64" s="409"/>
    </row>
    <row r="65" spans="2:16" ht="12.75">
      <c r="B65" s="175"/>
      <c r="D65" s="409"/>
      <c r="E65" s="409"/>
      <c r="F65" s="409"/>
      <c r="G65" s="409"/>
      <c r="H65" s="409"/>
      <c r="I65" s="409"/>
      <c r="J65" s="409"/>
      <c r="K65" s="409"/>
      <c r="L65" s="409"/>
      <c r="M65" s="409"/>
      <c r="N65" s="409"/>
      <c r="O65" s="409"/>
      <c r="P65" s="409"/>
    </row>
    <row r="66" spans="2:16" ht="12.75">
      <c r="B66" s="175"/>
      <c r="D66" s="409"/>
      <c r="E66" s="409"/>
      <c r="F66" s="409"/>
      <c r="G66" s="409"/>
      <c r="H66" s="409"/>
      <c r="I66" s="409"/>
      <c r="J66" s="409"/>
      <c r="K66" s="409"/>
      <c r="L66" s="409"/>
      <c r="M66" s="409"/>
      <c r="N66" s="409"/>
      <c r="O66" s="409"/>
      <c r="P66" s="409"/>
    </row>
    <row r="67" spans="2:16" ht="12.75">
      <c r="B67" s="175"/>
      <c r="D67" s="409"/>
      <c r="E67" s="409"/>
      <c r="F67" s="409"/>
      <c r="G67" s="409"/>
      <c r="H67" s="409"/>
      <c r="I67" s="409"/>
      <c r="J67" s="409"/>
      <c r="K67" s="409"/>
      <c r="L67" s="409"/>
      <c r="M67" s="409"/>
      <c r="N67" s="409"/>
      <c r="O67" s="409"/>
      <c r="P67" s="409"/>
    </row>
    <row r="68" spans="2:16" ht="12.75">
      <c r="B68" s="175"/>
      <c r="D68" s="409"/>
      <c r="E68" s="409"/>
      <c r="F68" s="409"/>
      <c r="G68" s="409"/>
      <c r="H68" s="409"/>
      <c r="I68" s="409"/>
      <c r="J68" s="409"/>
      <c r="K68" s="409"/>
      <c r="L68" s="409"/>
      <c r="M68" s="409"/>
      <c r="N68" s="409"/>
      <c r="O68" s="409"/>
      <c r="P68" s="409"/>
    </row>
  </sheetData>
  <sheetProtection password="82A3" sheet="1" objects="1" scenarios="1"/>
  <mergeCells count="17">
    <mergeCell ref="C1:N1"/>
    <mergeCell ref="C3:N3"/>
    <mergeCell ref="C4:J4"/>
    <mergeCell ref="C2:R2"/>
    <mergeCell ref="D67:P67"/>
    <mergeCell ref="D68:P68"/>
    <mergeCell ref="D66:P66"/>
    <mergeCell ref="D62:P62"/>
    <mergeCell ref="D63:P63"/>
    <mergeCell ref="D64:P64"/>
    <mergeCell ref="D65:P65"/>
    <mergeCell ref="D8:P8"/>
    <mergeCell ref="F11:J11"/>
    <mergeCell ref="B61:P61"/>
    <mergeCell ref="D46:P46"/>
    <mergeCell ref="D14:P14"/>
    <mergeCell ref="D30:P30"/>
  </mergeCells>
  <conditionalFormatting sqref="D30:P30">
    <cfRule type="cellIs" priority="1" dxfId="2" operator="equal" stopIfTrue="1">
      <formula>""</formula>
    </cfRule>
  </conditionalFormatting>
  <printOptions horizontalCentered="1"/>
  <pageMargins left="0.7480314960629921" right="0.7480314960629921" top="0.5511811023622047" bottom="0.984251968503937" header="0.31496062992125984" footer="0.5118110236220472"/>
  <pageSetup fitToHeight="1" fitToWidth="1" horizontalDpi="600" verticalDpi="600" orientation="portrait" scale="74" r:id="rId3"/>
  <headerFooter alignWithMargins="0">
    <oddFooter>&amp;C6</oddFooter>
  </headerFooter>
  <legacyDrawing r:id="rId2"/>
  <oleObjects>
    <oleObject progId="Unknown" shapeId="8994154" r:id="rId1"/>
  </oleObjects>
</worksheet>
</file>

<file path=xl/worksheets/sheet7.xml><?xml version="1.0" encoding="utf-8"?>
<worksheet xmlns="http://schemas.openxmlformats.org/spreadsheetml/2006/main" xmlns:r="http://schemas.openxmlformats.org/officeDocument/2006/relationships">
  <sheetPr codeName="Sheet7">
    <pageSetUpPr fitToPage="1"/>
  </sheetPr>
  <dimension ref="B1:R56"/>
  <sheetViews>
    <sheetView showGridLines="0" zoomScalePageLayoutView="0" workbookViewId="0" topLeftCell="A28">
      <selection activeCell="F48" sqref="F48"/>
    </sheetView>
  </sheetViews>
  <sheetFormatPr defaultColWidth="9.140625" defaultRowHeight="12.75"/>
  <cols>
    <col min="1" max="1" width="1.28515625" style="13" customWidth="1"/>
    <col min="2" max="2" width="4.7109375" style="13" customWidth="1"/>
    <col min="3" max="3" width="1.28515625" style="13" customWidth="1"/>
    <col min="4" max="4" width="27.421875" style="13" customWidth="1"/>
    <col min="5" max="5" width="1.421875" style="13" customWidth="1"/>
    <col min="6" max="6" width="15.7109375" style="13" customWidth="1"/>
    <col min="7" max="7" width="1.421875" style="13" customWidth="1"/>
    <col min="8" max="8" width="15.57421875" style="13" customWidth="1"/>
    <col min="9" max="9" width="1.28515625" style="13" customWidth="1"/>
    <col min="10" max="10" width="15.7109375" style="13" customWidth="1"/>
    <col min="11" max="11" width="1.28515625" style="13" customWidth="1"/>
    <col min="12" max="12" width="15.7109375" style="13" customWidth="1"/>
    <col min="13" max="13" width="1.28515625" style="13" customWidth="1"/>
    <col min="14" max="14" width="15.7109375" style="13" customWidth="1"/>
    <col min="15" max="15" width="1.28515625" style="13" customWidth="1"/>
    <col min="16" max="16" width="15.7109375" style="13" customWidth="1"/>
    <col min="17" max="17" width="3.57421875" style="13" customWidth="1"/>
    <col min="18" max="16384" width="9.140625" style="13" customWidth="1"/>
  </cols>
  <sheetData>
    <row r="1" spans="3:16" s="2" customFormat="1" ht="20.25" customHeight="1">
      <c r="C1" s="454" t="s">
        <v>156</v>
      </c>
      <c r="D1" s="454"/>
      <c r="E1" s="454"/>
      <c r="F1" s="454"/>
      <c r="G1" s="454"/>
      <c r="H1" s="454"/>
      <c r="I1" s="454"/>
      <c r="J1" s="454"/>
      <c r="K1" s="454"/>
      <c r="L1" s="454"/>
      <c r="M1" s="454"/>
      <c r="N1" s="454"/>
      <c r="O1" s="454"/>
      <c r="P1" s="178" t="str">
        <f>CONCATENATE('Table of Contents'!$F$6," ",'Table of Contents'!$G$6)</f>
        <v>Version: 2.11</v>
      </c>
    </row>
    <row r="2" spans="3:15" s="2" customFormat="1" ht="18">
      <c r="C2" s="455" t="str">
        <f>"Name of LDC:    "&amp;IF(ISBLANK('Table of Contents'!D2),"",'Table of Contents'!D2)</f>
        <v>Name of LDC:    Waterloo North Hydro Inc.</v>
      </c>
      <c r="D2" s="455"/>
      <c r="E2" s="455"/>
      <c r="F2" s="455"/>
      <c r="G2" s="455"/>
      <c r="H2" s="455"/>
      <c r="I2" s="455"/>
      <c r="J2" s="455"/>
      <c r="K2" s="455"/>
      <c r="L2" s="455"/>
      <c r="M2" s="455"/>
      <c r="N2" s="455"/>
      <c r="O2" s="455"/>
    </row>
    <row r="3" spans="3:15" s="2" customFormat="1" ht="18">
      <c r="C3" s="455" t="str">
        <f>"File Number:      "&amp;IF(ISBLANK('Table of Contents'!D4),"",'Table of Contents'!D4)</f>
        <v>File Number:      EB-2010-0144</v>
      </c>
      <c r="D3" s="455"/>
      <c r="E3" s="455"/>
      <c r="F3" s="455"/>
      <c r="G3" s="455"/>
      <c r="H3" s="455"/>
      <c r="I3" s="455"/>
      <c r="J3" s="455"/>
      <c r="K3" s="455"/>
      <c r="L3" s="455"/>
      <c r="M3" s="455"/>
      <c r="N3" s="455"/>
      <c r="O3" s="455"/>
    </row>
    <row r="4" spans="3:8" s="2" customFormat="1" ht="18">
      <c r="C4" s="455" t="str">
        <f>"Rate Year:          "&amp;IF(ISBLANK('Table of Contents'!D6),"",'Table of Contents'!D6)</f>
        <v>Rate Year:          2011</v>
      </c>
      <c r="D4" s="455"/>
      <c r="E4" s="455"/>
      <c r="F4" s="455"/>
      <c r="G4" s="455"/>
      <c r="H4" s="455"/>
    </row>
    <row r="5" spans="5:6" s="2" customFormat="1" ht="15.75">
      <c r="E5" s="5"/>
      <c r="F5" s="5"/>
    </row>
    <row r="6" s="2" customFormat="1" ht="12.75"/>
    <row r="7" ht="4.5" customHeight="1"/>
    <row r="8" spans="5:16" ht="15.75">
      <c r="E8" s="81"/>
      <c r="F8" s="398" t="s">
        <v>56</v>
      </c>
      <c r="G8" s="398"/>
      <c r="H8" s="398"/>
      <c r="I8" s="398"/>
      <c r="J8" s="398"/>
      <c r="K8" s="398"/>
      <c r="L8" s="398"/>
      <c r="M8" s="398"/>
      <c r="N8" s="398"/>
      <c r="O8" s="398"/>
      <c r="P8" s="398"/>
    </row>
    <row r="9" spans="5:16" ht="15.75">
      <c r="E9" s="81"/>
      <c r="F9" s="82"/>
      <c r="G9" s="82"/>
      <c r="H9" s="82"/>
      <c r="I9" s="82"/>
      <c r="J9" s="82"/>
      <c r="K9" s="82"/>
      <c r="L9" s="82"/>
      <c r="M9" s="82"/>
      <c r="N9" s="82"/>
      <c r="O9" s="82"/>
      <c r="P9" s="82"/>
    </row>
    <row r="10" spans="5:16" ht="15.75">
      <c r="E10" s="81"/>
      <c r="F10" s="453" t="s">
        <v>189</v>
      </c>
      <c r="G10" s="453"/>
      <c r="H10" s="453"/>
      <c r="I10" s="82"/>
      <c r="J10" s="453">
        <f>IF(ISBLANK('A. Data_Input_Sheet'!M10:M11),"",'A. Data_Input_Sheet'!M10:M11)</f>
      </c>
      <c r="K10" s="453"/>
      <c r="L10" s="453"/>
      <c r="M10" s="82"/>
      <c r="N10" s="453" t="str">
        <f>'A. Data_Input_Sheet'!U10</f>
        <v>Per Board Decision</v>
      </c>
      <c r="O10" s="453"/>
      <c r="P10" s="453"/>
    </row>
    <row r="11" spans="4:16" ht="6" customHeight="1">
      <c r="D11" s="82"/>
      <c r="E11" s="82"/>
      <c r="F11" s="82"/>
      <c r="G11" s="82"/>
      <c r="H11" s="82"/>
      <c r="I11" s="82"/>
      <c r="J11" s="82"/>
      <c r="K11" s="82"/>
      <c r="L11" s="82"/>
      <c r="M11" s="82"/>
      <c r="N11" s="82"/>
      <c r="O11" s="82"/>
      <c r="P11" s="81"/>
    </row>
    <row r="12" spans="2:16" ht="12.75">
      <c r="B12" s="451" t="s">
        <v>41</v>
      </c>
      <c r="D12" s="458" t="s">
        <v>40</v>
      </c>
      <c r="F12" s="456" t="s">
        <v>142</v>
      </c>
      <c r="G12" s="83"/>
      <c r="H12" s="448" t="s">
        <v>143</v>
      </c>
      <c r="J12" s="456" t="s">
        <v>142</v>
      </c>
      <c r="K12" s="83"/>
      <c r="L12" s="448" t="s">
        <v>143</v>
      </c>
      <c r="N12" s="456" t="s">
        <v>142</v>
      </c>
      <c r="O12" s="83"/>
      <c r="P12" s="448" t="s">
        <v>143</v>
      </c>
    </row>
    <row r="13" spans="2:16" ht="24.75" customHeight="1">
      <c r="B13" s="452"/>
      <c r="C13" s="84"/>
      <c r="D13" s="439"/>
      <c r="E13" s="66"/>
      <c r="F13" s="457"/>
      <c r="G13" s="66"/>
      <c r="H13" s="449"/>
      <c r="J13" s="457"/>
      <c r="K13" s="55"/>
      <c r="L13" s="449"/>
      <c r="N13" s="457"/>
      <c r="O13" s="55"/>
      <c r="P13" s="449"/>
    </row>
    <row r="14" spans="2:17" ht="12.75">
      <c r="B14" s="85"/>
      <c r="C14" s="84"/>
      <c r="D14" s="66"/>
      <c r="E14" s="66"/>
      <c r="F14" s="86"/>
      <c r="G14" s="66"/>
      <c r="H14" s="87"/>
      <c r="J14" s="88"/>
      <c r="K14" s="89"/>
      <c r="L14" s="90"/>
      <c r="N14" s="88"/>
      <c r="O14" s="89"/>
      <c r="P14" s="90"/>
      <c r="Q14" s="167"/>
    </row>
    <row r="15" spans="2:17" ht="12.75">
      <c r="B15" s="12"/>
      <c r="D15" s="12"/>
      <c r="F15" s="88"/>
      <c r="G15" s="89"/>
      <c r="H15" s="56"/>
      <c r="J15" s="88"/>
      <c r="K15" s="89"/>
      <c r="L15" s="56"/>
      <c r="N15" s="88"/>
      <c r="O15" s="89"/>
      <c r="P15" s="56"/>
      <c r="Q15" s="167"/>
    </row>
    <row r="16" spans="2:17" ht="12.75">
      <c r="B16" s="213">
        <v>1</v>
      </c>
      <c r="D16" s="13" t="s">
        <v>183</v>
      </c>
      <c r="F16" s="304"/>
      <c r="G16" s="305"/>
      <c r="H16" s="306">
        <f>F49</f>
        <v>5012439.593128566</v>
      </c>
      <c r="I16" s="260"/>
      <c r="J16" s="304"/>
      <c r="K16" s="305"/>
      <c r="L16" s="306">
        <f>J49</f>
        <v>-6969798.177364065</v>
      </c>
      <c r="M16" s="260"/>
      <c r="N16" s="304"/>
      <c r="O16" s="305"/>
      <c r="P16" s="306">
        <f>N49</f>
        <v>18000168.423663557</v>
      </c>
      <c r="Q16" s="167"/>
    </row>
    <row r="17" spans="2:17" ht="12.75">
      <c r="B17" s="213">
        <v>2</v>
      </c>
      <c r="D17" s="13" t="s">
        <v>184</v>
      </c>
      <c r="F17" s="307">
        <f>'A. Data_Input_Sheet'!E23</f>
        <v>23968200.30682454</v>
      </c>
      <c r="G17" s="305"/>
      <c r="H17" s="306">
        <f>'A. Data_Input_Sheet'!E24-H16</f>
        <v>23968200.685616408</v>
      </c>
      <c r="I17" s="260"/>
      <c r="J17" s="307">
        <f>IF(ISBLANK('A. Data_Input_Sheet'!M23),'A. Data_Input_Sheet'!E23,'A. Data_Input_Sheet'!M23)</f>
        <v>23968200.30682454</v>
      </c>
      <c r="K17" s="305"/>
      <c r="L17" s="306">
        <f>IF(ISBLANK('A. Data_Input_Sheet'!M24),'A. Data_Input_Sheet'!E24-L16,'A. Data_Input_Sheet'!M24-L16)</f>
        <v>35950438.45610904</v>
      </c>
      <c r="M17" s="260"/>
      <c r="N17" s="307">
        <f>IF(ISBLANK('A. Data_Input_Sheet'!U23),'A. Data_Input_Sheet'!M23,'A. Data_Input_Sheet'!U23)</f>
        <v>0</v>
      </c>
      <c r="O17" s="305"/>
      <c r="P17" s="306">
        <f>IF(ISBLANK('A. Data_Input_Sheet'!U24),'A. Data_Input_Sheet'!M24-P16,'A. Data_Input_Sheet'!U24-P16)</f>
        <v>-18000168.423663557</v>
      </c>
      <c r="Q17" s="167"/>
    </row>
    <row r="18" spans="2:17" ht="25.5">
      <c r="B18" s="213">
        <v>3</v>
      </c>
      <c r="D18" s="47" t="s">
        <v>185</v>
      </c>
      <c r="F18" s="308">
        <f>'2.Utility Income'!F45</f>
        <v>1055962.648167087</v>
      </c>
      <c r="G18" s="305"/>
      <c r="H18" s="309">
        <f>'2.Utility Income'!F45</f>
        <v>1055962.648167087</v>
      </c>
      <c r="I18" s="260"/>
      <c r="J18" s="308">
        <f>'2.Utility Income'!N45</f>
        <v>0</v>
      </c>
      <c r="K18" s="305"/>
      <c r="L18" s="306">
        <f>J18</f>
        <v>0</v>
      </c>
      <c r="M18" s="260"/>
      <c r="N18" s="308">
        <f>'2.Utility Income'!V45</f>
        <v>0</v>
      </c>
      <c r="O18" s="305"/>
      <c r="P18" s="306">
        <f>'2.Utility Income'!V45</f>
        <v>0</v>
      </c>
      <c r="Q18" s="167"/>
    </row>
    <row r="19" spans="2:17" ht="13.5" thickBot="1">
      <c r="B19" s="213">
        <v>4</v>
      </c>
      <c r="D19" s="34" t="s">
        <v>124</v>
      </c>
      <c r="F19" s="310">
        <f>SUM(F17:F18)</f>
        <v>25024162.954991627</v>
      </c>
      <c r="G19" s="305"/>
      <c r="H19" s="311">
        <f>SUM(H16:H18)</f>
        <v>30036602.926912062</v>
      </c>
      <c r="I19" s="260"/>
      <c r="J19" s="312">
        <f>SUM(J17:J18)</f>
        <v>23968200.30682454</v>
      </c>
      <c r="K19" s="305"/>
      <c r="L19" s="311">
        <f>SUM(L16:L18)</f>
        <v>28980640.278744973</v>
      </c>
      <c r="M19" s="260"/>
      <c r="N19" s="312">
        <f>SUM(N17:N18)</f>
        <v>0</v>
      </c>
      <c r="O19" s="305"/>
      <c r="P19" s="311">
        <f>SUM(P16:P18)</f>
        <v>0</v>
      </c>
      <c r="Q19" s="167"/>
    </row>
    <row r="20" spans="2:17" ht="13.5" thickTop="1">
      <c r="B20" s="213"/>
      <c r="F20" s="313"/>
      <c r="G20" s="305"/>
      <c r="H20" s="314"/>
      <c r="I20" s="260"/>
      <c r="J20" s="313"/>
      <c r="K20" s="305"/>
      <c r="L20" s="306"/>
      <c r="M20" s="260"/>
      <c r="N20" s="313"/>
      <c r="O20" s="305"/>
      <c r="P20" s="306"/>
      <c r="Q20" s="167"/>
    </row>
    <row r="21" spans="2:18" ht="12.75">
      <c r="B21" s="213">
        <v>5</v>
      </c>
      <c r="C21" s="31"/>
      <c r="D21" s="43" t="s">
        <v>131</v>
      </c>
      <c r="E21" s="31"/>
      <c r="F21" s="307">
        <f>'2.Utility Income'!F24</f>
        <v>18000168.423663557</v>
      </c>
      <c r="G21" s="305"/>
      <c r="H21" s="306">
        <f>'2.Utility Income'!F24</f>
        <v>18000168.423663557</v>
      </c>
      <c r="I21" s="260"/>
      <c r="J21" s="307">
        <f>'2.Utility Income'!N24</f>
        <v>18000168.423663557</v>
      </c>
      <c r="K21" s="305"/>
      <c r="L21" s="306">
        <f>'2.Utility Income'!N24</f>
        <v>18000168.423663557</v>
      </c>
      <c r="M21" s="260"/>
      <c r="N21" s="307">
        <f>'2.Utility Income'!V24</f>
        <v>18000168.423663557</v>
      </c>
      <c r="O21" s="305"/>
      <c r="P21" s="306">
        <f>'2.Utility Income'!V24</f>
        <v>18000168.423663557</v>
      </c>
      <c r="Q21" s="169"/>
      <c r="R21" s="31"/>
    </row>
    <row r="22" spans="2:18" ht="12.75">
      <c r="B22" s="213">
        <v>6</v>
      </c>
      <c r="C22" s="31"/>
      <c r="D22" s="43" t="s">
        <v>109</v>
      </c>
      <c r="E22" s="31"/>
      <c r="F22" s="308">
        <f>'2.Utility Income'!F27</f>
        <v>4803476.6243935125</v>
      </c>
      <c r="G22" s="305"/>
      <c r="H22" s="309">
        <f>'2.Utility Income'!F27</f>
        <v>4803476.6243935125</v>
      </c>
      <c r="I22" s="260"/>
      <c r="J22" s="307">
        <f>'2.Utility Income'!N27</f>
        <v>0</v>
      </c>
      <c r="K22" s="305"/>
      <c r="L22" s="306">
        <f>'2.Utility Income'!N27</f>
        <v>0</v>
      </c>
      <c r="M22" s="260"/>
      <c r="N22" s="307">
        <f>'2.Utility Income'!V27</f>
        <v>0</v>
      </c>
      <c r="O22" s="305"/>
      <c r="P22" s="306">
        <f>'2.Utility Income'!V27</f>
        <v>0</v>
      </c>
      <c r="Q22" s="169"/>
      <c r="R22" s="31"/>
    </row>
    <row r="23" spans="2:17" ht="13.5" thickBot="1">
      <c r="B23" s="213"/>
      <c r="D23" s="34" t="s">
        <v>132</v>
      </c>
      <c r="F23" s="310">
        <f>SUM(F21:F22)</f>
        <v>22803645.04805707</v>
      </c>
      <c r="G23" s="305"/>
      <c r="H23" s="311">
        <f>SUM(H21:H22)</f>
        <v>22803645.04805707</v>
      </c>
      <c r="I23" s="260"/>
      <c r="J23" s="312">
        <f>SUM(J21:J22)</f>
        <v>18000168.423663557</v>
      </c>
      <c r="K23" s="305"/>
      <c r="L23" s="311">
        <f>SUM(L21:L22)</f>
        <v>18000168.423663557</v>
      </c>
      <c r="M23" s="260"/>
      <c r="N23" s="312">
        <f>SUM(N21:N22)</f>
        <v>18000168.423663557</v>
      </c>
      <c r="O23" s="305"/>
      <c r="P23" s="311">
        <f>SUM(P21:P22)</f>
        <v>18000168.423663557</v>
      </c>
      <c r="Q23" s="167"/>
    </row>
    <row r="24" spans="2:17" ht="13.5" thickTop="1">
      <c r="B24" s="213"/>
      <c r="D24" s="12"/>
      <c r="F24" s="307"/>
      <c r="G24" s="305"/>
      <c r="H24" s="306"/>
      <c r="I24" s="260"/>
      <c r="J24" s="313"/>
      <c r="K24" s="305"/>
      <c r="L24" s="306"/>
      <c r="M24" s="260"/>
      <c r="N24" s="313"/>
      <c r="O24" s="305"/>
      <c r="P24" s="306"/>
      <c r="Q24" s="167"/>
    </row>
    <row r="25" spans="2:17" ht="25.5">
      <c r="B25" s="213">
        <v>7</v>
      </c>
      <c r="D25" s="79" t="s">
        <v>125</v>
      </c>
      <c r="F25" s="307">
        <f>F19-F23</f>
        <v>2220517.9069345593</v>
      </c>
      <c r="G25" s="305"/>
      <c r="H25" s="306">
        <f>H19-H23</f>
        <v>7232957.878854994</v>
      </c>
      <c r="I25" s="260"/>
      <c r="J25" s="313">
        <f>J19-J23</f>
        <v>5968031.883160982</v>
      </c>
      <c r="K25" s="305"/>
      <c r="L25" s="306">
        <f>L19-L23</f>
        <v>10980471.855081417</v>
      </c>
      <c r="M25" s="260"/>
      <c r="N25" s="313">
        <f>N19-N23</f>
        <v>-18000168.423663557</v>
      </c>
      <c r="O25" s="305"/>
      <c r="P25" s="306">
        <f>P19-P23</f>
        <v>-18000168.423663557</v>
      </c>
      <c r="Q25" s="167"/>
    </row>
    <row r="26" spans="2:17" ht="12.75">
      <c r="B26" s="213"/>
      <c r="D26" s="13" t="s">
        <v>74</v>
      </c>
      <c r="F26" s="313"/>
      <c r="G26" s="305"/>
      <c r="H26" s="314"/>
      <c r="I26" s="260"/>
      <c r="J26" s="313"/>
      <c r="K26" s="305"/>
      <c r="L26" s="306"/>
      <c r="M26" s="260"/>
      <c r="N26" s="313"/>
      <c r="O26" s="305"/>
      <c r="P26" s="306"/>
      <c r="Q26" s="167"/>
    </row>
    <row r="27" spans="2:17" ht="38.25">
      <c r="B27" s="213">
        <v>8</v>
      </c>
      <c r="D27" s="94" t="s">
        <v>154</v>
      </c>
      <c r="F27" s="308">
        <f>'A. Data_Input_Sheet'!E40</f>
        <v>-2724062.6162643284</v>
      </c>
      <c r="G27" s="305"/>
      <c r="H27" s="309">
        <f>'A. Data_Input_Sheet'!E40</f>
        <v>-2724062.6162643284</v>
      </c>
      <c r="I27" s="260"/>
      <c r="J27" s="308">
        <f>IF(ISBLANK('A. Data_Input_Sheet'!M40),'A. Data_Input_Sheet'!E40,'A. Data_Input_Sheet'!M40)</f>
        <v>-2724062.6162643284</v>
      </c>
      <c r="K27" s="305"/>
      <c r="L27" s="309">
        <f>IF(ISBLANK('A. Data_Input_Sheet'!M40),'A. Data_Input_Sheet'!E40,'A. Data_Input_Sheet'!M40)</f>
        <v>-2724062.6162643284</v>
      </c>
      <c r="M27" s="260"/>
      <c r="N27" s="308">
        <f>IF(ISBLANK('A. Data_Input_Sheet'!U40),'A. Data_Input_Sheet'!M40,'A. Data_Input_Sheet'!U40)</f>
        <v>0</v>
      </c>
      <c r="O27" s="305"/>
      <c r="P27" s="309">
        <f>IF(ISBLANK('A. Data_Input_Sheet'!U40),'A. Data_Input_Sheet'!M40,'A. Data_Input_Sheet'!U40)</f>
        <v>0</v>
      </c>
      <c r="Q27" s="167"/>
    </row>
    <row r="28" spans="2:17" ht="12.75">
      <c r="B28" s="213">
        <v>9</v>
      </c>
      <c r="D28" s="34" t="s">
        <v>129</v>
      </c>
      <c r="F28" s="313">
        <f>SUM(F25:F27)</f>
        <v>-503544.709329769</v>
      </c>
      <c r="G28" s="305"/>
      <c r="H28" s="314">
        <f>SUM(H25:H27)</f>
        <v>4508895.262590665</v>
      </c>
      <c r="I28" s="260"/>
      <c r="J28" s="313">
        <f>SUM(J25+J27)</f>
        <v>3243969.266896654</v>
      </c>
      <c r="K28" s="305"/>
      <c r="L28" s="306">
        <f>L25+L27</f>
        <v>8256409.238817088</v>
      </c>
      <c r="M28" s="260"/>
      <c r="N28" s="313">
        <f>SUM(N25+N27)</f>
        <v>-18000168.423663557</v>
      </c>
      <c r="O28" s="305"/>
      <c r="P28" s="306">
        <f>P25+P27</f>
        <v>-18000168.423663557</v>
      </c>
      <c r="Q28" s="167"/>
    </row>
    <row r="29" spans="2:17" ht="12.75">
      <c r="B29" s="213"/>
      <c r="D29" s="12"/>
      <c r="F29" s="313"/>
      <c r="G29" s="305"/>
      <c r="H29" s="314"/>
      <c r="I29" s="260"/>
      <c r="J29" s="313"/>
      <c r="K29" s="305"/>
      <c r="L29" s="314"/>
      <c r="M29" s="260"/>
      <c r="N29" s="313"/>
      <c r="O29" s="305"/>
      <c r="P29" s="314"/>
      <c r="Q29" s="167"/>
    </row>
    <row r="30" spans="2:17" ht="12.75">
      <c r="B30" s="213">
        <v>10</v>
      </c>
      <c r="D30" s="44" t="s">
        <v>186</v>
      </c>
      <c r="F30" s="315">
        <f>'3.Taxes_PILs'!G39</f>
        <v>0.26887071797330864</v>
      </c>
      <c r="G30" s="316"/>
      <c r="H30" s="296">
        <f>'3.Taxes_PILs'!G39</f>
        <v>0.26887071797330864</v>
      </c>
      <c r="I30" s="317"/>
      <c r="J30" s="315">
        <f>'3.Taxes_PILs'!K39</f>
        <v>0.26887071797330864</v>
      </c>
      <c r="K30" s="316"/>
      <c r="L30" s="296">
        <f>'3.Taxes_PILs'!K39</f>
        <v>0.26887071797330864</v>
      </c>
      <c r="M30" s="317"/>
      <c r="N30" s="315">
        <f>'3.Taxes_PILs'!O39</f>
        <v>0.26887071797330864</v>
      </c>
      <c r="O30" s="316"/>
      <c r="P30" s="296">
        <f>'3.Taxes_PILs'!O39</f>
        <v>0.26887071797330864</v>
      </c>
      <c r="Q30" s="167"/>
    </row>
    <row r="31" spans="2:17" ht="25.5">
      <c r="B31" s="213">
        <v>11</v>
      </c>
      <c r="D31" s="202" t="s">
        <v>187</v>
      </c>
      <c r="F31" s="307">
        <f>F28*F30</f>
        <v>-135388.427529156</v>
      </c>
      <c r="G31" s="305"/>
      <c r="H31" s="306">
        <f>H28*H30</f>
        <v>1212309.9065192023</v>
      </c>
      <c r="I31" s="260"/>
      <c r="J31" s="313">
        <f>J28*J30</f>
        <v>872208.345873851</v>
      </c>
      <c r="K31" s="305"/>
      <c r="L31" s="306">
        <f>L28*L30</f>
        <v>2219906.679922209</v>
      </c>
      <c r="M31" s="260"/>
      <c r="N31" s="313">
        <f>N28*N30</f>
        <v>-4839718.207710899</v>
      </c>
      <c r="O31" s="305"/>
      <c r="P31" s="306">
        <f>P28*P30</f>
        <v>-4839718.207710899</v>
      </c>
      <c r="Q31" s="167"/>
    </row>
    <row r="32" spans="2:17" ht="12.75">
      <c r="B32" s="213">
        <v>12</v>
      </c>
      <c r="D32" s="12" t="s">
        <v>130</v>
      </c>
      <c r="F32" s="307">
        <f>'A. Data_Input_Sheet'!E47</f>
        <v>0</v>
      </c>
      <c r="G32" s="305"/>
      <c r="H32" s="306">
        <f>'A. Data_Input_Sheet'!E47</f>
        <v>0</v>
      </c>
      <c r="I32" s="260"/>
      <c r="J32" s="307">
        <f>IF(ISBLANK('A. Data_Input_Sheet'!M47),'A. Data_Input_Sheet'!E47,'A. Data_Input_Sheet'!M47)</f>
        <v>0</v>
      </c>
      <c r="K32" s="305"/>
      <c r="L32" s="306">
        <f>IF(ISBLANK('A. Data_Input_Sheet'!M47),'A. Data_Input_Sheet'!E47,'A. Data_Input_Sheet'!M47)</f>
        <v>0</v>
      </c>
      <c r="M32" s="260"/>
      <c r="N32" s="307">
        <f>IF(ISBLANK('A. Data_Input_Sheet'!U47),'A. Data_Input_Sheet'!M47,'A. Data_Input_Sheet'!U47)</f>
        <v>0</v>
      </c>
      <c r="O32" s="305"/>
      <c r="P32" s="306">
        <f>IF(ISBLANK('A. Data_Input_Sheet'!U47),'A. Data_Input_Sheet'!M47,'A. Data_Input_Sheet'!U47)</f>
        <v>0</v>
      </c>
      <c r="Q32" s="167"/>
    </row>
    <row r="33" spans="2:17" ht="13.5" thickBot="1">
      <c r="B33" s="213">
        <v>13</v>
      </c>
      <c r="D33" s="34" t="s">
        <v>126</v>
      </c>
      <c r="F33" s="310">
        <f>F25-SUM(F31:F32)</f>
        <v>2355906.3344637156</v>
      </c>
      <c r="G33" s="305"/>
      <c r="H33" s="311">
        <f>'2.Utility Income'!F34</f>
        <v>6020648.074181827</v>
      </c>
      <c r="I33" s="260"/>
      <c r="J33" s="312">
        <f>J25-SUM(J31:J32)</f>
        <v>5095823.537287131</v>
      </c>
      <c r="K33" s="305"/>
      <c r="L33" s="311">
        <f>'2.Utility Income'!N34</f>
        <v>-19212478.22833672</v>
      </c>
      <c r="M33" s="260"/>
      <c r="N33" s="312">
        <f>N25-SUM(N31:N32)</f>
        <v>-13160450.215952657</v>
      </c>
      <c r="O33" s="305"/>
      <c r="P33" s="311">
        <f>'2.Utility Income'!V34</f>
        <v>-19212478.22833672</v>
      </c>
      <c r="Q33" s="167"/>
    </row>
    <row r="34" spans="2:17" ht="13.5" thickTop="1">
      <c r="B34" s="213"/>
      <c r="F34" s="313"/>
      <c r="G34" s="305"/>
      <c r="H34" s="314"/>
      <c r="I34" s="260"/>
      <c r="J34" s="313"/>
      <c r="K34" s="305"/>
      <c r="L34" s="314"/>
      <c r="M34" s="260"/>
      <c r="N34" s="313"/>
      <c r="O34" s="305"/>
      <c r="P34" s="314"/>
      <c r="Q34" s="167"/>
    </row>
    <row r="35" spans="2:17" ht="12.75">
      <c r="B35" s="213">
        <v>14</v>
      </c>
      <c r="D35" s="34" t="s">
        <v>58</v>
      </c>
      <c r="F35" s="307">
        <f>'1.Rate_Base'!G17</f>
        <v>152808317.14187726</v>
      </c>
      <c r="G35" s="305"/>
      <c r="H35" s="306">
        <f>'1.Rate_Base'!G17</f>
        <v>152808317.14187726</v>
      </c>
      <c r="I35" s="260"/>
      <c r="J35" s="307">
        <f>'1.Rate_Base'!O17</f>
        <v>152808317.14187726</v>
      </c>
      <c r="K35" s="305"/>
      <c r="L35" s="306">
        <f>'1.Rate_Base'!O17</f>
        <v>152808317.14187726</v>
      </c>
      <c r="M35" s="260"/>
      <c r="N35" s="307">
        <f>'1.Rate_Base'!W17</f>
        <v>152808317.14187726</v>
      </c>
      <c r="O35" s="305"/>
      <c r="P35" s="306">
        <f>'1.Rate_Base'!W17</f>
        <v>152808317.14187726</v>
      </c>
      <c r="Q35" s="167"/>
    </row>
    <row r="36" spans="2:17" ht="12.75">
      <c r="B36" s="213"/>
      <c r="D36" s="12"/>
      <c r="F36" s="307"/>
      <c r="G36" s="305"/>
      <c r="H36" s="306"/>
      <c r="I36" s="260"/>
      <c r="J36" s="313"/>
      <c r="K36" s="305"/>
      <c r="L36" s="306"/>
      <c r="M36" s="260"/>
      <c r="N36" s="313"/>
      <c r="O36" s="305"/>
      <c r="P36" s="306"/>
      <c r="Q36" s="167"/>
    </row>
    <row r="37" spans="2:17" ht="25.5">
      <c r="B37" s="213"/>
      <c r="D37" s="203" t="s">
        <v>150</v>
      </c>
      <c r="E37" s="95"/>
      <c r="F37" s="318">
        <f>'4.Cost_of_Capital'!J24</f>
        <v>61123326.856750906</v>
      </c>
      <c r="G37" s="319"/>
      <c r="H37" s="320">
        <f>F37</f>
        <v>61123326.856750906</v>
      </c>
      <c r="I37" s="260"/>
      <c r="J37" s="307">
        <f>'4.Cost_of_Capital'!J40</f>
        <v>0</v>
      </c>
      <c r="K37" s="305"/>
      <c r="L37" s="314">
        <f>J37</f>
        <v>0</v>
      </c>
      <c r="M37" s="260"/>
      <c r="N37" s="307">
        <f>'4.Cost_of_Capital'!J56</f>
        <v>0</v>
      </c>
      <c r="O37" s="305"/>
      <c r="P37" s="314">
        <f>N37</f>
        <v>0</v>
      </c>
      <c r="Q37" s="167"/>
    </row>
    <row r="38" spans="2:17" ht="12.75">
      <c r="B38" s="213"/>
      <c r="D38" s="95"/>
      <c r="E38" s="95"/>
      <c r="F38" s="321"/>
      <c r="G38" s="319"/>
      <c r="H38" s="322"/>
      <c r="I38" s="260"/>
      <c r="J38" s="304"/>
      <c r="K38" s="305"/>
      <c r="L38" s="268"/>
      <c r="M38" s="260"/>
      <c r="N38" s="304"/>
      <c r="O38" s="305"/>
      <c r="P38" s="268"/>
      <c r="Q38" s="167"/>
    </row>
    <row r="39" spans="2:17" ht="12.75">
      <c r="B39" s="213">
        <v>15</v>
      </c>
      <c r="D39" s="13" t="s">
        <v>135</v>
      </c>
      <c r="F39" s="315">
        <f>IF(F37=0,0,F33/F37)</f>
        <v>0.03854348995081756</v>
      </c>
      <c r="G39" s="305"/>
      <c r="H39" s="296">
        <f>IF(H37=0,0,H33/H37)</f>
        <v>0.09850000619717351</v>
      </c>
      <c r="I39" s="260"/>
      <c r="J39" s="315">
        <f>IF(J37=0,0,J33/J37)</f>
        <v>0</v>
      </c>
      <c r="K39" s="305"/>
      <c r="L39" s="296">
        <f>IF(L37=0,0,L33/L37)</f>
        <v>0</v>
      </c>
      <c r="M39" s="260"/>
      <c r="N39" s="315">
        <f>IF(N37=0,0,N33/N37)</f>
        <v>0</v>
      </c>
      <c r="O39" s="305"/>
      <c r="P39" s="296">
        <f>IF(P37=0,0,P33/P37)</f>
        <v>0</v>
      </c>
      <c r="Q39" s="167"/>
    </row>
    <row r="40" spans="2:17" ht="25.5">
      <c r="B40" s="213">
        <v>16</v>
      </c>
      <c r="D40" s="47" t="s">
        <v>133</v>
      </c>
      <c r="F40" s="323">
        <f>'4.Cost_of_Capital'!L24</f>
        <v>0.0985</v>
      </c>
      <c r="G40" s="305"/>
      <c r="H40" s="324">
        <f>'4.Cost_of_Capital'!L24</f>
        <v>0.0985</v>
      </c>
      <c r="I40" s="260"/>
      <c r="J40" s="325">
        <f>'4.Cost_of_Capital'!L40</f>
        <v>0</v>
      </c>
      <c r="K40" s="305"/>
      <c r="L40" s="324">
        <f>'4.Cost_of_Capital'!L40</f>
        <v>0</v>
      </c>
      <c r="M40" s="260"/>
      <c r="N40" s="325">
        <f>'4.Cost_of_Capital'!L56</f>
        <v>0</v>
      </c>
      <c r="O40" s="305"/>
      <c r="P40" s="324">
        <f>'4.Cost_of_Capital'!L56</f>
        <v>0</v>
      </c>
      <c r="Q40" s="167"/>
    </row>
    <row r="41" spans="2:17" ht="25.5">
      <c r="B41" s="213">
        <v>17</v>
      </c>
      <c r="D41" s="47" t="s">
        <v>146</v>
      </c>
      <c r="F41" s="315">
        <f>F39-F40</f>
        <v>-0.05995651004918245</v>
      </c>
      <c r="G41" s="305"/>
      <c r="H41" s="296">
        <f>H39-H40</f>
        <v>6.197173510469334E-09</v>
      </c>
      <c r="I41" s="260"/>
      <c r="J41" s="326">
        <f>J39-J40</f>
        <v>0</v>
      </c>
      <c r="K41" s="305"/>
      <c r="L41" s="296">
        <f>L39-L40</f>
        <v>0</v>
      </c>
      <c r="M41" s="260"/>
      <c r="N41" s="326">
        <f>N39-N40</f>
        <v>0</v>
      </c>
      <c r="O41" s="305"/>
      <c r="P41" s="296">
        <f>P39-P40</f>
        <v>0</v>
      </c>
      <c r="Q41" s="167"/>
    </row>
    <row r="42" spans="2:17" ht="12.75">
      <c r="B42" s="213"/>
      <c r="F42" s="315"/>
      <c r="G42" s="305"/>
      <c r="H42" s="296"/>
      <c r="I42" s="260"/>
      <c r="J42" s="304"/>
      <c r="K42" s="305"/>
      <c r="L42" s="268"/>
      <c r="M42" s="260"/>
      <c r="N42" s="304"/>
      <c r="O42" s="305"/>
      <c r="P42" s="268"/>
      <c r="Q42" s="167"/>
    </row>
    <row r="43" spans="2:17" ht="12.75">
      <c r="B43" s="213">
        <v>18</v>
      </c>
      <c r="D43" s="13" t="s">
        <v>59</v>
      </c>
      <c r="F43" s="315">
        <f>IF(F35=0,0,(F33+F22)/F35)</f>
        <v>0.04685205028604554</v>
      </c>
      <c r="G43" s="305"/>
      <c r="H43" s="296">
        <f>IF(H35=0,0,(H33+H22)/H35)</f>
        <v>0.07083465678458793</v>
      </c>
      <c r="I43" s="260"/>
      <c r="J43" s="315">
        <f>IF(J35=0,0,(J33+J22)/J35)</f>
        <v>0.03334781530612522</v>
      </c>
      <c r="K43" s="305"/>
      <c r="L43" s="296">
        <f>IF(L37=0,0,(L33+L22)/L35)</f>
        <v>0</v>
      </c>
      <c r="M43" s="260"/>
      <c r="N43" s="315">
        <f>IF(N35=0,0,(N33+N22)/N35)</f>
        <v>-0.08612391303107954</v>
      </c>
      <c r="O43" s="305"/>
      <c r="P43" s="296">
        <f>IF(P37=0,0,(P33+P22)/P35)</f>
        <v>0</v>
      </c>
      <c r="Q43" s="167"/>
    </row>
    <row r="44" spans="2:17" ht="25.5">
      <c r="B44" s="213">
        <v>19</v>
      </c>
      <c r="D44" s="47" t="s">
        <v>134</v>
      </c>
      <c r="F44" s="325">
        <f>'4.Cost_of_Capital'!L26</f>
        <v>0.07083465430571853</v>
      </c>
      <c r="G44" s="305"/>
      <c r="H44" s="327">
        <f>'4.Cost_of_Capital'!L26</f>
        <v>0.07083465430571853</v>
      </c>
      <c r="I44" s="260"/>
      <c r="J44" s="325">
        <f>'4.Cost_of_Capital'!L42</f>
        <v>0</v>
      </c>
      <c r="K44" s="305"/>
      <c r="L44" s="324">
        <f>'4.Cost_of_Capital'!L42</f>
        <v>0</v>
      </c>
      <c r="M44" s="260"/>
      <c r="N44" s="325">
        <f>'4.Cost_of_Capital'!L58</f>
        <v>0</v>
      </c>
      <c r="O44" s="305"/>
      <c r="P44" s="324">
        <f>'4.Cost_of_Capital'!L58</f>
        <v>0</v>
      </c>
      <c r="Q44" s="167"/>
    </row>
    <row r="45" spans="2:17" ht="25.5">
      <c r="B45" s="213">
        <v>20</v>
      </c>
      <c r="D45" s="47" t="s">
        <v>60</v>
      </c>
      <c r="F45" s="326">
        <f>F43-F44</f>
        <v>-0.02398260401967299</v>
      </c>
      <c r="G45" s="305"/>
      <c r="H45" s="328">
        <f>H43-H44</f>
        <v>2.478869401412176E-09</v>
      </c>
      <c r="I45" s="260"/>
      <c r="J45" s="326">
        <f>J43-J44</f>
        <v>0.03334781530612522</v>
      </c>
      <c r="K45" s="305"/>
      <c r="L45" s="328">
        <f>L43-L44</f>
        <v>0</v>
      </c>
      <c r="M45" s="260"/>
      <c r="N45" s="326">
        <f>N43-N44</f>
        <v>-0.08612391303107954</v>
      </c>
      <c r="O45" s="305"/>
      <c r="P45" s="328">
        <f>P43-P44</f>
        <v>0</v>
      </c>
      <c r="Q45" s="167"/>
    </row>
    <row r="46" spans="2:17" ht="12.75">
      <c r="B46" s="213"/>
      <c r="F46" s="304"/>
      <c r="G46" s="305"/>
      <c r="H46" s="268"/>
      <c r="I46" s="260"/>
      <c r="J46" s="304"/>
      <c r="K46" s="305"/>
      <c r="L46" s="268"/>
      <c r="M46" s="260"/>
      <c r="N46" s="304"/>
      <c r="O46" s="305"/>
      <c r="P46" s="268"/>
      <c r="Q46" s="167"/>
    </row>
    <row r="47" spans="2:17" ht="12.75">
      <c r="B47" s="213">
        <v>21</v>
      </c>
      <c r="D47" s="13" t="s">
        <v>145</v>
      </c>
      <c r="F47" s="307">
        <f>H47</f>
        <v>6020647.695389965</v>
      </c>
      <c r="G47" s="329"/>
      <c r="H47" s="306">
        <f>'4.Cost_of_Capital'!P24</f>
        <v>6020647.695389965</v>
      </c>
      <c r="I47" s="330"/>
      <c r="J47" s="307">
        <f>L47</f>
        <v>0</v>
      </c>
      <c r="K47" s="329"/>
      <c r="L47" s="306">
        <f>'4.Cost_of_Capital'!P40</f>
        <v>0</v>
      </c>
      <c r="M47" s="330"/>
      <c r="N47" s="307">
        <f>P47</f>
        <v>0</v>
      </c>
      <c r="O47" s="329"/>
      <c r="P47" s="306">
        <f>'4.Cost_of_Capital'!P56</f>
        <v>0</v>
      </c>
      <c r="Q47" s="167"/>
    </row>
    <row r="48" spans="2:17" ht="12.75">
      <c r="B48" s="213">
        <v>22</v>
      </c>
      <c r="D48" s="13" t="s">
        <v>246</v>
      </c>
      <c r="F48" s="307">
        <f>F47-F33</f>
        <v>3664741.360926249</v>
      </c>
      <c r="G48" s="329" t="s">
        <v>136</v>
      </c>
      <c r="H48" s="314">
        <f>H35*H45</f>
        <v>0.37879186164428724</v>
      </c>
      <c r="I48" s="330"/>
      <c r="J48" s="307">
        <f>J47-J33</f>
        <v>-5095823.537287131</v>
      </c>
      <c r="K48" s="329"/>
      <c r="L48" s="314">
        <f>L35*L45</f>
        <v>0</v>
      </c>
      <c r="M48" s="330"/>
      <c r="N48" s="307">
        <f>N47-N33</f>
        <v>13160450.215952657</v>
      </c>
      <c r="O48" s="329"/>
      <c r="P48" s="314">
        <f>P35*P45</f>
        <v>0</v>
      </c>
      <c r="Q48" s="167"/>
    </row>
    <row r="49" spans="2:16" ht="25.5">
      <c r="B49" s="213">
        <v>23</v>
      </c>
      <c r="D49" s="79" t="s">
        <v>245</v>
      </c>
      <c r="F49" s="308">
        <f>F48/(1-F30)</f>
        <v>5012439.593128566</v>
      </c>
      <c r="G49" s="331" t="s">
        <v>2</v>
      </c>
      <c r="H49" s="332"/>
      <c r="I49" s="330"/>
      <c r="J49" s="308">
        <f>J48/(1-J30)</f>
        <v>-6969798.177364065</v>
      </c>
      <c r="K49" s="331" t="s">
        <v>2</v>
      </c>
      <c r="L49" s="332"/>
      <c r="M49" s="330"/>
      <c r="N49" s="308">
        <f>N48/(1-N30)</f>
        <v>18000168.423663557</v>
      </c>
      <c r="O49" s="331" t="s">
        <v>2</v>
      </c>
      <c r="P49" s="332"/>
    </row>
    <row r="52" spans="2:15" ht="12.75">
      <c r="B52" s="450" t="s">
        <v>50</v>
      </c>
      <c r="C52" s="450"/>
      <c r="D52" s="450"/>
      <c r="E52" s="450"/>
      <c r="F52" s="450"/>
      <c r="G52" s="450"/>
      <c r="H52" s="450"/>
      <c r="I52" s="450"/>
      <c r="J52" s="97"/>
      <c r="K52" s="97"/>
      <c r="L52" s="97"/>
      <c r="M52" s="97"/>
      <c r="N52" s="97"/>
      <c r="O52" s="97"/>
    </row>
    <row r="53" spans="2:16" ht="12.75">
      <c r="B53" s="36" t="s">
        <v>2</v>
      </c>
      <c r="D53" s="401" t="s">
        <v>153</v>
      </c>
      <c r="E53" s="401"/>
      <c r="F53" s="401"/>
      <c r="G53" s="401"/>
      <c r="H53" s="401"/>
      <c r="I53" s="401"/>
      <c r="J53" s="401"/>
      <c r="K53" s="401"/>
      <c r="L53" s="401"/>
      <c r="M53" s="401"/>
      <c r="N53" s="401"/>
      <c r="O53" s="401"/>
      <c r="P53" s="401"/>
    </row>
    <row r="54" spans="2:16" ht="12.75">
      <c r="B54" s="175"/>
      <c r="D54" s="409"/>
      <c r="E54" s="409"/>
      <c r="F54" s="409"/>
      <c r="G54" s="409"/>
      <c r="H54" s="409"/>
      <c r="I54" s="409"/>
      <c r="J54" s="409"/>
      <c r="K54" s="409"/>
      <c r="L54" s="409"/>
      <c r="M54" s="409"/>
      <c r="N54" s="409"/>
      <c r="O54" s="409"/>
      <c r="P54" s="409"/>
    </row>
    <row r="55" spans="2:16" ht="12.75">
      <c r="B55" s="175"/>
      <c r="D55" s="409"/>
      <c r="E55" s="409"/>
      <c r="F55" s="409"/>
      <c r="G55" s="409"/>
      <c r="H55" s="409"/>
      <c r="I55" s="409"/>
      <c r="J55" s="409"/>
      <c r="K55" s="409"/>
      <c r="L55" s="409"/>
      <c r="M55" s="409"/>
      <c r="N55" s="409"/>
      <c r="O55" s="409"/>
      <c r="P55" s="409"/>
    </row>
    <row r="56" spans="2:16" ht="12.75">
      <c r="B56" s="175"/>
      <c r="D56" s="409"/>
      <c r="E56" s="409"/>
      <c r="F56" s="409"/>
      <c r="G56" s="409"/>
      <c r="H56" s="409"/>
      <c r="I56" s="409"/>
      <c r="J56" s="409"/>
      <c r="K56" s="409"/>
      <c r="L56" s="409"/>
      <c r="M56" s="409"/>
      <c r="N56" s="409"/>
      <c r="O56" s="409"/>
      <c r="P56" s="409"/>
    </row>
  </sheetData>
  <sheetProtection password="82A3" sheet="1" objects="1" scenarios="1"/>
  <mergeCells count="21">
    <mergeCell ref="C1:O1"/>
    <mergeCell ref="C2:O2"/>
    <mergeCell ref="C3:O3"/>
    <mergeCell ref="C4:H4"/>
    <mergeCell ref="F10:H10"/>
    <mergeCell ref="F8:P8"/>
    <mergeCell ref="N10:P10"/>
    <mergeCell ref="J10:L10"/>
    <mergeCell ref="D56:P56"/>
    <mergeCell ref="D53:P53"/>
    <mergeCell ref="D54:P54"/>
    <mergeCell ref="D55:P55"/>
    <mergeCell ref="P12:P13"/>
    <mergeCell ref="B52:I52"/>
    <mergeCell ref="L12:L13"/>
    <mergeCell ref="B12:B13"/>
    <mergeCell ref="H12:H13"/>
    <mergeCell ref="N12:N13"/>
    <mergeCell ref="F12:F13"/>
    <mergeCell ref="D12:D13"/>
    <mergeCell ref="J12:J13"/>
  </mergeCells>
  <conditionalFormatting sqref="J10:L10">
    <cfRule type="cellIs" priority="1" dxfId="1" operator="equal" stopIfTrue="1">
      <formula>""</formula>
    </cfRule>
  </conditionalFormatting>
  <printOptions/>
  <pageMargins left="0.75" right="0.75" top="0.65" bottom="1" header="0.4" footer="0.5"/>
  <pageSetup fitToHeight="1" fitToWidth="1" horizontalDpi="600" verticalDpi="600" orientation="portrait" scale="67" r:id="rId3"/>
  <headerFooter alignWithMargins="0">
    <oddFooter>&amp;C7</oddFooter>
  </headerFooter>
  <legacyDrawing r:id="rId2"/>
  <oleObjects>
    <oleObject progId="Unknown" shapeId="9006343" r:id="rId1"/>
  </oleObjects>
</worksheet>
</file>

<file path=xl/worksheets/sheet8.xml><?xml version="1.0" encoding="utf-8"?>
<worksheet xmlns="http://schemas.openxmlformats.org/spreadsheetml/2006/main" xmlns:r="http://schemas.openxmlformats.org/officeDocument/2006/relationships">
  <sheetPr codeName="Sheet8">
    <pageSetUpPr fitToPage="1"/>
  </sheetPr>
  <dimension ref="B1:U38"/>
  <sheetViews>
    <sheetView showGridLines="0" zoomScalePageLayoutView="0" workbookViewId="0" topLeftCell="A1">
      <selection activeCell="B31" sqref="B31:O31"/>
    </sheetView>
  </sheetViews>
  <sheetFormatPr defaultColWidth="9.140625" defaultRowHeight="12.75"/>
  <cols>
    <col min="1" max="1" width="1.8515625" style="13" customWidth="1"/>
    <col min="2" max="2" width="4.7109375" style="13" customWidth="1"/>
    <col min="3" max="3" width="1.421875" style="13" customWidth="1"/>
    <col min="4" max="4" width="30.28125" style="13" customWidth="1"/>
    <col min="5" max="5" width="1.28515625" style="13" customWidth="1"/>
    <col min="6" max="6" width="19.421875" style="13" customWidth="1"/>
    <col min="7" max="7" width="1.1484375" style="13" customWidth="1"/>
    <col min="8" max="8" width="3.28125" style="13" customWidth="1"/>
    <col min="9" max="9" width="1.1484375" style="13" customWidth="1"/>
    <col min="10" max="10" width="17.140625" style="13" customWidth="1"/>
    <col min="11" max="11" width="1.1484375" style="13" customWidth="1"/>
    <col min="12" max="12" width="3.7109375" style="13" customWidth="1"/>
    <col min="13" max="13" width="1.1484375" style="13" customWidth="1"/>
    <col min="14" max="14" width="12.8515625" style="13" customWidth="1"/>
    <col min="15" max="15" width="7.140625" style="13" customWidth="1"/>
    <col min="16" max="16" width="1.1484375" style="13" customWidth="1"/>
    <col min="17" max="17" width="3.421875" style="13" customWidth="1"/>
    <col min="18" max="18" width="2.140625" style="13" customWidth="1"/>
    <col min="19" max="16384" width="9.140625" style="13" customWidth="1"/>
  </cols>
  <sheetData>
    <row r="1" spans="3:18" s="2" customFormat="1" ht="20.25" customHeight="1">
      <c r="C1" s="413" t="s">
        <v>180</v>
      </c>
      <c r="D1" s="413"/>
      <c r="E1" s="413"/>
      <c r="F1" s="413"/>
      <c r="G1" s="413"/>
      <c r="H1" s="413"/>
      <c r="I1" s="413"/>
      <c r="J1" s="413"/>
      <c r="K1" s="413"/>
      <c r="L1" s="413"/>
      <c r="M1" s="413"/>
      <c r="N1" s="413"/>
      <c r="O1" s="470" t="str">
        <f>CONCATENATE('Table of Contents'!$F$6," ",'Table of Contents'!$G$6)</f>
        <v>Version: 2.11</v>
      </c>
      <c r="P1" s="470"/>
      <c r="Q1" s="470"/>
      <c r="R1" s="1"/>
    </row>
    <row r="2" spans="3:18" s="2" customFormat="1" ht="18">
      <c r="C2" s="447" t="str">
        <f>"Name of LDC:    "&amp;IF(ISBLANK('Table of Contents'!D2),"",'Table of Contents'!D2)</f>
        <v>Name of LDC:    Waterloo North Hydro Inc.</v>
      </c>
      <c r="D2" s="447"/>
      <c r="E2" s="447"/>
      <c r="F2" s="447"/>
      <c r="G2" s="447"/>
      <c r="H2" s="447"/>
      <c r="I2" s="447"/>
      <c r="J2" s="447"/>
      <c r="K2" s="447"/>
      <c r="L2" s="447"/>
      <c r="M2" s="447"/>
      <c r="N2" s="447"/>
      <c r="O2" s="447"/>
      <c r="P2" s="447"/>
      <c r="Q2" s="447"/>
      <c r="R2" s="447"/>
    </row>
    <row r="3" spans="3:18" s="2" customFormat="1" ht="18">
      <c r="C3" s="447" t="str">
        <f>"File Number:      "&amp;IF(ISBLANK('Table of Contents'!D4),"",'Table of Contents'!D4)</f>
        <v>File Number:      EB-2010-0144</v>
      </c>
      <c r="D3" s="447"/>
      <c r="E3" s="447"/>
      <c r="F3" s="447"/>
      <c r="G3" s="447"/>
      <c r="H3" s="447"/>
      <c r="I3" s="447"/>
      <c r="J3" s="447"/>
      <c r="K3" s="447"/>
      <c r="L3" s="447"/>
      <c r="M3" s="447"/>
      <c r="N3" s="447"/>
      <c r="O3" s="447"/>
      <c r="P3" s="447"/>
      <c r="Q3" s="447"/>
      <c r="R3" s="447"/>
    </row>
    <row r="4" spans="3:18" s="2" customFormat="1" ht="18">
      <c r="C4" s="447" t="str">
        <f>"Rate Year:          "&amp;IF(ISBLANK('Table of Contents'!D6),"",'Table of Contents'!D6)</f>
        <v>Rate Year:          2011</v>
      </c>
      <c r="D4" s="447"/>
      <c r="E4" s="447"/>
      <c r="F4" s="447"/>
      <c r="G4" s="447"/>
      <c r="H4" s="447"/>
      <c r="I4" s="447"/>
      <c r="J4" s="447"/>
      <c r="K4" s="447"/>
      <c r="L4" s="447"/>
      <c r="M4" s="447"/>
      <c r="N4" s="447"/>
      <c r="O4" s="60"/>
      <c r="P4" s="60"/>
      <c r="Q4" s="60"/>
      <c r="R4" s="60"/>
    </row>
    <row r="5" spans="5:7" s="2" customFormat="1" ht="15.75">
      <c r="E5" s="5"/>
      <c r="F5" s="5"/>
      <c r="G5" s="5"/>
    </row>
    <row r="6" s="2" customFormat="1" ht="9.75" customHeight="1"/>
    <row r="7" ht="4.5" customHeight="1"/>
    <row r="8" spans="6:17" ht="21" customHeight="1">
      <c r="F8" s="438" t="s">
        <v>38</v>
      </c>
      <c r="G8" s="438"/>
      <c r="H8" s="438"/>
      <c r="I8" s="438"/>
      <c r="J8" s="438"/>
      <c r="K8" s="438"/>
      <c r="L8" s="438"/>
      <c r="M8" s="438"/>
      <c r="N8" s="438"/>
      <c r="O8" s="438"/>
      <c r="P8" s="182"/>
      <c r="Q8" s="61"/>
    </row>
    <row r="9" spans="6:17" ht="13.5" customHeight="1">
      <c r="F9" s="62"/>
      <c r="G9" s="62"/>
      <c r="H9" s="62"/>
      <c r="I9" s="62"/>
      <c r="J9" s="62"/>
      <c r="K9" s="62"/>
      <c r="L9" s="62"/>
      <c r="M9" s="62"/>
      <c r="N9" s="62"/>
      <c r="O9" s="62"/>
      <c r="P9" s="62"/>
      <c r="Q9" s="61"/>
    </row>
    <row r="10" spans="2:16" ht="39" customHeight="1">
      <c r="B10" s="63" t="s">
        <v>41</v>
      </c>
      <c r="D10" s="64" t="s">
        <v>40</v>
      </c>
      <c r="F10" s="32" t="s">
        <v>25</v>
      </c>
      <c r="G10" s="92"/>
      <c r="H10" s="66"/>
      <c r="I10" s="66"/>
      <c r="J10" s="33">
        <f>IF(ISBLANK('A. Data_Input_Sheet'!M10:M11),"",'A. Data_Input_Sheet'!M10:M11)</f>
      </c>
      <c r="K10" s="66"/>
      <c r="L10" s="66"/>
      <c r="M10" s="66"/>
      <c r="N10" s="425" t="str">
        <f>'A. Data_Input_Sheet'!U10</f>
        <v>Per Board Decision</v>
      </c>
      <c r="O10" s="425"/>
      <c r="P10" s="174"/>
    </row>
    <row r="11" spans="2:16" ht="14.25" customHeight="1">
      <c r="B11" s="12"/>
      <c r="D11" s="66"/>
      <c r="F11" s="66"/>
      <c r="G11" s="66"/>
      <c r="H11" s="66"/>
      <c r="I11" s="66"/>
      <c r="J11" s="66"/>
      <c r="K11" s="66"/>
      <c r="L11" s="66"/>
      <c r="M11" s="66"/>
      <c r="N11" s="458"/>
      <c r="O11" s="458"/>
      <c r="P11" s="66"/>
    </row>
    <row r="12" spans="2:17" ht="12.75">
      <c r="B12" s="213">
        <v>1</v>
      </c>
      <c r="D12" s="13" t="s">
        <v>163</v>
      </c>
      <c r="F12" s="67">
        <f>'2.Utility Income'!F19</f>
        <v>10183837.617624432</v>
      </c>
      <c r="G12" s="67"/>
      <c r="H12" s="209"/>
      <c r="I12" s="248"/>
      <c r="J12" s="67">
        <f>'2.Utility Income'!N19</f>
        <v>10183837.617624432</v>
      </c>
      <c r="K12" s="248"/>
      <c r="L12" s="209"/>
      <c r="M12" s="248"/>
      <c r="N12" s="472">
        <f>'2.Utility Income'!V19</f>
        <v>10183837.617624432</v>
      </c>
      <c r="O12" s="473"/>
      <c r="P12" s="187"/>
      <c r="Q12" s="209"/>
    </row>
    <row r="13" spans="2:17" ht="12.75">
      <c r="B13" s="213">
        <v>2</v>
      </c>
      <c r="D13" s="13" t="s">
        <v>36</v>
      </c>
      <c r="F13" s="68">
        <f>'2.Utility Income'!F20</f>
        <v>7816330.806039127</v>
      </c>
      <c r="G13" s="68"/>
      <c r="H13" s="209"/>
      <c r="I13" s="249"/>
      <c r="J13" s="229">
        <f>'2.Utility Income'!N20</f>
        <v>7816330.806039127</v>
      </c>
      <c r="K13" s="249"/>
      <c r="L13" s="209"/>
      <c r="M13" s="249"/>
      <c r="N13" s="464">
        <f>'2.Utility Income'!V20</f>
        <v>7816330.806039127</v>
      </c>
      <c r="O13" s="465"/>
      <c r="P13" s="184"/>
      <c r="Q13" s="209"/>
    </row>
    <row r="14" spans="2:17" ht="12.75">
      <c r="B14" s="213">
        <v>3</v>
      </c>
      <c r="D14" s="13" t="s">
        <v>53</v>
      </c>
      <c r="F14" s="68">
        <f>'2.Utility Income'!F21</f>
        <v>0</v>
      </c>
      <c r="G14" s="68"/>
      <c r="H14" s="209"/>
      <c r="I14" s="249"/>
      <c r="J14" s="229">
        <f>'2.Utility Income'!N21</f>
      </c>
      <c r="K14" s="249"/>
      <c r="L14" s="209"/>
      <c r="M14" s="249"/>
      <c r="N14" s="464">
        <f>'2.Utility Income'!V21</f>
      </c>
      <c r="O14" s="465"/>
      <c r="P14" s="184"/>
      <c r="Q14" s="209"/>
    </row>
    <row r="15" spans="2:17" ht="12.75">
      <c r="B15" s="213">
        <v>4</v>
      </c>
      <c r="D15" s="13" t="s">
        <v>162</v>
      </c>
      <c r="F15" s="68">
        <f>'3.Taxes_PILs'!G23</f>
        <v>0</v>
      </c>
      <c r="G15" s="68"/>
      <c r="H15" s="209"/>
      <c r="I15" s="249"/>
      <c r="J15" s="229">
        <f>'3.Taxes_PILs'!K23</f>
        <v>0</v>
      </c>
      <c r="K15" s="249"/>
      <c r="L15" s="209"/>
      <c r="M15" s="249"/>
      <c r="N15" s="464">
        <f>'3.Taxes_PILs'!O23</f>
        <v>0</v>
      </c>
      <c r="O15" s="465"/>
      <c r="P15" s="184"/>
      <c r="Q15" s="209"/>
    </row>
    <row r="16" spans="2:17" ht="12.75">
      <c r="B16" s="213">
        <v>5</v>
      </c>
      <c r="D16" s="13" t="s">
        <v>105</v>
      </c>
      <c r="F16" s="68">
        <f>'3.Taxes_PILs'!G31-F15</f>
        <v>1212309.8046731665</v>
      </c>
      <c r="G16" s="68"/>
      <c r="H16" s="209"/>
      <c r="I16" s="249"/>
      <c r="J16" s="229">
        <f>'3.Taxes_PILs'!K31-J15</f>
        <v>1212309.8046731665</v>
      </c>
      <c r="K16" s="249"/>
      <c r="L16" s="209"/>
      <c r="M16" s="249"/>
      <c r="N16" s="464">
        <f>'3.Taxes_PILs'!O31-N15</f>
        <v>1212309.8046731665</v>
      </c>
      <c r="O16" s="465"/>
      <c r="P16" s="184"/>
      <c r="Q16" s="209"/>
    </row>
    <row r="17" spans="2:17" ht="12.75">
      <c r="B17" s="213">
        <v>6</v>
      </c>
      <c r="D17" s="13" t="s">
        <v>152</v>
      </c>
      <c r="F17" s="68">
        <f>'2.Utility Income'!F23</f>
        <v>0</v>
      </c>
      <c r="G17" s="68"/>
      <c r="H17" s="209"/>
      <c r="I17" s="249"/>
      <c r="J17" s="186">
        <f>'2.Utility Income'!N23</f>
      </c>
      <c r="K17" s="249"/>
      <c r="L17" s="209"/>
      <c r="M17" s="249"/>
      <c r="N17" s="471">
        <f>'2.Utility Income'!V23</f>
      </c>
      <c r="O17" s="471"/>
      <c r="P17" s="186"/>
      <c r="Q17" s="209"/>
    </row>
    <row r="18" spans="2:17" ht="12.75">
      <c r="B18" s="213">
        <v>7</v>
      </c>
      <c r="D18" s="13" t="s">
        <v>24</v>
      </c>
      <c r="F18" s="69"/>
      <c r="G18" s="69"/>
      <c r="H18" s="250"/>
      <c r="I18" s="250"/>
      <c r="J18" s="69"/>
      <c r="K18" s="250"/>
      <c r="L18" s="251"/>
      <c r="M18" s="250"/>
      <c r="N18" s="466"/>
      <c r="O18" s="467"/>
      <c r="P18" s="185"/>
      <c r="Q18" s="251"/>
    </row>
    <row r="19" spans="2:17" ht="12.75">
      <c r="B19" s="213"/>
      <c r="D19" s="13" t="s">
        <v>147</v>
      </c>
      <c r="F19" s="71">
        <f>'5. Rev_Suff_Def'!F22</f>
        <v>4803476.6243935125</v>
      </c>
      <c r="G19" s="71"/>
      <c r="H19" s="209"/>
      <c r="I19" s="252"/>
      <c r="J19" s="71">
        <f>'5. Rev_Suff_Def'!L22</f>
        <v>0</v>
      </c>
      <c r="K19" s="252"/>
      <c r="L19" s="209"/>
      <c r="M19" s="252"/>
      <c r="N19" s="460">
        <f>'5. Rev_Suff_Def'!P22</f>
        <v>0</v>
      </c>
      <c r="O19" s="460"/>
      <c r="P19" s="183"/>
      <c r="Q19" s="209"/>
    </row>
    <row r="20" spans="2:17" ht="12.75">
      <c r="B20" s="213"/>
      <c r="D20" s="13" t="s">
        <v>148</v>
      </c>
      <c r="F20" s="71">
        <f>'5. Rev_Suff_Def'!F47</f>
        <v>6020647.695389965</v>
      </c>
      <c r="G20" s="71"/>
      <c r="H20" s="209"/>
      <c r="I20" s="252"/>
      <c r="J20" s="71">
        <f>'5. Rev_Suff_Def'!L47</f>
        <v>0</v>
      </c>
      <c r="K20" s="252"/>
      <c r="L20" s="209"/>
      <c r="M20" s="252"/>
      <c r="N20" s="468">
        <f>'5. Rev_Suff_Def'!P47</f>
        <v>0</v>
      </c>
      <c r="O20" s="468"/>
      <c r="P20" s="183"/>
      <c r="Q20" s="209"/>
    </row>
    <row r="21" spans="2:21" ht="12.75">
      <c r="B21" s="213"/>
      <c r="C21" s="31"/>
      <c r="D21" s="31"/>
      <c r="E21" s="31"/>
      <c r="F21" s="73"/>
      <c r="G21" s="70"/>
      <c r="H21" s="253"/>
      <c r="I21" s="253"/>
      <c r="J21" s="73"/>
      <c r="K21" s="253"/>
      <c r="L21" s="253"/>
      <c r="M21" s="253"/>
      <c r="N21" s="73"/>
      <c r="O21" s="74"/>
      <c r="P21" s="185"/>
      <c r="Q21" s="253"/>
      <c r="R21" s="31"/>
      <c r="S21" s="31"/>
      <c r="T21" s="31"/>
      <c r="U21" s="31"/>
    </row>
    <row r="22" spans="2:21" ht="26.25" thickBot="1">
      <c r="B22" s="213">
        <v>8</v>
      </c>
      <c r="C22" s="31"/>
      <c r="D22" s="47" t="s">
        <v>57</v>
      </c>
      <c r="E22" s="31"/>
      <c r="F22" s="75">
        <f>SUM(F12:F20)</f>
        <v>30036602.548120197</v>
      </c>
      <c r="G22" s="70"/>
      <c r="H22" s="209"/>
      <c r="I22" s="253"/>
      <c r="J22" s="75">
        <f>SUM(J12:J20)</f>
        <v>19212478.22833672</v>
      </c>
      <c r="K22" s="253"/>
      <c r="L22" s="209"/>
      <c r="M22" s="253"/>
      <c r="N22" s="395">
        <f>SUM(N12:O20)</f>
        <v>19212478.22833672</v>
      </c>
      <c r="O22" s="395"/>
      <c r="P22" s="71"/>
      <c r="Q22" s="209"/>
      <c r="R22" s="31"/>
      <c r="S22" s="31"/>
      <c r="T22" s="31"/>
      <c r="U22" s="31"/>
    </row>
    <row r="23" spans="2:17" ht="13.5" thickTop="1">
      <c r="B23" s="213"/>
      <c r="F23" s="76"/>
      <c r="G23" s="76"/>
      <c r="H23" s="249"/>
      <c r="I23" s="249"/>
      <c r="J23" s="76"/>
      <c r="K23" s="249"/>
      <c r="L23" s="249"/>
      <c r="M23" s="249"/>
      <c r="N23" s="469"/>
      <c r="O23" s="469"/>
      <c r="P23" s="194"/>
      <c r="Q23" s="249"/>
    </row>
    <row r="24" spans="2:17" ht="12.75">
      <c r="B24" s="213">
        <v>9</v>
      </c>
      <c r="D24" s="13" t="s">
        <v>64</v>
      </c>
      <c r="F24" s="68">
        <f>'2.Utility Income'!F13</f>
        <v>28980640.278744973</v>
      </c>
      <c r="G24" s="68"/>
      <c r="H24" s="209"/>
      <c r="I24" s="249"/>
      <c r="J24" s="68">
        <f>'2.Utility Income'!N13</f>
        <v>0</v>
      </c>
      <c r="K24" s="249"/>
      <c r="L24" s="209"/>
      <c r="M24" s="249"/>
      <c r="N24" s="464">
        <f>'2.Utility Income'!V13</f>
        <v>0</v>
      </c>
      <c r="O24" s="465"/>
      <c r="P24" s="184"/>
      <c r="Q24" s="209"/>
    </row>
    <row r="25" spans="2:17" ht="12.75">
      <c r="B25" s="213">
        <v>10</v>
      </c>
      <c r="D25" s="13" t="s">
        <v>37</v>
      </c>
      <c r="F25" s="77">
        <f>'2.Utility Income'!F14</f>
        <v>1055962.648167087</v>
      </c>
      <c r="G25" s="69"/>
      <c r="H25" s="209"/>
      <c r="I25" s="254"/>
      <c r="J25" s="77">
        <f>'2.Utility Income'!N14</f>
        <v>0</v>
      </c>
      <c r="K25" s="254"/>
      <c r="L25" s="209"/>
      <c r="M25" s="254"/>
      <c r="N25" s="434">
        <f>'2.Utility Income'!V14</f>
        <v>0</v>
      </c>
      <c r="O25" s="459"/>
      <c r="P25" s="185"/>
      <c r="Q25" s="209"/>
    </row>
    <row r="26" spans="2:17" ht="12.75">
      <c r="B26" s="213"/>
      <c r="F26" s="394">
        <f>SUM(F24:F25)</f>
        <v>30036602.926912062</v>
      </c>
      <c r="G26" s="71"/>
      <c r="H26" s="252"/>
      <c r="I26" s="252"/>
      <c r="J26" s="394">
        <f>SUM(J24:J25)</f>
        <v>0</v>
      </c>
      <c r="K26" s="252"/>
      <c r="L26" s="252"/>
      <c r="M26" s="252"/>
      <c r="N26" s="394">
        <f>SUM(N24:N25)</f>
        <v>0</v>
      </c>
      <c r="O26" s="390"/>
      <c r="P26" s="195"/>
      <c r="Q26" s="252"/>
    </row>
    <row r="27" spans="2:17" ht="12.75">
      <c r="B27" s="213">
        <v>11</v>
      </c>
      <c r="D27" s="34" t="s">
        <v>44</v>
      </c>
      <c r="F27" s="384"/>
      <c r="G27" s="71"/>
      <c r="H27" s="209"/>
      <c r="I27" s="252"/>
      <c r="J27" s="384"/>
      <c r="K27" s="252"/>
      <c r="L27" s="209"/>
      <c r="M27" s="252"/>
      <c r="N27" s="384"/>
      <c r="O27" s="461"/>
      <c r="P27" s="195"/>
      <c r="Q27" s="209"/>
    </row>
    <row r="28" spans="2:17" ht="12.75">
      <c r="B28" s="213"/>
      <c r="F28" s="460">
        <f>F26-F22</f>
        <v>0.3787918649613857</v>
      </c>
      <c r="G28" s="183"/>
      <c r="H28" s="255"/>
      <c r="I28" s="255"/>
      <c r="J28" s="460">
        <f>J26-J22</f>
        <v>-19212478.22833672</v>
      </c>
      <c r="K28" s="255"/>
      <c r="L28" s="255"/>
      <c r="M28" s="255"/>
      <c r="N28" s="385">
        <f>N26-N22</f>
        <v>-19212478.22833672</v>
      </c>
      <c r="O28" s="462"/>
      <c r="P28" s="196"/>
      <c r="Q28" s="12"/>
    </row>
    <row r="29" spans="2:17" ht="39" thickBot="1">
      <c r="B29" s="213">
        <v>12</v>
      </c>
      <c r="D29" s="79" t="s">
        <v>171</v>
      </c>
      <c r="F29" s="386"/>
      <c r="G29" s="183"/>
      <c r="H29" s="256" t="s">
        <v>2</v>
      </c>
      <c r="I29" s="256"/>
      <c r="J29" s="386"/>
      <c r="K29" s="256"/>
      <c r="L29" s="256" t="s">
        <v>2</v>
      </c>
      <c r="M29" s="256"/>
      <c r="N29" s="386"/>
      <c r="O29" s="463"/>
      <c r="P29" s="196"/>
      <c r="Q29" s="257" t="s">
        <v>2</v>
      </c>
    </row>
    <row r="30" spans="6:16" ht="13.5" thickTop="1">
      <c r="F30" s="80"/>
      <c r="G30" s="80"/>
      <c r="H30" s="80"/>
      <c r="I30" s="80"/>
      <c r="J30" s="80"/>
      <c r="K30" s="80"/>
      <c r="L30" s="80"/>
      <c r="M30" s="80"/>
      <c r="N30" s="80"/>
      <c r="O30" s="80"/>
      <c r="P30" s="80"/>
    </row>
    <row r="31" spans="2:16" ht="12.75">
      <c r="B31" s="433" t="s">
        <v>42</v>
      </c>
      <c r="C31" s="433"/>
      <c r="D31" s="433"/>
      <c r="E31" s="433"/>
      <c r="F31" s="433"/>
      <c r="G31" s="433"/>
      <c r="H31" s="433"/>
      <c r="I31" s="433"/>
      <c r="J31" s="433"/>
      <c r="K31" s="433"/>
      <c r="L31" s="433"/>
      <c r="M31" s="433"/>
      <c r="N31" s="433"/>
      <c r="O31" s="433"/>
      <c r="P31" s="181"/>
    </row>
    <row r="32" spans="2:4" ht="12.75">
      <c r="B32" s="36" t="s">
        <v>2</v>
      </c>
      <c r="D32" s="13" t="s">
        <v>169</v>
      </c>
    </row>
    <row r="33" spans="2:16" ht="12.75">
      <c r="B33" s="175"/>
      <c r="D33" s="409"/>
      <c r="E33" s="409"/>
      <c r="F33" s="409"/>
      <c r="G33" s="409"/>
      <c r="H33" s="409"/>
      <c r="I33" s="409"/>
      <c r="J33" s="409"/>
      <c r="K33" s="409"/>
      <c r="L33" s="409"/>
      <c r="M33" s="409"/>
      <c r="N33" s="409"/>
      <c r="O33" s="409"/>
      <c r="P33" s="258"/>
    </row>
    <row r="34" spans="2:16" ht="12.75">
      <c r="B34" s="175"/>
      <c r="D34" s="409"/>
      <c r="E34" s="409"/>
      <c r="F34" s="409"/>
      <c r="G34" s="409"/>
      <c r="H34" s="409"/>
      <c r="I34" s="409"/>
      <c r="J34" s="409"/>
      <c r="K34" s="409"/>
      <c r="L34" s="409"/>
      <c r="M34" s="409"/>
      <c r="N34" s="409"/>
      <c r="O34" s="409"/>
      <c r="P34" s="258"/>
    </row>
    <row r="35" spans="2:16" ht="12.75">
      <c r="B35" s="175"/>
      <c r="D35" s="409"/>
      <c r="E35" s="409"/>
      <c r="F35" s="409"/>
      <c r="G35" s="409"/>
      <c r="H35" s="409"/>
      <c r="I35" s="409"/>
      <c r="J35" s="409"/>
      <c r="K35" s="409"/>
      <c r="L35" s="409"/>
      <c r="M35" s="409"/>
      <c r="N35" s="409"/>
      <c r="O35" s="409"/>
      <c r="P35" s="258"/>
    </row>
    <row r="36" spans="2:16" ht="12.75">
      <c r="B36" s="175"/>
      <c r="D36" s="409"/>
      <c r="E36" s="409"/>
      <c r="F36" s="409"/>
      <c r="G36" s="409"/>
      <c r="H36" s="409"/>
      <c r="I36" s="409"/>
      <c r="J36" s="409"/>
      <c r="K36" s="409"/>
      <c r="L36" s="409"/>
      <c r="M36" s="409"/>
      <c r="N36" s="409"/>
      <c r="O36" s="409"/>
      <c r="P36" s="258"/>
    </row>
    <row r="37" spans="2:16" ht="12.75">
      <c r="B37" s="175"/>
      <c r="D37" s="409"/>
      <c r="E37" s="409"/>
      <c r="F37" s="409"/>
      <c r="G37" s="409"/>
      <c r="H37" s="409"/>
      <c r="I37" s="409"/>
      <c r="J37" s="409"/>
      <c r="K37" s="409"/>
      <c r="L37" s="409"/>
      <c r="M37" s="409"/>
      <c r="N37" s="409"/>
      <c r="O37" s="409"/>
      <c r="P37" s="258"/>
    </row>
    <row r="38" spans="2:16" ht="12.75">
      <c r="B38" s="175"/>
      <c r="D38" s="409"/>
      <c r="E38" s="409"/>
      <c r="F38" s="409"/>
      <c r="G38" s="409"/>
      <c r="H38" s="409"/>
      <c r="I38" s="409"/>
      <c r="J38" s="409"/>
      <c r="K38" s="409"/>
      <c r="L38" s="409"/>
      <c r="M38" s="409"/>
      <c r="N38" s="409"/>
      <c r="O38" s="409"/>
      <c r="P38" s="258"/>
    </row>
  </sheetData>
  <sheetProtection password="82A3" sheet="1" objects="1" scenarios="1"/>
  <mergeCells count="34">
    <mergeCell ref="N10:O10"/>
    <mergeCell ref="F8:O8"/>
    <mergeCell ref="N13:O13"/>
    <mergeCell ref="C2:R2"/>
    <mergeCell ref="C3:R3"/>
    <mergeCell ref="C4:N4"/>
    <mergeCell ref="N12:O12"/>
    <mergeCell ref="N11:O11"/>
    <mergeCell ref="B31:O31"/>
    <mergeCell ref="C1:N1"/>
    <mergeCell ref="O1:Q1"/>
    <mergeCell ref="D38:O38"/>
    <mergeCell ref="D33:O33"/>
    <mergeCell ref="D34:O34"/>
    <mergeCell ref="D35:O35"/>
    <mergeCell ref="D36:O36"/>
    <mergeCell ref="N17:O17"/>
    <mergeCell ref="D37:O37"/>
    <mergeCell ref="N14:O14"/>
    <mergeCell ref="N18:O18"/>
    <mergeCell ref="N22:O22"/>
    <mergeCell ref="N24:O24"/>
    <mergeCell ref="N15:O15"/>
    <mergeCell ref="N16:O16"/>
    <mergeCell ref="N19:O19"/>
    <mergeCell ref="N20:O20"/>
    <mergeCell ref="N23:O23"/>
    <mergeCell ref="N25:O25"/>
    <mergeCell ref="J26:J27"/>
    <mergeCell ref="J28:J29"/>
    <mergeCell ref="F28:F29"/>
    <mergeCell ref="F26:F27"/>
    <mergeCell ref="N26:O27"/>
    <mergeCell ref="N28:O29"/>
  </mergeCells>
  <conditionalFormatting sqref="J10">
    <cfRule type="cellIs" priority="1" dxfId="0" operator="equal" stopIfTrue="1">
      <formula>""</formula>
    </cfRule>
  </conditionalFormatting>
  <printOptions/>
  <pageMargins left="0.75" right="0.75" top="0.64" bottom="1" header="0.5" footer="0.5"/>
  <pageSetup fitToHeight="1" fitToWidth="1" horizontalDpi="600" verticalDpi="600" orientation="portrait" scale="81" r:id="rId3"/>
  <headerFooter alignWithMargins="0">
    <oddFooter>&amp;C8</oddFooter>
  </headerFooter>
  <legacyDrawing r:id="rId2"/>
  <oleObjects>
    <oleObject progId="Unknown" shapeId="9016791" r:id="rId1"/>
  </oleObjects>
</worksheet>
</file>

<file path=xl/worksheets/sheet9.xml><?xml version="1.0" encoding="utf-8"?>
<worksheet xmlns="http://schemas.openxmlformats.org/spreadsheetml/2006/main" xmlns:r="http://schemas.openxmlformats.org/officeDocument/2006/relationships">
  <sheetPr codeName="Sheet10">
    <pageSetUpPr fitToPage="1"/>
  </sheetPr>
  <dimension ref="B1:R53"/>
  <sheetViews>
    <sheetView showGridLines="0" zoomScalePageLayoutView="0" workbookViewId="0" topLeftCell="A16">
      <selection activeCell="H24" sqref="H24"/>
    </sheetView>
  </sheetViews>
  <sheetFormatPr defaultColWidth="9.140625" defaultRowHeight="12.75"/>
  <cols>
    <col min="1" max="1" width="2.7109375" style="13" customWidth="1"/>
    <col min="2" max="2" width="3.7109375" style="13" customWidth="1"/>
    <col min="3" max="3" width="1.28515625" style="13" customWidth="1"/>
    <col min="4" max="4" width="26.57421875" style="13" customWidth="1"/>
    <col min="5" max="5" width="1.28515625" style="13" customWidth="1"/>
    <col min="6" max="6" width="11.28125" style="13" customWidth="1"/>
    <col min="7" max="7" width="1.28515625" style="13" customWidth="1"/>
    <col min="8" max="8" width="12.28125" style="13" customWidth="1"/>
    <col min="9" max="9" width="8.57421875" style="13" customWidth="1"/>
    <col min="10" max="10" width="9.7109375" style="13" customWidth="1"/>
    <col min="11" max="11" width="1.421875" style="13" customWidth="1"/>
    <col min="12" max="12" width="12.140625" style="13" customWidth="1"/>
    <col min="13" max="13" width="8.57421875" style="13" customWidth="1"/>
    <col min="14" max="14" width="9.7109375" style="13" customWidth="1"/>
    <col min="15" max="15" width="1.421875" style="13" customWidth="1"/>
    <col min="16" max="16" width="8.8515625" style="13" customWidth="1"/>
    <col min="17" max="17" width="8.7109375" style="13" customWidth="1"/>
    <col min="18" max="18" width="3.8515625" style="13" customWidth="1"/>
    <col min="19" max="16384" width="9.140625" style="13" customWidth="1"/>
  </cols>
  <sheetData>
    <row r="1" spans="3:18" s="2" customFormat="1" ht="20.25" customHeight="1">
      <c r="C1" s="396" t="s">
        <v>156</v>
      </c>
      <c r="D1" s="396"/>
      <c r="E1" s="396"/>
      <c r="F1" s="396"/>
      <c r="G1" s="396"/>
      <c r="H1" s="396"/>
      <c r="I1" s="396"/>
      <c r="J1" s="396"/>
      <c r="K1" s="396"/>
      <c r="L1" s="396"/>
      <c r="M1" s="396"/>
      <c r="Q1" s="470" t="str">
        <f>CONCATENATE('Table of Contents'!$F$6," ",'Table of Contents'!$G$6)</f>
        <v>Version: 2.11</v>
      </c>
      <c r="R1" s="470"/>
    </row>
    <row r="2" spans="3:15" s="2" customFormat="1" ht="18">
      <c r="C2" s="408" t="str">
        <f>"Name of LDC:    "&amp;IF(ISBLANK('Table of Contents'!D2),"",'Table of Contents'!D2)</f>
        <v>Name of LDC:    Waterloo North Hydro Inc.</v>
      </c>
      <c r="D2" s="408"/>
      <c r="E2" s="408"/>
      <c r="F2" s="408"/>
      <c r="G2" s="408"/>
      <c r="H2" s="408"/>
      <c r="I2" s="408"/>
      <c r="J2" s="408"/>
      <c r="K2" s="408"/>
      <c r="L2" s="408"/>
      <c r="M2" s="408"/>
      <c r="N2" s="408"/>
      <c r="O2" s="408"/>
    </row>
    <row r="3" spans="3:13" s="2" customFormat="1" ht="18">
      <c r="C3" s="408" t="str">
        <f>"File Number:      "&amp;IF(ISBLANK('Table of Contents'!D4),"",'Table of Contents'!D4)</f>
        <v>File Number:      EB-2010-0144</v>
      </c>
      <c r="D3" s="408"/>
      <c r="E3" s="408"/>
      <c r="F3" s="408"/>
      <c r="G3" s="408"/>
      <c r="H3" s="408"/>
      <c r="I3" s="408"/>
      <c r="J3" s="408"/>
      <c r="K3" s="408"/>
      <c r="L3" s="408"/>
      <c r="M3" s="408"/>
    </row>
    <row r="4" spans="3:13" s="2" customFormat="1" ht="18">
      <c r="C4" s="408" t="str">
        <f>"Rate Year:          "&amp;IF(ISBLANK('Table of Contents'!D6),"",'Table of Contents'!D6)</f>
        <v>Rate Year:          2011</v>
      </c>
      <c r="D4" s="408"/>
      <c r="E4" s="408"/>
      <c r="F4" s="408"/>
      <c r="G4" s="408"/>
      <c r="H4" s="408"/>
      <c r="I4" s="408"/>
      <c r="J4" s="408"/>
      <c r="K4" s="54"/>
      <c r="L4" s="54"/>
      <c r="M4" s="54"/>
    </row>
    <row r="5" spans="5:7" s="2" customFormat="1" ht="15.75">
      <c r="E5" s="5"/>
      <c r="F5" s="5"/>
      <c r="G5" s="5"/>
    </row>
    <row r="6" s="2" customFormat="1" ht="9" customHeight="1"/>
    <row r="7" ht="4.5" customHeight="1"/>
    <row r="8" spans="2:17" ht="15.75">
      <c r="B8" s="230" t="s">
        <v>203</v>
      </c>
      <c r="F8" s="483" t="s">
        <v>221</v>
      </c>
      <c r="G8" s="483"/>
      <c r="H8" s="483"/>
      <c r="I8" s="483"/>
      <c r="J8" s="483"/>
      <c r="K8" s="483"/>
      <c r="L8" s="483"/>
      <c r="M8" s="483"/>
      <c r="N8" s="483"/>
      <c r="O8" s="483"/>
      <c r="P8" s="483"/>
      <c r="Q8" s="483"/>
    </row>
    <row r="9" spans="2:9" ht="12.75">
      <c r="B9" s="230" t="s">
        <v>204</v>
      </c>
      <c r="F9" s="12" t="s">
        <v>222</v>
      </c>
      <c r="G9" s="12"/>
      <c r="H9" s="235">
        <v>800</v>
      </c>
      <c r="I9" s="12" t="s">
        <v>228</v>
      </c>
    </row>
    <row r="10" ht="10.5" customHeight="1">
      <c r="B10" s="230" t="s">
        <v>205</v>
      </c>
    </row>
    <row r="11" spans="2:17" ht="12.75">
      <c r="B11" s="217"/>
      <c r="F11" s="72"/>
      <c r="G11" s="72"/>
      <c r="H11" s="480" t="s">
        <v>223</v>
      </c>
      <c r="I11" s="481"/>
      <c r="J11" s="482"/>
      <c r="L11" s="480" t="s">
        <v>224</v>
      </c>
      <c r="M11" s="481"/>
      <c r="N11" s="482"/>
      <c r="P11" s="480" t="s">
        <v>225</v>
      </c>
      <c r="Q11" s="482"/>
    </row>
    <row r="12" spans="2:17" ht="12.75">
      <c r="B12" s="217"/>
      <c r="F12" s="484" t="s">
        <v>202</v>
      </c>
      <c r="G12" s="218"/>
      <c r="H12" s="222" t="s">
        <v>208</v>
      </c>
      <c r="I12" s="222" t="s">
        <v>200</v>
      </c>
      <c r="J12" s="219" t="s">
        <v>220</v>
      </c>
      <c r="L12" s="222" t="s">
        <v>208</v>
      </c>
      <c r="M12" s="221" t="s">
        <v>200</v>
      </c>
      <c r="N12" s="219" t="s">
        <v>220</v>
      </c>
      <c r="P12" s="486" t="s">
        <v>226</v>
      </c>
      <c r="Q12" s="488" t="s">
        <v>227</v>
      </c>
    </row>
    <row r="13" spans="2:17" ht="12.75">
      <c r="B13" s="217"/>
      <c r="F13" s="485"/>
      <c r="G13" s="218"/>
      <c r="H13" s="223" t="s">
        <v>9</v>
      </c>
      <c r="I13" s="223"/>
      <c r="J13" s="220" t="s">
        <v>9</v>
      </c>
      <c r="L13" s="223" t="s">
        <v>9</v>
      </c>
      <c r="M13" s="220"/>
      <c r="N13" s="220" t="s">
        <v>9</v>
      </c>
      <c r="P13" s="487"/>
      <c r="Q13" s="489"/>
    </row>
    <row r="14" spans="2:17" ht="12.75">
      <c r="B14" s="213">
        <v>1</v>
      </c>
      <c r="D14" s="260" t="s">
        <v>193</v>
      </c>
      <c r="E14" s="260"/>
      <c r="F14" s="261" t="s">
        <v>203</v>
      </c>
      <c r="G14" s="262"/>
      <c r="H14" s="263">
        <v>14.56</v>
      </c>
      <c r="I14" s="264">
        <v>1</v>
      </c>
      <c r="J14" s="265">
        <f>I14*H14</f>
        <v>14.56</v>
      </c>
      <c r="K14" s="260"/>
      <c r="L14" s="263">
        <v>14.56</v>
      </c>
      <c r="M14" s="266">
        <v>1</v>
      </c>
      <c r="N14" s="265">
        <f>M14*L14</f>
        <v>14.56</v>
      </c>
      <c r="O14" s="260"/>
      <c r="P14" s="267">
        <f>N14-J14</f>
        <v>0</v>
      </c>
      <c r="Q14" s="296">
        <f>IF((J14)=0,"",(P14/J14))</f>
        <v>0</v>
      </c>
    </row>
    <row r="15" spans="2:17" ht="12.75">
      <c r="B15" s="213">
        <v>2</v>
      </c>
      <c r="D15" s="260" t="s">
        <v>238</v>
      </c>
      <c r="E15" s="260"/>
      <c r="F15" s="261" t="s">
        <v>203</v>
      </c>
      <c r="G15" s="262"/>
      <c r="H15" s="263">
        <v>1</v>
      </c>
      <c r="I15" s="264">
        <v>1</v>
      </c>
      <c r="J15" s="265">
        <f aca="true" t="shared" si="0" ref="J15:J40">I15*H15</f>
        <v>1</v>
      </c>
      <c r="K15" s="260"/>
      <c r="L15" s="263">
        <v>1</v>
      </c>
      <c r="M15" s="266">
        <v>1</v>
      </c>
      <c r="N15" s="265">
        <f>M15*L15</f>
        <v>1</v>
      </c>
      <c r="O15" s="260"/>
      <c r="P15" s="267">
        <f>N15-J15</f>
        <v>0</v>
      </c>
      <c r="Q15" s="296">
        <f>IF((J15)=0,"",(P15/J15))</f>
        <v>0</v>
      </c>
    </row>
    <row r="16" spans="2:17" ht="12.75">
      <c r="B16" s="213">
        <v>3</v>
      </c>
      <c r="D16" s="260" t="s">
        <v>214</v>
      </c>
      <c r="E16" s="260"/>
      <c r="F16" s="261"/>
      <c r="G16" s="262"/>
      <c r="H16" s="263"/>
      <c r="I16" s="264">
        <v>1</v>
      </c>
      <c r="J16" s="265">
        <f t="shared" si="0"/>
        <v>0</v>
      </c>
      <c r="K16" s="260"/>
      <c r="L16" s="263"/>
      <c r="M16" s="266">
        <v>1</v>
      </c>
      <c r="N16" s="265">
        <f aca="true" t="shared" si="1" ref="N16:N28">M16*L16</f>
        <v>0</v>
      </c>
      <c r="O16" s="260"/>
      <c r="P16" s="267">
        <f aca="true" t="shared" si="2" ref="P16:P43">N16-J16</f>
        <v>0</v>
      </c>
      <c r="Q16" s="296">
        <f aca="true" t="shared" si="3" ref="Q16:Q43">IF((J16)=0,"",(P16/J16))</f>
      </c>
    </row>
    <row r="17" spans="2:17" ht="12.75">
      <c r="B17" s="213">
        <v>4</v>
      </c>
      <c r="D17" s="260" t="s">
        <v>215</v>
      </c>
      <c r="E17" s="260"/>
      <c r="F17" s="261"/>
      <c r="G17" s="262"/>
      <c r="H17" s="263"/>
      <c r="I17" s="264">
        <v>1</v>
      </c>
      <c r="J17" s="265">
        <f t="shared" si="0"/>
        <v>0</v>
      </c>
      <c r="K17" s="260"/>
      <c r="L17" s="263"/>
      <c r="M17" s="266">
        <v>1</v>
      </c>
      <c r="N17" s="265">
        <f t="shared" si="1"/>
        <v>0</v>
      </c>
      <c r="O17" s="260"/>
      <c r="P17" s="267">
        <f t="shared" si="2"/>
        <v>0</v>
      </c>
      <c r="Q17" s="296">
        <f t="shared" si="3"/>
      </c>
    </row>
    <row r="18" spans="2:17" ht="12.75">
      <c r="B18" s="213">
        <v>5</v>
      </c>
      <c r="D18" s="260" t="s">
        <v>216</v>
      </c>
      <c r="E18" s="260"/>
      <c r="F18" s="261" t="s">
        <v>204</v>
      </c>
      <c r="G18" s="262"/>
      <c r="H18" s="263">
        <v>0.0131</v>
      </c>
      <c r="I18" s="264">
        <f>H9</f>
        <v>800</v>
      </c>
      <c r="J18" s="265">
        <f t="shared" si="0"/>
        <v>10.48</v>
      </c>
      <c r="K18" s="260"/>
      <c r="L18" s="263">
        <v>0.0202</v>
      </c>
      <c r="M18" s="266">
        <f>H9</f>
        <v>800</v>
      </c>
      <c r="N18" s="265">
        <f t="shared" si="1"/>
        <v>16.16</v>
      </c>
      <c r="O18" s="260"/>
      <c r="P18" s="267">
        <f t="shared" si="2"/>
        <v>5.68</v>
      </c>
      <c r="Q18" s="296">
        <f t="shared" si="3"/>
        <v>0.5419847328244274</v>
      </c>
    </row>
    <row r="19" spans="2:17" ht="12.75">
      <c r="B19" s="213">
        <v>6</v>
      </c>
      <c r="D19" s="260" t="s">
        <v>209</v>
      </c>
      <c r="E19" s="260"/>
      <c r="F19" s="261" t="s">
        <v>204</v>
      </c>
      <c r="G19" s="262"/>
      <c r="H19" s="263">
        <v>0</v>
      </c>
      <c r="I19" s="264">
        <f aca="true" t="shared" si="4" ref="I19:I24">I18</f>
        <v>800</v>
      </c>
      <c r="J19" s="265">
        <f t="shared" si="0"/>
        <v>0</v>
      </c>
      <c r="K19" s="260"/>
      <c r="L19" s="263">
        <v>0.0001</v>
      </c>
      <c r="M19" s="266">
        <f aca="true" t="shared" si="5" ref="M19:M24">M18</f>
        <v>800</v>
      </c>
      <c r="N19" s="265">
        <f t="shared" si="1"/>
        <v>0.08</v>
      </c>
      <c r="O19" s="260"/>
      <c r="P19" s="267">
        <f t="shared" si="2"/>
        <v>0.08</v>
      </c>
      <c r="Q19" s="296">
        <f t="shared" si="3"/>
      </c>
    </row>
    <row r="20" spans="2:17" ht="12.75">
      <c r="B20" s="213">
        <v>7</v>
      </c>
      <c r="D20" s="260" t="s">
        <v>217</v>
      </c>
      <c r="E20" s="260"/>
      <c r="F20" s="261"/>
      <c r="G20" s="262"/>
      <c r="H20" s="263"/>
      <c r="I20" s="264">
        <f t="shared" si="4"/>
        <v>800</v>
      </c>
      <c r="J20" s="265">
        <f t="shared" si="0"/>
        <v>0</v>
      </c>
      <c r="K20" s="260"/>
      <c r="L20" s="263"/>
      <c r="M20" s="266">
        <f t="shared" si="5"/>
        <v>800</v>
      </c>
      <c r="N20" s="265">
        <f t="shared" si="1"/>
        <v>0</v>
      </c>
      <c r="O20" s="260"/>
      <c r="P20" s="267">
        <f t="shared" si="2"/>
        <v>0</v>
      </c>
      <c r="Q20" s="296">
        <f t="shared" si="3"/>
      </c>
    </row>
    <row r="21" spans="2:17" ht="12.75">
      <c r="B21" s="213">
        <v>8</v>
      </c>
      <c r="D21" s="260" t="s">
        <v>218</v>
      </c>
      <c r="E21" s="260"/>
      <c r="F21" s="261"/>
      <c r="G21" s="262"/>
      <c r="H21" s="263"/>
      <c r="I21" s="264">
        <f t="shared" si="4"/>
        <v>800</v>
      </c>
      <c r="J21" s="265">
        <f t="shared" si="0"/>
        <v>0</v>
      </c>
      <c r="K21" s="260"/>
      <c r="L21" s="263"/>
      <c r="M21" s="266">
        <f t="shared" si="5"/>
        <v>800</v>
      </c>
      <c r="N21" s="265">
        <f t="shared" si="1"/>
        <v>0</v>
      </c>
      <c r="O21" s="260"/>
      <c r="P21" s="267">
        <f t="shared" si="2"/>
        <v>0</v>
      </c>
      <c r="Q21" s="296">
        <f t="shared" si="3"/>
      </c>
    </row>
    <row r="22" spans="2:17" ht="12.75">
      <c r="B22" s="213">
        <v>9</v>
      </c>
      <c r="D22" s="260" t="s">
        <v>194</v>
      </c>
      <c r="E22" s="260"/>
      <c r="F22" s="261"/>
      <c r="G22" s="262"/>
      <c r="H22" s="263"/>
      <c r="I22" s="264">
        <f t="shared" si="4"/>
        <v>800</v>
      </c>
      <c r="J22" s="265">
        <f t="shared" si="0"/>
        <v>0</v>
      </c>
      <c r="K22" s="260"/>
      <c r="L22" s="263"/>
      <c r="M22" s="266">
        <f t="shared" si="5"/>
        <v>800</v>
      </c>
      <c r="N22" s="265">
        <f t="shared" si="1"/>
        <v>0</v>
      </c>
      <c r="O22" s="260"/>
      <c r="P22" s="267">
        <f t="shared" si="2"/>
        <v>0</v>
      </c>
      <c r="Q22" s="296">
        <f t="shared" si="3"/>
      </c>
    </row>
    <row r="23" spans="2:17" ht="12.75">
      <c r="B23" s="213">
        <v>10</v>
      </c>
      <c r="D23" s="260" t="s">
        <v>240</v>
      </c>
      <c r="E23" s="260"/>
      <c r="F23" s="261" t="s">
        <v>204</v>
      </c>
      <c r="G23" s="262"/>
      <c r="H23" s="263">
        <v>0</v>
      </c>
      <c r="I23" s="264">
        <f t="shared" si="4"/>
        <v>800</v>
      </c>
      <c r="J23" s="265">
        <f t="shared" si="0"/>
        <v>0</v>
      </c>
      <c r="K23" s="260"/>
      <c r="L23" s="263">
        <v>0.00023366401247291042</v>
      </c>
      <c r="M23" s="266">
        <f t="shared" si="5"/>
        <v>800</v>
      </c>
      <c r="N23" s="265">
        <f t="shared" si="1"/>
        <v>0.18693120997832832</v>
      </c>
      <c r="O23" s="260"/>
      <c r="P23" s="267">
        <f t="shared" si="2"/>
        <v>0.18693120997832832</v>
      </c>
      <c r="Q23" s="296">
        <f t="shared" si="3"/>
      </c>
    </row>
    <row r="24" spans="2:17" ht="25.5">
      <c r="B24" s="213">
        <v>11</v>
      </c>
      <c r="D24" s="259" t="s">
        <v>239</v>
      </c>
      <c r="E24" s="260"/>
      <c r="F24" s="261" t="s">
        <v>204</v>
      </c>
      <c r="G24" s="262"/>
      <c r="H24" s="263">
        <v>-0.0024000000000000002</v>
      </c>
      <c r="I24" s="264">
        <f t="shared" si="4"/>
        <v>800</v>
      </c>
      <c r="J24" s="265">
        <f t="shared" si="0"/>
        <v>-1.9200000000000002</v>
      </c>
      <c r="K24" s="260"/>
      <c r="L24" s="263">
        <v>-0.0023000000000000004</v>
      </c>
      <c r="M24" s="266">
        <f t="shared" si="5"/>
        <v>800</v>
      </c>
      <c r="N24" s="265">
        <f t="shared" si="1"/>
        <v>-1.8400000000000003</v>
      </c>
      <c r="O24" s="260"/>
      <c r="P24" s="267">
        <f t="shared" si="2"/>
        <v>0.07999999999999985</v>
      </c>
      <c r="Q24" s="296">
        <f t="shared" si="3"/>
        <v>-0.04166666666666659</v>
      </c>
    </row>
    <row r="25" spans="2:17" ht="12.75">
      <c r="B25" s="213">
        <v>12</v>
      </c>
      <c r="D25" s="269"/>
      <c r="E25" s="260"/>
      <c r="F25" s="261"/>
      <c r="G25" s="262"/>
      <c r="H25" s="263"/>
      <c r="I25" s="270"/>
      <c r="J25" s="265">
        <f t="shared" si="0"/>
        <v>0</v>
      </c>
      <c r="K25" s="260"/>
      <c r="L25" s="263"/>
      <c r="M25" s="271"/>
      <c r="N25" s="265">
        <f t="shared" si="1"/>
        <v>0</v>
      </c>
      <c r="O25" s="260"/>
      <c r="P25" s="267">
        <f t="shared" si="2"/>
        <v>0</v>
      </c>
      <c r="Q25" s="296">
        <f t="shared" si="3"/>
      </c>
    </row>
    <row r="26" spans="2:17" ht="12.75">
      <c r="B26" s="213">
        <v>13</v>
      </c>
      <c r="D26" s="269"/>
      <c r="E26" s="260"/>
      <c r="F26" s="261"/>
      <c r="G26" s="262"/>
      <c r="H26" s="263"/>
      <c r="I26" s="270"/>
      <c r="J26" s="265">
        <f t="shared" si="0"/>
        <v>0</v>
      </c>
      <c r="K26" s="260"/>
      <c r="L26" s="263"/>
      <c r="M26" s="271"/>
      <c r="N26" s="265">
        <f t="shared" si="1"/>
        <v>0</v>
      </c>
      <c r="O26" s="260"/>
      <c r="P26" s="267">
        <f t="shared" si="2"/>
        <v>0</v>
      </c>
      <c r="Q26" s="296">
        <f t="shared" si="3"/>
      </c>
    </row>
    <row r="27" spans="2:17" ht="12.75">
      <c r="B27" s="213">
        <v>14</v>
      </c>
      <c r="D27" s="269"/>
      <c r="E27" s="260"/>
      <c r="F27" s="261"/>
      <c r="G27" s="262"/>
      <c r="H27" s="263"/>
      <c r="I27" s="270"/>
      <c r="J27" s="265">
        <f t="shared" si="0"/>
        <v>0</v>
      </c>
      <c r="K27" s="260"/>
      <c r="L27" s="263"/>
      <c r="M27" s="271"/>
      <c r="N27" s="265">
        <f t="shared" si="1"/>
        <v>0</v>
      </c>
      <c r="O27" s="260"/>
      <c r="P27" s="267">
        <f t="shared" si="2"/>
        <v>0</v>
      </c>
      <c r="Q27" s="296">
        <f t="shared" si="3"/>
      </c>
    </row>
    <row r="28" spans="2:17" ht="13.5" thickBot="1">
      <c r="B28" s="213">
        <v>15</v>
      </c>
      <c r="D28" s="269"/>
      <c r="E28" s="260"/>
      <c r="F28" s="261"/>
      <c r="G28" s="262"/>
      <c r="H28" s="263"/>
      <c r="I28" s="270"/>
      <c r="J28" s="265">
        <f t="shared" si="0"/>
        <v>0</v>
      </c>
      <c r="K28" s="260"/>
      <c r="L28" s="263"/>
      <c r="M28" s="271"/>
      <c r="N28" s="265">
        <f t="shared" si="1"/>
        <v>0</v>
      </c>
      <c r="O28" s="260"/>
      <c r="P28" s="267">
        <f t="shared" si="2"/>
        <v>0</v>
      </c>
      <c r="Q28" s="296">
        <f t="shared" si="3"/>
      </c>
    </row>
    <row r="29" spans="2:17" ht="13.5" thickBot="1">
      <c r="B29" s="213">
        <v>16</v>
      </c>
      <c r="D29" s="12" t="s">
        <v>196</v>
      </c>
      <c r="G29" s="45"/>
      <c r="H29" s="224"/>
      <c r="I29" s="225"/>
      <c r="J29" s="226">
        <f>SUM(J14:J28)</f>
        <v>24.119999999999997</v>
      </c>
      <c r="L29" s="224"/>
      <c r="M29" s="227"/>
      <c r="N29" s="226">
        <f>SUM(N14:N28)</f>
        <v>30.146931209978327</v>
      </c>
      <c r="P29" s="228">
        <f t="shared" si="2"/>
        <v>6.026931209978329</v>
      </c>
      <c r="Q29" s="297">
        <f t="shared" si="3"/>
        <v>0.24987276989959908</v>
      </c>
    </row>
    <row r="30" spans="2:17" ht="12.75">
      <c r="B30" s="213">
        <v>17</v>
      </c>
      <c r="D30" s="272" t="s">
        <v>197</v>
      </c>
      <c r="E30" s="272"/>
      <c r="F30" s="261" t="s">
        <v>204</v>
      </c>
      <c r="G30" s="273"/>
      <c r="H30" s="274">
        <v>0.0058</v>
      </c>
      <c r="I30" s="275">
        <f>H9*(1+H45)</f>
        <v>840.4</v>
      </c>
      <c r="J30" s="276">
        <f t="shared" si="0"/>
        <v>4.874319999999999</v>
      </c>
      <c r="K30" s="272"/>
      <c r="L30" s="274">
        <v>0.005663281554720976</v>
      </c>
      <c r="M30" s="277">
        <f>H9*(1+L45)</f>
        <v>832.3199999999999</v>
      </c>
      <c r="N30" s="276">
        <f>M30*L30</f>
        <v>4.713662503625362</v>
      </c>
      <c r="O30" s="272"/>
      <c r="P30" s="278">
        <f t="shared" si="2"/>
        <v>-0.160657496374637</v>
      </c>
      <c r="Q30" s="298">
        <f t="shared" si="3"/>
        <v>-0.03295998136655719</v>
      </c>
    </row>
    <row r="31" spans="2:17" ht="26.25" thickBot="1">
      <c r="B31" s="213">
        <v>18</v>
      </c>
      <c r="D31" s="279" t="s">
        <v>219</v>
      </c>
      <c r="E31" s="272"/>
      <c r="F31" s="261" t="s">
        <v>204</v>
      </c>
      <c r="G31" s="273"/>
      <c r="H31" s="274">
        <v>0.002</v>
      </c>
      <c r="I31" s="275">
        <f>I30</f>
        <v>840.4</v>
      </c>
      <c r="J31" s="276">
        <f t="shared" si="0"/>
        <v>1.6808</v>
      </c>
      <c r="K31" s="272"/>
      <c r="L31" s="274">
        <v>0.001773412368143375</v>
      </c>
      <c r="M31" s="277">
        <f>M30</f>
        <v>832.3199999999999</v>
      </c>
      <c r="N31" s="276">
        <f>M31*L31</f>
        <v>1.4760465822530937</v>
      </c>
      <c r="O31" s="272"/>
      <c r="P31" s="278">
        <f t="shared" si="2"/>
        <v>-0.20475341774690636</v>
      </c>
      <c r="Q31" s="298">
        <f t="shared" si="3"/>
        <v>-0.12181902531348546</v>
      </c>
    </row>
    <row r="32" spans="2:17" ht="26.25" thickBot="1">
      <c r="B32" s="213">
        <v>19</v>
      </c>
      <c r="D32" s="280" t="s">
        <v>198</v>
      </c>
      <c r="E32" s="260"/>
      <c r="F32" s="260"/>
      <c r="G32" s="262"/>
      <c r="H32" s="281"/>
      <c r="I32" s="282"/>
      <c r="J32" s="283">
        <f>SUM(J29:J31)</f>
        <v>30.675119999999996</v>
      </c>
      <c r="K32" s="213"/>
      <c r="L32" s="284"/>
      <c r="M32" s="285"/>
      <c r="N32" s="283">
        <f>SUM(N29:N31)</f>
        <v>36.33664029585678</v>
      </c>
      <c r="O32" s="213"/>
      <c r="P32" s="286">
        <f t="shared" si="2"/>
        <v>5.661520295856786</v>
      </c>
      <c r="Q32" s="299">
        <f t="shared" si="3"/>
        <v>0.1845639168113046</v>
      </c>
    </row>
    <row r="33" spans="2:17" ht="25.5">
      <c r="B33" s="213">
        <v>20</v>
      </c>
      <c r="D33" s="259" t="s">
        <v>212</v>
      </c>
      <c r="E33" s="260"/>
      <c r="F33" s="261" t="s">
        <v>204</v>
      </c>
      <c r="G33" s="262"/>
      <c r="H33" s="263">
        <v>0.0052</v>
      </c>
      <c r="I33" s="264">
        <f>I31</f>
        <v>840.4</v>
      </c>
      <c r="J33" s="265">
        <f t="shared" si="0"/>
        <v>4.37008</v>
      </c>
      <c r="K33" s="260"/>
      <c r="L33" s="263">
        <v>0.0052</v>
      </c>
      <c r="M33" s="266">
        <f>M31</f>
        <v>832.3199999999999</v>
      </c>
      <c r="N33" s="265">
        <f aca="true" t="shared" si="6" ref="N33:N40">M33*L33</f>
        <v>4.3280639999999995</v>
      </c>
      <c r="O33" s="260"/>
      <c r="P33" s="267">
        <f t="shared" si="2"/>
        <v>-0.042016000000000275</v>
      </c>
      <c r="Q33" s="296">
        <f t="shared" si="3"/>
        <v>-0.009614469300333238</v>
      </c>
    </row>
    <row r="34" spans="2:17" ht="25.5">
      <c r="B34" s="213">
        <v>21</v>
      </c>
      <c r="D34" s="259" t="s">
        <v>211</v>
      </c>
      <c r="E34" s="260"/>
      <c r="F34" s="261" t="s">
        <v>204</v>
      </c>
      <c r="G34" s="262"/>
      <c r="H34" s="263">
        <v>0.0013</v>
      </c>
      <c r="I34" s="264">
        <f>I31</f>
        <v>840.4</v>
      </c>
      <c r="J34" s="265">
        <f t="shared" si="0"/>
        <v>1.09252</v>
      </c>
      <c r="K34" s="260"/>
      <c r="L34" s="263">
        <v>0.0013</v>
      </c>
      <c r="M34" s="266">
        <f>M31</f>
        <v>832.3199999999999</v>
      </c>
      <c r="N34" s="265">
        <f t="shared" si="6"/>
        <v>1.0820159999999999</v>
      </c>
      <c r="O34" s="260"/>
      <c r="P34" s="267">
        <f t="shared" si="2"/>
        <v>-0.010504000000000069</v>
      </c>
      <c r="Q34" s="296">
        <f t="shared" si="3"/>
        <v>-0.009614469300333238</v>
      </c>
    </row>
    <row r="35" spans="2:17" ht="12.75">
      <c r="B35" s="213">
        <v>22</v>
      </c>
      <c r="D35" s="259" t="s">
        <v>241</v>
      </c>
      <c r="E35" s="260"/>
      <c r="F35" s="261" t="s">
        <v>204</v>
      </c>
      <c r="G35" s="262"/>
      <c r="H35" s="295">
        <v>0.0003725</v>
      </c>
      <c r="I35" s="264">
        <f>I31</f>
        <v>840.4</v>
      </c>
      <c r="J35" s="265">
        <f>I35*H35</f>
        <v>0.31304899999999997</v>
      </c>
      <c r="K35" s="260"/>
      <c r="L35" s="295">
        <v>0.0003725</v>
      </c>
      <c r="M35" s="266">
        <f>M31</f>
        <v>832.3199999999999</v>
      </c>
      <c r="N35" s="265">
        <f>M35*L35</f>
        <v>0.31003919999999996</v>
      </c>
      <c r="O35" s="260"/>
      <c r="P35" s="267">
        <f>N35-J35</f>
        <v>-0.003009800000000007</v>
      </c>
      <c r="Q35" s="296">
        <f>IF((J35)=0,"",(P35/J35))</f>
        <v>-0.009614469300333198</v>
      </c>
    </row>
    <row r="36" spans="2:17" ht="12.75">
      <c r="B36" s="213">
        <v>23</v>
      </c>
      <c r="D36" s="260" t="s">
        <v>210</v>
      </c>
      <c r="E36" s="260"/>
      <c r="F36" s="261" t="s">
        <v>203</v>
      </c>
      <c r="G36" s="262"/>
      <c r="H36" s="263">
        <v>0.25</v>
      </c>
      <c r="I36" s="264">
        <v>1</v>
      </c>
      <c r="J36" s="265">
        <f t="shared" si="0"/>
        <v>0.25</v>
      </c>
      <c r="K36" s="260"/>
      <c r="L36" s="263">
        <v>0.25</v>
      </c>
      <c r="M36" s="266">
        <v>1</v>
      </c>
      <c r="N36" s="265">
        <f t="shared" si="6"/>
        <v>0.25</v>
      </c>
      <c r="O36" s="260"/>
      <c r="P36" s="267">
        <f t="shared" si="2"/>
        <v>0</v>
      </c>
      <c r="Q36" s="296">
        <f t="shared" si="3"/>
        <v>0</v>
      </c>
    </row>
    <row r="37" spans="2:17" ht="12.75">
      <c r="B37" s="213">
        <v>24</v>
      </c>
      <c r="D37" s="260" t="s">
        <v>213</v>
      </c>
      <c r="E37" s="260"/>
      <c r="F37" s="261" t="s">
        <v>204</v>
      </c>
      <c r="G37" s="262"/>
      <c r="H37" s="263">
        <v>0.007</v>
      </c>
      <c r="I37" s="264">
        <f>I34</f>
        <v>840.4</v>
      </c>
      <c r="J37" s="265">
        <f t="shared" si="0"/>
        <v>5.8828</v>
      </c>
      <c r="K37" s="260"/>
      <c r="L37" s="263">
        <v>0.007</v>
      </c>
      <c r="M37" s="266">
        <f>M34</f>
        <v>832.3199999999999</v>
      </c>
      <c r="N37" s="265">
        <f t="shared" si="6"/>
        <v>5.826239999999999</v>
      </c>
      <c r="O37" s="260"/>
      <c r="P37" s="267">
        <f t="shared" si="2"/>
        <v>-0.056560000000000166</v>
      </c>
      <c r="Q37" s="296">
        <f t="shared" si="3"/>
        <v>-0.009614469300333203</v>
      </c>
    </row>
    <row r="38" spans="2:17" ht="12.75">
      <c r="B38" s="213">
        <v>25</v>
      </c>
      <c r="D38" s="260" t="s">
        <v>242</v>
      </c>
      <c r="E38" s="260"/>
      <c r="F38" s="261" t="s">
        <v>204</v>
      </c>
      <c r="G38" s="262"/>
      <c r="H38" s="263">
        <v>0.0678605425987625</v>
      </c>
      <c r="I38" s="264">
        <f>I37</f>
        <v>840.4</v>
      </c>
      <c r="J38" s="265">
        <f t="shared" si="0"/>
        <v>57.03</v>
      </c>
      <c r="K38" s="260"/>
      <c r="L38" s="263">
        <v>0.0678605425987625</v>
      </c>
      <c r="M38" s="266">
        <f>M37</f>
        <v>832.3199999999999</v>
      </c>
      <c r="N38" s="265">
        <f t="shared" si="6"/>
        <v>56.48168681580199</v>
      </c>
      <c r="O38" s="260"/>
      <c r="P38" s="267">
        <f t="shared" si="2"/>
        <v>-0.5483131841980082</v>
      </c>
      <c r="Q38" s="296">
        <f t="shared" si="3"/>
        <v>-0.009614469300333302</v>
      </c>
    </row>
    <row r="39" spans="2:17" ht="12.75">
      <c r="B39" s="213">
        <v>26</v>
      </c>
      <c r="D39" s="269"/>
      <c r="E39" s="260"/>
      <c r="F39" s="261"/>
      <c r="G39" s="262"/>
      <c r="H39" s="263"/>
      <c r="I39" s="270"/>
      <c r="J39" s="265">
        <f t="shared" si="0"/>
        <v>0</v>
      </c>
      <c r="K39" s="260"/>
      <c r="L39" s="263"/>
      <c r="M39" s="271"/>
      <c r="N39" s="265">
        <f t="shared" si="6"/>
        <v>0</v>
      </c>
      <c r="O39" s="260"/>
      <c r="P39" s="267">
        <f t="shared" si="2"/>
        <v>0</v>
      </c>
      <c r="Q39" s="296">
        <f t="shared" si="3"/>
      </c>
    </row>
    <row r="40" spans="2:17" ht="13.5" thickBot="1">
      <c r="B40" s="213">
        <v>27</v>
      </c>
      <c r="D40" s="269"/>
      <c r="E40" s="260"/>
      <c r="F40" s="261"/>
      <c r="G40" s="262"/>
      <c r="H40" s="263"/>
      <c r="I40" s="270"/>
      <c r="J40" s="265">
        <f t="shared" si="0"/>
        <v>0</v>
      </c>
      <c r="K40" s="260"/>
      <c r="L40" s="263"/>
      <c r="M40" s="271"/>
      <c r="N40" s="265">
        <f t="shared" si="6"/>
        <v>0</v>
      </c>
      <c r="O40" s="260"/>
      <c r="P40" s="267">
        <f t="shared" si="2"/>
        <v>0</v>
      </c>
      <c r="Q40" s="296">
        <f t="shared" si="3"/>
      </c>
    </row>
    <row r="41" spans="2:17" ht="13.5" thickBot="1">
      <c r="B41" s="213">
        <v>28</v>
      </c>
      <c r="D41" s="287" t="s">
        <v>206</v>
      </c>
      <c r="E41" s="260"/>
      <c r="F41" s="260"/>
      <c r="G41" s="260"/>
      <c r="H41" s="288"/>
      <c r="I41" s="289"/>
      <c r="J41" s="283">
        <f>SUM(J32:J40)</f>
        <v>99.613569</v>
      </c>
      <c r="K41" s="213"/>
      <c r="L41" s="290"/>
      <c r="M41" s="291"/>
      <c r="N41" s="283">
        <f>SUM(N32:N40)</f>
        <v>104.61468631165877</v>
      </c>
      <c r="O41" s="213"/>
      <c r="P41" s="286">
        <f t="shared" si="2"/>
        <v>5.001117311658774</v>
      </c>
      <c r="Q41" s="299">
        <f t="shared" si="3"/>
        <v>0.050205181501515865</v>
      </c>
    </row>
    <row r="42" spans="2:17" ht="13.5" thickBot="1">
      <c r="B42" s="213">
        <v>29</v>
      </c>
      <c r="D42" s="262" t="s">
        <v>207</v>
      </c>
      <c r="E42" s="260"/>
      <c r="F42" s="260"/>
      <c r="G42" s="260"/>
      <c r="H42" s="292">
        <v>0.13</v>
      </c>
      <c r="I42" s="293"/>
      <c r="J42" s="294">
        <f>J41*H42</f>
        <v>12.94976397</v>
      </c>
      <c r="K42" s="260"/>
      <c r="L42" s="292">
        <v>0.13</v>
      </c>
      <c r="M42" s="268"/>
      <c r="N42" s="294">
        <f>N41*L42</f>
        <v>13.599909220515642</v>
      </c>
      <c r="O42" s="260"/>
      <c r="P42" s="267">
        <f t="shared" si="2"/>
        <v>0.6501452505156422</v>
      </c>
      <c r="Q42" s="296">
        <f t="shared" si="3"/>
        <v>0.05020518150151599</v>
      </c>
    </row>
    <row r="43" spans="2:17" ht="26.25" thickBot="1">
      <c r="B43" s="213">
        <v>30</v>
      </c>
      <c r="D43" s="280" t="s">
        <v>199</v>
      </c>
      <c r="E43" s="260"/>
      <c r="F43" s="260"/>
      <c r="G43" s="260"/>
      <c r="H43" s="281"/>
      <c r="I43" s="282"/>
      <c r="J43" s="283">
        <f>ROUND(SUM(J41:J42),2)</f>
        <v>112.56</v>
      </c>
      <c r="K43" s="213"/>
      <c r="L43" s="284"/>
      <c r="M43" s="285"/>
      <c r="N43" s="283">
        <f>ROUND(SUM(N41:N42),2)</f>
        <v>118.21</v>
      </c>
      <c r="O43" s="213"/>
      <c r="P43" s="286">
        <f t="shared" si="2"/>
        <v>5.6499999999999915</v>
      </c>
      <c r="Q43" s="299">
        <f t="shared" si="3"/>
        <v>0.05019545131485422</v>
      </c>
    </row>
    <row r="44" ht="10.5" customHeight="1">
      <c r="B44" s="213"/>
    </row>
    <row r="45" spans="2:12" ht="12.75">
      <c r="B45" s="213">
        <v>31</v>
      </c>
      <c r="D45" s="12" t="s">
        <v>234</v>
      </c>
      <c r="F45" s="12" t="s">
        <v>247</v>
      </c>
      <c r="H45" s="237">
        <v>0.0505</v>
      </c>
      <c r="L45" s="237">
        <v>0.0404</v>
      </c>
    </row>
    <row r="46" ht="10.5" customHeight="1"/>
    <row r="47" ht="12.75">
      <c r="B47" s="12" t="s">
        <v>50</v>
      </c>
    </row>
    <row r="48" ht="12.75">
      <c r="B48" s="12" t="s">
        <v>248</v>
      </c>
    </row>
    <row r="49" spans="2:17" ht="12.75">
      <c r="B49" s="490" t="s">
        <v>254</v>
      </c>
      <c r="C49" s="491"/>
      <c r="D49" s="491"/>
      <c r="E49" s="491"/>
      <c r="F49" s="491"/>
      <c r="G49" s="491"/>
      <c r="H49" s="491"/>
      <c r="I49" s="491"/>
      <c r="J49" s="491"/>
      <c r="K49" s="491"/>
      <c r="L49" s="491"/>
      <c r="M49" s="491"/>
      <c r="N49" s="491"/>
      <c r="O49" s="491"/>
      <c r="P49" s="491"/>
      <c r="Q49" s="492"/>
    </row>
    <row r="50" spans="2:17" ht="12.75">
      <c r="B50" s="474"/>
      <c r="C50" s="475"/>
      <c r="D50" s="475"/>
      <c r="E50" s="475"/>
      <c r="F50" s="475"/>
      <c r="G50" s="475"/>
      <c r="H50" s="475"/>
      <c r="I50" s="475"/>
      <c r="J50" s="475"/>
      <c r="K50" s="475"/>
      <c r="L50" s="475"/>
      <c r="M50" s="475"/>
      <c r="N50" s="475"/>
      <c r="O50" s="475"/>
      <c r="P50" s="475"/>
      <c r="Q50" s="476"/>
    </row>
    <row r="51" spans="2:17" ht="12.75">
      <c r="B51" s="474"/>
      <c r="C51" s="475"/>
      <c r="D51" s="475"/>
      <c r="E51" s="475"/>
      <c r="F51" s="475"/>
      <c r="G51" s="475"/>
      <c r="H51" s="475"/>
      <c r="I51" s="475"/>
      <c r="J51" s="475"/>
      <c r="K51" s="475"/>
      <c r="L51" s="475"/>
      <c r="M51" s="475"/>
      <c r="N51" s="475"/>
      <c r="O51" s="475"/>
      <c r="P51" s="475"/>
      <c r="Q51" s="476"/>
    </row>
    <row r="52" spans="2:17" ht="12.75">
      <c r="B52" s="474"/>
      <c r="C52" s="475"/>
      <c r="D52" s="475"/>
      <c r="E52" s="475"/>
      <c r="F52" s="475"/>
      <c r="G52" s="475"/>
      <c r="H52" s="475"/>
      <c r="I52" s="475"/>
      <c r="J52" s="475"/>
      <c r="K52" s="475"/>
      <c r="L52" s="475"/>
      <c r="M52" s="475"/>
      <c r="N52" s="475"/>
      <c r="O52" s="475"/>
      <c r="P52" s="475"/>
      <c r="Q52" s="476"/>
    </row>
    <row r="53" spans="2:17" ht="12.75">
      <c r="B53" s="477"/>
      <c r="C53" s="478"/>
      <c r="D53" s="478"/>
      <c r="E53" s="478"/>
      <c r="F53" s="478"/>
      <c r="G53" s="478"/>
      <c r="H53" s="478"/>
      <c r="I53" s="478"/>
      <c r="J53" s="478"/>
      <c r="K53" s="478"/>
      <c r="L53" s="478"/>
      <c r="M53" s="478"/>
      <c r="N53" s="478"/>
      <c r="O53" s="478"/>
      <c r="P53" s="478"/>
      <c r="Q53" s="479"/>
    </row>
  </sheetData>
  <sheetProtection password="82A3" sheet="1" objects="1" scenarios="1"/>
  <mergeCells count="17">
    <mergeCell ref="B51:Q51"/>
    <mergeCell ref="C4:J4"/>
    <mergeCell ref="F12:F13"/>
    <mergeCell ref="P12:P13"/>
    <mergeCell ref="Q12:Q13"/>
    <mergeCell ref="B49:Q49"/>
    <mergeCell ref="B50:Q50"/>
    <mergeCell ref="C2:O2"/>
    <mergeCell ref="B52:Q52"/>
    <mergeCell ref="B53:Q53"/>
    <mergeCell ref="Q1:R1"/>
    <mergeCell ref="H11:J11"/>
    <mergeCell ref="L11:N11"/>
    <mergeCell ref="P11:Q11"/>
    <mergeCell ref="F8:Q8"/>
    <mergeCell ref="C1:M1"/>
    <mergeCell ref="C3:M3"/>
  </mergeCells>
  <dataValidations count="2">
    <dataValidation type="list" allowBlank="1" showInputMessage="1" showErrorMessage="1" sqref="G14:G28 G30:G31 G33:G40">
      <formula1>$B$8:$B$12</formula1>
    </dataValidation>
    <dataValidation type="list" allowBlank="1" showInputMessage="1" showErrorMessage="1" prompt="Select Charge Unit (monthly, per kWh, per kW)" sqref="F14:F28 F30:F31 F33:F40">
      <formula1>$B$8:$B$10</formula1>
    </dataValidation>
  </dataValidations>
  <printOptions/>
  <pageMargins left="0.75" right="0.75" top="1" bottom="1" header="0.5" footer="0.5"/>
  <pageSetup fitToHeight="1" fitToWidth="1" horizontalDpi="600" verticalDpi="600" orientation="portrait" scale="68" r:id="rId3"/>
  <headerFooter alignWithMargins="0">
    <oddFooter>&amp;C9</oddFooter>
  </headerFooter>
  <legacyDrawing r:id="rId2"/>
  <oleObjects>
    <oleObject progId="Unknown" shapeId="6113867"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Ontario Energy Board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Keith C. Ritchie</dc:creator>
  <cp:keywords/>
  <dc:description/>
  <cp:lastModifiedBy>amos</cp:lastModifiedBy>
  <cp:lastPrinted>2010-08-10T12:41:13Z</cp:lastPrinted>
  <dcterms:created xsi:type="dcterms:W3CDTF">2008-10-20T17:39:17Z</dcterms:created>
  <dcterms:modified xsi:type="dcterms:W3CDTF">2010-08-27T08:29:19Z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