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9170" windowHeight="5670" firstSheet="5" activeTab="8"/>
  </bookViews>
  <sheets>
    <sheet name="2002-2011 TB" sheetId="1" r:id="rId1"/>
    <sheet name="Summary of Rate Base" sheetId="2" r:id="rId2"/>
    <sheet name="Rate Base Variance Analysis" sheetId="3" r:id="rId3"/>
    <sheet name="Gross Assets Table" sheetId="4" r:id="rId4"/>
    <sheet name="Accumulated Depreciation Table" sheetId="5" r:id="rId5"/>
    <sheet name="2005 FA Continuity" sheetId="6" r:id="rId6"/>
    <sheet name="2006 FA Continuity" sheetId="7" r:id="rId7"/>
    <sheet name="2007 FA Continuity" sheetId="8" r:id="rId8"/>
    <sheet name="2008 FA Continuity" sheetId="9" r:id="rId9"/>
    <sheet name="2009 FA Continuity" sheetId="10" r:id="rId10"/>
    <sheet name="2010 FA Continuity" sheetId="11" r:id="rId11"/>
    <sheet name="2011 FA Continuity" sheetId="12" r:id="rId12"/>
    <sheet name="Smart Meter Continuity" sheetId="13" r:id="rId13"/>
    <sheet name="MSP Transitional Costs" sheetId="14" r:id="rId14"/>
    <sheet name="CCA Continuity 2007" sheetId="15" r:id="rId15"/>
    <sheet name="CCA Continuity 2008" sheetId="16" r:id="rId16"/>
    <sheet name="CCA Continuity 2009" sheetId="17" r:id="rId17"/>
    <sheet name="CCA Continuity 2010" sheetId="18" r:id="rId18"/>
    <sheet name="CCA Continuity 2011" sheetId="19" r:id="rId19"/>
    <sheet name="Notes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'2002-2011 TB'!$A$3:$N$443</definedName>
    <definedName name="DaysInPreviousYear">'[2]Distribution Revenue by Source'!$B$22</definedName>
    <definedName name="DaysInYear">'[2]Distribution Revenue by Source'!$B$21</definedName>
    <definedName name="MofF">#REF!</definedName>
    <definedName name="_xlnm.Print_Area" localSheetId="0">'2002-2011 TB'!$A$1:$K$452</definedName>
    <definedName name="_xlnm.Print_Titles" localSheetId="0">'2002-2011 TB'!$1:$3</definedName>
    <definedName name="Ratebase">'[2]Distribution Revenue by Source'!$C$25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451" authorId="0">
      <text>
        <r>
          <rPr>
            <b/>
            <sz val="10"/>
            <rFont val="Arial"/>
            <family val="2"/>
          </rPr>
          <t>Differences located to operating Expenses and Accounts Payable</t>
        </r>
      </text>
    </comment>
    <comment ref="K451" authorId="0">
      <text>
        <r>
          <rPr>
            <b/>
            <sz val="10"/>
            <rFont val="Arial"/>
            <family val="2"/>
          </rPr>
          <t>Differences located to operating Expenses and Accounts Payable</t>
        </r>
      </text>
    </comment>
    <comment ref="L451" authorId="0">
      <text>
        <r>
          <rPr>
            <b/>
            <sz val="10"/>
            <rFont val="Arial"/>
            <family val="2"/>
          </rPr>
          <t>Differences located to operating Expenses and Accounts Payable</t>
        </r>
      </text>
    </comment>
    <comment ref="M451" authorId="0">
      <text>
        <r>
          <rPr>
            <b/>
            <sz val="10"/>
            <rFont val="Arial"/>
            <family val="2"/>
          </rPr>
          <t>Differences located to operating Expenses and Accounts Payable</t>
        </r>
      </text>
    </comment>
    <comment ref="N451" authorId="0">
      <text>
        <r>
          <rPr>
            <b/>
            <sz val="10"/>
            <rFont val="Arial"/>
            <family val="2"/>
          </rPr>
          <t>Differences located to operating Expenses and Accounts Payable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Part of CEC calculation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Part of CEC calculation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Part of CEC calculation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Part of CEC calculation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2"/>
          </rPr>
          <t>These figures are provided from the CFO from our tax return</t>
        </r>
      </text>
    </commen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H9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M13" authorId="0">
      <text>
        <r>
          <rPr>
            <sz val="9"/>
            <rFont val="Tahoma"/>
            <family val="2"/>
          </rPr>
          <t>This is a manual input given to us by Finance</t>
        </r>
      </text>
    </comment>
    <comment ref="E64" authorId="0">
      <text>
        <r>
          <rPr>
            <b/>
            <sz val="8"/>
            <rFont val="Tahoma"/>
            <family val="2"/>
          </rPr>
          <t>Input the CEC deduction rate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2"/>
          </rPr>
          <t>These figures are provided from the CFO from our tax return</t>
        </r>
      </text>
    </commen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E64" authorId="0">
      <text>
        <r>
          <rPr>
            <b/>
            <sz val="8"/>
            <rFont val="Tahoma"/>
            <family val="2"/>
          </rPr>
          <t>Input the CEC deduction rate</t>
        </r>
      </text>
    </comment>
    <comment ref="H9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2"/>
          </rPr>
          <t>These figures are provided from the CFO from our tax return</t>
        </r>
      </text>
    </commen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E64" authorId="0">
      <text>
        <r>
          <rPr>
            <b/>
            <sz val="8"/>
            <rFont val="Tahoma"/>
            <family val="2"/>
          </rPr>
          <t>Input the CEC deduction rate</t>
        </r>
      </text>
    </comment>
    <comment ref="H9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2"/>
          </rPr>
          <t>These figures are provided from the CFO from our tax return</t>
        </r>
      </text>
    </commen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E64" authorId="0">
      <text>
        <r>
          <rPr>
            <b/>
            <sz val="8"/>
            <rFont val="Tahoma"/>
            <family val="2"/>
          </rPr>
          <t>Input the CEC deduction rate</t>
        </r>
      </text>
    </comment>
    <comment ref="H9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2"/>
          </rPr>
          <t>These figures are provided from the CFO from our tax return</t>
        </r>
      </text>
    </commen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E64" authorId="0">
      <text>
        <r>
          <rPr>
            <b/>
            <sz val="8"/>
            <rFont val="Tahoma"/>
            <family val="2"/>
          </rPr>
          <t>Input the CEC deduction rate</t>
        </r>
      </text>
    </comment>
    <comment ref="H9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</commentList>
</comments>
</file>

<file path=xl/comments5.xml><?xml version="1.0" encoding="utf-8"?>
<comments xmlns="http://schemas.openxmlformats.org/spreadsheetml/2006/main">
  <authors>
    <author>IR</author>
  </authors>
  <commentList>
    <comment ref="B1" authorId="0">
      <text>
        <r>
          <rPr>
            <b/>
            <sz val="8"/>
            <rFont val="Tahoma"/>
            <family val="2"/>
          </rPr>
          <t>IR:</t>
        </r>
        <r>
          <rPr>
            <sz val="8"/>
            <rFont val="Tahoma"/>
            <family val="2"/>
          </rPr>
          <t xml:space="preserve">
This was adjusted using fixed asset continuity filed in 2008 EDR - stripped out smart meter assets by category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22" authorId="0">
      <text>
        <r>
          <rPr>
            <b/>
            <sz val="8"/>
            <rFont val="Tahoma"/>
            <family val="2"/>
          </rPr>
          <t>Part of CEC calculation</t>
        </r>
      </text>
    </comment>
    <comment ref="A20" authorId="0">
      <text>
        <r>
          <rPr>
            <b/>
            <sz val="8"/>
            <rFont val="Tahoma"/>
            <family val="2"/>
          </rPr>
          <t>Part of CEC calculation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Part of CEC calculation</t>
        </r>
      </text>
    </comment>
  </commentList>
</comments>
</file>

<file path=xl/comments8.xml><?xml version="1.0" encoding="utf-8"?>
<comments xmlns="http://schemas.openxmlformats.org/spreadsheetml/2006/main">
  <authors>
    <author>User</author>
    <author>IR</author>
    <author>User </author>
  </authors>
  <commentList>
    <comment ref="A20" authorId="0">
      <text>
        <r>
          <rPr>
            <b/>
            <sz val="8"/>
            <rFont val="Tahoma"/>
            <family val="2"/>
          </rPr>
          <t>Part of CEC calculation</t>
        </r>
      </text>
    </comment>
    <comment ref="E6" authorId="1">
      <text>
        <r>
          <rPr>
            <b/>
            <sz val="8"/>
            <rFont val="Tahoma"/>
            <family val="0"/>
          </rPr>
          <t>The standby generator was reclassed to 1908</t>
        </r>
      </text>
    </comment>
    <comment ref="E21" authorId="2">
      <text>
        <r>
          <rPr>
            <b/>
            <sz val="8"/>
            <rFont val="Tahoma"/>
            <family val="0"/>
          </rPr>
          <t>Includes Standby Generator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Part of CEC calculation</t>
        </r>
      </text>
    </comment>
  </commentList>
</comments>
</file>

<file path=xl/sharedStrings.xml><?xml version="1.0" encoding="utf-8"?>
<sst xmlns="http://schemas.openxmlformats.org/spreadsheetml/2006/main" count="2967" uniqueCount="683">
  <si>
    <t>Cost</t>
  </si>
  <si>
    <t>Accumulated Depreciation</t>
  </si>
  <si>
    <t>Balance</t>
  </si>
  <si>
    <t>Additions</t>
  </si>
  <si>
    <t>Disposals</t>
  </si>
  <si>
    <t>Standby Generators</t>
  </si>
  <si>
    <t>Land -  Substations</t>
  </si>
  <si>
    <t>Buildings - Substations</t>
  </si>
  <si>
    <t>Leasehold Improvements</t>
  </si>
  <si>
    <t>Substation Equipment</t>
  </si>
  <si>
    <t>Poles, Towers &amp; Fixtures</t>
  </si>
  <si>
    <t>OH Conductors &amp; Devices</t>
  </si>
  <si>
    <t>UG Conductors &amp; Devices</t>
  </si>
  <si>
    <t>Line Transformers</t>
  </si>
  <si>
    <t>Services (OH &amp; UG)</t>
  </si>
  <si>
    <t>Meters</t>
  </si>
  <si>
    <t>Smart Meters</t>
  </si>
  <si>
    <t>Land</t>
  </si>
  <si>
    <t>Land Rights</t>
  </si>
  <si>
    <t>Buildings &amp; Fixtures</t>
  </si>
  <si>
    <t>Office Furniture &amp; Equipment</t>
  </si>
  <si>
    <t>Computer - Hardware</t>
  </si>
  <si>
    <t>Computer - Hardware post Mar 22/04</t>
  </si>
  <si>
    <t>Computer - Software</t>
  </si>
  <si>
    <t>Transportation Equipment</t>
  </si>
  <si>
    <t>Stores Equipment</t>
  </si>
  <si>
    <t>Tools, Shop &amp; Garage Equipment</t>
  </si>
  <si>
    <t>Communications Equipment</t>
  </si>
  <si>
    <t xml:space="preserve">Horizon Utilities Corporation </t>
  </si>
  <si>
    <t>Fixed Asset Continuity Schedule</t>
  </si>
  <si>
    <t>UG Conduit</t>
  </si>
  <si>
    <t>Measurement &amp; Testing Equipment</t>
  </si>
  <si>
    <t>Power operated Equipment</t>
  </si>
  <si>
    <t>Load Management controls</t>
  </si>
  <si>
    <t>System Supervisory Equipment</t>
  </si>
  <si>
    <t>Hydro One S/S Contribution</t>
  </si>
  <si>
    <t>Contributions &amp; Grants</t>
  </si>
  <si>
    <t>Work in Process</t>
  </si>
  <si>
    <t>Less Fleet</t>
  </si>
  <si>
    <t>Sale of Enerconnect</t>
  </si>
  <si>
    <t>Fleet Depreciation Capital Adj</t>
  </si>
  <si>
    <t>Less Stores</t>
  </si>
  <si>
    <t>Total Gain</t>
  </si>
  <si>
    <t>Net Depreciation</t>
  </si>
  <si>
    <t>2009 Fixed Asset Continuity Schedule (Smart Meters)</t>
  </si>
  <si>
    <t>CCA Class</t>
  </si>
  <si>
    <t>OEB</t>
  </si>
  <si>
    <t>Description</t>
  </si>
  <si>
    <t>Opening Balance</t>
  </si>
  <si>
    <t>Closing Balance</t>
  </si>
  <si>
    <t>Net Book Value</t>
  </si>
  <si>
    <t>N/A</t>
  </si>
  <si>
    <t>Transformer Station Equipment &gt; 50 kV</t>
  </si>
  <si>
    <t>Storage Battery Equipment</t>
  </si>
  <si>
    <t>CEC</t>
  </si>
  <si>
    <t>Computer - Hardware post Mar 19/07</t>
  </si>
  <si>
    <t>Miscellaneous Equipment</t>
  </si>
  <si>
    <t>Water Heater Rental Units</t>
  </si>
  <si>
    <t>Load Management Controls Utility Premises</t>
  </si>
  <si>
    <t>Sentinel Lighting Rental Units</t>
  </si>
  <si>
    <t>Total</t>
  </si>
  <si>
    <t>Remove Smart Meter Assets</t>
  </si>
  <si>
    <t>Remove MSP Transitional Assets</t>
  </si>
  <si>
    <t>Asset Description</t>
  </si>
  <si>
    <t>Proceeds on Disposal</t>
  </si>
  <si>
    <t>Gain (Loss) on Disposal</t>
  </si>
  <si>
    <t>Sub-Total</t>
  </si>
  <si>
    <t>MSP Transition Costs (Capital) - 2008</t>
  </si>
  <si>
    <t>MSP Transition Costs (Capital) - 2009</t>
  </si>
  <si>
    <t>* Assumption made that assets set-up at end of 2009</t>
  </si>
  <si>
    <t>$ Additions</t>
  </si>
  <si>
    <t>Depreciation per year starting in 2010</t>
  </si>
  <si>
    <t>MSP Transitional Costs</t>
  </si>
  <si>
    <t>CCA Continuity Schedule (2007)</t>
  </si>
  <si>
    <t>Class</t>
  </si>
  <si>
    <t>Class Description</t>
  </si>
  <si>
    <t>UCC Prior Year Ending Balance</t>
  </si>
  <si>
    <t>Less: Non-Distribution Portion</t>
  </si>
  <si>
    <t>Less: Disallowed FMV Increment</t>
  </si>
  <si>
    <t>UCC Bridge Year Opening Balance</t>
  </si>
  <si>
    <t xml:space="preserve"> Additions</t>
  </si>
  <si>
    <t>Dispositions</t>
  </si>
  <si>
    <t>UCC Before 1/2 Yr Adjustment</t>
  </si>
  <si>
    <t>1/2 Year Rule {1/2 Additions Less Disposals}</t>
  </si>
  <si>
    <t>Reduced UCC</t>
  </si>
  <si>
    <t>Rate %</t>
  </si>
  <si>
    <t>CCA</t>
  </si>
  <si>
    <t>UCC Ending Balance</t>
  </si>
  <si>
    <t>Distribution System - 1988 to 22-Feb-2005</t>
  </si>
  <si>
    <t>Distribution System - pre 1988</t>
  </si>
  <si>
    <t>Buildings (No footings below ground)</t>
  </si>
  <si>
    <t>General Office/Stores Equip</t>
  </si>
  <si>
    <t>Computer Hardware/  Vehicles</t>
  </si>
  <si>
    <t>Certain Automobiles</t>
  </si>
  <si>
    <t>Computer Software</t>
  </si>
  <si>
    <t>13 1</t>
  </si>
  <si>
    <t>Lease # 1</t>
  </si>
  <si>
    <t>13 2</t>
  </si>
  <si>
    <t>Lease #2</t>
  </si>
  <si>
    <t>13 3</t>
  </si>
  <si>
    <t>Lease # 3</t>
  </si>
  <si>
    <t>13 4</t>
  </si>
  <si>
    <t>Lease # 4</t>
  </si>
  <si>
    <t>Franchise</t>
  </si>
  <si>
    <t>New Electrical Generating Equipment Acq'd after Feb 27/00 Other Than Bldgs</t>
  </si>
  <si>
    <t>Certain Energy-Efficient Electrical Generating Equipment</t>
  </si>
  <si>
    <t>Computers &amp; Systems Hardware acq'd post Mar 22/04</t>
  </si>
  <si>
    <t>Data Network Infrastructure Equipment (acq'd post Mar 22/04)</t>
  </si>
  <si>
    <t>Distribution System - post 22-Feb-2005</t>
  </si>
  <si>
    <t>SUB-TOTAL - UCC</t>
  </si>
  <si>
    <t>Goodwill</t>
  </si>
  <si>
    <t>FMV Bump-up</t>
  </si>
  <si>
    <t>SUB-TOTAL - CEC</t>
  </si>
  <si>
    <t>Cumulative Eligible Capital Calculation</t>
  </si>
  <si>
    <t>Cumulative Eligible Capital</t>
  </si>
  <si>
    <t>Additions:</t>
  </si>
  <si>
    <t>Cost of Eligible Capital Property Acquired during the year</t>
  </si>
  <si>
    <t>Other Adjustments</t>
  </si>
  <si>
    <t>Subtotal</t>
  </si>
  <si>
    <t>x 3/4 =</t>
  </si>
  <si>
    <t>Non-taxable portion of a non-arm's length transferor's gain realized on the transfer of an ECP to the Corporation after Friday December 31, 2002</t>
  </si>
  <si>
    <t>x 1/2 =</t>
  </si>
  <si>
    <t>Amount transferred on amalgamation or wind-up of subsidiary</t>
  </si>
  <si>
    <t>Deductions:</t>
  </si>
  <si>
    <t>Projected proceeds of sale (less outlays and expenses not otherwise deductible) from the disposition of all ECP during the year</t>
  </si>
  <si>
    <t>Cumulative Eligible Capital Balance</t>
  </si>
  <si>
    <t>CEC Deduction</t>
  </si>
  <si>
    <t>Cumulative Eligible Capital - Closing Balance</t>
  </si>
  <si>
    <t>CCA Continuity Schedule (2008)</t>
  </si>
  <si>
    <t>Computers &amp; Systems Hardware acq'd post Mar 18/07</t>
  </si>
  <si>
    <t>Computers &amp; Systems Hardware acq'd post Jan 27/09 and before Feb 2011</t>
  </si>
  <si>
    <t>CCA Continuity Schedule (2009)</t>
  </si>
  <si>
    <t>CCA Continuity Schedule (2010)</t>
  </si>
  <si>
    <t>CCA Continuity Schedule (2011)</t>
  </si>
  <si>
    <t>Assumed Generators was part of CCA class 47 (Buildings)</t>
  </si>
  <si>
    <t>Need to populate the 2008 tax numbers (opening UCC)</t>
  </si>
  <si>
    <t>2011 Hardware in a different CCA Class?</t>
  </si>
  <si>
    <t>Long-Term Debt rate/Short term debt rate are incorrect in rate filing</t>
  </si>
  <si>
    <t>Tax return was filed with incorrect CCA class in 2008?</t>
  </si>
  <si>
    <t xml:space="preserve">2008 Board Approved </t>
  </si>
  <si>
    <t>2008 Actual ($)</t>
  </si>
  <si>
    <t>Variance from 2008 Board Approved</t>
  </si>
  <si>
    <t>2009 Actual ($)</t>
  </si>
  <si>
    <t>Variance from 2008 Actual</t>
  </si>
  <si>
    <t>2010 Actual ($)</t>
  </si>
  <si>
    <t>Variance from 2009 Actual</t>
  </si>
  <si>
    <t>2011 Actual ($)</t>
  </si>
  <si>
    <t>Variance from 2010 Actual</t>
  </si>
  <si>
    <t>Land and Buildings</t>
  </si>
  <si>
    <t>1805-Land</t>
  </si>
  <si>
    <t>1806-Land Rights</t>
  </si>
  <si>
    <t>1808-Building and Fixtures</t>
  </si>
  <si>
    <t>1905-Land</t>
  </si>
  <si>
    <t>1906-Land Rights</t>
  </si>
  <si>
    <t>1810-Leashold Improvemens</t>
  </si>
  <si>
    <t>Sub-Total Land and Buildings</t>
  </si>
  <si>
    <t>DS</t>
  </si>
  <si>
    <t xml:space="preserve">1820-Distribution Station Equipment </t>
  </si>
  <si>
    <t>SubTotal-DS</t>
  </si>
  <si>
    <t>Poles and Wires</t>
  </si>
  <si>
    <t>1830-Poles, Towers and Fixtures</t>
  </si>
  <si>
    <t>1835-Overhead Conductors and Devices</t>
  </si>
  <si>
    <t>1840-Underground Conduit</t>
  </si>
  <si>
    <t>1845-Underground Conductors and Devices</t>
  </si>
  <si>
    <t>SubTotal-Poles and Wires</t>
  </si>
  <si>
    <t>1850-Line Transformers</t>
  </si>
  <si>
    <t>Services and Meters</t>
  </si>
  <si>
    <t>1855-Services</t>
  </si>
  <si>
    <t>1860-Meters</t>
  </si>
  <si>
    <t>SubTotal-Services and Meters</t>
  </si>
  <si>
    <t>General Plant</t>
  </si>
  <si>
    <t>1908-Buildings and Fixtures</t>
  </si>
  <si>
    <t>Subtotal-General Plant</t>
  </si>
  <si>
    <t>IT Assets</t>
  </si>
  <si>
    <t>1920-Computer Equipment-Hardware</t>
  </si>
  <si>
    <t>1925-Computer Software</t>
  </si>
  <si>
    <t>SubTotal-IT Assets</t>
  </si>
  <si>
    <t>Equipment</t>
  </si>
  <si>
    <t>1915-Office Furniture and Equipment</t>
  </si>
  <si>
    <t>1930-Transportation Equipment</t>
  </si>
  <si>
    <t>1935-Stores Equipment</t>
  </si>
  <si>
    <t>1940-Tools, Shop and Equipment</t>
  </si>
  <si>
    <t>1945-Measurement and Testing Equipment</t>
  </si>
  <si>
    <t>1955-Communication Equipment</t>
  </si>
  <si>
    <t>1960-Miscellaneous Equipment</t>
  </si>
  <si>
    <t>SubTotal-Equipment</t>
  </si>
  <si>
    <t>Other Distribution Assets</t>
  </si>
  <si>
    <t>1985-Sentinel Lighting Rental Units</t>
  </si>
  <si>
    <t>1995-Contributions and Grants - Credit</t>
  </si>
  <si>
    <t>SubTotal-Other Distribution Assets</t>
  </si>
  <si>
    <t>Gross Assets Total</t>
  </si>
  <si>
    <t>SubTotal-Line Transformers</t>
  </si>
  <si>
    <t>1950-Power Operated Equipment</t>
  </si>
  <si>
    <t>1980-System Supervisory Equipment</t>
  </si>
  <si>
    <t>Accumulated Depreciation Total</t>
  </si>
  <si>
    <t>1960-Load Management Controls</t>
  </si>
  <si>
    <t>2010 Bridge ($)</t>
  </si>
  <si>
    <t>2011 Test Year ($)</t>
  </si>
  <si>
    <t>Variance from 2010 Bridge Year</t>
  </si>
  <si>
    <t>2007 Actual</t>
  </si>
  <si>
    <t>Average Fixed Assets</t>
  </si>
  <si>
    <t>Working Capital Allowance</t>
  </si>
  <si>
    <t>Total Rate Base</t>
  </si>
  <si>
    <t>Trial Balance Data for 2002 - 2011</t>
  </si>
  <si>
    <t>Hamilton Hydro Inc.</t>
  </si>
  <si>
    <t>Horizon Utilities Corp.</t>
  </si>
  <si>
    <t>OEB #</t>
  </si>
  <si>
    <t>ACCOUNT DESCRIPTION</t>
  </si>
  <si>
    <t>Description for OEB Financials</t>
  </si>
  <si>
    <t>GAAP Financials</t>
  </si>
  <si>
    <t>revised</t>
  </si>
  <si>
    <t>Cash</t>
  </si>
  <si>
    <t>Current Assets</t>
  </si>
  <si>
    <t>Cash and cash equivalents</t>
  </si>
  <si>
    <t>Cash Advances and Working Funds</t>
  </si>
  <si>
    <t>Inventory</t>
  </si>
  <si>
    <t>Interest Special Deposits</t>
  </si>
  <si>
    <t/>
  </si>
  <si>
    <t>Non-Current Assets</t>
  </si>
  <si>
    <t>Dividend Special Deposits</t>
  </si>
  <si>
    <t>Other Assets and Deferred Charges</t>
  </si>
  <si>
    <t>Other Special Deposits</t>
  </si>
  <si>
    <t>Other Capital Assets</t>
  </si>
  <si>
    <t>Term Deposits</t>
  </si>
  <si>
    <t>Accumulated Amortization</t>
  </si>
  <si>
    <t>Current Investments</t>
  </si>
  <si>
    <t>Customer Accounts Receivable</t>
  </si>
  <si>
    <t>Accounts receivable</t>
  </si>
  <si>
    <t>Net Assets:</t>
  </si>
  <si>
    <t>Accounts Receivable - Services</t>
  </si>
  <si>
    <t>Accounts Receivable - Recoverable Work</t>
  </si>
  <si>
    <t>Non-Current Liabilities</t>
  </si>
  <si>
    <t>Accounts Receivable - Merchandise, Jobbing, etc.</t>
  </si>
  <si>
    <t>Current Liabilities</t>
  </si>
  <si>
    <t>Other Accounts Receivable</t>
  </si>
  <si>
    <t>Other Liabilities Deferred Credit</t>
  </si>
  <si>
    <t>Accrued Utility Revenues</t>
  </si>
  <si>
    <t>Shareholders' Equity</t>
  </si>
  <si>
    <t>Accumulated Provision for Uncollectible Accounts--Credit</t>
  </si>
  <si>
    <t>Interest and Dividends Receivable</t>
  </si>
  <si>
    <t>Net Liabilites &amp; Equities:</t>
  </si>
  <si>
    <t>Rents Receivable</t>
  </si>
  <si>
    <t>Notes Receivable</t>
  </si>
  <si>
    <t>0.00</t>
  </si>
  <si>
    <t>Prepayments</t>
  </si>
  <si>
    <t>Other assets</t>
  </si>
  <si>
    <t>Miscellaneous Current and Accrued Assets</t>
  </si>
  <si>
    <t>Revenues:</t>
  </si>
  <si>
    <t>Accounts Receivable from Associated Companies</t>
  </si>
  <si>
    <t>Accounts payable to corporations under common control</t>
  </si>
  <si>
    <t>Sales of Electricity</t>
  </si>
  <si>
    <t>Notes Receivable from Associated Companies</t>
  </si>
  <si>
    <t>Revenues From Services - Distribution</t>
  </si>
  <si>
    <t>Fuel Stock</t>
  </si>
  <si>
    <t>Other Operating Revenues</t>
  </si>
  <si>
    <t>Plant Materials and Operating Supplies</t>
  </si>
  <si>
    <t>Other Income &amp; Deductions</t>
  </si>
  <si>
    <t>Merchandise</t>
  </si>
  <si>
    <t>Investment Income</t>
  </si>
  <si>
    <t>Other Materials and Supplies</t>
  </si>
  <si>
    <t>Long Term Investments in Non-Associated Companies</t>
  </si>
  <si>
    <t>Totlal Revenues:</t>
  </si>
  <si>
    <t>Long Term Receivable - Street Lighting Transfer</t>
  </si>
  <si>
    <t>Other Special or Collateral Funds</t>
  </si>
  <si>
    <t>Sinking Funds</t>
  </si>
  <si>
    <t>Expenses:</t>
  </si>
  <si>
    <t>Unamortized Debt Expense</t>
  </si>
  <si>
    <t>Generation Expenses</t>
  </si>
  <si>
    <t>Unamortized Discount on Long-Term Debt--Debit</t>
  </si>
  <si>
    <t>Power Supply Expenses</t>
  </si>
  <si>
    <t>Unamortized Deferred Foreign Currency Translation Gains and Losses</t>
  </si>
  <si>
    <t>Transmission Expenses</t>
  </si>
  <si>
    <t>Other Non-Current Assets</t>
  </si>
  <si>
    <t>Distribution Expenses</t>
  </si>
  <si>
    <t>O.M.E.R.S. Past Service Costs</t>
  </si>
  <si>
    <t>Other Expenses</t>
  </si>
  <si>
    <t>Past Service Costs - Employee Future Benefits</t>
  </si>
  <si>
    <t>Billing and Collecting</t>
  </si>
  <si>
    <t>Past Service Costs - Other Pension Plans</t>
  </si>
  <si>
    <t>Community Relations</t>
  </si>
  <si>
    <t>Portfolio Investments - Associated Companies</t>
  </si>
  <si>
    <t>Sales Expenses</t>
  </si>
  <si>
    <t>Investment in Associated Companies - Significant Influence</t>
  </si>
  <si>
    <t>Administrative and General</t>
  </si>
  <si>
    <t>Investment in Subsidiary Companies</t>
  </si>
  <si>
    <t>Amortization Expense</t>
  </si>
  <si>
    <t>Unrecovered Plant and Regulatory Study Costs</t>
  </si>
  <si>
    <t>interest Expense</t>
  </si>
  <si>
    <t>Other Regulatory Assets</t>
  </si>
  <si>
    <t>Regulatory Deferral &amp; Variance Accounts</t>
  </si>
  <si>
    <t>Income Taxes</t>
  </si>
  <si>
    <t>Preliminary Survey and Investigation Charges</t>
  </si>
  <si>
    <t>Other Deductions</t>
  </si>
  <si>
    <t>Emission Allowance Inventory</t>
  </si>
  <si>
    <t>Extraordinary Items</t>
  </si>
  <si>
    <t>Emission Allowances Withheld</t>
  </si>
  <si>
    <t>Discontinued Operations</t>
  </si>
  <si>
    <t>RCVARetail</t>
  </si>
  <si>
    <t>Power Purchase Variance Account</t>
  </si>
  <si>
    <t>Total Expenses</t>
  </si>
  <si>
    <t>Miscellaneous Deferred Debits</t>
  </si>
  <si>
    <t>Deferred Losses from Disposition of Utility Plant</t>
  </si>
  <si>
    <t>Profit/Loss</t>
  </si>
  <si>
    <t>Unamortized Loss on Reacquired Debt</t>
  </si>
  <si>
    <t>Development Charge Deposits/ Receivables</t>
  </si>
  <si>
    <t>RCVASTR</t>
  </si>
  <si>
    <t>LV Variance Account</t>
  </si>
  <si>
    <t>Smart Meter Capital and Recovery Offset Variance</t>
  </si>
  <si>
    <t>Smart Meter OM&amp;A Variance</t>
  </si>
  <si>
    <t>Deferred Development Costs</t>
  </si>
  <si>
    <t>Deferred Payments in Lieu of Taxes</t>
  </si>
  <si>
    <t>Account 1563 - Deffered PILs Contra Account</t>
  </si>
  <si>
    <t>1565-Conservation and Demand Management Expenditures and Recoveries</t>
  </si>
  <si>
    <t>1566-Conservation and Demand Management Expenditures and Recoveries Contra</t>
  </si>
  <si>
    <t>Qualifying Transition Costs</t>
  </si>
  <si>
    <t>Pre-market Opening Energy Variance</t>
  </si>
  <si>
    <t>Extraordinary Event Costs</t>
  </si>
  <si>
    <t>Deferred Rate Impact Amounts</t>
  </si>
  <si>
    <t>RSVAWMS</t>
  </si>
  <si>
    <t>RSVAONE-TIME</t>
  </si>
  <si>
    <t>RSVANW</t>
  </si>
  <si>
    <t>RSVACN</t>
  </si>
  <si>
    <t>RSVAPOWER</t>
  </si>
  <si>
    <t>1590-Recovery of regulatory asset balances</t>
  </si>
  <si>
    <t>PILS and Tax Variance 2006 and</t>
  </si>
  <si>
    <t>Regulatory Assets Disposition and Recovery</t>
  </si>
  <si>
    <t>Electric Plant in Service - Control Account</t>
  </si>
  <si>
    <t>Intangible Plant</t>
  </si>
  <si>
    <t>Organization</t>
  </si>
  <si>
    <t>Franchises and Consents</t>
  </si>
  <si>
    <t>Miscellaneous Intangible Plant</t>
  </si>
  <si>
    <t>Not for distributor use</t>
  </si>
  <si>
    <t>Buildings and Fixtures</t>
  </si>
  <si>
    <t>Boiler Plant Equipment</t>
  </si>
  <si>
    <t>Engines and Engine-Driven Generators</t>
  </si>
  <si>
    <t>Turbogenerator Units</t>
  </si>
  <si>
    <t>Reservoirs, Dams and Waterways</t>
  </si>
  <si>
    <t>Water Wheels, Turbines and Generators</t>
  </si>
  <si>
    <t>Roads, Railroads and Bridges</t>
  </si>
  <si>
    <t>Fuel Holders, Producers and Accessories</t>
  </si>
  <si>
    <t>Prime Movers</t>
  </si>
  <si>
    <t>Generators</t>
  </si>
  <si>
    <t>Fixed assets</t>
  </si>
  <si>
    <t>Accessory Electric Equipment</t>
  </si>
  <si>
    <t>Miscellaneous Power Plant Equipment</t>
  </si>
  <si>
    <t>Station Equipment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</si>
  <si>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</si>
  <si>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</si>
  <si>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</si>
  <si>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</si>
  <si>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</si>
  <si>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</si>
  <si>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Transformer Station Equipment - Normally Primary above 50 kV</t>
  </si>
  <si>
    <t>Distribution Station Equipment - Normally Primary below 50 kV</t>
  </si>
  <si>
    <t>Poles, Towers and Fixtures</t>
  </si>
  <si>
    <t>Services</t>
  </si>
  <si>
    <t>Other Installations on Customer?s Premises</t>
  </si>
  <si>
    <t>Leased Property on Customer Premises</t>
  </si>
  <si>
    <t>Street Lighting and Signal Systems</t>
  </si>
  <si>
    <t>Office Furniture and Equipment</t>
  </si>
  <si>
    <t>Computer Equipment - Hardware</t>
  </si>
  <si>
    <t>Tools, Shop and Garage Equipment</t>
  </si>
  <si>
    <t>Measurement and Testing Equipment</t>
  </si>
  <si>
    <t>Power Operated Equipment</t>
  </si>
  <si>
    <t>Communication Equipment</t>
  </si>
  <si>
    <t>Load Management Controls - Customer Premises</t>
  </si>
  <si>
    <t>Load Management Controls - Utility Premises</t>
  </si>
  <si>
    <t>Other Tangible Property</t>
  </si>
  <si>
    <t>Contributions and Grants - Credit</t>
  </si>
  <si>
    <t>Property Under Capital Leases</t>
  </si>
  <si>
    <t>Electric Plant Purchased or Sold</t>
  </si>
  <si>
    <t>Experimental Electric Plant Unclassified</t>
  </si>
  <si>
    <t>Electric Plant and Equipment Leased to Others</t>
  </si>
  <si>
    <t>Electric Plant Held for Future Use</t>
  </si>
  <si>
    <t>Completed Construction Not Classified--Electric</t>
  </si>
  <si>
    <t>Construction Work in Progress--Electric</t>
  </si>
  <si>
    <t>Electric Plant Acquisition Adjustment</t>
  </si>
  <si>
    <t>Other Electric Plant Adjustment</t>
  </si>
  <si>
    <t>Other Utility Plant</t>
  </si>
  <si>
    <t>Non-Utility Property Owned or Under Capital Leases</t>
  </si>
  <si>
    <t>Accumulated Amortization of Electric Utility Plant - Property, Plant, and Equipment</t>
  </si>
  <si>
    <t>Accumulated Amortization of Electric Utility Plant - Intangibles</t>
  </si>
  <si>
    <t>Accumulated Amortization of Electric Plant Acquisition Adjustment</t>
  </si>
  <si>
    <t>Accumulated Amortization of Other Utility Plant</t>
  </si>
  <si>
    <t>Accumulated Amortization of Non-Utility Property</t>
  </si>
  <si>
    <t>Accounts Payable</t>
  </si>
  <si>
    <t>Accounts payable and accruals</t>
  </si>
  <si>
    <t>Customer Credit Balances</t>
  </si>
  <si>
    <t>Current Portion of Customer Deposits</t>
  </si>
  <si>
    <t>Credit support for service delivery</t>
  </si>
  <si>
    <t>Dividends Declared</t>
  </si>
  <si>
    <t>Miscellaneous Current and Accrued Liabilities</t>
  </si>
  <si>
    <t>Notes and Loans Payable</t>
  </si>
  <si>
    <t>Accounts Payable to Associated Companies</t>
  </si>
  <si>
    <t>Notes Payable to Associated Companies</t>
  </si>
  <si>
    <t>Long-term borrowings</t>
  </si>
  <si>
    <t>Debt Retirement Charges( DRC) Payable</t>
  </si>
  <si>
    <t>Transmission Charges Payable</t>
  </si>
  <si>
    <t>Electrical Safety Authority Fees Payable</t>
  </si>
  <si>
    <t>Independent Market Operator Fees and Penalties Payable</t>
  </si>
  <si>
    <t>Current Portion of Long Term Debt</t>
  </si>
  <si>
    <t>Ontario Hydro Debt - Current Portion</t>
  </si>
  <si>
    <t>Pensions and Employee Benefits - Current Portion</t>
  </si>
  <si>
    <t>Accrued Interest on Long Term Debt</t>
  </si>
  <si>
    <t>Matured Long Term Debt</t>
  </si>
  <si>
    <t>Matured Interest on Long Term Debt</t>
  </si>
  <si>
    <t>Obligations Under Capital Leases--Current</t>
  </si>
  <si>
    <t>Commodity Taxes</t>
  </si>
  <si>
    <t>Payroll Deductions / Expenses Payable</t>
  </si>
  <si>
    <t>Accrual for Taxes, Payments in Lieu of Taxes, Etc.</t>
  </si>
  <si>
    <t>Future Income Taxes - Current</t>
  </si>
  <si>
    <t>Accumulated Provision for Injuries and Damages</t>
  </si>
  <si>
    <t>Employee Future Benefits</t>
  </si>
  <si>
    <t>Employee future benefits</t>
  </si>
  <si>
    <t>Other Pensions - Past Service Liability</t>
  </si>
  <si>
    <t>Vested Sick Leave Liability</t>
  </si>
  <si>
    <t>Accumulated Provision for Rate Refunds</t>
  </si>
  <si>
    <t>Other Miscellaneous Non-Current Liabilities</t>
  </si>
  <si>
    <t>Obligations Under Capital Lease--Non-Current</t>
  </si>
  <si>
    <t>Development Charge Fund</t>
  </si>
  <si>
    <t>Long Term Customer Deposits</t>
  </si>
  <si>
    <t>Collateral Funds Liability</t>
  </si>
  <si>
    <t>Unamortized Premium on Long Term Debt</t>
  </si>
  <si>
    <t>O.M.E.R.S. - Past Service Liability - Long Term Portion</t>
  </si>
  <si>
    <t>Future Income Tax - Non-Current</t>
  </si>
  <si>
    <t>Future Payments In Lieu of Taxes</t>
  </si>
  <si>
    <t>Other Regulatory Liabilities</t>
  </si>
  <si>
    <t>Deferred Gains from Disposition of Utility Plant</t>
  </si>
  <si>
    <t>Unamortized Gain on Reacquired Debt</t>
  </si>
  <si>
    <t>Other Deferred Credits</t>
  </si>
  <si>
    <t>Accrued Rate-Payer Benefit</t>
  </si>
  <si>
    <t>Debentures Outstanding - Long Term Portion</t>
  </si>
  <si>
    <t>Long-Term Debt</t>
  </si>
  <si>
    <t>Debenture Advances</t>
  </si>
  <si>
    <t>Reacquired Bonds</t>
  </si>
  <si>
    <t>Other Long Term Debt</t>
  </si>
  <si>
    <t>Term Bank Loans - Long Term Portion</t>
  </si>
  <si>
    <t>Ontario Hydro Debt Outstanding - Long Term Portion</t>
  </si>
  <si>
    <t>Advances from Associated Companies</t>
  </si>
  <si>
    <t>Common Shares Issued</t>
  </si>
  <si>
    <t>Share capital</t>
  </si>
  <si>
    <t>Preference Shares Issued</t>
  </si>
  <si>
    <t>Contributed Surplus</t>
  </si>
  <si>
    <t>Donations Received</t>
  </si>
  <si>
    <t>Development Charges Transferred to Equity</t>
  </si>
  <si>
    <t>Capital Stock Held in Treasury</t>
  </si>
  <si>
    <t>Miscellaneous Paid-In Capital</t>
  </si>
  <si>
    <t>Installments Received on Capital Stock</t>
  </si>
  <si>
    <t>Appropriated Retained Earnings</t>
  </si>
  <si>
    <t>Unappropriated Retained Earnings</t>
  </si>
  <si>
    <t>Retained Earnings</t>
  </si>
  <si>
    <t>Balance Transferred From Income</t>
  </si>
  <si>
    <t>Appropriations of Retained Earnings - Current Period</t>
  </si>
  <si>
    <t>Dividends Payable-Preference Shares</t>
  </si>
  <si>
    <t>Dividends Payable-Common Shares</t>
  </si>
  <si>
    <t>Adjustment to Retained Earnings</t>
  </si>
  <si>
    <t>Unappropriated Undistributed Subsidiary Earnings</t>
  </si>
  <si>
    <t>Residential Energy Sales</t>
  </si>
  <si>
    <t>Commercial Energy Sales</t>
  </si>
  <si>
    <t>Industrial Energy Sales</t>
  </si>
  <si>
    <t>Energy Sales to Large Users</t>
  </si>
  <si>
    <t>Street Lighting Energy Sales</t>
  </si>
  <si>
    <t>Sentinel Lighting Energy Sales</t>
  </si>
  <si>
    <t>General Energy Sales</t>
  </si>
  <si>
    <t>Other Energy Sales to Public Authorities</t>
  </si>
  <si>
    <t>Energy Sales to Railroads and Railways</t>
  </si>
  <si>
    <t>Revenue Adjustment</t>
  </si>
  <si>
    <t>Energy Sales for Resale</t>
  </si>
  <si>
    <t>Interdepartmental Energy Sales</t>
  </si>
  <si>
    <t>Billed WMS</t>
  </si>
  <si>
    <t>4064-Billed One-Time</t>
  </si>
  <si>
    <t>Billed NW</t>
  </si>
  <si>
    <t>Billed CN</t>
  </si>
  <si>
    <t>Billed LV</t>
  </si>
  <si>
    <t>Distribution Services Revenue</t>
  </si>
  <si>
    <t>Electricity distribution service charges</t>
  </si>
  <si>
    <t>Retail Services Revenues</t>
  </si>
  <si>
    <t>Service Transaction Requests (STR) Revenues</t>
  </si>
  <si>
    <t>Electric Services Incidental to Energy Sales</t>
  </si>
  <si>
    <t>Transmission Charges Revenue</t>
  </si>
  <si>
    <t>Transmission Services Revenue</t>
  </si>
  <si>
    <t>Interdepartmental Rents</t>
  </si>
  <si>
    <t>Rent from Electric Property</t>
  </si>
  <si>
    <t>Other income from operations</t>
  </si>
  <si>
    <t>Other Utility Operating Income</t>
  </si>
  <si>
    <t>Other Electric Revenues</t>
  </si>
  <si>
    <t>Late Payment Charges</t>
  </si>
  <si>
    <t>Sales of Water and Water Power</t>
  </si>
  <si>
    <t>Miscellaneous Service Revenues</t>
  </si>
  <si>
    <t>Provision for Rate Refunds</t>
  </si>
  <si>
    <t>Government Assistance Directly Credited to Income</t>
  </si>
  <si>
    <t>Regulatory Debits</t>
  </si>
  <si>
    <t>Regulatory Credits</t>
  </si>
  <si>
    <t>Revenues from Electric Plant Leased to Others</t>
  </si>
  <si>
    <t>Expenses of Electric Plant Leased to Others</t>
  </si>
  <si>
    <t>Revenues from Merchandise, Jobbing, Etc.</t>
  </si>
  <si>
    <t>Costs and Expenses of Merchandising, Jobbing, Etc.</t>
  </si>
  <si>
    <t>Profits and Losses from Financial Instrument Hedges</t>
  </si>
  <si>
    <t>Profits and Losses from Financial Instrument Investments</t>
  </si>
  <si>
    <t>Gains from Disposition of Future Use Utility Plant</t>
  </si>
  <si>
    <t>Losses from Disposition of Future Use Utility Plant</t>
  </si>
  <si>
    <t>Gain on Disposition of Utility and Other Property</t>
  </si>
  <si>
    <t>Gain on sale of fixed assets</t>
  </si>
  <si>
    <t>Loss on Disposition of Utility and Other Property</t>
  </si>
  <si>
    <t>Gains from Disposition of Allowances for Emission</t>
  </si>
  <si>
    <t>Losses from Disposition of Allowances for Emission</t>
  </si>
  <si>
    <t>Revenues from Non-Utility Operations</t>
  </si>
  <si>
    <t>Expenses of Non-Utility Operations</t>
  </si>
  <si>
    <t>Operating expenses</t>
  </si>
  <si>
    <t>Non-Utility Rental Income</t>
  </si>
  <si>
    <t>Miscellaneous Non-Operating Income</t>
  </si>
  <si>
    <t>Rate-Payer Benefit Including Interest</t>
  </si>
  <si>
    <t>Foreign Exchange Gains and Losses, Including Amortization</t>
  </si>
  <si>
    <t>Interest and Dividend Income</t>
  </si>
  <si>
    <t>Interest Income</t>
  </si>
  <si>
    <t>Equity in Earnings of Subsidiary Companies</t>
  </si>
  <si>
    <t>Operation Supervision and Engineering</t>
  </si>
  <si>
    <t>Fuel</t>
  </si>
  <si>
    <t>Steam Expense</t>
  </si>
  <si>
    <t>Steam From Other Sources</t>
  </si>
  <si>
    <t>Steam Transferred--Credit</t>
  </si>
  <si>
    <t>Electric Expense</t>
  </si>
  <si>
    <t>Water For Power</t>
  </si>
  <si>
    <t>Water Power Taxes</t>
  </si>
  <si>
    <t>Hydraulic Expenses</t>
  </si>
  <si>
    <t>Generation Expense</t>
  </si>
  <si>
    <t>Miscellaneous Power Generation Expenses</t>
  </si>
  <si>
    <t>Rents</t>
  </si>
  <si>
    <t>Allowances for Emissions</t>
  </si>
  <si>
    <t>Maintenance Supervision and Engineering</t>
  </si>
  <si>
    <t>Maintenance of Structures</t>
  </si>
  <si>
    <t>Maintenance of Boiler Plant</t>
  </si>
  <si>
    <t>Maintenance of Electric Plant</t>
  </si>
  <si>
    <t>Maintenance of Reservoirs, Dams and Waterways</t>
  </si>
  <si>
    <t>Maintenance of Water Wheels, Turbines and Generators</t>
  </si>
  <si>
    <t>Maintenance of Generating and Electric Plant</t>
  </si>
  <si>
    <t>Maintenance of Miscellaneous Power Generation Plant</t>
  </si>
  <si>
    <t>Power Purchased</t>
  </si>
  <si>
    <t>Charges-WMS</t>
  </si>
  <si>
    <t>Cost of Power Adjustments</t>
  </si>
  <si>
    <t>Charges-One-Time</t>
  </si>
  <si>
    <t>Charges-NW</t>
  </si>
  <si>
    <t>System Control and Load Dispatching</t>
  </si>
  <si>
    <t>Charges-CN</t>
  </si>
  <si>
    <t>Competition Transition Expense</t>
  </si>
  <si>
    <t>Rural Rate Assistance Expense</t>
  </si>
  <si>
    <t>Charges-LV</t>
  </si>
  <si>
    <t>Load Dispatching</t>
  </si>
  <si>
    <t>Station Buildings and Fixtures Expenses</t>
  </si>
  <si>
    <t>Transformer Station Equipment - Operating Labour</t>
  </si>
  <si>
    <t>Transformer Station Equipment - Operating Supplies and Expense</t>
  </si>
  <si>
    <t>Overhead Line Expenses</t>
  </si>
  <si>
    <t>Underground Line Expenses</t>
  </si>
  <si>
    <t>Transmission of Electricity by Others</t>
  </si>
  <si>
    <t>Miscellaneous Transmission Expense</t>
  </si>
  <si>
    <t>Maintenance of Transformer Station Buildings and Fixtures</t>
  </si>
  <si>
    <t>Maintenance of Transformer Station Equipment</t>
  </si>
  <si>
    <t>Maintenance of Towers, Poles and Fixtures</t>
  </si>
  <si>
    <t>Maintenance of Overhead Conductors and Devices</t>
  </si>
  <si>
    <t>Maintenance of Overhead Lines - Right of Way</t>
  </si>
  <si>
    <t>Maintenance of Overhead Lines - Roads and Trails Repairs</t>
  </si>
  <si>
    <t>Maintenance of Overhead Lines - Snow Removal from Roads and Trails</t>
  </si>
  <si>
    <t>Maintenance of Underground Lines</t>
  </si>
  <si>
    <t>Maintenance of Miscellaneous Transmission Plant</t>
  </si>
  <si>
    <t>Station Buildings and Fixtures Expense</t>
  </si>
  <si>
    <t>Transformer Station Equipment - Operation Labour</t>
  </si>
  <si>
    <t>Transformer Station Equipment - Operation Supplies and Expenses</t>
  </si>
  <si>
    <t>Distribution Station Equipment - Operation Labour</t>
  </si>
  <si>
    <t>Distribution Station Equipment - Operation Supplies and Expenses</t>
  </si>
  <si>
    <t>Overhead Distribution Lines and Feeders - Operation Labour</t>
  </si>
  <si>
    <t>Overhead Distribution Lines and Feeders - Operation Supplies and Expenses</t>
  </si>
  <si>
    <t>Overhead Subtransmission Feeders - Operation</t>
  </si>
  <si>
    <t>Overhead Distribution Transformers- Operation</t>
  </si>
  <si>
    <t>Underground Distribution Lines and Feeders - Operation Labour</t>
  </si>
  <si>
    <t>Underground Distribution Lines and Feeders - Operation Supplies and Expenses</t>
  </si>
  <si>
    <t>Underground Subtransmission Feeders - Operation</t>
  </si>
  <si>
    <t>Underground Distribution Transformers - Operation</t>
  </si>
  <si>
    <t>Street Lighting and Signal System Expense</t>
  </si>
  <si>
    <t>Meter Expense</t>
  </si>
  <si>
    <t>Customer Premises - Operation Labour</t>
  </si>
  <si>
    <t>Customer Premises - Materials and Expenses</t>
  </si>
  <si>
    <t>Miscellaneous Distribution Expense</t>
  </si>
  <si>
    <t>Underground Distribution Lines and Feeders - Rental Paid</t>
  </si>
  <si>
    <t>Overhead Distribution Lines and Feeders - Rental Paid</t>
  </si>
  <si>
    <t>Other Rent</t>
  </si>
  <si>
    <t>Maintenance of Buildings and Fixtures - Distribution Stations</t>
  </si>
  <si>
    <t>Maintenance of Distribution Station Equipment</t>
  </si>
  <si>
    <t>Maintenance of Poles, Towers and Fixtures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</si>
  <si>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</si>
  <si>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</si>
  <si>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</si>
  <si>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</si>
  <si>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</si>
  <si>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</si>
  <si>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Street Lighting and Signal Systems</t>
  </si>
  <si>
    <t>Sentinel Lights - Labour</t>
  </si>
  <si>
    <t>Sentinel Lights - Materials and Expenses</t>
  </si>
  <si>
    <t>Maintenance of Meters</t>
  </si>
  <si>
    <t>Customer Installations Expenses- Leased Property</t>
  </si>
  <si>
    <t>Water Heater Rentals - Labour</t>
  </si>
  <si>
    <t>Water Heater Rentals - Materials and Expenses</t>
  </si>
  <si>
    <t>Water Heater Controls - Labour</t>
  </si>
  <si>
    <t>Water Heater Controls - Materials and Expenses</t>
  </si>
  <si>
    <t>Maintenance of Other Installations on Customer Premises</t>
  </si>
  <si>
    <t>Purchase of Transmission and System Services</t>
  </si>
  <si>
    <t>Transmission Charges</t>
  </si>
  <si>
    <t>Transmission Charges Recovered</t>
  </si>
  <si>
    <t>Supervision</t>
  </si>
  <si>
    <t>Meter Reading Expense</t>
  </si>
  <si>
    <t>Customer Billing</t>
  </si>
  <si>
    <t>Collecting</t>
  </si>
  <si>
    <t>Collecting- Cash Over and Short</t>
  </si>
  <si>
    <t>Collection Charges</t>
  </si>
  <si>
    <t>Bad Debt Expense</t>
  </si>
  <si>
    <t>Miscellaneous Customer Accounts Expenses</t>
  </si>
  <si>
    <t>Community Relations - Sundry</t>
  </si>
  <si>
    <t>Energy Conservation</t>
  </si>
  <si>
    <t>Community Safety Program</t>
  </si>
  <si>
    <t>Miscellaneous Customer Service and Informational Expenses</t>
  </si>
  <si>
    <t>Demonstrating and Selling Expense</t>
  </si>
  <si>
    <t>Advertising Expense</t>
  </si>
  <si>
    <t>Miscellaneous Sales Expense</t>
  </si>
  <si>
    <t>Executive Salaries and Expenses</t>
  </si>
  <si>
    <t>Management Salaries and Expenses</t>
  </si>
  <si>
    <t>General Administrative Salaries and Expenses</t>
  </si>
  <si>
    <t>Office Supplies and Expenses</t>
  </si>
  <si>
    <t>Administrative Expense Transferred?Credit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</si>
  <si>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</si>
  <si>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</si>
  <si>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</si>
  <si>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</si>
  <si>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</si>
  <si>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Expenses</t>
  </si>
  <si>
    <t>General Advertising Expenses</t>
  </si>
  <si>
    <t>Miscellaneous General Expenses</t>
  </si>
  <si>
    <t>Rent</t>
  </si>
  <si>
    <t>Maintenance of General Plant</t>
  </si>
  <si>
    <t>Electrical Safety Authority Fees</t>
  </si>
  <si>
    <t>Independent Market Operator Fees and Penalties</t>
  </si>
  <si>
    <t>OM&amp;A Contra for Smart Meters</t>
  </si>
  <si>
    <t>Amortization Expense ? Property, Plant, and Equipment</t>
  </si>
  <si>
    <t>Depreciation and amortization</t>
  </si>
  <si>
    <t>Amortization of Limited Term Electric Plant</t>
  </si>
  <si>
    <t>Amortization of Intangibles and Other Electric Plant</t>
  </si>
  <si>
    <t>Amortization of Electric Plant Acquisition Adjustments</t>
  </si>
  <si>
    <t>Miscellaneous Amortization</t>
  </si>
  <si>
    <t>Amortization of Unrecovered Plant and Regulatory Study Costs</t>
  </si>
  <si>
    <t>Amortization of Deferred Development Costs</t>
  </si>
  <si>
    <t>Amortization of Deferred Charges</t>
  </si>
  <si>
    <t>Interest on Long Term Debt</t>
  </si>
  <si>
    <t>Interest Expense</t>
  </si>
  <si>
    <t>Amortization of Debt Discount and Expense</t>
  </si>
  <si>
    <t>Amortization of Premium on Debt?Credit</t>
  </si>
  <si>
    <t>Amortization of Loss on Reacquired Debt</t>
  </si>
  <si>
    <t>Amortization of Gain on Reacquired Debt--Credit</t>
  </si>
  <si>
    <t>Interest on Debt to Associated Companies</t>
  </si>
  <si>
    <t>Other Interest Expense</t>
  </si>
  <si>
    <t>Allowance for Borrowed Funds Used During Construction--Credit</t>
  </si>
  <si>
    <t>Allowance For Other Funds Used During Construction</t>
  </si>
  <si>
    <t>Interest Expense on Capital Lease Obligations</t>
  </si>
  <si>
    <t>Taxes Other Than Income Taxes</t>
  </si>
  <si>
    <t>Payments in lieu of income and large corporations taxes</t>
  </si>
  <si>
    <t>Provision for Future Income Taxes</t>
  </si>
  <si>
    <t>Donations</t>
  </si>
  <si>
    <t>Life Insurance</t>
  </si>
  <si>
    <t>Penalties</t>
  </si>
  <si>
    <t>Extraordinary Income</t>
  </si>
  <si>
    <t>Extraordinary &amp; Other Items</t>
  </si>
  <si>
    <t>Extraordinary Deductions</t>
  </si>
  <si>
    <t>Income Taxes, Extraordinary Items</t>
  </si>
  <si>
    <t>Discontinues Operations - Income/ Gains</t>
  </si>
  <si>
    <t>Discontinued Operations - Deductions/ Losses</t>
  </si>
  <si>
    <t>Income Taxes, Discontinued Operations</t>
  </si>
  <si>
    <t>Net Income reported per Financials</t>
  </si>
  <si>
    <t>differences</t>
  </si>
  <si>
    <t>Reconciled differences</t>
  </si>
  <si>
    <t>Rounding differences</t>
  </si>
  <si>
    <t>Capital Tax</t>
  </si>
  <si>
    <t>Gross Fixed Assets</t>
  </si>
  <si>
    <t>Accumulated</t>
  </si>
  <si>
    <t>Average Net Book Value</t>
  </si>
  <si>
    <t>Working Capital</t>
  </si>
  <si>
    <t>Rate Base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</si>
</sst>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0;[Red]\(#,##0.00\)"/>
    <numFmt numFmtId="167" formatCode="[$-1009]mmmm\ d\,\ yyyy"/>
    <numFmt numFmtId="168" formatCode="[$-F800]dddd\,\ mmmm\ dd\,\ yyyy"/>
    <numFmt numFmtId="169" formatCode="_-* #,##0.00_-;[Red]* \(#,##0.00\)_-;_-* &quot;-&quot;??_-;_-@_-"/>
    <numFmt numFmtId="170" formatCode="_-* #,##0.00000000_-;\-* #,##0.00000000_-;_-* &quot;-&quot;????????_-;_-@_-"/>
    <numFmt numFmtId="171" formatCode="&quot;$&quot;#,##0_);\(&quot;$&quot;#,##0\)"/>
    <numFmt numFmtId="172" formatCode="#,##0;[Red]\(#,##0\)"/>
    <numFmt numFmtId="173" formatCode="#,##0.00;\(#,##0.00\)"/>
    <numFmt numFmtId="174" formatCode="#,##0.00_ ;[Red]\(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u val="single"/>
      <sz val="11"/>
      <color indexed="56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39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33" borderId="12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/>
    </xf>
    <xf numFmtId="166" fontId="4" fillId="0" borderId="12" xfId="0" applyNumberFormat="1" applyFont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65" fontId="4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34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centerContinuous"/>
    </xf>
    <xf numFmtId="0" fontId="0" fillId="0" borderId="12" xfId="0" applyNumberFormat="1" applyBorder="1" applyAlignment="1">
      <alignment/>
    </xf>
    <xf numFmtId="39" fontId="2" fillId="0" borderId="12" xfId="0" applyNumberFormat="1" applyFont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3" xfId="0" applyNumberFormat="1" applyFont="1" applyFill="1" applyBorder="1" applyAlignment="1">
      <alignment horizontal="center" wrapText="1"/>
    </xf>
    <xf numFmtId="164" fontId="2" fillId="35" borderId="12" xfId="0" applyNumberFormat="1" applyFont="1" applyFill="1" applyBorder="1" applyAlignment="1">
      <alignment horizontal="center" wrapText="1"/>
    </xf>
    <xf numFmtId="39" fontId="2" fillId="0" borderId="0" xfId="0" applyNumberFormat="1" applyFont="1" applyAlignment="1">
      <alignment horizontal="center"/>
    </xf>
    <xf numFmtId="39" fontId="2" fillId="0" borderId="14" xfId="0" applyNumberFormat="1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39" fontId="2" fillId="0" borderId="15" xfId="0" applyNumberFormat="1" applyFont="1" applyBorder="1" applyAlignment="1">
      <alignment horizontal="center"/>
    </xf>
    <xf numFmtId="164" fontId="2" fillId="0" borderId="15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34" borderId="15" xfId="0" applyNumberFormat="1" applyFont="1" applyFill="1" applyBorder="1" applyAlignment="1">
      <alignment/>
    </xf>
    <xf numFmtId="0" fontId="18" fillId="35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65" fontId="1" fillId="0" borderId="12" xfId="42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36" borderId="1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" fillId="0" borderId="0" xfId="62">
      <alignment/>
      <protection/>
    </xf>
    <xf numFmtId="0" fontId="4" fillId="0" borderId="0" xfId="62" applyAlignment="1">
      <alignment wrapText="1"/>
      <protection/>
    </xf>
    <xf numFmtId="0" fontId="3" fillId="37" borderId="12" xfId="62" applyFont="1" applyFill="1" applyBorder="1" applyAlignment="1">
      <alignment horizontal="center" wrapText="1"/>
      <protection/>
    </xf>
    <xf numFmtId="0" fontId="4" fillId="0" borderId="12" xfId="62" applyBorder="1" applyAlignment="1">
      <alignment horizontal="left"/>
      <protection/>
    </xf>
    <xf numFmtId="0" fontId="3" fillId="0" borderId="12" xfId="62" applyFont="1" applyBorder="1" applyAlignment="1">
      <alignment wrapText="1"/>
      <protection/>
    </xf>
    <xf numFmtId="3" fontId="4" fillId="38" borderId="12" xfId="62" applyNumberFormat="1" applyFill="1" applyBorder="1" applyAlignment="1">
      <alignment horizontal="center"/>
      <protection/>
    </xf>
    <xf numFmtId="0" fontId="4" fillId="0" borderId="12" xfId="62" applyBorder="1" applyAlignment="1">
      <alignment horizontal="center"/>
      <protection/>
    </xf>
    <xf numFmtId="3" fontId="4" fillId="0" borderId="12" xfId="62" applyNumberFormat="1" applyBorder="1" applyAlignment="1">
      <alignment horizontal="center"/>
      <protection/>
    </xf>
    <xf numFmtId="0" fontId="4" fillId="38" borderId="12" xfId="62" applyFill="1" applyBorder="1" applyAlignment="1">
      <alignment horizontal="center"/>
      <protection/>
    </xf>
    <xf numFmtId="9" fontId="4" fillId="0" borderId="12" xfId="62" applyNumberFormat="1" applyBorder="1" applyAlignment="1">
      <alignment horizontal="center"/>
      <protection/>
    </xf>
    <xf numFmtId="9" fontId="4" fillId="38" borderId="12" xfId="62" applyNumberFormat="1" applyFill="1" applyBorder="1" applyAlignment="1">
      <alignment horizontal="center"/>
      <protection/>
    </xf>
    <xf numFmtId="3" fontId="4" fillId="0" borderId="12" xfId="62" applyNumberFormat="1" applyFill="1" applyBorder="1" applyAlignment="1">
      <alignment horizontal="center"/>
      <protection/>
    </xf>
    <xf numFmtId="0" fontId="3" fillId="39" borderId="12" xfId="62" applyFont="1" applyFill="1" applyBorder="1" applyAlignment="1">
      <alignment horizontal="center" wrapText="1"/>
      <protection/>
    </xf>
    <xf numFmtId="3" fontId="3" fillId="0" borderId="12" xfId="62" applyNumberFormat="1" applyFont="1" applyBorder="1" applyAlignment="1">
      <alignment horizontal="center"/>
      <protection/>
    </xf>
    <xf numFmtId="0" fontId="4" fillId="0" borderId="0" xfId="62" applyAlignment="1">
      <alignment horizontal="left"/>
      <protection/>
    </xf>
    <xf numFmtId="0" fontId="3" fillId="0" borderId="0" xfId="62" applyFont="1" applyAlignment="1">
      <alignment wrapText="1"/>
      <protection/>
    </xf>
    <xf numFmtId="0" fontId="4" fillId="0" borderId="0" xfId="62" applyAlignment="1">
      <alignment horizontal="center"/>
      <protection/>
    </xf>
    <xf numFmtId="0" fontId="4" fillId="0" borderId="16" xfId="62" applyBorder="1">
      <alignment/>
      <protection/>
    </xf>
    <xf numFmtId="0" fontId="8" fillId="0" borderId="0" xfId="62" applyFont="1" applyBorder="1" applyAlignment="1">
      <alignment horizontal="center"/>
      <protection/>
    </xf>
    <xf numFmtId="0" fontId="4" fillId="0" borderId="17" xfId="62" applyBorder="1">
      <alignment/>
      <protection/>
    </xf>
    <xf numFmtId="0" fontId="3" fillId="0" borderId="0" xfId="62" applyFont="1" applyBorder="1">
      <alignment/>
      <protection/>
    </xf>
    <xf numFmtId="3" fontId="4" fillId="0" borderId="0" xfId="62" applyNumberFormat="1" applyBorder="1">
      <alignment/>
      <protection/>
    </xf>
    <xf numFmtId="0" fontId="4" fillId="0" borderId="0" xfId="62" applyBorder="1">
      <alignment/>
      <protection/>
    </xf>
    <xf numFmtId="0" fontId="4" fillId="38" borderId="0" xfId="62" applyFill="1" applyBorder="1">
      <alignment/>
      <protection/>
    </xf>
    <xf numFmtId="0" fontId="4" fillId="0" borderId="15" xfId="62" applyBorder="1">
      <alignment/>
      <protection/>
    </xf>
    <xf numFmtId="3" fontId="4" fillId="0" borderId="15" xfId="62" applyNumberFormat="1" applyBorder="1">
      <alignment/>
      <protection/>
    </xf>
    <xf numFmtId="0" fontId="4" fillId="0" borderId="0" xfId="62" applyFill="1" applyBorder="1">
      <alignment/>
      <protection/>
    </xf>
    <xf numFmtId="9" fontId="4" fillId="38" borderId="0" xfId="62" applyNumberFormat="1" applyFill="1" applyBorder="1">
      <alignment/>
      <protection/>
    </xf>
    <xf numFmtId="3" fontId="4" fillId="0" borderId="11" xfId="62" applyNumberFormat="1" applyBorder="1">
      <alignment/>
      <protection/>
    </xf>
    <xf numFmtId="3" fontId="4" fillId="0" borderId="0" xfId="62" applyNumberFormat="1">
      <alignment/>
      <protection/>
    </xf>
    <xf numFmtId="0" fontId="0" fillId="36" borderId="12" xfId="0" applyFill="1" applyBorder="1" applyAlignment="1">
      <alignment horizontal="center"/>
    </xf>
    <xf numFmtId="0" fontId="18" fillId="40" borderId="0" xfId="0" applyFont="1" applyFill="1" applyAlignment="1">
      <alignment/>
    </xf>
    <xf numFmtId="172" fontId="0" fillId="0" borderId="0" xfId="0" applyNumberFormat="1" applyAlignment="1">
      <alignment/>
    </xf>
    <xf numFmtId="172" fontId="18" fillId="0" borderId="10" xfId="0" applyNumberFormat="1" applyFont="1" applyBorder="1" applyAlignment="1">
      <alignment/>
    </xf>
    <xf numFmtId="0" fontId="18" fillId="36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73" fontId="0" fillId="0" borderId="12" xfId="0" applyNumberFormat="1" applyBorder="1" applyAlignment="1">
      <alignment/>
    </xf>
    <xf numFmtId="0" fontId="4" fillId="0" borderId="0" xfId="65">
      <alignment/>
      <protection/>
    </xf>
    <xf numFmtId="0" fontId="14" fillId="0" borderId="0" xfId="65" applyFont="1">
      <alignment/>
      <protection/>
    </xf>
    <xf numFmtId="0" fontId="3" fillId="39" borderId="12" xfId="65" applyFont="1" applyFill="1" applyBorder="1" applyAlignment="1" applyProtection="1">
      <alignment horizontal="center"/>
      <protection locked="0"/>
    </xf>
    <xf numFmtId="0" fontId="3" fillId="0" borderId="12" xfId="65" applyFont="1" applyBorder="1" applyAlignment="1">
      <alignment horizontal="center" wrapText="1"/>
      <protection/>
    </xf>
    <xf numFmtId="43" fontId="3" fillId="0" borderId="12" xfId="45" applyFont="1" applyBorder="1" applyAlignment="1">
      <alignment horizontal="center" wrapText="1"/>
    </xf>
    <xf numFmtId="0" fontId="3" fillId="39" borderId="12" xfId="65" applyFont="1" applyFill="1" applyBorder="1" applyAlignment="1">
      <alignment horizontal="center"/>
      <protection/>
    </xf>
    <xf numFmtId="0" fontId="3" fillId="39" borderId="12" xfId="45" applyNumberFormat="1" applyFont="1" applyFill="1" applyBorder="1" applyAlignment="1">
      <alignment horizontal="center"/>
    </xf>
    <xf numFmtId="0" fontId="8" fillId="0" borderId="0" xfId="65" applyFont="1" applyFill="1" applyAlignment="1" applyProtection="1">
      <alignment horizontal="left" vertical="top"/>
      <protection locked="0"/>
    </xf>
    <xf numFmtId="0" fontId="15" fillId="0" borderId="0" xfId="65" applyFont="1" applyFill="1" applyAlignment="1" applyProtection="1">
      <alignment horizontal="left" vertical="top"/>
      <protection locked="0"/>
    </xf>
    <xf numFmtId="174" fontId="14" fillId="0" borderId="18" xfId="45" applyNumberFormat="1" applyFont="1" applyFill="1" applyBorder="1" applyAlignment="1">
      <alignment horizontal="right"/>
    </xf>
    <xf numFmtId="174" fontId="14" fillId="40" borderId="18" xfId="45" applyNumberFormat="1" applyFont="1" applyFill="1" applyBorder="1" applyAlignment="1">
      <alignment horizontal="right"/>
    </xf>
    <xf numFmtId="174" fontId="14" fillId="38" borderId="18" xfId="45" applyNumberFormat="1" applyFont="1" applyFill="1" applyBorder="1" applyAlignment="1">
      <alignment horizontal="right"/>
    </xf>
    <xf numFmtId="0" fontId="16" fillId="0" borderId="0" xfId="65" applyFont="1">
      <alignment/>
      <protection/>
    </xf>
    <xf numFmtId="0" fontId="19" fillId="0" borderId="0" xfId="65" applyFont="1">
      <alignment/>
      <protection/>
    </xf>
    <xf numFmtId="43" fontId="19" fillId="0" borderId="0" xfId="65" applyNumberFormat="1" applyFont="1">
      <alignment/>
      <protection/>
    </xf>
    <xf numFmtId="0" fontId="20" fillId="0" borderId="15" xfId="65" applyFont="1" applyBorder="1">
      <alignment/>
      <protection/>
    </xf>
    <xf numFmtId="43" fontId="20" fillId="0" borderId="15" xfId="65" applyNumberFormat="1" applyFont="1" applyBorder="1">
      <alignment/>
      <protection/>
    </xf>
    <xf numFmtId="0" fontId="19" fillId="0" borderId="10" xfId="65" applyFont="1" applyBorder="1">
      <alignment/>
      <protection/>
    </xf>
    <xf numFmtId="43" fontId="19" fillId="0" borderId="10" xfId="65" applyNumberFormat="1" applyFont="1" applyBorder="1">
      <alignment/>
      <protection/>
    </xf>
    <xf numFmtId="0" fontId="21" fillId="0" borderId="0" xfId="65" applyFont="1">
      <alignment/>
      <protection/>
    </xf>
    <xf numFmtId="43" fontId="19" fillId="36" borderId="0" xfId="65" applyNumberFormat="1" applyFont="1" applyFill="1">
      <alignment/>
      <protection/>
    </xf>
    <xf numFmtId="43" fontId="16" fillId="0" borderId="0" xfId="65" applyNumberFormat="1" applyFont="1">
      <alignment/>
      <protection/>
    </xf>
    <xf numFmtId="0" fontId="20" fillId="0" borderId="10" xfId="65" applyFont="1" applyBorder="1">
      <alignment/>
      <protection/>
    </xf>
    <xf numFmtId="43" fontId="20" fillId="0" borderId="10" xfId="65" applyNumberFormat="1" applyFont="1" applyBorder="1">
      <alignment/>
      <protection/>
    </xf>
    <xf numFmtId="0" fontId="17" fillId="0" borderId="0" xfId="65" applyFont="1">
      <alignment/>
      <protection/>
    </xf>
    <xf numFmtId="174" fontId="15" fillId="0" borderId="18" xfId="45" applyNumberFormat="1" applyFont="1" applyFill="1" applyBorder="1" applyAlignment="1">
      <alignment horizontal="right"/>
    </xf>
    <xf numFmtId="0" fontId="8" fillId="0" borderId="0" xfId="65" applyFont="1" applyAlignment="1" applyProtection="1">
      <alignment horizontal="left" vertical="top"/>
      <protection locked="0"/>
    </xf>
    <xf numFmtId="174" fontId="14" fillId="0" borderId="10" xfId="45" applyNumberFormat="1" applyFont="1" applyFill="1" applyBorder="1" applyAlignment="1">
      <alignment horizontal="right"/>
    </xf>
    <xf numFmtId="174" fontId="14" fillId="0" borderId="0" xfId="45" applyNumberFormat="1" applyFont="1" applyFill="1" applyBorder="1" applyAlignment="1">
      <alignment horizontal="right"/>
    </xf>
    <xf numFmtId="0" fontId="4" fillId="0" borderId="0" xfId="65" applyAlignment="1" applyProtection="1">
      <alignment horizontal="left" vertical="top"/>
      <protection locked="0"/>
    </xf>
    <xf numFmtId="0" fontId="4" fillId="0" borderId="0" xfId="65" applyAlignment="1">
      <alignment horizontal="right"/>
      <protection/>
    </xf>
    <xf numFmtId="43" fontId="4" fillId="0" borderId="0" xfId="45" applyFont="1" applyBorder="1" applyAlignment="1">
      <alignment/>
    </xf>
    <xf numFmtId="43" fontId="4" fillId="0" borderId="0" xfId="45" applyAlignment="1">
      <alignment/>
    </xf>
    <xf numFmtId="0" fontId="4" fillId="0" borderId="0" xfId="65" applyFont="1">
      <alignment/>
      <protection/>
    </xf>
    <xf numFmtId="43" fontId="4" fillId="0" borderId="0" xfId="45" applyBorder="1" applyAlignment="1">
      <alignment horizontal="right"/>
    </xf>
    <xf numFmtId="43" fontId="4" fillId="0" borderId="0" xfId="65" applyNumberFormat="1" applyAlignment="1">
      <alignment horizontal="right"/>
      <protection/>
    </xf>
    <xf numFmtId="43" fontId="4" fillId="0" borderId="0" xfId="45" applyAlignment="1">
      <alignment horizontal="right"/>
    </xf>
    <xf numFmtId="173" fontId="0" fillId="0" borderId="0" xfId="0" applyNumberFormat="1" applyBorder="1" applyAlignment="1">
      <alignment/>
    </xf>
    <xf numFmtId="173" fontId="0" fillId="36" borderId="12" xfId="0" applyNumberFormat="1" applyFill="1" applyBorder="1" applyAlignment="1">
      <alignment/>
    </xf>
    <xf numFmtId="173" fontId="0" fillId="0" borderId="12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18" fillId="0" borderId="13" xfId="0" applyNumberFormat="1" applyFont="1" applyFill="1" applyBorder="1" applyAlignment="1">
      <alignment/>
    </xf>
    <xf numFmtId="0" fontId="13" fillId="0" borderId="13" xfId="65" applyFont="1" applyBorder="1" applyAlignment="1" applyProtection="1">
      <alignment horizontal="center" vertical="top"/>
      <protection locked="0"/>
    </xf>
    <xf numFmtId="16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3" fillId="39" borderId="14" xfId="0" applyFont="1" applyFill="1" applyBorder="1" applyAlignment="1">
      <alignment horizontal="center" wrapText="1"/>
    </xf>
    <xf numFmtId="0" fontId="3" fillId="39" borderId="19" xfId="0" applyFont="1" applyFill="1" applyBorder="1" applyAlignment="1">
      <alignment horizontal="center" wrapText="1"/>
    </xf>
    <xf numFmtId="165" fontId="7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/>
    </xf>
    <xf numFmtId="165" fontId="4" fillId="0" borderId="18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3" fillId="0" borderId="0" xfId="62" applyFont="1" applyBorder="1">
      <alignment/>
      <protection/>
    </xf>
    <xf numFmtId="0" fontId="2" fillId="41" borderId="0" xfId="62" applyFont="1" applyFill="1" applyAlignment="1">
      <alignment horizontal="left"/>
      <protection/>
    </xf>
    <xf numFmtId="0" fontId="8" fillId="0" borderId="13" xfId="62" applyFont="1" applyBorder="1" applyAlignment="1">
      <alignment horizontal="center"/>
      <protection/>
    </xf>
    <xf numFmtId="0" fontId="4" fillId="0" borderId="20" xfId="62" applyBorder="1">
      <alignment/>
      <protection/>
    </xf>
    <xf numFmtId="0" fontId="4" fillId="0" borderId="21" xfId="62" applyBorder="1">
      <alignment/>
      <protection/>
    </xf>
    <xf numFmtId="0" fontId="4" fillId="0" borderId="22" xfId="62" applyBorder="1">
      <alignment/>
      <protection/>
    </xf>
    <xf numFmtId="0" fontId="8" fillId="0" borderId="0" xfId="62" applyFont="1" applyBorder="1" applyAlignment="1">
      <alignment horizontal="center"/>
      <protection/>
    </xf>
    <xf numFmtId="0" fontId="9" fillId="0" borderId="0" xfId="62" applyFont="1" applyBorder="1">
      <alignment/>
      <protection/>
    </xf>
    <xf numFmtId="0" fontId="3" fillId="0" borderId="0" xfId="62" applyFont="1" applyBorder="1" applyAlignment="1">
      <alignment wrapText="1"/>
      <protection/>
    </xf>
    <xf numFmtId="0" fontId="3" fillId="0" borderId="0" xfId="62" applyFont="1" applyBorder="1" applyAlignment="1">
      <alignment horizontal="right"/>
      <protection/>
    </xf>
    <xf numFmtId="0" fontId="4" fillId="0" borderId="23" xfId="62" applyBorder="1">
      <alignment/>
      <protection/>
    </xf>
    <xf numFmtId="0" fontId="4" fillId="0" borderId="24" xfId="62" applyBorder="1">
      <alignment/>
      <protection/>
    </xf>
    <xf numFmtId="0" fontId="4" fillId="0" borderId="25" xfId="62" applyBorder="1">
      <alignment/>
      <protection/>
    </xf>
    <xf numFmtId="0" fontId="4" fillId="0" borderId="0" xfId="62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Hamilton OEB Summay TB" xfId="45"/>
    <cellStyle name="Comma0" xfId="46"/>
    <cellStyle name="Currency" xfId="47"/>
    <cellStyle name="Currency [0]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2" xfId="55"/>
    <cellStyle name="Heading 3" xfId="56"/>
    <cellStyle name="Heading 4" xfId="57"/>
    <cellStyle name="Hyperlink_Sheet6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_Hamilton OEB Summay TB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08%20Rates%20Analysts\Horizon%20Rate%20Model-Final2\Horizon%20Rate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istribution_Rate_Application_2008_Forward_Test_Year\CMcK_sneaker_Oct_22_07_RECOVER\Horizon%20Rate%20Model%20Schedules_Oct_3_07\Horizon%20Rate%20Model\Exhibit%203%20Distribution%20Revenue%20Throughputs%202006%20to%202008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jh\Local%20Settings\Temporary%20Internet%20Files\OLK5\2009%20Trial%20Balance%20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jh\Local%20Settings\Temporary%20Internet%20Files\OLK5\2010%20-%20Trial%20Balanc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jh\Local%20Settings\Temporary%20Internet%20Files\OLK5\2011%20OEB%20TB%20-%20July%202,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rial Balance"/>
      <sheetName val="FA Continuity 2006"/>
      <sheetName val="FA Continuity 2007"/>
      <sheetName val="FA Continuity 2008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Return on Capital"/>
      <sheetName val="Debt &amp; Capital Structure"/>
      <sheetName val="Tax rates"/>
      <sheetName val="CCA Continuity 2007"/>
      <sheetName val="CCA Continuity 2008"/>
      <sheetName val="Reserves Continuity"/>
      <sheetName val="Corporation Loss Continuity"/>
      <sheetName val="Interest Schedule"/>
      <sheetName val="Tax Adjustments 2007"/>
      <sheetName val="Tax Adjustments 2008"/>
      <sheetName val="2008 Rev Deficiency"/>
      <sheetName val="Capital Tax &amp; Expense Schedules"/>
      <sheetName val="Revenue Requirement"/>
    </sheetNames>
    <sheetDataSet>
      <sheetData sheetId="1">
        <row r="1">
          <cell r="A1" t="str">
            <v>HORIZON UTILITIES CORPORATION</v>
          </cell>
        </row>
        <row r="2">
          <cell r="A2" t="str">
            <v>2008 Forward Test Year Rate Application filed October 22, 2007, License Number ED-2006-0031, File Number EB-2007-0697</v>
          </cell>
        </row>
      </sheetData>
      <sheetData sheetId="3">
        <row r="30">
          <cell r="E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1">
        <row r="21">
          <cell r="B21">
            <v>580684.99</v>
          </cell>
        </row>
        <row r="22">
          <cell r="B22">
            <v>349191.33</v>
          </cell>
        </row>
        <row r="25">
          <cell r="C25">
            <v>728450.791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OA"/>
      <sheetName val="Co.11 BS"/>
      <sheetName val="Co.11 IS"/>
      <sheetName val="Co.12 All"/>
      <sheetName val="Overview Accounts"/>
      <sheetName val="Sheet1"/>
      <sheetName val="Andrew's List"/>
      <sheetName val="CC OEB Combinations PL"/>
      <sheetName val="Master Code String List"/>
      <sheetName val="OEB List from IFS"/>
      <sheetName val="BS &amp; IS Mapping"/>
      <sheetName val="2002-2009 TB"/>
      <sheetName val="GAAP Financials"/>
      <sheetName val="Sheet2"/>
      <sheetName val="Worksheet"/>
      <sheetName val="OEB Financials"/>
      <sheetName val="OEB Adjusted Financials"/>
      <sheetName val="Pivot-OEB Stats"/>
    </sheetNames>
    <sheetDataSet>
      <sheetData sheetId="16">
        <row r="6">
          <cell r="I6" t="str">
            <v>Final OEB</v>
          </cell>
          <cell r="J6" t="str">
            <v>Sum of Adjusted EDO Trial Balance</v>
          </cell>
        </row>
        <row r="7">
          <cell r="I7">
            <v>1005</v>
          </cell>
          <cell r="J7">
            <v>-23618734.769999996</v>
          </cell>
        </row>
        <row r="8">
          <cell r="I8">
            <v>1010</v>
          </cell>
          <cell r="J8">
            <v>5287.32</v>
          </cell>
        </row>
        <row r="9">
          <cell r="I9">
            <v>1040</v>
          </cell>
          <cell r="J9">
            <v>100</v>
          </cell>
        </row>
        <row r="10">
          <cell r="I10">
            <v>1100</v>
          </cell>
          <cell r="J10">
            <v>30357564.740000002</v>
          </cell>
        </row>
        <row r="11">
          <cell r="I11">
            <v>1102</v>
          </cell>
          <cell r="J11">
            <v>0</v>
          </cell>
        </row>
        <row r="12">
          <cell r="I12">
            <v>1104</v>
          </cell>
          <cell r="J12">
            <v>9203658.259999992</v>
          </cell>
        </row>
        <row r="13">
          <cell r="I13">
            <v>1110</v>
          </cell>
          <cell r="J13">
            <v>569482.5500000002</v>
          </cell>
        </row>
        <row r="14">
          <cell r="I14">
            <v>1120</v>
          </cell>
          <cell r="J14">
            <v>49957347.99</v>
          </cell>
        </row>
        <row r="15">
          <cell r="I15">
            <v>1130</v>
          </cell>
          <cell r="J15">
            <v>-1830000</v>
          </cell>
        </row>
        <row r="16">
          <cell r="I16">
            <v>1140</v>
          </cell>
          <cell r="J16">
            <v>0</v>
          </cell>
        </row>
        <row r="17">
          <cell r="I17">
            <v>1150</v>
          </cell>
          <cell r="J17">
            <v>90467.76</v>
          </cell>
        </row>
        <row r="18">
          <cell r="I18">
            <v>1180</v>
          </cell>
          <cell r="J18">
            <v>1601397.0499999998</v>
          </cell>
        </row>
        <row r="19">
          <cell r="I19">
            <v>1200</v>
          </cell>
          <cell r="J19">
            <v>14494224.620000001</v>
          </cell>
        </row>
        <row r="20">
          <cell r="I20">
            <v>1305</v>
          </cell>
          <cell r="J20">
            <v>-28241.92</v>
          </cell>
        </row>
        <row r="21">
          <cell r="I21">
            <v>1330</v>
          </cell>
          <cell r="J21">
            <v>6368867.249999997</v>
          </cell>
        </row>
        <row r="22">
          <cell r="I22">
            <v>1350</v>
          </cell>
          <cell r="J22">
            <v>0</v>
          </cell>
        </row>
        <row r="23">
          <cell r="I23">
            <v>1508</v>
          </cell>
          <cell r="J23">
            <v>2094816.75</v>
          </cell>
        </row>
        <row r="24">
          <cell r="I24">
            <v>1518</v>
          </cell>
          <cell r="J24">
            <v>299310.58</v>
          </cell>
        </row>
        <row r="25">
          <cell r="I25">
            <v>1548</v>
          </cell>
          <cell r="J25">
            <v>58749.340000000004</v>
          </cell>
        </row>
        <row r="26">
          <cell r="I26">
            <v>1550</v>
          </cell>
          <cell r="J26">
            <v>-709185.75</v>
          </cell>
        </row>
        <row r="27">
          <cell r="I27">
            <v>1555</v>
          </cell>
          <cell r="J27">
            <v>14931664.984666254</v>
          </cell>
        </row>
        <row r="28">
          <cell r="I28">
            <v>1556</v>
          </cell>
          <cell r="J28">
            <v>5323614.125333734</v>
          </cell>
        </row>
        <row r="29">
          <cell r="I29">
            <v>1562</v>
          </cell>
          <cell r="J29">
            <v>-3643058.46</v>
          </cell>
        </row>
        <row r="30">
          <cell r="I30">
            <v>1567</v>
          </cell>
          <cell r="J30">
            <v>0</v>
          </cell>
        </row>
        <row r="31">
          <cell r="I31">
            <v>1580</v>
          </cell>
          <cell r="J31">
            <v>-13354863.16</v>
          </cell>
        </row>
        <row r="32">
          <cell r="I32">
            <v>1584</v>
          </cell>
          <cell r="J32">
            <v>-5772606.48</v>
          </cell>
        </row>
        <row r="33">
          <cell r="I33">
            <v>1586</v>
          </cell>
          <cell r="J33">
            <v>63193.380000000005</v>
          </cell>
        </row>
        <row r="34">
          <cell r="I34">
            <v>1588</v>
          </cell>
          <cell r="J34">
            <v>2624394.38</v>
          </cell>
        </row>
        <row r="35">
          <cell r="I35">
            <v>1590</v>
          </cell>
          <cell r="J35">
            <v>397006.19</v>
          </cell>
        </row>
        <row r="36">
          <cell r="I36">
            <v>1592</v>
          </cell>
          <cell r="J36">
            <v>-922956.45</v>
          </cell>
        </row>
        <row r="37">
          <cell r="I37">
            <v>1595</v>
          </cell>
          <cell r="J37">
            <v>-4841065.66</v>
          </cell>
        </row>
        <row r="38">
          <cell r="I38">
            <v>1599</v>
          </cell>
          <cell r="J38">
            <v>0</v>
          </cell>
        </row>
        <row r="39">
          <cell r="I39">
            <v>1635</v>
          </cell>
          <cell r="J39">
            <v>0</v>
          </cell>
        </row>
        <row r="40">
          <cell r="I40">
            <v>1640</v>
          </cell>
          <cell r="J40">
            <v>0</v>
          </cell>
        </row>
        <row r="41">
          <cell r="I41">
            <v>1675</v>
          </cell>
          <cell r="J41">
            <v>1296686.92</v>
          </cell>
        </row>
        <row r="42">
          <cell r="I42">
            <v>1740</v>
          </cell>
          <cell r="J42">
            <v>0</v>
          </cell>
        </row>
        <row r="43">
          <cell r="I43">
            <v>1805</v>
          </cell>
          <cell r="J43">
            <v>414741.45</v>
          </cell>
        </row>
        <row r="44">
          <cell r="I44">
            <v>1806</v>
          </cell>
          <cell r="J44">
            <v>162636.38</v>
          </cell>
        </row>
        <row r="45">
          <cell r="I45">
            <v>1808</v>
          </cell>
          <cell r="J45">
            <v>2138307.23</v>
          </cell>
        </row>
        <row r="46">
          <cell r="I46">
            <v>1810</v>
          </cell>
          <cell r="J46">
            <v>20885.65</v>
          </cell>
        </row>
        <row r="47">
          <cell r="I47">
            <v>1820</v>
          </cell>
          <cell r="J47">
            <v>11774640.47</v>
          </cell>
        </row>
        <row r="48">
          <cell r="I48">
            <v>1830</v>
          </cell>
          <cell r="J48">
            <v>69899086.43</v>
          </cell>
        </row>
        <row r="49">
          <cell r="I49">
            <v>1835</v>
          </cell>
          <cell r="J49">
            <v>71233394.75999999</v>
          </cell>
        </row>
        <row r="50">
          <cell r="I50">
            <v>1840</v>
          </cell>
          <cell r="J50">
            <v>115114231.16999999</v>
          </cell>
        </row>
        <row r="51">
          <cell r="I51">
            <v>1845</v>
          </cell>
          <cell r="J51">
            <v>117085475.74</v>
          </cell>
        </row>
        <row r="52">
          <cell r="I52">
            <v>1850</v>
          </cell>
          <cell r="J52">
            <v>96118395.81</v>
          </cell>
        </row>
        <row r="53">
          <cell r="I53">
            <v>1855</v>
          </cell>
          <cell r="J53">
            <v>24184344.55</v>
          </cell>
        </row>
        <row r="54">
          <cell r="I54">
            <v>1860</v>
          </cell>
          <cell r="J54">
            <v>37819862.03000001</v>
          </cell>
        </row>
        <row r="55">
          <cell r="I55">
            <v>1905</v>
          </cell>
          <cell r="J55">
            <v>1067629.41</v>
          </cell>
        </row>
        <row r="56">
          <cell r="I56">
            <v>1908</v>
          </cell>
          <cell r="J56">
            <v>26677604.69</v>
          </cell>
        </row>
        <row r="57">
          <cell r="I57">
            <v>1915</v>
          </cell>
          <cell r="J57">
            <v>4958697.08</v>
          </cell>
        </row>
        <row r="58">
          <cell r="I58">
            <v>1920</v>
          </cell>
          <cell r="J58">
            <v>9109560.66</v>
          </cell>
        </row>
        <row r="59">
          <cell r="I59">
            <v>1925</v>
          </cell>
          <cell r="J59">
            <v>11297833.69</v>
          </cell>
        </row>
        <row r="60">
          <cell r="I60">
            <v>1930</v>
          </cell>
          <cell r="J60">
            <v>17306131</v>
          </cell>
        </row>
        <row r="61">
          <cell r="I61">
            <v>1935</v>
          </cell>
          <cell r="J61">
            <v>892540.1799999999</v>
          </cell>
        </row>
        <row r="62">
          <cell r="I62">
            <v>1940</v>
          </cell>
          <cell r="J62">
            <v>7346438.35</v>
          </cell>
        </row>
        <row r="63">
          <cell r="I63">
            <v>1945</v>
          </cell>
          <cell r="J63">
            <v>1458621.3900000001</v>
          </cell>
        </row>
        <row r="64">
          <cell r="I64">
            <v>1950</v>
          </cell>
          <cell r="J64">
            <v>144034.63</v>
          </cell>
        </row>
        <row r="65">
          <cell r="I65">
            <v>1955</v>
          </cell>
          <cell r="J65">
            <v>1350163.2599999998</v>
          </cell>
        </row>
        <row r="66">
          <cell r="I66">
            <v>1960</v>
          </cell>
          <cell r="J66">
            <v>515329.99</v>
          </cell>
        </row>
        <row r="67">
          <cell r="I67">
            <v>1980</v>
          </cell>
          <cell r="J67">
            <v>3777542.26</v>
          </cell>
        </row>
        <row r="68">
          <cell r="I68">
            <v>1995</v>
          </cell>
          <cell r="J68">
            <v>-23512927.56</v>
          </cell>
        </row>
        <row r="69">
          <cell r="I69">
            <v>2055</v>
          </cell>
          <cell r="J69">
            <v>6315953.399999999</v>
          </cell>
        </row>
        <row r="70">
          <cell r="I70">
            <v>2060</v>
          </cell>
          <cell r="J70">
            <v>18922838.78</v>
          </cell>
        </row>
        <row r="71">
          <cell r="I71">
            <v>2105</v>
          </cell>
          <cell r="J71">
            <v>-312468399.77466625</v>
          </cell>
        </row>
        <row r="72">
          <cell r="I72">
            <v>2205</v>
          </cell>
          <cell r="J72">
            <v>-40624551.03</v>
          </cell>
        </row>
        <row r="73">
          <cell r="I73">
            <v>2208</v>
          </cell>
          <cell r="J73">
            <v>-4302940.3100000005</v>
          </cell>
        </row>
        <row r="74">
          <cell r="I74">
            <v>2210</v>
          </cell>
          <cell r="J74">
            <v>-22450839.650000002</v>
          </cell>
        </row>
        <row r="75">
          <cell r="I75">
            <v>2215</v>
          </cell>
          <cell r="J75">
            <v>0</v>
          </cell>
        </row>
        <row r="76">
          <cell r="I76">
            <v>2220</v>
          </cell>
          <cell r="J76">
            <v>-6300654</v>
          </cell>
        </row>
        <row r="77">
          <cell r="I77">
            <v>2240</v>
          </cell>
          <cell r="J77">
            <v>-35000661.8</v>
          </cell>
        </row>
        <row r="78">
          <cell r="I78">
            <v>2242</v>
          </cell>
          <cell r="J78">
            <v>-116000000</v>
          </cell>
        </row>
        <row r="79">
          <cell r="I79">
            <v>2250</v>
          </cell>
          <cell r="J79">
            <v>-2647125.6</v>
          </cell>
        </row>
        <row r="80">
          <cell r="I80">
            <v>2290</v>
          </cell>
          <cell r="J80">
            <v>-441177.0399999995</v>
          </cell>
        </row>
        <row r="81">
          <cell r="I81">
            <v>2292</v>
          </cell>
          <cell r="J81">
            <v>-349163.3300000001</v>
          </cell>
        </row>
        <row r="82">
          <cell r="I82">
            <v>2294</v>
          </cell>
          <cell r="J82">
            <v>2686660.6500000004</v>
          </cell>
        </row>
        <row r="83">
          <cell r="I83">
            <v>2306</v>
          </cell>
          <cell r="J83">
            <v>-16079772.36</v>
          </cell>
        </row>
        <row r="84">
          <cell r="I84">
            <v>2310</v>
          </cell>
          <cell r="J84">
            <v>-69410.25</v>
          </cell>
        </row>
        <row r="85">
          <cell r="I85">
            <v>2320</v>
          </cell>
          <cell r="J85">
            <v>-154178.74</v>
          </cell>
        </row>
        <row r="86">
          <cell r="I86">
            <v>2350</v>
          </cell>
          <cell r="J86">
            <v>9920344.09</v>
          </cell>
        </row>
        <row r="87">
          <cell r="I87">
            <v>2405</v>
          </cell>
          <cell r="J87">
            <v>170836.11</v>
          </cell>
        </row>
        <row r="88">
          <cell r="I88">
            <v>2425</v>
          </cell>
          <cell r="J88">
            <v>-3428.6899999999987</v>
          </cell>
        </row>
        <row r="89">
          <cell r="I89">
            <v>3005</v>
          </cell>
          <cell r="J89">
            <v>-123592754.28999999</v>
          </cell>
        </row>
        <row r="90">
          <cell r="I90">
            <v>3010</v>
          </cell>
          <cell r="J90">
            <v>-15218009</v>
          </cell>
        </row>
        <row r="91">
          <cell r="I91">
            <v>3045</v>
          </cell>
          <cell r="J91">
            <v>-100341911.81999959</v>
          </cell>
        </row>
        <row r="92">
          <cell r="I92">
            <v>3049</v>
          </cell>
          <cell r="J92">
            <v>76108392.54</v>
          </cell>
        </row>
        <row r="93">
          <cell r="I93">
            <v>4006</v>
          </cell>
          <cell r="J93">
            <v>-86676488.36</v>
          </cell>
        </row>
        <row r="94">
          <cell r="I94">
            <v>4020</v>
          </cell>
          <cell r="J94">
            <v>-33387011.14</v>
          </cell>
        </row>
        <row r="95">
          <cell r="I95">
            <v>4025</v>
          </cell>
          <cell r="J95">
            <v>-1696054.5300000003</v>
          </cell>
        </row>
        <row r="96">
          <cell r="I96">
            <v>4030</v>
          </cell>
          <cell r="J96">
            <v>-31939.68</v>
          </cell>
        </row>
        <row r="97">
          <cell r="I97">
            <v>4035</v>
          </cell>
          <cell r="J97">
            <v>-134077091.1</v>
          </cell>
        </row>
        <row r="98">
          <cell r="I98">
            <v>4050</v>
          </cell>
          <cell r="J98">
            <v>-681.06</v>
          </cell>
        </row>
        <row r="99">
          <cell r="I99">
            <v>4055</v>
          </cell>
          <cell r="J99">
            <v>-29111414.36</v>
          </cell>
        </row>
        <row r="100">
          <cell r="I100">
            <v>4062</v>
          </cell>
          <cell r="J100">
            <v>-28568553.37</v>
          </cell>
        </row>
        <row r="101">
          <cell r="I101">
            <v>4066</v>
          </cell>
          <cell r="J101">
            <v>-25634368.849999998</v>
          </cell>
        </row>
        <row r="102">
          <cell r="I102">
            <v>4068</v>
          </cell>
          <cell r="J102">
            <v>-23276543.369999997</v>
          </cell>
        </row>
        <row r="103">
          <cell r="I103">
            <v>4075</v>
          </cell>
          <cell r="J103">
            <v>-164506.26</v>
          </cell>
        </row>
        <row r="104">
          <cell r="I104">
            <v>4080</v>
          </cell>
          <cell r="J104">
            <v>-84658325.36000003</v>
          </cell>
        </row>
        <row r="105">
          <cell r="I105">
            <v>4082</v>
          </cell>
          <cell r="J105">
            <v>-133460.47999999998</v>
          </cell>
        </row>
        <row r="106">
          <cell r="I106">
            <v>4084</v>
          </cell>
          <cell r="J106">
            <v>0</v>
          </cell>
        </row>
        <row r="107">
          <cell r="I107">
            <v>4210</v>
          </cell>
          <cell r="J107">
            <v>-1414683.74</v>
          </cell>
        </row>
        <row r="108">
          <cell r="I108">
            <v>4225</v>
          </cell>
          <cell r="J108">
            <v>-883572.33</v>
          </cell>
        </row>
        <row r="109">
          <cell r="I109">
            <v>4235</v>
          </cell>
          <cell r="J109">
            <v>-1679654.76</v>
          </cell>
        </row>
        <row r="110">
          <cell r="I110">
            <v>4325</v>
          </cell>
          <cell r="J110">
            <v>-21731.949999999997</v>
          </cell>
        </row>
        <row r="111">
          <cell r="I111">
            <v>4355</v>
          </cell>
          <cell r="J111">
            <v>-91544.31</v>
          </cell>
        </row>
        <row r="112">
          <cell r="I112">
            <v>4375</v>
          </cell>
          <cell r="J112">
            <v>-2363.69</v>
          </cell>
        </row>
        <row r="113">
          <cell r="I113">
            <v>4390</v>
          </cell>
          <cell r="J113">
            <v>-1252049.4300000004</v>
          </cell>
        </row>
        <row r="114">
          <cell r="I114">
            <v>4405</v>
          </cell>
          <cell r="J114">
            <v>-13465.009999999998</v>
          </cell>
        </row>
        <row r="115">
          <cell r="I115">
            <v>4615</v>
          </cell>
          <cell r="J115">
            <v>0</v>
          </cell>
        </row>
        <row r="116">
          <cell r="I116">
            <v>4635</v>
          </cell>
          <cell r="J116">
            <v>0</v>
          </cell>
        </row>
        <row r="117">
          <cell r="I117">
            <v>4705</v>
          </cell>
          <cell r="J117">
            <v>213392186.39000002</v>
          </cell>
        </row>
        <row r="118">
          <cell r="I118">
            <v>4708</v>
          </cell>
          <cell r="J118">
            <v>28568553.37</v>
          </cell>
        </row>
        <row r="119">
          <cell r="I119">
            <v>4710</v>
          </cell>
          <cell r="J119">
            <v>71588493.84</v>
          </cell>
        </row>
        <row r="120">
          <cell r="I120">
            <v>4714</v>
          </cell>
          <cell r="J120">
            <v>25634368.85</v>
          </cell>
        </row>
        <row r="121">
          <cell r="I121">
            <v>4716</v>
          </cell>
          <cell r="J121">
            <v>23276543.37</v>
          </cell>
        </row>
        <row r="122">
          <cell r="I122">
            <v>4750</v>
          </cell>
          <cell r="J122">
            <v>164506.26</v>
          </cell>
        </row>
        <row r="123">
          <cell r="I123">
            <v>5005</v>
          </cell>
          <cell r="J123">
            <v>2048737.6899999997</v>
          </cell>
        </row>
        <row r="124">
          <cell r="I124">
            <v>5010</v>
          </cell>
          <cell r="J124">
            <v>2261059.3000000003</v>
          </cell>
        </row>
        <row r="125">
          <cell r="I125">
            <v>5012</v>
          </cell>
          <cell r="J125">
            <v>17446.69</v>
          </cell>
        </row>
        <row r="126">
          <cell r="I126">
            <v>5016</v>
          </cell>
          <cell r="J126">
            <v>29770.090000000037</v>
          </cell>
        </row>
        <row r="127">
          <cell r="I127">
            <v>5017</v>
          </cell>
          <cell r="J127">
            <v>305875.37</v>
          </cell>
        </row>
        <row r="128">
          <cell r="I128">
            <v>5020</v>
          </cell>
          <cell r="J128">
            <v>2086103.1600000001</v>
          </cell>
        </row>
        <row r="129">
          <cell r="I129">
            <v>5025</v>
          </cell>
          <cell r="J129">
            <v>322404.95</v>
          </cell>
        </row>
        <row r="130">
          <cell r="I130">
            <v>5040</v>
          </cell>
          <cell r="J130">
            <v>633907.4500000001</v>
          </cell>
        </row>
        <row r="131">
          <cell r="I131">
            <v>5045</v>
          </cell>
          <cell r="J131">
            <v>867144.26</v>
          </cell>
        </row>
        <row r="132">
          <cell r="I132">
            <v>5050</v>
          </cell>
          <cell r="J132">
            <v>133.06</v>
          </cell>
        </row>
        <row r="133">
          <cell r="I133">
            <v>5055</v>
          </cell>
          <cell r="J133">
            <v>14765.090000000002</v>
          </cell>
        </row>
        <row r="134">
          <cell r="I134">
            <v>5065</v>
          </cell>
          <cell r="J134">
            <v>3487991.2700000005</v>
          </cell>
        </row>
        <row r="135">
          <cell r="I135">
            <v>5070</v>
          </cell>
          <cell r="J135">
            <v>763145.92</v>
          </cell>
        </row>
        <row r="136">
          <cell r="I136">
            <v>5075</v>
          </cell>
          <cell r="J136">
            <v>339211.66000000003</v>
          </cell>
        </row>
        <row r="137">
          <cell r="I137">
            <v>5085</v>
          </cell>
          <cell r="J137">
            <v>1012610.0399999999</v>
          </cell>
        </row>
        <row r="138">
          <cell r="I138">
            <v>5096</v>
          </cell>
          <cell r="J138">
            <v>226646</v>
          </cell>
        </row>
        <row r="139">
          <cell r="I139">
            <v>5105</v>
          </cell>
          <cell r="J139">
            <v>144546.38000000003</v>
          </cell>
        </row>
        <row r="140">
          <cell r="I140">
            <v>5110</v>
          </cell>
          <cell r="J140">
            <v>241273.66999999998</v>
          </cell>
        </row>
        <row r="141">
          <cell r="I141">
            <v>5114</v>
          </cell>
          <cell r="J141">
            <v>375439.23999999993</v>
          </cell>
        </row>
        <row r="142">
          <cell r="I142">
            <v>5120</v>
          </cell>
          <cell r="J142">
            <v>132846.83000000002</v>
          </cell>
        </row>
        <row r="143">
          <cell r="I143">
            <v>5125</v>
          </cell>
          <cell r="J143">
            <v>1048377.4700000001</v>
          </cell>
        </row>
        <row r="144">
          <cell r="I144">
            <v>5130</v>
          </cell>
          <cell r="J144">
            <v>68025.67</v>
          </cell>
        </row>
        <row r="145">
          <cell r="I145">
            <v>5135</v>
          </cell>
          <cell r="J145">
            <v>1116019.71</v>
          </cell>
        </row>
        <row r="146">
          <cell r="I146">
            <v>5145</v>
          </cell>
          <cell r="J146">
            <v>110915.84999999999</v>
          </cell>
        </row>
        <row r="147">
          <cell r="I147">
            <v>5150</v>
          </cell>
          <cell r="J147">
            <v>381874.77999999985</v>
          </cell>
        </row>
        <row r="148">
          <cell r="I148">
            <v>5155</v>
          </cell>
          <cell r="J148">
            <v>121661.31</v>
          </cell>
        </row>
        <row r="149">
          <cell r="I149">
            <v>5160</v>
          </cell>
          <cell r="J149">
            <v>52625.27999999999</v>
          </cell>
        </row>
        <row r="150">
          <cell r="I150">
            <v>5175</v>
          </cell>
          <cell r="J150">
            <v>89029.16</v>
          </cell>
        </row>
        <row r="151">
          <cell r="I151">
            <v>5310</v>
          </cell>
          <cell r="J151">
            <v>0</v>
          </cell>
        </row>
        <row r="152">
          <cell r="I152">
            <v>5315</v>
          </cell>
          <cell r="J152">
            <v>36388.17</v>
          </cell>
        </row>
        <row r="153">
          <cell r="I153">
            <v>5320</v>
          </cell>
          <cell r="J153">
            <v>255677.53</v>
          </cell>
        </row>
        <row r="154">
          <cell r="I154">
            <v>5330</v>
          </cell>
          <cell r="J154">
            <v>0</v>
          </cell>
        </row>
        <row r="155">
          <cell r="I155">
            <v>5335</v>
          </cell>
          <cell r="J155">
            <v>1310334.95</v>
          </cell>
        </row>
        <row r="156">
          <cell r="I156">
            <v>5340</v>
          </cell>
          <cell r="J156">
            <v>6710000.04</v>
          </cell>
        </row>
        <row r="157">
          <cell r="I157">
            <v>5405</v>
          </cell>
          <cell r="J157">
            <v>56.68</v>
          </cell>
        </row>
        <row r="158">
          <cell r="I158">
            <v>5410</v>
          </cell>
          <cell r="J158">
            <v>307112.39</v>
          </cell>
        </row>
        <row r="159">
          <cell r="I159">
            <v>5415</v>
          </cell>
          <cell r="J159">
            <v>18310.62</v>
          </cell>
        </row>
        <row r="160">
          <cell r="I160">
            <v>5420</v>
          </cell>
          <cell r="J160">
            <v>20360</v>
          </cell>
        </row>
        <row r="161">
          <cell r="I161">
            <v>5515</v>
          </cell>
          <cell r="J161">
            <v>89996.79</v>
          </cell>
        </row>
        <row r="162">
          <cell r="I162">
            <v>5605</v>
          </cell>
          <cell r="J162">
            <v>1393623.9100000008</v>
          </cell>
        </row>
        <row r="163">
          <cell r="I163">
            <v>5610</v>
          </cell>
          <cell r="J163">
            <v>1838576.0000000002</v>
          </cell>
        </row>
        <row r="164">
          <cell r="I164">
            <v>5615</v>
          </cell>
          <cell r="J164">
            <v>2153256.8599999985</v>
          </cell>
        </row>
        <row r="165">
          <cell r="I165">
            <v>5620</v>
          </cell>
          <cell r="J165">
            <v>994267.9600000002</v>
          </cell>
        </row>
        <row r="166">
          <cell r="I166">
            <v>5630</v>
          </cell>
          <cell r="J166">
            <v>2468781.02</v>
          </cell>
        </row>
        <row r="167">
          <cell r="I167">
            <v>5635</v>
          </cell>
          <cell r="J167">
            <v>42878.04</v>
          </cell>
        </row>
        <row r="168">
          <cell r="I168">
            <v>5640</v>
          </cell>
          <cell r="J168">
            <v>480373.6</v>
          </cell>
        </row>
        <row r="169">
          <cell r="I169">
            <v>5645</v>
          </cell>
          <cell r="J169">
            <v>1025438.43</v>
          </cell>
        </row>
        <row r="170">
          <cell r="I170">
            <v>5655</v>
          </cell>
          <cell r="J170">
            <v>647683.43</v>
          </cell>
        </row>
        <row r="171">
          <cell r="I171">
            <v>5660</v>
          </cell>
          <cell r="J171">
            <v>74084.73000000001</v>
          </cell>
        </row>
        <row r="172">
          <cell r="I172">
            <v>5665</v>
          </cell>
          <cell r="J172">
            <v>927010.0000000063</v>
          </cell>
        </row>
        <row r="173">
          <cell r="I173">
            <v>5675</v>
          </cell>
          <cell r="J173">
            <v>925729.4299999992</v>
          </cell>
        </row>
        <row r="174">
          <cell r="I174">
            <v>5705</v>
          </cell>
          <cell r="J174">
            <v>23295449.649999995</v>
          </cell>
        </row>
        <row r="175">
          <cell r="I175">
            <v>6030</v>
          </cell>
          <cell r="J175">
            <v>9220838.53</v>
          </cell>
        </row>
        <row r="176">
          <cell r="I176">
            <v>6035</v>
          </cell>
          <cell r="J176">
            <v>679487.6199999999</v>
          </cell>
        </row>
        <row r="177">
          <cell r="I177">
            <v>6105</v>
          </cell>
          <cell r="J177">
            <v>1195229.85</v>
          </cell>
        </row>
        <row r="178">
          <cell r="I178">
            <v>6110</v>
          </cell>
          <cell r="J178">
            <v>5502940.35</v>
          </cell>
        </row>
        <row r="179">
          <cell r="I179">
            <v>6205</v>
          </cell>
          <cell r="J179">
            <v>25890</v>
          </cell>
        </row>
        <row r="180">
          <cell r="I180">
            <v>8810</v>
          </cell>
          <cell r="J180">
            <v>0</v>
          </cell>
        </row>
        <row r="181">
          <cell r="I181">
            <v>8820</v>
          </cell>
          <cell r="J181">
            <v>0</v>
          </cell>
        </row>
        <row r="182">
          <cell r="I182">
            <v>9041</v>
          </cell>
          <cell r="J182">
            <v>-9.276845958083868E-11</v>
          </cell>
        </row>
        <row r="183">
          <cell r="I183">
            <v>9090</v>
          </cell>
          <cell r="J183">
            <v>-7.578648819617229E-10</v>
          </cell>
        </row>
        <row r="184">
          <cell r="I184">
            <v>9096</v>
          </cell>
          <cell r="J184">
            <v>5.820766091346741E-11</v>
          </cell>
        </row>
        <row r="185">
          <cell r="I185">
            <v>9908</v>
          </cell>
          <cell r="J185">
            <v>0</v>
          </cell>
        </row>
        <row r="186">
          <cell r="I186">
            <v>9911</v>
          </cell>
          <cell r="J186">
            <v>0</v>
          </cell>
        </row>
        <row r="187">
          <cell r="I187">
            <v>9950</v>
          </cell>
          <cell r="J187">
            <v>0</v>
          </cell>
        </row>
        <row r="188">
          <cell r="I188">
            <v>5695</v>
          </cell>
          <cell r="J188">
            <v>-1240883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 &gt; 399999 CO11"/>
      <sheetName val="2010 &gt; 399999 CO12"/>
      <sheetName val="2010 &lt; 400000 CO11"/>
      <sheetName val="2010 &lt; 400000 CO12"/>
      <sheetName val="Pivot Combined"/>
      <sheetName val="Smart Meter Backup"/>
      <sheetName val="Explanation of Entries"/>
      <sheetName val="Combined"/>
      <sheetName val="2010 TB"/>
      <sheetName val="Master Code String"/>
      <sheetName val="USOA"/>
      <sheetName val="BS &amp; IS Mapping"/>
      <sheetName val="Financials"/>
      <sheetName val="Overview Accounts"/>
      <sheetName val="Andrew's List"/>
    </sheetNames>
    <sheetDataSet>
      <sheetData sheetId="8">
        <row r="4">
          <cell r="A4" t="str">
            <v>OEB</v>
          </cell>
          <cell r="B4" t="str">
            <v>2009 Adjusted TB</v>
          </cell>
          <cell r="C4" t="str">
            <v>2010 TB Budget</v>
          </cell>
          <cell r="D4" t="str">
            <v>2010 Adjustments</v>
          </cell>
          <cell r="E4" t="str">
            <v>2010 Trial Balance</v>
          </cell>
        </row>
        <row r="5">
          <cell r="A5">
            <v>1005</v>
          </cell>
          <cell r="B5">
            <v>-23618734.719999995</v>
          </cell>
          <cell r="C5">
            <v>0</v>
          </cell>
          <cell r="D5">
            <v>0</v>
          </cell>
          <cell r="E5">
            <v>-23618734.719999995</v>
          </cell>
        </row>
        <row r="6">
          <cell r="A6">
            <v>1010</v>
          </cell>
          <cell r="B6">
            <v>5287.32</v>
          </cell>
          <cell r="C6" t="str">
            <v>0</v>
          </cell>
          <cell r="D6">
            <v>0</v>
          </cell>
          <cell r="E6">
            <v>5287.32</v>
          </cell>
        </row>
        <row r="7">
          <cell r="A7">
            <v>1040</v>
          </cell>
          <cell r="B7">
            <v>100</v>
          </cell>
          <cell r="C7" t="str">
            <v>0</v>
          </cell>
          <cell r="D7">
            <v>0</v>
          </cell>
          <cell r="E7">
            <v>100</v>
          </cell>
        </row>
        <row r="8">
          <cell r="A8">
            <v>1100</v>
          </cell>
          <cell r="B8">
            <v>30357564.740000002</v>
          </cell>
          <cell r="C8">
            <v>0</v>
          </cell>
          <cell r="D8">
            <v>0</v>
          </cell>
          <cell r="E8">
            <v>30357564.740000002</v>
          </cell>
        </row>
        <row r="9">
          <cell r="A9">
            <v>1102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A10">
            <v>1104</v>
          </cell>
          <cell r="B10">
            <v>9203658.259999992</v>
          </cell>
          <cell r="C10">
            <v>0</v>
          </cell>
          <cell r="D10">
            <v>0</v>
          </cell>
          <cell r="E10">
            <v>9203658.259999992</v>
          </cell>
        </row>
        <row r="11">
          <cell r="A11">
            <v>1110</v>
          </cell>
          <cell r="B11">
            <v>569482.5500000002</v>
          </cell>
          <cell r="C11">
            <v>0</v>
          </cell>
          <cell r="D11">
            <v>0</v>
          </cell>
          <cell r="E11">
            <v>569482.5500000002</v>
          </cell>
        </row>
        <row r="12">
          <cell r="A12">
            <v>1120</v>
          </cell>
          <cell r="B12">
            <v>49957347.99</v>
          </cell>
          <cell r="C12">
            <v>0</v>
          </cell>
          <cell r="D12">
            <v>0</v>
          </cell>
          <cell r="E12">
            <v>49957347.99</v>
          </cell>
        </row>
        <row r="13">
          <cell r="A13">
            <v>1130</v>
          </cell>
          <cell r="B13">
            <v>-1830000</v>
          </cell>
          <cell r="C13">
            <v>0</v>
          </cell>
          <cell r="D13">
            <v>0</v>
          </cell>
          <cell r="E13">
            <v>-1830000</v>
          </cell>
        </row>
        <row r="14">
          <cell r="A14">
            <v>1140</v>
          </cell>
          <cell r="B14">
            <v>0</v>
          </cell>
          <cell r="C14" t="str">
            <v>0</v>
          </cell>
          <cell r="D14">
            <v>0</v>
          </cell>
          <cell r="E14">
            <v>0</v>
          </cell>
        </row>
        <row r="15">
          <cell r="A15">
            <v>1150</v>
          </cell>
          <cell r="B15">
            <v>90467.76</v>
          </cell>
          <cell r="C15">
            <v>0</v>
          </cell>
          <cell r="D15">
            <v>0</v>
          </cell>
          <cell r="E15">
            <v>90467.76</v>
          </cell>
        </row>
        <row r="16">
          <cell r="A16">
            <v>1180</v>
          </cell>
          <cell r="B16">
            <v>1601397.0499999998</v>
          </cell>
          <cell r="C16">
            <v>0</v>
          </cell>
          <cell r="D16">
            <v>0</v>
          </cell>
          <cell r="E16">
            <v>1601397.0499999998</v>
          </cell>
        </row>
        <row r="17">
          <cell r="A17">
            <v>1200</v>
          </cell>
          <cell r="B17">
            <v>14494224.620000001</v>
          </cell>
          <cell r="C17">
            <v>0</v>
          </cell>
          <cell r="D17">
            <v>0</v>
          </cell>
          <cell r="E17">
            <v>14494224.620000001</v>
          </cell>
        </row>
        <row r="18">
          <cell r="A18">
            <v>1305</v>
          </cell>
          <cell r="B18">
            <v>-28241.92</v>
          </cell>
          <cell r="C18">
            <v>0</v>
          </cell>
          <cell r="D18">
            <v>0</v>
          </cell>
          <cell r="E18">
            <v>-28241.92</v>
          </cell>
        </row>
        <row r="19">
          <cell r="A19">
            <v>1330</v>
          </cell>
          <cell r="B19">
            <v>6368867.249999997</v>
          </cell>
          <cell r="C19">
            <v>0</v>
          </cell>
          <cell r="D19">
            <v>0</v>
          </cell>
          <cell r="E19">
            <v>6368867.249999997</v>
          </cell>
        </row>
        <row r="20">
          <cell r="A20">
            <v>1350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1508</v>
          </cell>
          <cell r="B21">
            <v>2094816.75</v>
          </cell>
          <cell r="C21">
            <v>0</v>
          </cell>
          <cell r="D21">
            <v>619628.51</v>
          </cell>
          <cell r="E21">
            <v>2714445.26</v>
          </cell>
        </row>
        <row r="22">
          <cell r="A22">
            <v>1518</v>
          </cell>
          <cell r="B22">
            <v>299310.58</v>
          </cell>
          <cell r="C22">
            <v>0</v>
          </cell>
          <cell r="D22">
            <v>0</v>
          </cell>
          <cell r="E22">
            <v>299310.58</v>
          </cell>
        </row>
        <row r="23">
          <cell r="A23">
            <v>1548</v>
          </cell>
          <cell r="B23">
            <v>58749.340000000004</v>
          </cell>
          <cell r="C23">
            <v>0</v>
          </cell>
          <cell r="D23">
            <v>0</v>
          </cell>
          <cell r="E23">
            <v>58749.340000000004</v>
          </cell>
        </row>
        <row r="24">
          <cell r="A24">
            <v>1550</v>
          </cell>
          <cell r="B24">
            <v>-709185.75</v>
          </cell>
          <cell r="C24">
            <v>0</v>
          </cell>
          <cell r="D24">
            <v>0</v>
          </cell>
          <cell r="E24">
            <v>-709185.75</v>
          </cell>
        </row>
        <row r="25">
          <cell r="A25">
            <v>1555</v>
          </cell>
          <cell r="B25">
            <v>14931664.984666254</v>
          </cell>
          <cell r="C25">
            <v>0</v>
          </cell>
          <cell r="D25">
            <v>701000</v>
          </cell>
          <cell r="E25">
            <v>15632664.984666254</v>
          </cell>
        </row>
        <row r="26">
          <cell r="A26">
            <v>1556</v>
          </cell>
          <cell r="B26">
            <v>5323614.125333734</v>
          </cell>
          <cell r="C26">
            <v>0</v>
          </cell>
          <cell r="D26">
            <v>932627.26</v>
          </cell>
          <cell r="E26">
            <v>6256241.385333734</v>
          </cell>
        </row>
        <row r="27">
          <cell r="A27">
            <v>1562</v>
          </cell>
          <cell r="B27">
            <v>-3643058.46</v>
          </cell>
          <cell r="C27">
            <v>0</v>
          </cell>
          <cell r="D27">
            <v>0</v>
          </cell>
          <cell r="E27">
            <v>-3643058.46</v>
          </cell>
        </row>
        <row r="28">
          <cell r="A28">
            <v>1565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1567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>
            <v>1580</v>
          </cell>
          <cell r="B30">
            <v>-13354863.16</v>
          </cell>
          <cell r="C30">
            <v>0</v>
          </cell>
          <cell r="D30">
            <v>0</v>
          </cell>
          <cell r="E30">
            <v>-13354863.16</v>
          </cell>
        </row>
        <row r="31">
          <cell r="A31">
            <v>1584</v>
          </cell>
          <cell r="B31">
            <v>-5772606.48</v>
          </cell>
          <cell r="C31">
            <v>0</v>
          </cell>
          <cell r="D31">
            <v>0</v>
          </cell>
          <cell r="E31">
            <v>-5772606.48</v>
          </cell>
        </row>
        <row r="32">
          <cell r="A32">
            <v>1586</v>
          </cell>
          <cell r="B32">
            <v>63193.380000000005</v>
          </cell>
          <cell r="C32">
            <v>0</v>
          </cell>
          <cell r="D32">
            <v>0</v>
          </cell>
          <cell r="E32">
            <v>63193.380000000005</v>
          </cell>
        </row>
        <row r="33">
          <cell r="A33">
            <v>1588</v>
          </cell>
          <cell r="B33">
            <v>2624394.38</v>
          </cell>
          <cell r="C33">
            <v>0</v>
          </cell>
          <cell r="D33">
            <v>0</v>
          </cell>
          <cell r="E33">
            <v>2624394.38</v>
          </cell>
        </row>
        <row r="34">
          <cell r="A34">
            <v>1590</v>
          </cell>
          <cell r="B34">
            <v>397006.19</v>
          </cell>
          <cell r="C34">
            <v>0</v>
          </cell>
          <cell r="D34">
            <v>0</v>
          </cell>
          <cell r="E34">
            <v>397006.19</v>
          </cell>
        </row>
        <row r="35">
          <cell r="A35">
            <v>1592</v>
          </cell>
          <cell r="B35">
            <v>-922956.45</v>
          </cell>
          <cell r="C35">
            <v>0</v>
          </cell>
          <cell r="D35">
            <v>0</v>
          </cell>
          <cell r="E35">
            <v>-922956.45</v>
          </cell>
        </row>
        <row r="36">
          <cell r="A36">
            <v>1595</v>
          </cell>
          <cell r="B36">
            <v>-4841065.66</v>
          </cell>
          <cell r="C36">
            <v>0</v>
          </cell>
          <cell r="D36">
            <v>0</v>
          </cell>
          <cell r="E36">
            <v>-4841065.66</v>
          </cell>
        </row>
        <row r="37">
          <cell r="A37">
            <v>1599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1635</v>
          </cell>
          <cell r="B38">
            <v>0</v>
          </cell>
          <cell r="C38" t="str">
            <v>0</v>
          </cell>
          <cell r="D38">
            <v>0</v>
          </cell>
          <cell r="E38">
            <v>0</v>
          </cell>
        </row>
        <row r="39">
          <cell r="A39">
            <v>1640</v>
          </cell>
          <cell r="B39">
            <v>0</v>
          </cell>
          <cell r="C39" t="str">
            <v>0</v>
          </cell>
          <cell r="D39">
            <v>0</v>
          </cell>
          <cell r="E39">
            <v>0</v>
          </cell>
        </row>
        <row r="40">
          <cell r="A40">
            <v>1675</v>
          </cell>
          <cell r="B40">
            <v>1296686.92</v>
          </cell>
          <cell r="C40" t="str">
            <v>0</v>
          </cell>
          <cell r="D40">
            <v>0</v>
          </cell>
          <cell r="E40">
            <v>1296686.92</v>
          </cell>
        </row>
        <row r="41">
          <cell r="A41">
            <v>1740</v>
          </cell>
          <cell r="B41">
            <v>0</v>
          </cell>
          <cell r="C41" t="str">
            <v>0</v>
          </cell>
          <cell r="D41">
            <v>0</v>
          </cell>
          <cell r="E41">
            <v>0</v>
          </cell>
        </row>
        <row r="42">
          <cell r="A42">
            <v>1805</v>
          </cell>
          <cell r="B42">
            <v>414741.45</v>
          </cell>
          <cell r="C42" t="str">
            <v>0</v>
          </cell>
          <cell r="D42">
            <v>0</v>
          </cell>
          <cell r="E42">
            <v>414741.45</v>
          </cell>
        </row>
        <row r="43">
          <cell r="A43">
            <v>1806</v>
          </cell>
          <cell r="B43">
            <v>162636.38</v>
          </cell>
          <cell r="C43" t="str">
            <v>0</v>
          </cell>
          <cell r="D43">
            <v>0</v>
          </cell>
          <cell r="E43">
            <v>162636.38</v>
          </cell>
        </row>
        <row r="44">
          <cell r="A44">
            <v>1808</v>
          </cell>
          <cell r="B44">
            <v>2138307.23</v>
          </cell>
          <cell r="C44" t="str">
            <v>0</v>
          </cell>
          <cell r="D44">
            <v>0</v>
          </cell>
          <cell r="E44">
            <v>2138307.23</v>
          </cell>
        </row>
        <row r="45">
          <cell r="A45">
            <v>1810</v>
          </cell>
          <cell r="B45">
            <v>20885.65</v>
          </cell>
          <cell r="C45" t="str">
            <v>0</v>
          </cell>
          <cell r="D45">
            <v>0</v>
          </cell>
          <cell r="E45">
            <v>20885.65</v>
          </cell>
        </row>
        <row r="46">
          <cell r="A46">
            <v>1820</v>
          </cell>
          <cell r="B46">
            <v>11774640.47</v>
          </cell>
          <cell r="C46">
            <v>0</v>
          </cell>
          <cell r="D46">
            <v>0</v>
          </cell>
          <cell r="E46">
            <v>11774640.47</v>
          </cell>
        </row>
        <row r="47">
          <cell r="A47">
            <v>1830</v>
          </cell>
          <cell r="B47">
            <v>69899086.43</v>
          </cell>
          <cell r="C47">
            <v>8588589.469999999</v>
          </cell>
          <cell r="D47">
            <v>0</v>
          </cell>
          <cell r="E47">
            <v>78487675.9</v>
          </cell>
        </row>
        <row r="48">
          <cell r="A48">
            <v>1835</v>
          </cell>
          <cell r="B48">
            <v>71233394.75999999</v>
          </cell>
          <cell r="C48">
            <v>5276926.91</v>
          </cell>
          <cell r="D48">
            <v>0</v>
          </cell>
          <cell r="E48">
            <v>76510321.66999999</v>
          </cell>
        </row>
        <row r="49">
          <cell r="A49">
            <v>1840</v>
          </cell>
          <cell r="B49">
            <v>115114231.16999999</v>
          </cell>
          <cell r="C49">
            <v>5198527.93</v>
          </cell>
          <cell r="D49">
            <v>0</v>
          </cell>
          <cell r="E49">
            <v>120312759.1</v>
          </cell>
        </row>
        <row r="50">
          <cell r="A50">
            <v>1845</v>
          </cell>
          <cell r="B50">
            <v>117085475.74</v>
          </cell>
          <cell r="C50">
            <v>7789118.4399999995</v>
          </cell>
          <cell r="D50">
            <v>0</v>
          </cell>
          <cell r="E50">
            <v>124874594.17999999</v>
          </cell>
        </row>
        <row r="51">
          <cell r="A51">
            <v>1850</v>
          </cell>
          <cell r="B51">
            <v>96118395.81</v>
          </cell>
          <cell r="C51">
            <v>5010545.470000001</v>
          </cell>
          <cell r="D51">
            <v>0</v>
          </cell>
          <cell r="E51">
            <v>101128941.28</v>
          </cell>
        </row>
        <row r="52">
          <cell r="A52">
            <v>1855</v>
          </cell>
          <cell r="B52">
            <v>24184344.55</v>
          </cell>
          <cell r="C52">
            <v>466859.11</v>
          </cell>
          <cell r="D52">
            <v>0</v>
          </cell>
          <cell r="E52">
            <v>24651203.66</v>
          </cell>
        </row>
        <row r="53">
          <cell r="A53">
            <v>1860</v>
          </cell>
          <cell r="B53">
            <v>37819862.03000001</v>
          </cell>
          <cell r="C53">
            <v>2437318.76</v>
          </cell>
          <cell r="D53">
            <v>-701000</v>
          </cell>
          <cell r="E53">
            <v>39556180.79000001</v>
          </cell>
        </row>
        <row r="54">
          <cell r="A54">
            <v>1905</v>
          </cell>
          <cell r="B54">
            <v>1067629.41</v>
          </cell>
          <cell r="C54" t="str">
            <v>0</v>
          </cell>
          <cell r="D54">
            <v>0</v>
          </cell>
          <cell r="E54">
            <v>1067629.41</v>
          </cell>
        </row>
        <row r="55">
          <cell r="A55">
            <v>1908</v>
          </cell>
          <cell r="B55">
            <v>26677604.69</v>
          </cell>
          <cell r="C55">
            <v>507500</v>
          </cell>
          <cell r="D55">
            <v>0</v>
          </cell>
          <cell r="E55">
            <v>27185104.69</v>
          </cell>
        </row>
        <row r="56">
          <cell r="A56">
            <v>1915</v>
          </cell>
          <cell r="B56">
            <v>4958697.08</v>
          </cell>
          <cell r="C56">
            <v>411370</v>
          </cell>
          <cell r="D56">
            <v>0</v>
          </cell>
          <cell r="E56">
            <v>5370067.08</v>
          </cell>
        </row>
        <row r="57">
          <cell r="A57">
            <v>1920</v>
          </cell>
          <cell r="B57">
            <v>9109560.66</v>
          </cell>
          <cell r="C57">
            <v>1112831</v>
          </cell>
          <cell r="D57">
            <v>0</v>
          </cell>
          <cell r="E57">
            <v>10222391.66</v>
          </cell>
        </row>
        <row r="58">
          <cell r="A58">
            <v>1925</v>
          </cell>
          <cell r="B58">
            <v>11297833.69</v>
          </cell>
          <cell r="C58">
            <v>1600261</v>
          </cell>
          <cell r="D58">
            <v>0</v>
          </cell>
          <cell r="E58">
            <v>12898094.69</v>
          </cell>
        </row>
        <row r="59">
          <cell r="A59">
            <v>1930</v>
          </cell>
          <cell r="B59">
            <v>17306131</v>
          </cell>
          <cell r="C59">
            <v>1304999.96</v>
          </cell>
          <cell r="D59">
            <v>0</v>
          </cell>
          <cell r="E59">
            <v>18611130.96</v>
          </cell>
        </row>
        <row r="60">
          <cell r="A60">
            <v>1935</v>
          </cell>
          <cell r="B60">
            <v>892540.1799999999</v>
          </cell>
          <cell r="C60" t="str">
            <v>0</v>
          </cell>
          <cell r="D60">
            <v>0</v>
          </cell>
          <cell r="E60">
            <v>892540.1799999999</v>
          </cell>
        </row>
        <row r="61">
          <cell r="A61">
            <v>1940</v>
          </cell>
          <cell r="B61">
            <v>7346438.35</v>
          </cell>
          <cell r="C61">
            <v>488399</v>
          </cell>
          <cell r="D61">
            <v>0</v>
          </cell>
          <cell r="E61">
            <v>7834837.35</v>
          </cell>
        </row>
        <row r="62">
          <cell r="A62">
            <v>1945</v>
          </cell>
          <cell r="B62">
            <v>1458621.3900000001</v>
          </cell>
          <cell r="C62">
            <v>91550</v>
          </cell>
          <cell r="D62">
            <v>0</v>
          </cell>
          <cell r="E62">
            <v>1550171.3900000001</v>
          </cell>
        </row>
        <row r="63">
          <cell r="A63">
            <v>1950</v>
          </cell>
          <cell r="B63">
            <v>144034.63</v>
          </cell>
          <cell r="C63" t="str">
            <v>0</v>
          </cell>
          <cell r="D63">
            <v>0</v>
          </cell>
          <cell r="E63">
            <v>144034.63</v>
          </cell>
        </row>
        <row r="64">
          <cell r="A64">
            <v>1955</v>
          </cell>
          <cell r="B64">
            <v>1350163.2599999998</v>
          </cell>
          <cell r="C64">
            <v>271850</v>
          </cell>
          <cell r="D64">
            <v>0</v>
          </cell>
          <cell r="E64">
            <v>1622013.2599999998</v>
          </cell>
        </row>
        <row r="65">
          <cell r="A65">
            <v>1960</v>
          </cell>
          <cell r="B65">
            <v>515329.99</v>
          </cell>
          <cell r="C65">
            <v>0</v>
          </cell>
          <cell r="D65">
            <v>0</v>
          </cell>
          <cell r="E65">
            <v>515329.99</v>
          </cell>
        </row>
        <row r="66">
          <cell r="A66">
            <v>1980</v>
          </cell>
          <cell r="B66">
            <v>3777542.26</v>
          </cell>
          <cell r="C66" t="str">
            <v>0</v>
          </cell>
          <cell r="D66">
            <v>0</v>
          </cell>
          <cell r="E66">
            <v>3777542.26</v>
          </cell>
        </row>
        <row r="67">
          <cell r="A67">
            <v>1995</v>
          </cell>
          <cell r="B67">
            <v>-23512927.56</v>
          </cell>
          <cell r="C67">
            <v>-2262647.05</v>
          </cell>
          <cell r="D67">
            <v>0</v>
          </cell>
          <cell r="E67">
            <v>-25775574.61</v>
          </cell>
        </row>
        <row r="68">
          <cell r="A68">
            <v>2055</v>
          </cell>
          <cell r="B68">
            <v>6315953.399999999</v>
          </cell>
          <cell r="C68">
            <v>0</v>
          </cell>
          <cell r="D68">
            <v>0</v>
          </cell>
          <cell r="E68">
            <v>6315953.399999999</v>
          </cell>
        </row>
        <row r="69">
          <cell r="A69">
            <v>2060</v>
          </cell>
          <cell r="B69">
            <v>18922838.78</v>
          </cell>
          <cell r="C69" t="str">
            <v>0</v>
          </cell>
          <cell r="D69">
            <v>0</v>
          </cell>
          <cell r="E69">
            <v>18922838.78</v>
          </cell>
        </row>
        <row r="70">
          <cell r="A70">
            <v>2105</v>
          </cell>
          <cell r="B70">
            <v>-312468399.77466625</v>
          </cell>
          <cell r="C70">
            <v>0</v>
          </cell>
          <cell r="D70">
            <v>-27357678.52</v>
          </cell>
          <cell r="E70">
            <v>-339826078.29466623</v>
          </cell>
        </row>
        <row r="71">
          <cell r="A71">
            <v>2205</v>
          </cell>
          <cell r="B71">
            <v>-40624551.03</v>
          </cell>
          <cell r="C71">
            <v>0</v>
          </cell>
          <cell r="D71">
            <v>0</v>
          </cell>
          <cell r="E71">
            <v>-40624551.03</v>
          </cell>
        </row>
        <row r="72">
          <cell r="A72">
            <v>2208</v>
          </cell>
          <cell r="B72">
            <v>-4302940.3100000005</v>
          </cell>
          <cell r="C72">
            <v>0</v>
          </cell>
          <cell r="D72">
            <v>0</v>
          </cell>
          <cell r="E72">
            <v>-4302940.3100000005</v>
          </cell>
        </row>
        <row r="73">
          <cell r="A73">
            <v>2210</v>
          </cell>
          <cell r="B73">
            <v>-22450839.650000002</v>
          </cell>
          <cell r="C73">
            <v>0</v>
          </cell>
          <cell r="D73">
            <v>0</v>
          </cell>
          <cell r="E73">
            <v>-22450839.650000002</v>
          </cell>
        </row>
        <row r="74">
          <cell r="A74">
            <v>2215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>
            <v>2220</v>
          </cell>
          <cell r="B75">
            <v>-6300654</v>
          </cell>
          <cell r="C75">
            <v>0</v>
          </cell>
          <cell r="D75">
            <v>0</v>
          </cell>
          <cell r="E75">
            <v>-6300654</v>
          </cell>
        </row>
        <row r="76">
          <cell r="A76">
            <v>2240</v>
          </cell>
          <cell r="B76">
            <v>-35000661.8</v>
          </cell>
          <cell r="C76">
            <v>0</v>
          </cell>
          <cell r="D76">
            <v>677000</v>
          </cell>
          <cell r="E76">
            <v>-34323661.8</v>
          </cell>
        </row>
        <row r="77">
          <cell r="A77">
            <v>2242</v>
          </cell>
          <cell r="B77">
            <v>-116000000</v>
          </cell>
          <cell r="C77" t="str">
            <v>0</v>
          </cell>
          <cell r="D77">
            <v>0</v>
          </cell>
          <cell r="E77">
            <v>-116000000</v>
          </cell>
        </row>
        <row r="78">
          <cell r="A78">
            <v>2250</v>
          </cell>
          <cell r="B78">
            <v>-2647125.6</v>
          </cell>
          <cell r="C78">
            <v>0</v>
          </cell>
          <cell r="D78">
            <v>0</v>
          </cell>
          <cell r="E78">
            <v>-2647125.6</v>
          </cell>
        </row>
        <row r="79">
          <cell r="A79">
            <v>2290</v>
          </cell>
          <cell r="B79">
            <v>-441177.0399999995</v>
          </cell>
          <cell r="C79">
            <v>0</v>
          </cell>
          <cell r="D79">
            <v>0</v>
          </cell>
          <cell r="E79">
            <v>-441177.0399999995</v>
          </cell>
        </row>
        <row r="80">
          <cell r="A80">
            <v>2292</v>
          </cell>
          <cell r="B80">
            <v>-349163.3300000001</v>
          </cell>
          <cell r="C80">
            <v>0</v>
          </cell>
          <cell r="D80">
            <v>0</v>
          </cell>
          <cell r="E80">
            <v>-349163.3300000001</v>
          </cell>
        </row>
        <row r="81">
          <cell r="A81">
            <v>2294</v>
          </cell>
          <cell r="B81">
            <v>2686660.6500000004</v>
          </cell>
          <cell r="C81">
            <v>0</v>
          </cell>
          <cell r="D81">
            <v>0</v>
          </cell>
          <cell r="E81">
            <v>2686660.6500000004</v>
          </cell>
        </row>
        <row r="82">
          <cell r="A82">
            <v>2306</v>
          </cell>
          <cell r="B82">
            <v>-16079772.36</v>
          </cell>
          <cell r="C82">
            <v>0</v>
          </cell>
          <cell r="D82">
            <v>0</v>
          </cell>
          <cell r="E82">
            <v>-16079772.36</v>
          </cell>
        </row>
        <row r="83">
          <cell r="A83">
            <v>2310</v>
          </cell>
          <cell r="B83">
            <v>-69410.25</v>
          </cell>
          <cell r="C83">
            <v>0</v>
          </cell>
          <cell r="D83">
            <v>0</v>
          </cell>
          <cell r="E83">
            <v>-69410.25</v>
          </cell>
        </row>
        <row r="84">
          <cell r="A84">
            <v>2320</v>
          </cell>
          <cell r="B84">
            <v>-154178.74</v>
          </cell>
          <cell r="C84" t="str">
            <v>0</v>
          </cell>
          <cell r="D84">
            <v>0</v>
          </cell>
          <cell r="E84">
            <v>-154178.74</v>
          </cell>
        </row>
        <row r="85">
          <cell r="A85">
            <v>2350</v>
          </cell>
          <cell r="B85">
            <v>9920344.09</v>
          </cell>
          <cell r="C85" t="str">
            <v>0</v>
          </cell>
          <cell r="D85">
            <v>0</v>
          </cell>
          <cell r="E85">
            <v>9920344.09</v>
          </cell>
        </row>
        <row r="86">
          <cell r="A86">
            <v>2405</v>
          </cell>
          <cell r="B86">
            <v>170836.11</v>
          </cell>
          <cell r="C86">
            <v>0</v>
          </cell>
          <cell r="D86">
            <v>0</v>
          </cell>
          <cell r="E86">
            <v>170836.11</v>
          </cell>
        </row>
        <row r="87">
          <cell r="A87">
            <v>2425</v>
          </cell>
          <cell r="B87">
            <v>-3428.6899999999987</v>
          </cell>
          <cell r="C87">
            <v>0</v>
          </cell>
          <cell r="D87">
            <v>0</v>
          </cell>
          <cell r="E87">
            <v>-3428.6899999999987</v>
          </cell>
        </row>
        <row r="88">
          <cell r="A88">
            <v>3005</v>
          </cell>
          <cell r="B88">
            <v>-123592754.28999999</v>
          </cell>
          <cell r="C88" t="str">
            <v>0</v>
          </cell>
          <cell r="D88">
            <v>0</v>
          </cell>
          <cell r="E88">
            <v>-123592754.28999999</v>
          </cell>
        </row>
        <row r="89">
          <cell r="A89">
            <v>3010</v>
          </cell>
          <cell r="B89">
            <v>-15218009</v>
          </cell>
          <cell r="C89" t="str">
            <v>0</v>
          </cell>
          <cell r="D89">
            <v>0</v>
          </cell>
          <cell r="E89">
            <v>-15218009</v>
          </cell>
        </row>
        <row r="90">
          <cell r="A90">
            <v>3045</v>
          </cell>
          <cell r="B90">
            <v>-100341911.81999959</v>
          </cell>
          <cell r="C90">
            <v>0</v>
          </cell>
          <cell r="D90">
            <v>-9461838.320000004</v>
          </cell>
          <cell r="E90">
            <v>-109803750.1399996</v>
          </cell>
        </row>
        <row r="91">
          <cell r="A91">
            <v>3049</v>
          </cell>
          <cell r="B91">
            <v>76108392.54</v>
          </cell>
          <cell r="C91">
            <v>0</v>
          </cell>
          <cell r="D91">
            <v>0</v>
          </cell>
          <cell r="E91">
            <v>76108392.54</v>
          </cell>
        </row>
        <row r="92">
          <cell r="A92">
            <v>4006</v>
          </cell>
          <cell r="B92">
            <v>-86676488.36</v>
          </cell>
          <cell r="C92">
            <v>0</v>
          </cell>
          <cell r="D92">
            <v>0</v>
          </cell>
          <cell r="E92">
            <v>-86676488.36</v>
          </cell>
        </row>
        <row r="93">
          <cell r="A93">
            <v>4020</v>
          </cell>
          <cell r="B93">
            <v>-33387011.14</v>
          </cell>
          <cell r="C93">
            <v>0</v>
          </cell>
          <cell r="D93">
            <v>0</v>
          </cell>
          <cell r="E93">
            <v>-33387011.14</v>
          </cell>
        </row>
        <row r="94">
          <cell r="A94">
            <v>4025</v>
          </cell>
          <cell r="B94">
            <v>-1696054.5300000003</v>
          </cell>
          <cell r="C94">
            <v>0</v>
          </cell>
          <cell r="D94">
            <v>0</v>
          </cell>
          <cell r="E94">
            <v>-1696054.5300000003</v>
          </cell>
        </row>
        <row r="95">
          <cell r="A95">
            <v>4030</v>
          </cell>
          <cell r="B95">
            <v>-31939.68</v>
          </cell>
          <cell r="C95">
            <v>0</v>
          </cell>
          <cell r="D95">
            <v>0</v>
          </cell>
          <cell r="E95">
            <v>-31939.68</v>
          </cell>
        </row>
        <row r="96">
          <cell r="A96">
            <v>4035</v>
          </cell>
          <cell r="B96">
            <v>-134077091.1</v>
          </cell>
          <cell r="C96">
            <v>0</v>
          </cell>
          <cell r="D96">
            <v>0</v>
          </cell>
          <cell r="E96">
            <v>-134077091.1</v>
          </cell>
        </row>
        <row r="97">
          <cell r="A97">
            <v>4050</v>
          </cell>
          <cell r="B97">
            <v>-681.06</v>
          </cell>
          <cell r="C97">
            <v>0</v>
          </cell>
          <cell r="D97">
            <v>0</v>
          </cell>
          <cell r="E97">
            <v>-681.06</v>
          </cell>
        </row>
        <row r="98">
          <cell r="A98">
            <v>4055</v>
          </cell>
          <cell r="B98">
            <v>-29111414.36</v>
          </cell>
          <cell r="C98">
            <v>0</v>
          </cell>
          <cell r="D98">
            <v>0</v>
          </cell>
          <cell r="E98">
            <v>-29111414.36</v>
          </cell>
        </row>
        <row r="99">
          <cell r="A99">
            <v>4062</v>
          </cell>
          <cell r="B99">
            <v>-28568553.37</v>
          </cell>
          <cell r="C99">
            <v>0</v>
          </cell>
          <cell r="D99">
            <v>0</v>
          </cell>
          <cell r="E99">
            <v>-28568553.37</v>
          </cell>
        </row>
        <row r="100">
          <cell r="A100">
            <v>4066</v>
          </cell>
          <cell r="B100">
            <v>-25634368.849999998</v>
          </cell>
          <cell r="C100">
            <v>0</v>
          </cell>
          <cell r="D100">
            <v>0</v>
          </cell>
          <cell r="E100">
            <v>-25634368.849999998</v>
          </cell>
        </row>
        <row r="101">
          <cell r="A101">
            <v>4068</v>
          </cell>
          <cell r="B101">
            <v>-23276543.369999997</v>
          </cell>
          <cell r="C101">
            <v>0</v>
          </cell>
          <cell r="D101">
            <v>0</v>
          </cell>
          <cell r="E101">
            <v>-23276543.369999997</v>
          </cell>
        </row>
        <row r="102">
          <cell r="A102">
            <v>4075</v>
          </cell>
          <cell r="B102">
            <v>-164506.26</v>
          </cell>
          <cell r="C102">
            <v>0</v>
          </cell>
          <cell r="D102">
            <v>0</v>
          </cell>
          <cell r="E102">
            <v>-164506.26</v>
          </cell>
        </row>
        <row r="103">
          <cell r="A103">
            <v>4080</v>
          </cell>
          <cell r="B103">
            <v>-84658325.36000003</v>
          </cell>
          <cell r="C103">
            <v>-90834823.5</v>
          </cell>
          <cell r="D103">
            <v>0</v>
          </cell>
          <cell r="E103">
            <v>-90834823.5</v>
          </cell>
        </row>
        <row r="104">
          <cell r="A104">
            <v>4082</v>
          </cell>
          <cell r="B104">
            <v>-133460.47999999998</v>
          </cell>
          <cell r="C104">
            <v>0</v>
          </cell>
          <cell r="D104">
            <v>0</v>
          </cell>
          <cell r="E104">
            <v>0</v>
          </cell>
        </row>
        <row r="105">
          <cell r="A105">
            <v>4084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06">
          <cell r="A106">
            <v>4210</v>
          </cell>
          <cell r="B106">
            <v>-1414683.74</v>
          </cell>
          <cell r="C106">
            <v>-1361532</v>
          </cell>
          <cell r="D106">
            <v>0</v>
          </cell>
          <cell r="E106">
            <v>-1361532</v>
          </cell>
        </row>
        <row r="107">
          <cell r="A107">
            <v>4225</v>
          </cell>
          <cell r="B107">
            <v>-883572.33</v>
          </cell>
          <cell r="C107">
            <v>-850000</v>
          </cell>
          <cell r="D107">
            <v>0</v>
          </cell>
          <cell r="E107">
            <v>-850000</v>
          </cell>
        </row>
        <row r="108">
          <cell r="A108">
            <v>4235</v>
          </cell>
          <cell r="B108">
            <v>-1679654.76</v>
          </cell>
          <cell r="C108">
            <v>-1546798</v>
          </cell>
          <cell r="D108">
            <v>0</v>
          </cell>
          <cell r="E108">
            <v>-1546798</v>
          </cell>
        </row>
        <row r="109">
          <cell r="A109">
            <v>4325</v>
          </cell>
          <cell r="B109">
            <v>-21731.949999999997</v>
          </cell>
          <cell r="C109">
            <v>0</v>
          </cell>
          <cell r="D109">
            <v>0</v>
          </cell>
          <cell r="E109">
            <v>0</v>
          </cell>
        </row>
        <row r="110">
          <cell r="A110">
            <v>4355</v>
          </cell>
          <cell r="B110">
            <v>-91544.31</v>
          </cell>
          <cell r="C110" t="str">
            <v>0</v>
          </cell>
          <cell r="D110">
            <v>0</v>
          </cell>
          <cell r="E110">
            <v>0</v>
          </cell>
        </row>
        <row r="111">
          <cell r="A111">
            <v>4375</v>
          </cell>
          <cell r="B111">
            <v>-2363.69</v>
          </cell>
          <cell r="C111">
            <v>-505000</v>
          </cell>
          <cell r="D111">
            <v>505000</v>
          </cell>
          <cell r="E111">
            <v>0</v>
          </cell>
        </row>
        <row r="112">
          <cell r="A112">
            <v>4390</v>
          </cell>
          <cell r="B112">
            <v>-1252049.4300000004</v>
          </cell>
          <cell r="C112">
            <v>-1261665</v>
          </cell>
          <cell r="D112">
            <v>0</v>
          </cell>
          <cell r="E112">
            <v>-1261665</v>
          </cell>
        </row>
        <row r="113">
          <cell r="A113">
            <v>4405</v>
          </cell>
          <cell r="B113">
            <v>-13465.009999999998</v>
          </cell>
          <cell r="C113">
            <v>0</v>
          </cell>
          <cell r="D113">
            <v>0</v>
          </cell>
          <cell r="E113">
            <v>0</v>
          </cell>
        </row>
        <row r="114">
          <cell r="A114">
            <v>4615</v>
          </cell>
          <cell r="B114">
            <v>0</v>
          </cell>
          <cell r="C114" t="str">
            <v>0</v>
          </cell>
          <cell r="D114">
            <v>0</v>
          </cell>
          <cell r="E114">
            <v>0</v>
          </cell>
        </row>
        <row r="115">
          <cell r="A115">
            <v>4635</v>
          </cell>
          <cell r="B115">
            <v>0</v>
          </cell>
          <cell r="C115" t="str">
            <v>0</v>
          </cell>
          <cell r="D115">
            <v>0</v>
          </cell>
          <cell r="E115">
            <v>0</v>
          </cell>
        </row>
        <row r="116">
          <cell r="A116">
            <v>4705</v>
          </cell>
          <cell r="B116">
            <v>213392186.39000002</v>
          </cell>
          <cell r="C116">
            <v>0</v>
          </cell>
          <cell r="D116">
            <v>0</v>
          </cell>
          <cell r="E116">
            <v>213392186.39000002</v>
          </cell>
        </row>
        <row r="117">
          <cell r="A117">
            <v>4708</v>
          </cell>
          <cell r="B117">
            <v>28568553.37</v>
          </cell>
          <cell r="C117">
            <v>0</v>
          </cell>
          <cell r="D117">
            <v>0</v>
          </cell>
          <cell r="E117">
            <v>28568553.37</v>
          </cell>
        </row>
        <row r="118">
          <cell r="A118">
            <v>4710</v>
          </cell>
          <cell r="B118">
            <v>71588493.84</v>
          </cell>
          <cell r="C118">
            <v>0</v>
          </cell>
          <cell r="D118">
            <v>0</v>
          </cell>
          <cell r="E118">
            <v>71588493.84</v>
          </cell>
        </row>
        <row r="119">
          <cell r="A119">
            <v>4714</v>
          </cell>
          <cell r="B119">
            <v>25634368.85</v>
          </cell>
          <cell r="C119">
            <v>0</v>
          </cell>
          <cell r="D119">
            <v>0</v>
          </cell>
          <cell r="E119">
            <v>25634368.85</v>
          </cell>
        </row>
        <row r="120">
          <cell r="A120">
            <v>4716</v>
          </cell>
          <cell r="B120">
            <v>23276543.37</v>
          </cell>
          <cell r="C120">
            <v>0</v>
          </cell>
          <cell r="D120">
            <v>0</v>
          </cell>
          <cell r="E120">
            <v>23276543.37</v>
          </cell>
        </row>
        <row r="121">
          <cell r="A121">
            <v>4720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A122">
            <v>4750</v>
          </cell>
          <cell r="B122">
            <v>164506.26</v>
          </cell>
          <cell r="C122">
            <v>0</v>
          </cell>
          <cell r="D122">
            <v>0</v>
          </cell>
          <cell r="E122">
            <v>164506.26</v>
          </cell>
        </row>
        <row r="123">
          <cell r="A123">
            <v>4830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A124">
            <v>5005</v>
          </cell>
          <cell r="B124">
            <v>2048737.6899999997</v>
          </cell>
          <cell r="C124">
            <v>1862266.8500000006</v>
          </cell>
          <cell r="D124">
            <v>70130</v>
          </cell>
          <cell r="E124">
            <v>1932396.8500000006</v>
          </cell>
        </row>
        <row r="125">
          <cell r="A125">
            <v>5010</v>
          </cell>
          <cell r="B125">
            <v>2261059.3000000003</v>
          </cell>
          <cell r="C125">
            <v>2159712.0500000007</v>
          </cell>
          <cell r="D125">
            <v>0</v>
          </cell>
          <cell r="E125">
            <v>2159712.0500000007</v>
          </cell>
        </row>
        <row r="126">
          <cell r="A126">
            <v>5012</v>
          </cell>
          <cell r="B126">
            <v>17446.69</v>
          </cell>
          <cell r="C126">
            <v>415039</v>
          </cell>
          <cell r="D126">
            <v>0</v>
          </cell>
          <cell r="E126">
            <v>415039</v>
          </cell>
        </row>
        <row r="127">
          <cell r="A127">
            <v>5015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A128">
            <v>5016</v>
          </cell>
          <cell r="B128">
            <v>29770.090000000037</v>
          </cell>
          <cell r="C128">
            <v>6157.080000000004</v>
          </cell>
          <cell r="D128">
            <v>0</v>
          </cell>
          <cell r="E128">
            <v>6157.080000000004</v>
          </cell>
        </row>
        <row r="129">
          <cell r="A129">
            <v>5017</v>
          </cell>
          <cell r="B129">
            <v>305875.37</v>
          </cell>
          <cell r="C129">
            <v>296389.56</v>
          </cell>
          <cell r="D129">
            <v>0</v>
          </cell>
          <cell r="E129">
            <v>296389.56</v>
          </cell>
        </row>
        <row r="130">
          <cell r="A130">
            <v>5020</v>
          </cell>
          <cell r="B130">
            <v>2086103.1600000001</v>
          </cell>
          <cell r="C130">
            <v>585603.8599999993</v>
          </cell>
          <cell r="D130">
            <v>5373</v>
          </cell>
          <cell r="E130">
            <v>590976.8599999993</v>
          </cell>
        </row>
        <row r="131">
          <cell r="A131">
            <v>5025</v>
          </cell>
          <cell r="B131">
            <v>322404.95</v>
          </cell>
          <cell r="C131">
            <v>356441</v>
          </cell>
          <cell r="D131">
            <v>0</v>
          </cell>
          <cell r="E131">
            <v>356441</v>
          </cell>
        </row>
        <row r="132">
          <cell r="A132">
            <v>5035</v>
          </cell>
          <cell r="B132">
            <v>0</v>
          </cell>
          <cell r="C132">
            <v>1127.14</v>
          </cell>
          <cell r="D132">
            <v>-1127</v>
          </cell>
          <cell r="E132">
            <v>0.14000000000010004</v>
          </cell>
        </row>
        <row r="133">
          <cell r="A133">
            <v>5040</v>
          </cell>
          <cell r="B133">
            <v>633907.4500000001</v>
          </cell>
          <cell r="C133">
            <v>532325.1700000002</v>
          </cell>
          <cell r="D133">
            <v>-256525</v>
          </cell>
          <cell r="E133">
            <v>275800.17000000016</v>
          </cell>
        </row>
        <row r="134">
          <cell r="A134">
            <v>5045</v>
          </cell>
          <cell r="B134">
            <v>867144.26</v>
          </cell>
          <cell r="C134">
            <v>953546.08</v>
          </cell>
          <cell r="D134">
            <v>0</v>
          </cell>
          <cell r="E134">
            <v>953546.08</v>
          </cell>
        </row>
        <row r="135">
          <cell r="A135">
            <v>5050</v>
          </cell>
          <cell r="B135">
            <v>133.06</v>
          </cell>
          <cell r="C135" t="str">
            <v>0</v>
          </cell>
          <cell r="D135">
            <v>0</v>
          </cell>
          <cell r="E135">
            <v>0</v>
          </cell>
        </row>
        <row r="136">
          <cell r="A136">
            <v>5055</v>
          </cell>
          <cell r="B136">
            <v>14765.090000000002</v>
          </cell>
          <cell r="C136">
            <v>7790.610000000001</v>
          </cell>
          <cell r="D136">
            <v>13031</v>
          </cell>
          <cell r="E136">
            <v>20821.61</v>
          </cell>
        </row>
        <row r="137">
          <cell r="A137">
            <v>5065</v>
          </cell>
          <cell r="B137">
            <v>3487991.2700000005</v>
          </cell>
          <cell r="C137">
            <v>4059631.0999999987</v>
          </cell>
          <cell r="D137">
            <v>0</v>
          </cell>
          <cell r="E137">
            <v>3814690.7199999983</v>
          </cell>
        </row>
        <row r="138">
          <cell r="A138">
            <v>5070</v>
          </cell>
          <cell r="B138">
            <v>763145.92</v>
          </cell>
          <cell r="C138">
            <v>764868.6000000001</v>
          </cell>
          <cell r="D138">
            <v>246409</v>
          </cell>
          <cell r="E138">
            <v>1011277.6000000001</v>
          </cell>
        </row>
        <row r="139">
          <cell r="A139">
            <v>5075</v>
          </cell>
          <cell r="B139">
            <v>339211.66000000003</v>
          </cell>
          <cell r="C139">
            <v>295116.04</v>
          </cell>
          <cell r="D139">
            <v>0</v>
          </cell>
          <cell r="E139">
            <v>295116.04</v>
          </cell>
        </row>
        <row r="140">
          <cell r="A140">
            <v>5085</v>
          </cell>
          <cell r="B140">
            <v>1012610.0399999999</v>
          </cell>
          <cell r="C140">
            <v>901492.72</v>
          </cell>
          <cell r="D140">
            <v>637859</v>
          </cell>
          <cell r="E140">
            <v>1539351.72</v>
          </cell>
        </row>
        <row r="141">
          <cell r="A141">
            <v>5096</v>
          </cell>
          <cell r="B141">
            <v>226646</v>
          </cell>
          <cell r="C141">
            <v>250000.08000000002</v>
          </cell>
          <cell r="D141">
            <v>0</v>
          </cell>
          <cell r="E141">
            <v>250000.08000000002</v>
          </cell>
        </row>
        <row r="142">
          <cell r="A142">
            <v>5105</v>
          </cell>
          <cell r="B142">
            <v>144546.38000000003</v>
          </cell>
          <cell r="C142">
            <v>0</v>
          </cell>
          <cell r="D142">
            <v>0</v>
          </cell>
          <cell r="E142">
            <v>0</v>
          </cell>
        </row>
        <row r="143">
          <cell r="A143">
            <v>5110</v>
          </cell>
          <cell r="B143">
            <v>241273.66999999998</v>
          </cell>
          <cell r="C143">
            <v>360640.88</v>
          </cell>
          <cell r="D143">
            <v>0</v>
          </cell>
          <cell r="E143">
            <v>360640.88</v>
          </cell>
        </row>
        <row r="144">
          <cell r="A144">
            <v>5114</v>
          </cell>
          <cell r="B144">
            <v>375439.23999999993</v>
          </cell>
          <cell r="C144">
            <v>473507.91000000003</v>
          </cell>
          <cell r="D144">
            <v>23686</v>
          </cell>
          <cell r="E144">
            <v>497193.91000000003</v>
          </cell>
        </row>
        <row r="145">
          <cell r="A145">
            <v>5120</v>
          </cell>
          <cell r="B145">
            <v>132846.83000000002</v>
          </cell>
          <cell r="C145">
            <v>249134.62</v>
          </cell>
          <cell r="D145">
            <v>-84407</v>
          </cell>
          <cell r="E145">
            <v>164727.62</v>
          </cell>
        </row>
        <row r="146">
          <cell r="A146">
            <v>5125</v>
          </cell>
          <cell r="B146">
            <v>1048377.4700000001</v>
          </cell>
          <cell r="C146">
            <v>1264675.41</v>
          </cell>
          <cell r="D146">
            <v>-231341</v>
          </cell>
          <cell r="E146">
            <v>1033334.4099999999</v>
          </cell>
        </row>
        <row r="147">
          <cell r="A147">
            <v>5130</v>
          </cell>
          <cell r="B147">
            <v>68025.67</v>
          </cell>
          <cell r="C147">
            <v>545905.47</v>
          </cell>
          <cell r="D147">
            <v>-284538</v>
          </cell>
          <cell r="E147">
            <v>261367.46999999997</v>
          </cell>
        </row>
        <row r="148">
          <cell r="A148">
            <v>5135</v>
          </cell>
          <cell r="B148">
            <v>1116019.71</v>
          </cell>
          <cell r="C148">
            <v>1064513.9900000002</v>
          </cell>
          <cell r="D148">
            <v>24795</v>
          </cell>
          <cell r="E148">
            <v>1089308.9900000002</v>
          </cell>
        </row>
        <row r="149">
          <cell r="A149">
            <v>5145</v>
          </cell>
          <cell r="B149">
            <v>110915.84999999999</v>
          </cell>
          <cell r="C149">
            <v>59442.24</v>
          </cell>
          <cell r="D149">
            <v>27983</v>
          </cell>
          <cell r="E149">
            <v>87425.23999999999</v>
          </cell>
        </row>
        <row r="150">
          <cell r="A150">
            <v>5150</v>
          </cell>
          <cell r="B150">
            <v>381874.77999999985</v>
          </cell>
          <cell r="C150">
            <v>842363.13</v>
          </cell>
          <cell r="D150">
            <v>-196625</v>
          </cell>
          <cell r="E150">
            <v>645738.13</v>
          </cell>
        </row>
        <row r="151">
          <cell r="A151">
            <v>5155</v>
          </cell>
          <cell r="B151">
            <v>121661.31</v>
          </cell>
          <cell r="C151">
            <v>51135.04</v>
          </cell>
          <cell r="D151">
            <v>27382</v>
          </cell>
          <cell r="E151">
            <v>78517.04000000001</v>
          </cell>
        </row>
        <row r="152">
          <cell r="A152">
            <v>5160</v>
          </cell>
          <cell r="B152">
            <v>52625.27999999999</v>
          </cell>
          <cell r="C152">
            <v>227508.1</v>
          </cell>
          <cell r="D152">
            <v>-96619</v>
          </cell>
          <cell r="E152">
            <v>130889.1</v>
          </cell>
        </row>
        <row r="153">
          <cell r="A153">
            <v>5175</v>
          </cell>
          <cell r="B153">
            <v>89029.16</v>
          </cell>
          <cell r="C153">
            <v>229934.83</v>
          </cell>
          <cell r="D153">
            <v>0</v>
          </cell>
          <cell r="E153">
            <v>229934.83</v>
          </cell>
        </row>
        <row r="154">
          <cell r="A154">
            <v>5310</v>
          </cell>
          <cell r="B154">
            <v>0</v>
          </cell>
          <cell r="C154" t="str">
            <v>0</v>
          </cell>
          <cell r="D154">
            <v>0</v>
          </cell>
          <cell r="E154">
            <v>0</v>
          </cell>
        </row>
        <row r="155">
          <cell r="A155">
            <v>5315</v>
          </cell>
          <cell r="B155">
            <v>36388.17</v>
          </cell>
          <cell r="C155" t="str">
            <v>0</v>
          </cell>
          <cell r="D155">
            <v>0</v>
          </cell>
          <cell r="E155">
            <v>0</v>
          </cell>
        </row>
        <row r="156">
          <cell r="A156">
            <v>5320</v>
          </cell>
          <cell r="B156">
            <v>255677.53</v>
          </cell>
          <cell r="C156">
            <v>0</v>
          </cell>
          <cell r="D156">
            <v>0</v>
          </cell>
          <cell r="E156">
            <v>0</v>
          </cell>
        </row>
        <row r="157">
          <cell r="A157">
            <v>5330</v>
          </cell>
          <cell r="B157">
            <v>0</v>
          </cell>
          <cell r="C157">
            <v>105000</v>
          </cell>
          <cell r="D157">
            <v>0</v>
          </cell>
          <cell r="E157">
            <v>105000</v>
          </cell>
        </row>
        <row r="158">
          <cell r="A158">
            <v>5335</v>
          </cell>
          <cell r="B158">
            <v>1310334.95</v>
          </cell>
          <cell r="C158">
            <v>970000</v>
          </cell>
          <cell r="D158">
            <v>0</v>
          </cell>
          <cell r="E158">
            <v>970000</v>
          </cell>
        </row>
        <row r="159">
          <cell r="A159">
            <v>5340</v>
          </cell>
          <cell r="B159">
            <v>6710000.04</v>
          </cell>
          <cell r="C159">
            <v>6710000.04</v>
          </cell>
          <cell r="D159">
            <v>0</v>
          </cell>
          <cell r="E159">
            <v>6710000.04</v>
          </cell>
        </row>
        <row r="160">
          <cell r="A160">
            <v>5405</v>
          </cell>
          <cell r="B160">
            <v>56.68</v>
          </cell>
          <cell r="C160">
            <v>27645.55</v>
          </cell>
          <cell r="D160">
            <v>0</v>
          </cell>
          <cell r="E160">
            <v>27645.55</v>
          </cell>
        </row>
        <row r="161">
          <cell r="A161">
            <v>5410</v>
          </cell>
          <cell r="B161">
            <v>307112.39</v>
          </cell>
          <cell r="C161">
            <v>35000</v>
          </cell>
          <cell r="D161">
            <v>0</v>
          </cell>
          <cell r="E161">
            <v>35000</v>
          </cell>
        </row>
        <row r="162">
          <cell r="A162">
            <v>5415</v>
          </cell>
          <cell r="B162">
            <v>18310.62</v>
          </cell>
          <cell r="C162">
            <v>632481.5099999999</v>
          </cell>
          <cell r="D162">
            <v>-619628.51</v>
          </cell>
          <cell r="E162">
            <v>12852.999999999884</v>
          </cell>
        </row>
        <row r="163">
          <cell r="A163">
            <v>5420</v>
          </cell>
          <cell r="B163">
            <v>20360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>
            <v>5515</v>
          </cell>
          <cell r="B164">
            <v>89996.79</v>
          </cell>
          <cell r="C164" t="str">
            <v>0</v>
          </cell>
          <cell r="D164">
            <v>0</v>
          </cell>
          <cell r="E164">
            <v>0</v>
          </cell>
        </row>
        <row r="165">
          <cell r="A165">
            <v>5520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>
            <v>5605</v>
          </cell>
          <cell r="B166">
            <v>1393623.9100000008</v>
          </cell>
          <cell r="C166">
            <v>1739871.6599999995</v>
          </cell>
          <cell r="D166">
            <v>0</v>
          </cell>
          <cell r="E166">
            <v>1984812.0399999993</v>
          </cell>
        </row>
        <row r="167">
          <cell r="A167">
            <v>5610</v>
          </cell>
          <cell r="B167">
            <v>1838576.0000000002</v>
          </cell>
          <cell r="C167">
            <v>2201883.270000001</v>
          </cell>
          <cell r="D167">
            <v>-7453</v>
          </cell>
          <cell r="E167">
            <v>2194430.270000001</v>
          </cell>
        </row>
        <row r="168">
          <cell r="A168">
            <v>5615</v>
          </cell>
          <cell r="B168">
            <v>2153256.8599999985</v>
          </cell>
          <cell r="C168">
            <v>2675986.269999999</v>
          </cell>
          <cell r="D168">
            <v>0</v>
          </cell>
          <cell r="E168">
            <v>2675986.269999999</v>
          </cell>
        </row>
        <row r="169">
          <cell r="A169">
            <v>5620</v>
          </cell>
          <cell r="B169">
            <v>994267.9600000002</v>
          </cell>
          <cell r="C169">
            <v>1631246.81</v>
          </cell>
          <cell r="D169">
            <v>0</v>
          </cell>
          <cell r="E169">
            <v>1631246.81</v>
          </cell>
        </row>
        <row r="170">
          <cell r="A170">
            <v>5630</v>
          </cell>
          <cell r="B170">
            <v>2468781.02</v>
          </cell>
          <cell r="C170">
            <v>2495090.59</v>
          </cell>
          <cell r="D170">
            <v>-386265</v>
          </cell>
          <cell r="E170">
            <v>2108825.59</v>
          </cell>
        </row>
        <row r="171">
          <cell r="A171">
            <v>5635</v>
          </cell>
          <cell r="B171">
            <v>42878.04</v>
          </cell>
          <cell r="C171">
            <v>0</v>
          </cell>
          <cell r="D171">
            <v>0</v>
          </cell>
          <cell r="E171">
            <v>0</v>
          </cell>
        </row>
        <row r="172">
          <cell r="A172">
            <v>5640</v>
          </cell>
          <cell r="B172">
            <v>480373.6</v>
          </cell>
          <cell r="C172">
            <v>271365.48</v>
          </cell>
          <cell r="D172">
            <v>0</v>
          </cell>
          <cell r="E172">
            <v>271365.48</v>
          </cell>
        </row>
        <row r="173">
          <cell r="A173">
            <v>5645</v>
          </cell>
          <cell r="B173">
            <v>1025438.43</v>
          </cell>
          <cell r="C173">
            <v>992417.05</v>
          </cell>
          <cell r="D173">
            <v>0</v>
          </cell>
          <cell r="E173">
            <v>992417.05</v>
          </cell>
        </row>
        <row r="174">
          <cell r="A174">
            <v>5655</v>
          </cell>
          <cell r="B174">
            <v>647683.43</v>
          </cell>
          <cell r="C174">
            <v>709999.96</v>
          </cell>
          <cell r="D174">
            <v>0</v>
          </cell>
          <cell r="E174">
            <v>709999.96</v>
          </cell>
        </row>
        <row r="175">
          <cell r="A175">
            <v>5660</v>
          </cell>
          <cell r="B175">
            <v>74084.73000000001</v>
          </cell>
          <cell r="C175">
            <v>308500.07999999996</v>
          </cell>
          <cell r="D175">
            <v>0</v>
          </cell>
          <cell r="E175">
            <v>308500.07999999996</v>
          </cell>
        </row>
        <row r="176">
          <cell r="A176">
            <v>5665</v>
          </cell>
          <cell r="B176">
            <v>927010.0000000063</v>
          </cell>
          <cell r="C176">
            <v>1262385.01</v>
          </cell>
          <cell r="D176">
            <v>-677000</v>
          </cell>
          <cell r="E176">
            <v>585385.01</v>
          </cell>
        </row>
        <row r="177">
          <cell r="A177">
            <v>5675</v>
          </cell>
          <cell r="B177">
            <v>925729.4299999992</v>
          </cell>
          <cell r="C177">
            <v>1143992.9300000002</v>
          </cell>
          <cell r="D177">
            <v>0</v>
          </cell>
          <cell r="E177">
            <v>1143992.9300000002</v>
          </cell>
        </row>
        <row r="178">
          <cell r="A178">
            <v>5695</v>
          </cell>
          <cell r="B178">
            <v>-1240883</v>
          </cell>
          <cell r="C178">
            <v>-468252</v>
          </cell>
          <cell r="D178">
            <v>-464375.26</v>
          </cell>
          <cell r="E178">
            <v>-932627.26</v>
          </cell>
        </row>
        <row r="179">
          <cell r="A179">
            <v>5705</v>
          </cell>
          <cell r="B179">
            <v>23295449.649999995</v>
          </cell>
          <cell r="C179">
            <v>27822000</v>
          </cell>
          <cell r="D179">
            <v>-1885427.6100000003</v>
          </cell>
          <cell r="E179">
            <v>25936572.39</v>
          </cell>
        </row>
        <row r="180">
          <cell r="A180">
            <v>6030</v>
          </cell>
          <cell r="B180">
            <v>9220838.53</v>
          </cell>
          <cell r="C180">
            <v>8688000</v>
          </cell>
          <cell r="D180">
            <v>0</v>
          </cell>
          <cell r="E180">
            <v>8688000</v>
          </cell>
        </row>
        <row r="181">
          <cell r="A181">
            <v>6035</v>
          </cell>
          <cell r="B181">
            <v>679487.6199999999</v>
          </cell>
          <cell r="C181">
            <v>1581000</v>
          </cell>
          <cell r="D181">
            <v>0</v>
          </cell>
          <cell r="E181">
            <v>1581000</v>
          </cell>
        </row>
        <row r="182">
          <cell r="A182">
            <v>6105</v>
          </cell>
          <cell r="B182">
            <v>1195229.85</v>
          </cell>
          <cell r="C182">
            <v>575666</v>
          </cell>
          <cell r="D182">
            <v>0</v>
          </cell>
          <cell r="E182">
            <v>575666</v>
          </cell>
        </row>
        <row r="183">
          <cell r="A183">
            <v>6110</v>
          </cell>
          <cell r="B183">
            <v>5502940.35</v>
          </cell>
          <cell r="C183">
            <v>4284000</v>
          </cell>
          <cell r="D183">
            <v>-432606</v>
          </cell>
          <cell r="E183">
            <v>3851394</v>
          </cell>
        </row>
        <row r="184">
          <cell r="A184">
            <v>6205</v>
          </cell>
          <cell r="B184">
            <v>25890</v>
          </cell>
          <cell r="C184">
            <v>34450</v>
          </cell>
          <cell r="D184">
            <v>0</v>
          </cell>
          <cell r="E184">
            <v>34450</v>
          </cell>
        </row>
        <row r="185">
          <cell r="A185">
            <v>8810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>
            <v>8812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>
            <v>8820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>
            <v>8822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>
            <v>8830</v>
          </cell>
          <cell r="B189">
            <v>0</v>
          </cell>
          <cell r="C189" t="str">
            <v>0</v>
          </cell>
          <cell r="D189">
            <v>0</v>
          </cell>
          <cell r="E189">
            <v>0</v>
          </cell>
        </row>
        <row r="190">
          <cell r="A190">
            <v>9040</v>
          </cell>
          <cell r="B190">
            <v>0</v>
          </cell>
          <cell r="C190">
            <v>0.219999999855645</v>
          </cell>
          <cell r="D190">
            <v>-0.22</v>
          </cell>
          <cell r="E190">
            <v>-1.443550001756222E-10</v>
          </cell>
        </row>
        <row r="191">
          <cell r="A191">
            <v>9041</v>
          </cell>
          <cell r="B191">
            <v>0</v>
          </cell>
          <cell r="C191">
            <v>0.19999999995343387</v>
          </cell>
          <cell r="D191">
            <v>-0.2</v>
          </cell>
          <cell r="E191">
            <v>-4.656613983300417E-11</v>
          </cell>
        </row>
        <row r="192">
          <cell r="A192">
            <v>9073</v>
          </cell>
          <cell r="B192">
            <v>0</v>
          </cell>
          <cell r="C192">
            <v>0.020000000367872417</v>
          </cell>
          <cell r="D192">
            <v>-0.02</v>
          </cell>
          <cell r="E192">
            <v>3.678724165567804E-10</v>
          </cell>
        </row>
        <row r="193">
          <cell r="A193">
            <v>9080</v>
          </cell>
          <cell r="B193">
            <v>0</v>
          </cell>
          <cell r="C193" t="str">
            <v>0</v>
          </cell>
          <cell r="D193">
            <v>0</v>
          </cell>
          <cell r="E193">
            <v>0</v>
          </cell>
        </row>
        <row r="194">
          <cell r="A194">
            <v>9090</v>
          </cell>
          <cell r="B194">
            <v>0</v>
          </cell>
          <cell r="C194" t="str">
            <v>0</v>
          </cell>
          <cell r="D194">
            <v>0</v>
          </cell>
          <cell r="E194">
            <v>0</v>
          </cell>
        </row>
        <row r="195">
          <cell r="A195">
            <v>9092</v>
          </cell>
          <cell r="B195">
            <v>0</v>
          </cell>
          <cell r="C195">
            <v>-0.1399999997811392</v>
          </cell>
          <cell r="D195">
            <v>0.14</v>
          </cell>
          <cell r="E195">
            <v>2.1886081835731375E-10</v>
          </cell>
        </row>
        <row r="196">
          <cell r="A196">
            <v>9093</v>
          </cell>
          <cell r="B196">
            <v>0</v>
          </cell>
          <cell r="C196">
            <v>0.04000000000814907</v>
          </cell>
          <cell r="D196">
            <v>-0.04</v>
          </cell>
          <cell r="E196">
            <v>8.149071695218169E-12</v>
          </cell>
        </row>
        <row r="197">
          <cell r="A197">
            <v>9096</v>
          </cell>
          <cell r="B197">
            <v>0</v>
          </cell>
          <cell r="C197">
            <v>0.6400000001303852</v>
          </cell>
          <cell r="D197">
            <v>-0.64</v>
          </cell>
          <cell r="E197">
            <v>1.303851471234907E-10</v>
          </cell>
        </row>
        <row r="198">
          <cell r="A198">
            <v>9098</v>
          </cell>
          <cell r="B198">
            <v>0</v>
          </cell>
          <cell r="C198">
            <v>0.09999999962747097</v>
          </cell>
          <cell r="D198">
            <v>-0.1</v>
          </cell>
          <cell r="E198">
            <v>-3.7252903539730653E-10</v>
          </cell>
        </row>
        <row r="199">
          <cell r="A199">
            <v>9099</v>
          </cell>
          <cell r="B199">
            <v>0</v>
          </cell>
          <cell r="C199">
            <v>0.09999999962747097</v>
          </cell>
          <cell r="D199">
            <v>-0.1</v>
          </cell>
          <cell r="E199">
            <v>-3.7252903539730653E-10</v>
          </cell>
        </row>
        <row r="200">
          <cell r="A200">
            <v>9908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>
            <v>9909</v>
          </cell>
          <cell r="B201">
            <v>0</v>
          </cell>
          <cell r="C201" t="str">
            <v>0</v>
          </cell>
          <cell r="D201">
            <v>0</v>
          </cell>
          <cell r="E201">
            <v>0</v>
          </cell>
        </row>
        <row r="202">
          <cell r="A202">
            <v>9910</v>
          </cell>
          <cell r="B202">
            <v>0</v>
          </cell>
          <cell r="C202" t="str">
            <v>0</v>
          </cell>
          <cell r="D202">
            <v>0</v>
          </cell>
          <cell r="E202">
            <v>0</v>
          </cell>
        </row>
        <row r="203">
          <cell r="A203">
            <v>9911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>
            <v>9912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>
            <v>9913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>
            <v>9914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>
            <v>9915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>
            <v>9920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>
            <v>9950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>
            <v>9951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1 CAPEX by OEB"/>
      <sheetName val="2011 Detailed TB"/>
      <sheetName val="2011 TB Summary"/>
      <sheetName val="Summary of Explanations"/>
    </sheetNames>
    <sheetDataSet>
      <sheetData sheetId="2">
        <row r="4">
          <cell r="A4" t="str">
            <v>OEB</v>
          </cell>
          <cell r="B4" t="str">
            <v>OEB Description</v>
          </cell>
          <cell r="C4" t="str">
            <v>2009 Adjusted TB</v>
          </cell>
          <cell r="D4" t="str">
            <v>2010 TB Budget</v>
          </cell>
          <cell r="E4" t="str">
            <v>2010 Adjustments</v>
          </cell>
          <cell r="F4" t="str">
            <v>2010 Trial Balance</v>
          </cell>
          <cell r="G4" t="str">
            <v>2011 TB Budget (OM&amp;A)</v>
          </cell>
          <cell r="H4" t="str">
            <v>2011 TB Budget (Capital)</v>
          </cell>
          <cell r="I4" t="str">
            <v>2011 Adjustments</v>
          </cell>
          <cell r="J4" t="str">
            <v>2011 Trial Balance</v>
          </cell>
        </row>
        <row r="5">
          <cell r="A5">
            <v>1005</v>
          </cell>
          <cell r="B5" t="str">
            <v>Cash</v>
          </cell>
          <cell r="C5">
            <v>-23618734.769999996</v>
          </cell>
          <cell r="D5">
            <v>0</v>
          </cell>
          <cell r="E5">
            <v>0</v>
          </cell>
          <cell r="F5">
            <v>-23618734.719999995</v>
          </cell>
          <cell r="G5">
            <v>0</v>
          </cell>
          <cell r="J5">
            <v>-23618734.719999995</v>
          </cell>
        </row>
        <row r="6">
          <cell r="A6">
            <v>1010</v>
          </cell>
          <cell r="B6" t="str">
            <v>Cash Advances and Working Funds</v>
          </cell>
          <cell r="C6">
            <v>5287.32</v>
          </cell>
          <cell r="D6" t="str">
            <v>0</v>
          </cell>
          <cell r="E6">
            <v>0</v>
          </cell>
          <cell r="F6">
            <v>5287.32</v>
          </cell>
          <cell r="G6">
            <v>0</v>
          </cell>
          <cell r="J6">
            <v>5287.32</v>
          </cell>
        </row>
        <row r="7">
          <cell r="A7">
            <v>1040</v>
          </cell>
          <cell r="B7" t="str">
            <v>Other Special Deposits</v>
          </cell>
          <cell r="C7">
            <v>100</v>
          </cell>
          <cell r="D7" t="str">
            <v>0</v>
          </cell>
          <cell r="E7">
            <v>0</v>
          </cell>
          <cell r="F7">
            <v>100</v>
          </cell>
          <cell r="G7">
            <v>0</v>
          </cell>
          <cell r="J7">
            <v>100</v>
          </cell>
        </row>
        <row r="8">
          <cell r="A8">
            <v>1100</v>
          </cell>
          <cell r="B8" t="str">
            <v>Customer Accounts Receivable</v>
          </cell>
          <cell r="C8">
            <v>30357564.740000002</v>
          </cell>
          <cell r="D8">
            <v>0</v>
          </cell>
          <cell r="E8">
            <v>0</v>
          </cell>
          <cell r="F8">
            <v>30357564.740000002</v>
          </cell>
          <cell r="G8">
            <v>0</v>
          </cell>
          <cell r="J8">
            <v>30357564.740000002</v>
          </cell>
        </row>
        <row r="9">
          <cell r="A9">
            <v>1102</v>
          </cell>
          <cell r="B9" t="str">
            <v>Accounts Receivable - Services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J9">
            <v>0</v>
          </cell>
        </row>
        <row r="10">
          <cell r="A10">
            <v>1104</v>
          </cell>
          <cell r="B10" t="str">
            <v>Accounts Receivable - Recoverable Work</v>
          </cell>
          <cell r="C10">
            <v>9203658.259999992</v>
          </cell>
          <cell r="D10">
            <v>0</v>
          </cell>
          <cell r="E10">
            <v>0</v>
          </cell>
          <cell r="F10">
            <v>9203658.259999992</v>
          </cell>
          <cell r="G10">
            <v>0</v>
          </cell>
          <cell r="J10">
            <v>9203658.259999992</v>
          </cell>
        </row>
        <row r="11">
          <cell r="A11">
            <v>1110</v>
          </cell>
          <cell r="B11" t="str">
            <v>Other Accounts Receivable</v>
          </cell>
          <cell r="C11">
            <v>569482.5500000002</v>
          </cell>
          <cell r="D11">
            <v>0</v>
          </cell>
          <cell r="E11">
            <v>0</v>
          </cell>
          <cell r="F11">
            <v>569482.5500000002</v>
          </cell>
          <cell r="G11">
            <v>0</v>
          </cell>
          <cell r="J11">
            <v>569482.5500000002</v>
          </cell>
        </row>
        <row r="12">
          <cell r="A12">
            <v>1120</v>
          </cell>
          <cell r="B12" t="str">
            <v>Accrued Utility Revenues</v>
          </cell>
          <cell r="C12">
            <v>49957347.99</v>
          </cell>
          <cell r="D12">
            <v>0</v>
          </cell>
          <cell r="E12">
            <v>0</v>
          </cell>
          <cell r="F12">
            <v>49957347.99</v>
          </cell>
          <cell r="G12">
            <v>0</v>
          </cell>
          <cell r="J12">
            <v>49957347.99</v>
          </cell>
        </row>
        <row r="13">
          <cell r="A13">
            <v>1130</v>
          </cell>
          <cell r="B13" t="str">
            <v>Accumulated Provision for Uncollectible Accounts--Credit</v>
          </cell>
          <cell r="C13">
            <v>-1830000</v>
          </cell>
          <cell r="D13">
            <v>0</v>
          </cell>
          <cell r="E13">
            <v>0</v>
          </cell>
          <cell r="F13">
            <v>-1830000</v>
          </cell>
          <cell r="G13">
            <v>0</v>
          </cell>
          <cell r="J13">
            <v>-1830000</v>
          </cell>
        </row>
        <row r="14">
          <cell r="A14">
            <v>1140</v>
          </cell>
          <cell r="B14" t="str">
            <v>Interest and Dividends Receivable</v>
          </cell>
          <cell r="C14">
            <v>0</v>
          </cell>
          <cell r="D14" t="str">
            <v>0</v>
          </cell>
          <cell r="E14">
            <v>0</v>
          </cell>
          <cell r="F14">
            <v>0</v>
          </cell>
          <cell r="G14">
            <v>0</v>
          </cell>
          <cell r="J14">
            <v>0</v>
          </cell>
        </row>
        <row r="15">
          <cell r="A15">
            <v>1150</v>
          </cell>
          <cell r="B15" t="str">
            <v>Rents Receivable</v>
          </cell>
          <cell r="C15">
            <v>90467.76</v>
          </cell>
          <cell r="D15">
            <v>0</v>
          </cell>
          <cell r="E15">
            <v>0</v>
          </cell>
          <cell r="F15">
            <v>90467.76</v>
          </cell>
          <cell r="G15">
            <v>0</v>
          </cell>
          <cell r="J15">
            <v>90467.76</v>
          </cell>
        </row>
        <row r="16">
          <cell r="A16">
            <v>1180</v>
          </cell>
          <cell r="B16" t="str">
            <v>Prepayments</v>
          </cell>
          <cell r="C16">
            <v>1601397.0499999998</v>
          </cell>
          <cell r="D16">
            <v>0</v>
          </cell>
          <cell r="E16">
            <v>0</v>
          </cell>
          <cell r="F16">
            <v>1601397.0499999998</v>
          </cell>
          <cell r="G16">
            <v>0</v>
          </cell>
          <cell r="J16">
            <v>1601397.0499999998</v>
          </cell>
        </row>
        <row r="17">
          <cell r="A17">
            <v>1200</v>
          </cell>
          <cell r="B17" t="str">
            <v>Accounts Receivable from Associated Companies</v>
          </cell>
          <cell r="C17">
            <v>14494224.620000001</v>
          </cell>
          <cell r="D17">
            <v>0</v>
          </cell>
          <cell r="E17">
            <v>0</v>
          </cell>
          <cell r="F17">
            <v>14494224.620000001</v>
          </cell>
          <cell r="G17">
            <v>0</v>
          </cell>
          <cell r="J17">
            <v>14494224.620000001</v>
          </cell>
        </row>
        <row r="18">
          <cell r="A18">
            <v>1305</v>
          </cell>
          <cell r="B18" t="str">
            <v>Fuel Stock</v>
          </cell>
          <cell r="C18">
            <v>-28241.92</v>
          </cell>
          <cell r="D18">
            <v>0</v>
          </cell>
          <cell r="E18">
            <v>0</v>
          </cell>
          <cell r="F18">
            <v>-28241.92</v>
          </cell>
          <cell r="G18">
            <v>0</v>
          </cell>
          <cell r="J18">
            <v>-28241.92</v>
          </cell>
        </row>
        <row r="19">
          <cell r="A19">
            <v>1330</v>
          </cell>
          <cell r="B19" t="str">
            <v>Plant Materials and Operating Supplies</v>
          </cell>
          <cell r="C19">
            <v>6368867.249999997</v>
          </cell>
          <cell r="D19">
            <v>0</v>
          </cell>
          <cell r="E19">
            <v>0</v>
          </cell>
          <cell r="F19">
            <v>6368867.249999997</v>
          </cell>
          <cell r="G19">
            <v>0</v>
          </cell>
          <cell r="J19">
            <v>6368867.249999997</v>
          </cell>
        </row>
        <row r="20">
          <cell r="A20">
            <v>1350</v>
          </cell>
          <cell r="B20" t="str">
            <v>Other Materials and Supplies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A21">
            <v>1508</v>
          </cell>
          <cell r="B21" t="str">
            <v>Other Regulatory Assets</v>
          </cell>
          <cell r="C21">
            <v>2094816.75</v>
          </cell>
          <cell r="D21">
            <v>0</v>
          </cell>
          <cell r="E21">
            <v>619628.51</v>
          </cell>
          <cell r="F21">
            <v>2714445.26</v>
          </cell>
          <cell r="G21">
            <v>0</v>
          </cell>
          <cell r="I21">
            <v>363091.76904296875</v>
          </cell>
          <cell r="J21">
            <v>3077537.0290429685</v>
          </cell>
        </row>
        <row r="22">
          <cell r="A22">
            <v>1518</v>
          </cell>
          <cell r="B22" t="str">
            <v>RCVARetail</v>
          </cell>
          <cell r="C22">
            <v>299310.58</v>
          </cell>
          <cell r="D22">
            <v>0</v>
          </cell>
          <cell r="E22">
            <v>0</v>
          </cell>
          <cell r="F22">
            <v>299310.58</v>
          </cell>
          <cell r="G22">
            <v>0</v>
          </cell>
          <cell r="J22">
            <v>299310.58</v>
          </cell>
        </row>
        <row r="23">
          <cell r="A23">
            <v>1548</v>
          </cell>
          <cell r="B23" t="str">
            <v>RCVASTR</v>
          </cell>
          <cell r="C23">
            <v>58749.340000000004</v>
          </cell>
          <cell r="D23">
            <v>0</v>
          </cell>
          <cell r="E23">
            <v>0</v>
          </cell>
          <cell r="F23">
            <v>58749.340000000004</v>
          </cell>
          <cell r="G23">
            <v>0</v>
          </cell>
          <cell r="J23">
            <v>58749.340000000004</v>
          </cell>
        </row>
        <row r="24">
          <cell r="A24">
            <v>1550</v>
          </cell>
          <cell r="B24" t="str">
            <v>LV Variances Account</v>
          </cell>
          <cell r="C24">
            <v>-709185.75</v>
          </cell>
          <cell r="D24">
            <v>0</v>
          </cell>
          <cell r="E24">
            <v>0</v>
          </cell>
          <cell r="F24">
            <v>-709185.75</v>
          </cell>
          <cell r="G24">
            <v>0</v>
          </cell>
          <cell r="J24">
            <v>-709185.75</v>
          </cell>
        </row>
        <row r="25">
          <cell r="A25">
            <v>1555</v>
          </cell>
          <cell r="B25" t="str">
            <v>Smart Meters Capital Variance Account</v>
          </cell>
          <cell r="C25">
            <v>14931664.984666254</v>
          </cell>
          <cell r="D25">
            <v>0</v>
          </cell>
          <cell r="E25">
            <v>701000</v>
          </cell>
          <cell r="F25">
            <v>15632664.984666254</v>
          </cell>
          <cell r="G25">
            <v>0</v>
          </cell>
          <cell r="I25">
            <v>1578274.63</v>
          </cell>
          <cell r="J25">
            <v>17210939.614666253</v>
          </cell>
        </row>
        <row r="26">
          <cell r="A26">
            <v>1556</v>
          </cell>
          <cell r="B26" t="str">
            <v>Smart Meters OM&amp;A Variance Account</v>
          </cell>
          <cell r="C26">
            <v>5323614.125333734</v>
          </cell>
          <cell r="D26">
            <v>0</v>
          </cell>
          <cell r="E26">
            <v>932627.26</v>
          </cell>
          <cell r="F26">
            <v>6256241.385333734</v>
          </cell>
          <cell r="G26">
            <v>0</v>
          </cell>
          <cell r="I26">
            <v>3282583.78231812</v>
          </cell>
          <cell r="J26">
            <v>9538825.167651854</v>
          </cell>
        </row>
        <row r="27">
          <cell r="A27">
            <v>1562</v>
          </cell>
          <cell r="B27" t="str">
            <v>Deferred Payments in Lieu of Taxes</v>
          </cell>
          <cell r="C27">
            <v>-3643058.46</v>
          </cell>
          <cell r="D27">
            <v>0</v>
          </cell>
          <cell r="E27">
            <v>0</v>
          </cell>
          <cell r="F27">
            <v>-3643058.46</v>
          </cell>
          <cell r="G27">
            <v>0</v>
          </cell>
          <cell r="J27">
            <v>-3643058.46</v>
          </cell>
        </row>
        <row r="28">
          <cell r="A28">
            <v>1565</v>
          </cell>
          <cell r="B28" t="str">
            <v>Conservation and Demand Management Expenditures and Recoveries</v>
          </cell>
          <cell r="C28" t="str">
            <v/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J28">
            <v>0</v>
          </cell>
        </row>
        <row r="29">
          <cell r="A29">
            <v>1567</v>
          </cell>
          <cell r="B29" t="str">
            <v>Old Smart Meter Variance Account (Internal only)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1580</v>
          </cell>
          <cell r="B30" t="str">
            <v>RSVAWMS</v>
          </cell>
          <cell r="C30">
            <v>-13354863.16</v>
          </cell>
          <cell r="D30">
            <v>0</v>
          </cell>
          <cell r="E30">
            <v>0</v>
          </cell>
          <cell r="F30">
            <v>-13354863.16</v>
          </cell>
          <cell r="G30">
            <v>0</v>
          </cell>
          <cell r="J30">
            <v>-13354863.16</v>
          </cell>
        </row>
        <row r="31">
          <cell r="A31">
            <v>1584</v>
          </cell>
          <cell r="B31" t="str">
            <v>RSVANW</v>
          </cell>
          <cell r="C31">
            <v>-5772606.48</v>
          </cell>
          <cell r="D31">
            <v>0</v>
          </cell>
          <cell r="E31">
            <v>0</v>
          </cell>
          <cell r="F31">
            <v>-5772606.48</v>
          </cell>
          <cell r="G31">
            <v>0</v>
          </cell>
          <cell r="J31">
            <v>-5772606.48</v>
          </cell>
        </row>
        <row r="32">
          <cell r="A32">
            <v>1586</v>
          </cell>
          <cell r="B32" t="str">
            <v>RSVACN</v>
          </cell>
          <cell r="C32">
            <v>63193.380000000005</v>
          </cell>
          <cell r="D32">
            <v>0</v>
          </cell>
          <cell r="E32">
            <v>0</v>
          </cell>
          <cell r="F32">
            <v>63193.380000000005</v>
          </cell>
          <cell r="G32">
            <v>0</v>
          </cell>
          <cell r="J32">
            <v>63193.380000000005</v>
          </cell>
        </row>
        <row r="33">
          <cell r="A33">
            <v>1588</v>
          </cell>
          <cell r="B33" t="str">
            <v>RSVAPOWER</v>
          </cell>
          <cell r="C33">
            <v>2624394.38</v>
          </cell>
          <cell r="D33">
            <v>0</v>
          </cell>
          <cell r="E33">
            <v>0</v>
          </cell>
          <cell r="F33">
            <v>2624394.38</v>
          </cell>
          <cell r="G33">
            <v>0</v>
          </cell>
          <cell r="J33">
            <v>2624394.38</v>
          </cell>
        </row>
        <row r="34">
          <cell r="A34">
            <v>1590</v>
          </cell>
          <cell r="B34" t="str">
            <v>Recovery of Regulatory Asset Balances</v>
          </cell>
          <cell r="C34">
            <v>397006.19</v>
          </cell>
          <cell r="D34">
            <v>0</v>
          </cell>
          <cell r="E34">
            <v>0</v>
          </cell>
          <cell r="F34">
            <v>397006.19</v>
          </cell>
          <cell r="G34">
            <v>0</v>
          </cell>
          <cell r="J34">
            <v>397006.19</v>
          </cell>
        </row>
        <row r="35">
          <cell r="A35">
            <v>1592</v>
          </cell>
          <cell r="B35" t="str">
            <v>PILS and Tax Variance 2006 and</v>
          </cell>
          <cell r="C35">
            <v>-922956.45</v>
          </cell>
          <cell r="D35">
            <v>0</v>
          </cell>
          <cell r="E35">
            <v>0</v>
          </cell>
          <cell r="F35">
            <v>-922956.45</v>
          </cell>
          <cell r="G35">
            <v>0</v>
          </cell>
          <cell r="J35">
            <v>-922956.45</v>
          </cell>
        </row>
        <row r="36">
          <cell r="A36">
            <v>1595</v>
          </cell>
          <cell r="B36" t="str">
            <v>Regulatory Assets Disposition and Recovery</v>
          </cell>
          <cell r="C36">
            <v>-4841065.66</v>
          </cell>
          <cell r="D36">
            <v>0</v>
          </cell>
          <cell r="E36">
            <v>0</v>
          </cell>
          <cell r="F36">
            <v>-4841065.66</v>
          </cell>
          <cell r="G36">
            <v>0</v>
          </cell>
          <cell r="J36">
            <v>-4841065.66</v>
          </cell>
        </row>
        <row r="37">
          <cell r="A37">
            <v>1599</v>
          </cell>
          <cell r="B37" t="str">
            <v>Regulatory Provisions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A38">
            <v>1635</v>
          </cell>
          <cell r="B38" t="str">
            <v>Boiler Plant Equipment</v>
          </cell>
          <cell r="C38">
            <v>0</v>
          </cell>
          <cell r="D38" t="str">
            <v>0</v>
          </cell>
          <cell r="E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A39">
            <v>1640</v>
          </cell>
          <cell r="B39" t="str">
            <v>Engines and Engine-Driven Generators</v>
          </cell>
          <cell r="C39">
            <v>0</v>
          </cell>
          <cell r="D39" t="str">
            <v>0</v>
          </cell>
          <cell r="E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A40">
            <v>1675</v>
          </cell>
          <cell r="B40" t="str">
            <v>Generators</v>
          </cell>
          <cell r="C40">
            <v>1296686.92</v>
          </cell>
          <cell r="D40" t="str">
            <v>0</v>
          </cell>
          <cell r="E40">
            <v>0</v>
          </cell>
          <cell r="F40">
            <v>1296686.92</v>
          </cell>
          <cell r="G40">
            <v>0</v>
          </cell>
          <cell r="H40">
            <v>0</v>
          </cell>
          <cell r="J40">
            <v>1296686.92</v>
          </cell>
        </row>
        <row r="41">
          <cell r="A41">
            <v>1740</v>
          </cell>
          <cell r="B41" t="str">
            <v>Underground Conductors and Devices</v>
          </cell>
          <cell r="C41">
            <v>0</v>
          </cell>
          <cell r="D41" t="str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A42">
            <v>1805</v>
          </cell>
          <cell r="B42" t="str">
            <v>Land</v>
          </cell>
          <cell r="C42">
            <v>414741.45</v>
          </cell>
          <cell r="D42" t="str">
            <v>0</v>
          </cell>
          <cell r="E42">
            <v>0</v>
          </cell>
          <cell r="F42">
            <v>414741.45</v>
          </cell>
          <cell r="G42">
            <v>0</v>
          </cell>
          <cell r="H42">
            <v>0</v>
          </cell>
          <cell r="J42">
            <v>414741.45</v>
          </cell>
        </row>
        <row r="43">
          <cell r="A43">
            <v>1806</v>
          </cell>
          <cell r="B43" t="str">
            <v>Land Rights</v>
          </cell>
          <cell r="C43">
            <v>162636.38</v>
          </cell>
          <cell r="D43" t="str">
            <v>0</v>
          </cell>
          <cell r="E43">
            <v>0</v>
          </cell>
          <cell r="F43">
            <v>162636.38</v>
          </cell>
          <cell r="G43">
            <v>0</v>
          </cell>
          <cell r="H43">
            <v>0</v>
          </cell>
          <cell r="J43">
            <v>162636.38</v>
          </cell>
        </row>
        <row r="44">
          <cell r="A44">
            <v>1808</v>
          </cell>
          <cell r="B44" t="str">
            <v>Buildings and Fixtures</v>
          </cell>
          <cell r="C44">
            <v>2138307.23</v>
          </cell>
          <cell r="D44" t="str">
            <v>0</v>
          </cell>
          <cell r="E44">
            <v>0</v>
          </cell>
          <cell r="F44">
            <v>2138307.23</v>
          </cell>
          <cell r="G44">
            <v>0</v>
          </cell>
          <cell r="H44">
            <v>0</v>
          </cell>
          <cell r="J44">
            <v>2138307.23</v>
          </cell>
        </row>
        <row r="45">
          <cell r="A45">
            <v>1810</v>
          </cell>
          <cell r="B45" t="str">
            <v>Leasehold Improvements</v>
          </cell>
          <cell r="C45">
            <v>20885.65</v>
          </cell>
          <cell r="D45" t="str">
            <v>0</v>
          </cell>
          <cell r="E45">
            <v>0</v>
          </cell>
          <cell r="F45">
            <v>20885.65</v>
          </cell>
          <cell r="G45">
            <v>0</v>
          </cell>
          <cell r="H45">
            <v>0</v>
          </cell>
          <cell r="J45">
            <v>20885.65</v>
          </cell>
        </row>
        <row r="46">
          <cell r="A46">
            <v>1820</v>
          </cell>
          <cell r="B46" t="str">
            <v>Distribution Station Equipment - Normally Primary below 50 kV</v>
          </cell>
          <cell r="C46">
            <v>11774640.47</v>
          </cell>
          <cell r="D46">
            <v>0</v>
          </cell>
          <cell r="E46">
            <v>0</v>
          </cell>
          <cell r="F46">
            <v>11774640.47</v>
          </cell>
          <cell r="G46">
            <v>0</v>
          </cell>
          <cell r="H46">
            <v>0</v>
          </cell>
          <cell r="J46">
            <v>11774640.47</v>
          </cell>
        </row>
        <row r="47">
          <cell r="A47">
            <v>1830</v>
          </cell>
          <cell r="B47" t="str">
            <v>Poles, Towers and Fixtures</v>
          </cell>
          <cell r="C47">
            <v>69899086.43</v>
          </cell>
          <cell r="D47">
            <v>8588589.469999999</v>
          </cell>
          <cell r="E47">
            <v>0</v>
          </cell>
          <cell r="F47">
            <v>78487675.9</v>
          </cell>
          <cell r="G47">
            <v>0</v>
          </cell>
          <cell r="H47">
            <v>9821066.715120234</v>
          </cell>
          <cell r="J47">
            <v>88308742.61512023</v>
          </cell>
        </row>
        <row r="48">
          <cell r="A48">
            <v>1835</v>
          </cell>
          <cell r="B48" t="str">
            <v>Overhead Conductors and Devices</v>
          </cell>
          <cell r="C48">
            <v>71233394.75999999</v>
          </cell>
          <cell r="D48">
            <v>5276926.91</v>
          </cell>
          <cell r="E48">
            <v>0</v>
          </cell>
          <cell r="F48">
            <v>76510321.66999999</v>
          </cell>
          <cell r="G48">
            <v>0</v>
          </cell>
          <cell r="H48">
            <v>5295002.574270105</v>
          </cell>
          <cell r="J48">
            <v>81805324.24427009</v>
          </cell>
        </row>
        <row r="49">
          <cell r="A49">
            <v>1840</v>
          </cell>
          <cell r="B49" t="str">
            <v>Underground Conduit</v>
          </cell>
          <cell r="C49">
            <v>115114231.16999999</v>
          </cell>
          <cell r="D49">
            <v>5198527.93</v>
          </cell>
          <cell r="E49">
            <v>0</v>
          </cell>
          <cell r="F49">
            <v>120312759.1</v>
          </cell>
          <cell r="G49">
            <v>0</v>
          </cell>
          <cell r="H49">
            <v>5751824.951356538</v>
          </cell>
          <cell r="J49">
            <v>126064584.05135652</v>
          </cell>
        </row>
        <row r="50">
          <cell r="A50">
            <v>1845</v>
          </cell>
          <cell r="B50" t="str">
            <v>Underground Conductors and Devices</v>
          </cell>
          <cell r="C50">
            <v>117085475.74</v>
          </cell>
          <cell r="D50">
            <v>7789118.4399999995</v>
          </cell>
          <cell r="E50">
            <v>0</v>
          </cell>
          <cell r="F50">
            <v>124874594.17999999</v>
          </cell>
          <cell r="G50">
            <v>0</v>
          </cell>
          <cell r="H50">
            <v>7087847.641584668</v>
          </cell>
          <cell r="J50">
            <v>131962441.82158466</v>
          </cell>
        </row>
        <row r="51">
          <cell r="A51">
            <v>1850</v>
          </cell>
          <cell r="B51" t="str">
            <v>Line Transformers</v>
          </cell>
          <cell r="C51">
            <v>96118395.81</v>
          </cell>
          <cell r="D51">
            <v>5010545.470000001</v>
          </cell>
          <cell r="E51">
            <v>0</v>
          </cell>
          <cell r="F51">
            <v>101128941.28</v>
          </cell>
          <cell r="G51">
            <v>0</v>
          </cell>
          <cell r="H51">
            <v>7044712.897668453</v>
          </cell>
          <cell r="J51">
            <v>108173654.17766845</v>
          </cell>
        </row>
        <row r="52">
          <cell r="A52">
            <v>1855</v>
          </cell>
          <cell r="B52" t="str">
            <v>Services</v>
          </cell>
          <cell r="C52">
            <v>24184344.55</v>
          </cell>
          <cell r="D52">
            <v>466859.11</v>
          </cell>
          <cell r="E52">
            <v>0</v>
          </cell>
          <cell r="F52">
            <v>24651203.66</v>
          </cell>
          <cell r="G52">
            <v>0</v>
          </cell>
          <cell r="H52">
            <v>701503.8791881385</v>
          </cell>
          <cell r="J52">
            <v>25352707.53918814</v>
          </cell>
        </row>
        <row r="53">
          <cell r="A53">
            <v>1860</v>
          </cell>
          <cell r="B53" t="str">
            <v>Meters</v>
          </cell>
          <cell r="C53">
            <v>37819862.03000001</v>
          </cell>
          <cell r="D53">
            <v>2437318.76</v>
          </cell>
          <cell r="E53">
            <v>-701000</v>
          </cell>
          <cell r="F53">
            <v>39556180.79000001</v>
          </cell>
          <cell r="G53">
            <v>0</v>
          </cell>
          <cell r="H53">
            <v>2703709.0122734504</v>
          </cell>
          <cell r="I53">
            <v>-1578274.63</v>
          </cell>
          <cell r="J53">
            <v>40681615.17227346</v>
          </cell>
        </row>
        <row r="54">
          <cell r="A54">
            <v>1905</v>
          </cell>
          <cell r="B54" t="str">
            <v>Land</v>
          </cell>
          <cell r="C54">
            <v>1067629.41</v>
          </cell>
          <cell r="D54" t="str">
            <v>0</v>
          </cell>
          <cell r="E54">
            <v>0</v>
          </cell>
          <cell r="F54">
            <v>1067629.41</v>
          </cell>
          <cell r="G54">
            <v>0</v>
          </cell>
          <cell r="H54">
            <v>0</v>
          </cell>
          <cell r="J54">
            <v>1067629.41</v>
          </cell>
        </row>
        <row r="55">
          <cell r="A55">
            <v>1908</v>
          </cell>
          <cell r="B55" t="str">
            <v>Buildings and Fixtures</v>
          </cell>
          <cell r="C55">
            <v>26677604.69</v>
          </cell>
          <cell r="D55">
            <v>507500</v>
          </cell>
          <cell r="E55">
            <v>0</v>
          </cell>
          <cell r="F55">
            <v>27185104.69</v>
          </cell>
          <cell r="G55">
            <v>0</v>
          </cell>
          <cell r="H55">
            <v>1540500</v>
          </cell>
          <cell r="J55">
            <v>28725604.69</v>
          </cell>
        </row>
        <row r="56">
          <cell r="A56">
            <v>1915</v>
          </cell>
          <cell r="B56" t="str">
            <v>Office Furniture and Equipment</v>
          </cell>
          <cell r="C56">
            <v>4958697.08</v>
          </cell>
          <cell r="D56">
            <v>411370</v>
          </cell>
          <cell r="E56">
            <v>0</v>
          </cell>
          <cell r="F56">
            <v>5370067.08</v>
          </cell>
          <cell r="G56">
            <v>0</v>
          </cell>
          <cell r="H56">
            <v>384500</v>
          </cell>
          <cell r="J56">
            <v>5754567.08</v>
          </cell>
        </row>
        <row r="57">
          <cell r="A57">
            <v>1920</v>
          </cell>
          <cell r="B57" t="str">
            <v>Computer Equipment - Hardware</v>
          </cell>
          <cell r="C57">
            <v>9109560.66</v>
          </cell>
          <cell r="D57">
            <v>1112831</v>
          </cell>
          <cell r="E57">
            <v>0</v>
          </cell>
          <cell r="F57">
            <v>10222391.66</v>
          </cell>
          <cell r="G57">
            <v>0</v>
          </cell>
          <cell r="H57">
            <v>1612172.1758440335</v>
          </cell>
          <cell r="J57">
            <v>11834563.835844034</v>
          </cell>
        </row>
        <row r="58">
          <cell r="A58">
            <v>1925</v>
          </cell>
          <cell r="B58" t="str">
            <v>Computer Software</v>
          </cell>
          <cell r="C58">
            <v>11297833.69</v>
          </cell>
          <cell r="D58">
            <v>1600261</v>
          </cell>
          <cell r="E58">
            <v>0</v>
          </cell>
          <cell r="F58">
            <v>12898094.69</v>
          </cell>
          <cell r="G58">
            <v>0</v>
          </cell>
          <cell r="H58">
            <v>1933577.8241559663</v>
          </cell>
          <cell r="J58">
            <v>14831672.514155965</v>
          </cell>
        </row>
        <row r="59">
          <cell r="A59">
            <v>1930</v>
          </cell>
          <cell r="B59" t="str">
            <v>Transportation Equipment</v>
          </cell>
          <cell r="C59">
            <v>17306131</v>
          </cell>
          <cell r="D59">
            <v>1304999.96</v>
          </cell>
          <cell r="E59">
            <v>0</v>
          </cell>
          <cell r="F59">
            <v>18611130.96</v>
          </cell>
          <cell r="G59">
            <v>0</v>
          </cell>
          <cell r="H59">
            <v>1445500</v>
          </cell>
          <cell r="J59">
            <v>20056630.96</v>
          </cell>
        </row>
        <row r="60">
          <cell r="A60">
            <v>1935</v>
          </cell>
          <cell r="B60" t="str">
            <v>Stores Equipment</v>
          </cell>
          <cell r="C60">
            <v>892540.1799999999</v>
          </cell>
          <cell r="D60" t="str">
            <v>0</v>
          </cell>
          <cell r="E60">
            <v>0</v>
          </cell>
          <cell r="F60">
            <v>892540.1799999999</v>
          </cell>
          <cell r="G60">
            <v>0</v>
          </cell>
          <cell r="H60">
            <v>0</v>
          </cell>
          <cell r="J60">
            <v>892540.1799999999</v>
          </cell>
        </row>
        <row r="61">
          <cell r="A61">
            <v>1940</v>
          </cell>
          <cell r="B61" t="str">
            <v>Tools, Shop and Garage Equipment</v>
          </cell>
          <cell r="C61">
            <v>7346438.35</v>
          </cell>
          <cell r="D61">
            <v>488399</v>
          </cell>
          <cell r="E61">
            <v>0</v>
          </cell>
          <cell r="F61">
            <v>7834837.35</v>
          </cell>
          <cell r="G61">
            <v>0</v>
          </cell>
          <cell r="H61">
            <v>549350</v>
          </cell>
          <cell r="J61">
            <v>8384187.35</v>
          </cell>
        </row>
        <row r="62">
          <cell r="A62">
            <v>1945</v>
          </cell>
          <cell r="B62" t="str">
            <v>Measurement and Testing Equipment</v>
          </cell>
          <cell r="C62">
            <v>1458621.3900000001</v>
          </cell>
          <cell r="D62">
            <v>91550</v>
          </cell>
          <cell r="E62">
            <v>0</v>
          </cell>
          <cell r="F62">
            <v>1550171.3900000001</v>
          </cell>
          <cell r="G62">
            <v>0</v>
          </cell>
          <cell r="H62">
            <v>208500</v>
          </cell>
          <cell r="J62">
            <v>1758671.3900000001</v>
          </cell>
        </row>
        <row r="63">
          <cell r="A63">
            <v>1950</v>
          </cell>
          <cell r="B63" t="str">
            <v>Power Operated Equipment</v>
          </cell>
          <cell r="C63">
            <v>144034.63</v>
          </cell>
          <cell r="D63" t="str">
            <v>0</v>
          </cell>
          <cell r="E63">
            <v>0</v>
          </cell>
          <cell r="F63">
            <v>144034.63</v>
          </cell>
          <cell r="G63">
            <v>0</v>
          </cell>
          <cell r="H63">
            <v>0</v>
          </cell>
          <cell r="J63">
            <v>144034.63</v>
          </cell>
        </row>
        <row r="64">
          <cell r="A64">
            <v>1955</v>
          </cell>
          <cell r="B64" t="str">
            <v>Communication Equipment</v>
          </cell>
          <cell r="C64">
            <v>1350163.2599999998</v>
          </cell>
          <cell r="D64">
            <v>271850</v>
          </cell>
          <cell r="E64">
            <v>0</v>
          </cell>
          <cell r="F64">
            <v>1622013.2599999998</v>
          </cell>
          <cell r="G64">
            <v>0</v>
          </cell>
          <cell r="H64">
            <v>1099500</v>
          </cell>
          <cell r="J64">
            <v>2721513.26</v>
          </cell>
        </row>
        <row r="65">
          <cell r="A65">
            <v>1960</v>
          </cell>
          <cell r="B65" t="str">
            <v>Miscellaneous Equipment</v>
          </cell>
          <cell r="C65">
            <v>515329.99</v>
          </cell>
          <cell r="D65">
            <v>0</v>
          </cell>
          <cell r="E65">
            <v>0</v>
          </cell>
          <cell r="F65">
            <v>515329.99</v>
          </cell>
          <cell r="G65">
            <v>0</v>
          </cell>
          <cell r="H65">
            <v>0</v>
          </cell>
          <cell r="J65">
            <v>515329.99</v>
          </cell>
        </row>
        <row r="66">
          <cell r="A66">
            <v>1980</v>
          </cell>
          <cell r="B66" t="str">
            <v>System Supervisory Equipment</v>
          </cell>
          <cell r="C66">
            <v>3777542.26</v>
          </cell>
          <cell r="D66" t="str">
            <v>0</v>
          </cell>
          <cell r="E66">
            <v>0</v>
          </cell>
          <cell r="F66">
            <v>3777542.26</v>
          </cell>
          <cell r="G66">
            <v>0</v>
          </cell>
          <cell r="H66">
            <v>435277.66468750004</v>
          </cell>
          <cell r="J66">
            <v>4212819.9246875</v>
          </cell>
        </row>
        <row r="67">
          <cell r="A67">
            <v>1995</v>
          </cell>
          <cell r="B67" t="str">
            <v>Contributions and Grants - Credit</v>
          </cell>
          <cell r="C67">
            <v>-23512927.56</v>
          </cell>
          <cell r="D67">
            <v>-2262647.05</v>
          </cell>
          <cell r="E67">
            <v>0</v>
          </cell>
          <cell r="F67">
            <v>-25775574.61</v>
          </cell>
          <cell r="G67">
            <v>0</v>
          </cell>
          <cell r="H67">
            <v>-2044172</v>
          </cell>
          <cell r="J67">
            <v>-27819746.61</v>
          </cell>
        </row>
        <row r="68">
          <cell r="A68">
            <v>2055</v>
          </cell>
          <cell r="B68" t="str">
            <v>Construction Work in Progress--Electric</v>
          </cell>
          <cell r="C68">
            <v>6315953.399999999</v>
          </cell>
          <cell r="D68">
            <v>0</v>
          </cell>
          <cell r="E68">
            <v>0</v>
          </cell>
          <cell r="F68">
            <v>6315953.399999999</v>
          </cell>
          <cell r="G68">
            <v>0</v>
          </cell>
          <cell r="H68">
            <v>0</v>
          </cell>
          <cell r="J68">
            <v>6315953.399999999</v>
          </cell>
        </row>
        <row r="69">
          <cell r="A69">
            <v>2060</v>
          </cell>
          <cell r="B69" t="str">
            <v>Electric Plant Acquisition Adjustment</v>
          </cell>
          <cell r="C69">
            <v>18922838.78</v>
          </cell>
          <cell r="D69" t="str">
            <v>0</v>
          </cell>
          <cell r="E69">
            <v>0</v>
          </cell>
          <cell r="F69">
            <v>18922838.78</v>
          </cell>
          <cell r="G69">
            <v>0</v>
          </cell>
          <cell r="H69">
            <v>0</v>
          </cell>
          <cell r="J69">
            <v>18922838.78</v>
          </cell>
        </row>
        <row r="70">
          <cell r="A70">
            <v>2105</v>
          </cell>
          <cell r="B70" t="str">
            <v>Accum. Amortization of Electric Utility Plant - Property, Plant, &amp; Equipment</v>
          </cell>
          <cell r="C70">
            <v>-312468399.77466625</v>
          </cell>
          <cell r="D70">
            <v>0</v>
          </cell>
          <cell r="E70">
            <v>-27357678.52</v>
          </cell>
          <cell r="F70">
            <v>-339826078.29466623</v>
          </cell>
          <cell r="G70">
            <v>0</v>
          </cell>
          <cell r="H70">
            <v>-28782602.2119948</v>
          </cell>
          <cell r="J70">
            <v>-368608680.50666106</v>
          </cell>
        </row>
        <row r="71">
          <cell r="A71">
            <v>2205</v>
          </cell>
          <cell r="B71" t="str">
            <v>Accounts Payable</v>
          </cell>
          <cell r="C71">
            <v>-40624551.03</v>
          </cell>
          <cell r="D71">
            <v>0</v>
          </cell>
          <cell r="E71">
            <v>0</v>
          </cell>
          <cell r="F71">
            <v>-40624551.03</v>
          </cell>
          <cell r="G71">
            <v>0</v>
          </cell>
          <cell r="H71">
            <v>0</v>
          </cell>
          <cell r="J71">
            <v>-40624551.03</v>
          </cell>
        </row>
        <row r="72">
          <cell r="A72">
            <v>2208</v>
          </cell>
          <cell r="B72" t="str">
            <v>Customer Credit Balances</v>
          </cell>
          <cell r="C72">
            <v>-4302940.3100000005</v>
          </cell>
          <cell r="D72">
            <v>0</v>
          </cell>
          <cell r="E72">
            <v>0</v>
          </cell>
          <cell r="F72">
            <v>-4302940.3100000005</v>
          </cell>
          <cell r="G72">
            <v>0</v>
          </cell>
          <cell r="H72">
            <v>0</v>
          </cell>
          <cell r="J72">
            <v>-4302940.3100000005</v>
          </cell>
        </row>
        <row r="73">
          <cell r="A73">
            <v>2210</v>
          </cell>
          <cell r="B73" t="str">
            <v>Current Portion of Customer Deposits</v>
          </cell>
          <cell r="C73">
            <v>-22450839.650000002</v>
          </cell>
          <cell r="D73">
            <v>0</v>
          </cell>
          <cell r="E73">
            <v>0</v>
          </cell>
          <cell r="F73">
            <v>-22450839.650000002</v>
          </cell>
          <cell r="G73">
            <v>0</v>
          </cell>
          <cell r="H73">
            <v>0</v>
          </cell>
          <cell r="J73">
            <v>-22450839.650000002</v>
          </cell>
        </row>
        <row r="74">
          <cell r="A74">
            <v>2215</v>
          </cell>
          <cell r="B74" t="str">
            <v>Dividends Declared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A75">
            <v>2220</v>
          </cell>
          <cell r="B75" t="str">
            <v>Miscellaneous Current and Accrued Liabilities</v>
          </cell>
          <cell r="C75">
            <v>-6300654</v>
          </cell>
          <cell r="D75">
            <v>0</v>
          </cell>
          <cell r="E75">
            <v>0</v>
          </cell>
          <cell r="F75">
            <v>-6300654</v>
          </cell>
          <cell r="G75">
            <v>0</v>
          </cell>
          <cell r="J75">
            <v>-6300654</v>
          </cell>
        </row>
        <row r="76">
          <cell r="A76">
            <v>2240</v>
          </cell>
          <cell r="B76" t="str">
            <v>Accounts Payable to Associated Companies</v>
          </cell>
          <cell r="C76">
            <v>-35000661.8</v>
          </cell>
          <cell r="D76">
            <v>0</v>
          </cell>
          <cell r="E76">
            <v>677000</v>
          </cell>
          <cell r="F76">
            <v>-34323661.8</v>
          </cell>
          <cell r="G76">
            <v>0</v>
          </cell>
          <cell r="I76">
            <v>677000</v>
          </cell>
          <cell r="J76">
            <v>-33646661.8</v>
          </cell>
        </row>
        <row r="77">
          <cell r="A77">
            <v>2242</v>
          </cell>
          <cell r="B77" t="str">
            <v>Notes Payable to Associated Companies</v>
          </cell>
          <cell r="C77">
            <v>-116000000</v>
          </cell>
          <cell r="D77" t="str">
            <v>0</v>
          </cell>
          <cell r="E77">
            <v>0</v>
          </cell>
          <cell r="F77">
            <v>-116000000</v>
          </cell>
          <cell r="G77">
            <v>0</v>
          </cell>
          <cell r="J77">
            <v>-116000000</v>
          </cell>
        </row>
        <row r="78">
          <cell r="A78">
            <v>2250</v>
          </cell>
          <cell r="B78" t="str">
            <v>Debt Retirement Charges( DRC) Payable</v>
          </cell>
          <cell r="C78">
            <v>-2647125.6</v>
          </cell>
          <cell r="D78">
            <v>0</v>
          </cell>
          <cell r="E78">
            <v>0</v>
          </cell>
          <cell r="F78">
            <v>-2647125.6</v>
          </cell>
          <cell r="G78">
            <v>0</v>
          </cell>
          <cell r="J78">
            <v>-2647125.6</v>
          </cell>
        </row>
        <row r="79">
          <cell r="A79">
            <v>2290</v>
          </cell>
          <cell r="B79" t="str">
            <v>Commodity Taxes</v>
          </cell>
          <cell r="C79">
            <v>-441177.0399999995</v>
          </cell>
          <cell r="D79">
            <v>0</v>
          </cell>
          <cell r="E79">
            <v>0</v>
          </cell>
          <cell r="F79">
            <v>-441177.0399999995</v>
          </cell>
          <cell r="G79">
            <v>0</v>
          </cell>
          <cell r="J79">
            <v>-441177.0399999995</v>
          </cell>
        </row>
        <row r="80">
          <cell r="A80">
            <v>2292</v>
          </cell>
          <cell r="B80" t="str">
            <v>Payroll Deductions / Expenses Payable</v>
          </cell>
          <cell r="C80">
            <v>-349163.3300000001</v>
          </cell>
          <cell r="D80">
            <v>0</v>
          </cell>
          <cell r="E80">
            <v>0</v>
          </cell>
          <cell r="F80">
            <v>-349163.3300000001</v>
          </cell>
          <cell r="G80">
            <v>0</v>
          </cell>
          <cell r="J80">
            <v>-349163.3300000001</v>
          </cell>
        </row>
        <row r="81">
          <cell r="A81">
            <v>2294</v>
          </cell>
          <cell r="B81" t="str">
            <v>Accrual for Taxes, Payments in Lieu of Taxes, Etc.</v>
          </cell>
          <cell r="C81">
            <v>2686660.6500000004</v>
          </cell>
          <cell r="D81">
            <v>0</v>
          </cell>
          <cell r="E81">
            <v>0</v>
          </cell>
          <cell r="F81">
            <v>2686660.6500000004</v>
          </cell>
          <cell r="G81">
            <v>0</v>
          </cell>
          <cell r="J81">
            <v>2686660.6500000004</v>
          </cell>
        </row>
        <row r="82">
          <cell r="A82">
            <v>2306</v>
          </cell>
          <cell r="B82" t="str">
            <v>Employee Future Benefits</v>
          </cell>
          <cell r="C82">
            <v>-16079772.36</v>
          </cell>
          <cell r="D82">
            <v>0</v>
          </cell>
          <cell r="E82">
            <v>0</v>
          </cell>
          <cell r="F82">
            <v>-16079772.36</v>
          </cell>
          <cell r="G82">
            <v>0</v>
          </cell>
          <cell r="J82">
            <v>-16079772.36</v>
          </cell>
        </row>
        <row r="83">
          <cell r="A83">
            <v>2310</v>
          </cell>
          <cell r="B83" t="str">
            <v>Vested Sick Leave Liability</v>
          </cell>
          <cell r="C83">
            <v>-69410.25</v>
          </cell>
          <cell r="D83">
            <v>0</v>
          </cell>
          <cell r="E83">
            <v>0</v>
          </cell>
          <cell r="F83">
            <v>-69410.25</v>
          </cell>
          <cell r="G83">
            <v>0</v>
          </cell>
          <cell r="J83">
            <v>-69410.25</v>
          </cell>
        </row>
        <row r="84">
          <cell r="A84">
            <v>2320</v>
          </cell>
          <cell r="B84" t="str">
            <v>Other Miscellaneous Non-Current Liabilities</v>
          </cell>
          <cell r="C84">
            <v>-154178.74</v>
          </cell>
          <cell r="D84" t="str">
            <v>0</v>
          </cell>
          <cell r="E84">
            <v>0</v>
          </cell>
          <cell r="F84">
            <v>-154178.74</v>
          </cell>
          <cell r="G84">
            <v>0</v>
          </cell>
          <cell r="J84">
            <v>-154178.74</v>
          </cell>
        </row>
        <row r="85">
          <cell r="A85">
            <v>2350</v>
          </cell>
          <cell r="B85" t="str">
            <v>Future Income Tax - Non-Current</v>
          </cell>
          <cell r="C85">
            <v>9920344.09</v>
          </cell>
          <cell r="D85" t="str">
            <v>0</v>
          </cell>
          <cell r="E85">
            <v>0</v>
          </cell>
          <cell r="F85">
            <v>9920344.09</v>
          </cell>
          <cell r="G85">
            <v>0</v>
          </cell>
          <cell r="J85">
            <v>9920344.09</v>
          </cell>
        </row>
        <row r="86">
          <cell r="A86">
            <v>2405</v>
          </cell>
          <cell r="B86" t="str">
            <v>Other Regulatory Liabilities</v>
          </cell>
          <cell r="C86">
            <v>170836.11</v>
          </cell>
          <cell r="D86">
            <v>0</v>
          </cell>
          <cell r="E86">
            <v>0</v>
          </cell>
          <cell r="F86">
            <v>170836.11</v>
          </cell>
          <cell r="G86">
            <v>0</v>
          </cell>
          <cell r="J86">
            <v>170836.11</v>
          </cell>
        </row>
        <row r="87">
          <cell r="A87">
            <v>2425</v>
          </cell>
          <cell r="B87" t="str">
            <v>Other Deferred Credits</v>
          </cell>
          <cell r="C87">
            <v>-3428.6899999999987</v>
          </cell>
          <cell r="D87">
            <v>0</v>
          </cell>
          <cell r="E87">
            <v>0</v>
          </cell>
          <cell r="F87">
            <v>-3428.6899999999987</v>
          </cell>
          <cell r="G87">
            <v>0</v>
          </cell>
          <cell r="J87">
            <v>-3428.6899999999987</v>
          </cell>
        </row>
        <row r="88">
          <cell r="A88">
            <v>3005</v>
          </cell>
          <cell r="B88" t="str">
            <v>Common Shares Issued</v>
          </cell>
          <cell r="C88">
            <v>-123592754.28999999</v>
          </cell>
          <cell r="D88" t="str">
            <v>0</v>
          </cell>
          <cell r="E88">
            <v>0</v>
          </cell>
          <cell r="F88">
            <v>-123592754.28999999</v>
          </cell>
          <cell r="G88">
            <v>0</v>
          </cell>
          <cell r="J88">
            <v>-123592754.28999999</v>
          </cell>
        </row>
        <row r="89">
          <cell r="A89">
            <v>3010</v>
          </cell>
          <cell r="B89" t="str">
            <v>Contributed Surplus</v>
          </cell>
          <cell r="C89">
            <v>-15218009</v>
          </cell>
          <cell r="D89" t="str">
            <v>0</v>
          </cell>
          <cell r="E89">
            <v>0</v>
          </cell>
          <cell r="F89">
            <v>-15218009</v>
          </cell>
          <cell r="G89">
            <v>0</v>
          </cell>
          <cell r="J89">
            <v>-15218009</v>
          </cell>
        </row>
        <row r="90">
          <cell r="A90">
            <v>3045</v>
          </cell>
          <cell r="B90" t="str">
            <v>Unappropriated Retained Earnings</v>
          </cell>
          <cell r="C90">
            <v>-100341911.81999959</v>
          </cell>
          <cell r="D90">
            <v>0</v>
          </cell>
          <cell r="E90">
            <v>-9461838.320000004</v>
          </cell>
          <cell r="F90">
            <v>-109803750.1399996</v>
          </cell>
          <cell r="G90">
            <v>0</v>
          </cell>
          <cell r="I90">
            <v>-17292207.18</v>
          </cell>
          <cell r="J90">
            <v>-127095957.3199996</v>
          </cell>
        </row>
        <row r="91">
          <cell r="A91">
            <v>3049</v>
          </cell>
          <cell r="B91" t="str">
            <v>Dividends Payable-Common Shares</v>
          </cell>
          <cell r="C91">
            <v>76108392.54</v>
          </cell>
          <cell r="D91">
            <v>0</v>
          </cell>
          <cell r="E91">
            <v>0</v>
          </cell>
          <cell r="F91">
            <v>76108392.54</v>
          </cell>
          <cell r="G91">
            <v>0</v>
          </cell>
          <cell r="J91">
            <v>76108392.54</v>
          </cell>
        </row>
        <row r="92">
          <cell r="A92">
            <v>4006</v>
          </cell>
          <cell r="B92" t="str">
            <v>Residential Energy Sales</v>
          </cell>
          <cell r="C92">
            <v>-86676488.36</v>
          </cell>
          <cell r="D92">
            <v>0</v>
          </cell>
          <cell r="E92">
            <v>0</v>
          </cell>
          <cell r="F92">
            <v>-86676488.36</v>
          </cell>
          <cell r="G92">
            <v>0</v>
          </cell>
          <cell r="J92">
            <v>-86676488.36</v>
          </cell>
        </row>
        <row r="93">
          <cell r="A93">
            <v>4020</v>
          </cell>
          <cell r="B93" t="str">
            <v>Energy Sales to Large Users</v>
          </cell>
          <cell r="C93">
            <v>-33387011.14</v>
          </cell>
          <cell r="D93">
            <v>0</v>
          </cell>
          <cell r="E93">
            <v>0</v>
          </cell>
          <cell r="F93">
            <v>-33387011.14</v>
          </cell>
          <cell r="G93">
            <v>0</v>
          </cell>
          <cell r="J93">
            <v>-33387011.14</v>
          </cell>
        </row>
        <row r="94">
          <cell r="A94">
            <v>4025</v>
          </cell>
          <cell r="B94" t="str">
            <v>Street Lighting Energy Sales</v>
          </cell>
          <cell r="C94">
            <v>-1696054.5300000003</v>
          </cell>
          <cell r="D94">
            <v>0</v>
          </cell>
          <cell r="E94">
            <v>0</v>
          </cell>
          <cell r="F94">
            <v>-1696054.5300000003</v>
          </cell>
          <cell r="G94">
            <v>0</v>
          </cell>
          <cell r="J94">
            <v>-1696054.5300000003</v>
          </cell>
        </row>
        <row r="95">
          <cell r="A95">
            <v>4030</v>
          </cell>
          <cell r="B95" t="str">
            <v>Sentinel Lighting Energy Sales</v>
          </cell>
          <cell r="C95">
            <v>-31939.68</v>
          </cell>
          <cell r="D95">
            <v>0</v>
          </cell>
          <cell r="E95">
            <v>0</v>
          </cell>
          <cell r="F95">
            <v>-31939.68</v>
          </cell>
          <cell r="G95">
            <v>0</v>
          </cell>
          <cell r="J95">
            <v>-31939.68</v>
          </cell>
        </row>
        <row r="96">
          <cell r="A96">
            <v>4035</v>
          </cell>
          <cell r="B96" t="str">
            <v>General Energy Sales</v>
          </cell>
          <cell r="C96">
            <v>-134077091.1</v>
          </cell>
          <cell r="D96">
            <v>0</v>
          </cell>
          <cell r="E96">
            <v>0</v>
          </cell>
          <cell r="F96">
            <v>-134077091.1</v>
          </cell>
          <cell r="G96">
            <v>0</v>
          </cell>
          <cell r="J96">
            <v>-134077091.1</v>
          </cell>
        </row>
        <row r="97">
          <cell r="A97">
            <v>4050</v>
          </cell>
          <cell r="B97" t="str">
            <v>Revenue Adjustment</v>
          </cell>
          <cell r="C97">
            <v>-681.06</v>
          </cell>
          <cell r="D97">
            <v>0</v>
          </cell>
          <cell r="E97">
            <v>0</v>
          </cell>
          <cell r="F97">
            <v>-681.06</v>
          </cell>
          <cell r="G97">
            <v>0</v>
          </cell>
          <cell r="J97">
            <v>-681.06</v>
          </cell>
        </row>
        <row r="98">
          <cell r="A98">
            <v>4055</v>
          </cell>
          <cell r="B98" t="str">
            <v>Energy Sales for Resale</v>
          </cell>
          <cell r="C98">
            <v>-29111414.36</v>
          </cell>
          <cell r="D98">
            <v>0</v>
          </cell>
          <cell r="E98">
            <v>0</v>
          </cell>
          <cell r="F98">
            <v>-29111414.36</v>
          </cell>
          <cell r="G98">
            <v>0</v>
          </cell>
          <cell r="J98">
            <v>-29111414.36</v>
          </cell>
        </row>
        <row r="99">
          <cell r="A99">
            <v>4062</v>
          </cell>
          <cell r="B99" t="str">
            <v>Billed WMS</v>
          </cell>
          <cell r="C99">
            <v>-28568553.37</v>
          </cell>
          <cell r="D99">
            <v>0</v>
          </cell>
          <cell r="E99">
            <v>0</v>
          </cell>
          <cell r="F99">
            <v>-28568553.37</v>
          </cell>
          <cell r="G99">
            <v>0</v>
          </cell>
          <cell r="J99">
            <v>-28568553.37</v>
          </cell>
        </row>
        <row r="100">
          <cell r="A100">
            <v>4066</v>
          </cell>
          <cell r="B100" t="str">
            <v>Billed NW</v>
          </cell>
          <cell r="C100">
            <v>-25634368.849999998</v>
          </cell>
          <cell r="D100">
            <v>0</v>
          </cell>
          <cell r="E100">
            <v>0</v>
          </cell>
          <cell r="F100">
            <v>-25634368.849999998</v>
          </cell>
          <cell r="G100">
            <v>0</v>
          </cell>
          <cell r="J100">
            <v>-25634368.849999998</v>
          </cell>
        </row>
        <row r="101">
          <cell r="A101">
            <v>4068</v>
          </cell>
          <cell r="B101" t="str">
            <v>Billed CN</v>
          </cell>
          <cell r="C101">
            <v>-23276543.369999997</v>
          </cell>
          <cell r="D101">
            <v>0</v>
          </cell>
          <cell r="E101">
            <v>0</v>
          </cell>
          <cell r="F101">
            <v>-23276543.369999997</v>
          </cell>
          <cell r="G101">
            <v>0</v>
          </cell>
          <cell r="J101">
            <v>-23276543.369999997</v>
          </cell>
        </row>
        <row r="102">
          <cell r="A102">
            <v>4075</v>
          </cell>
          <cell r="B102" t="str">
            <v>Billed LV</v>
          </cell>
          <cell r="C102">
            <v>-164506.26</v>
          </cell>
          <cell r="D102">
            <v>0</v>
          </cell>
          <cell r="E102">
            <v>0</v>
          </cell>
          <cell r="F102">
            <v>-164506.26</v>
          </cell>
          <cell r="G102">
            <v>0</v>
          </cell>
          <cell r="J102">
            <v>-164506.26</v>
          </cell>
        </row>
        <row r="103">
          <cell r="A103">
            <v>4080</v>
          </cell>
          <cell r="B103" t="str">
            <v>Distribution Services Revenue</v>
          </cell>
          <cell r="C103">
            <v>-84658325.36000003</v>
          </cell>
          <cell r="D103">
            <v>-90834823.5</v>
          </cell>
          <cell r="E103">
            <v>0</v>
          </cell>
          <cell r="F103">
            <v>-90834823.5</v>
          </cell>
          <cell r="G103">
            <v>-98806580</v>
          </cell>
          <cell r="J103">
            <v>-98806580</v>
          </cell>
        </row>
        <row r="104">
          <cell r="A104">
            <v>4082</v>
          </cell>
          <cell r="B104" t="str">
            <v>Retail Services Revenues</v>
          </cell>
          <cell r="C104">
            <v>-133460.47999999998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J104">
            <v>0</v>
          </cell>
        </row>
        <row r="105">
          <cell r="A105">
            <v>4084</v>
          </cell>
          <cell r="B105" t="str">
            <v>Service Transaction Requests (STR) Revenues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J105">
            <v>0</v>
          </cell>
        </row>
        <row r="106">
          <cell r="A106">
            <v>4210</v>
          </cell>
          <cell r="B106" t="str">
            <v>Rent from Electric Property</v>
          </cell>
          <cell r="C106">
            <v>-1414683.74</v>
          </cell>
          <cell r="D106">
            <v>-1361532</v>
          </cell>
          <cell r="E106">
            <v>0</v>
          </cell>
          <cell r="F106">
            <v>-1361532</v>
          </cell>
          <cell r="G106">
            <v>-1194572</v>
          </cell>
          <cell r="J106">
            <v>-1194572</v>
          </cell>
        </row>
        <row r="107">
          <cell r="A107">
            <v>4225</v>
          </cell>
          <cell r="B107" t="str">
            <v>Late Payment Charges</v>
          </cell>
          <cell r="C107">
            <v>-883572.33</v>
          </cell>
          <cell r="D107">
            <v>-850000</v>
          </cell>
          <cell r="E107">
            <v>0</v>
          </cell>
          <cell r="F107">
            <v>-850000</v>
          </cell>
          <cell r="G107">
            <v>-850000</v>
          </cell>
          <cell r="J107">
            <v>-850000</v>
          </cell>
        </row>
        <row r="108">
          <cell r="A108">
            <v>4235</v>
          </cell>
          <cell r="B108" t="str">
            <v>Miscellaneous Service Revenues</v>
          </cell>
          <cell r="C108">
            <v>-1679654.76</v>
          </cell>
          <cell r="D108">
            <v>-1546798</v>
          </cell>
          <cell r="E108">
            <v>0</v>
          </cell>
          <cell r="F108">
            <v>-1546798</v>
          </cell>
          <cell r="G108">
            <v>-1545462</v>
          </cell>
          <cell r="J108">
            <v>-1545462</v>
          </cell>
        </row>
        <row r="109">
          <cell r="A109">
            <v>4325</v>
          </cell>
          <cell r="B109" t="str">
            <v>Revenues from Merchandise, Jobbing, Etc.</v>
          </cell>
          <cell r="C109">
            <v>-21731.949999999997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J109">
            <v>0</v>
          </cell>
        </row>
        <row r="110">
          <cell r="A110">
            <v>4355</v>
          </cell>
          <cell r="B110" t="str">
            <v>Gain on Disposition of Utility and Other Property</v>
          </cell>
          <cell r="C110">
            <v>-91544.31</v>
          </cell>
          <cell r="D110" t="str">
            <v>0</v>
          </cell>
          <cell r="E110">
            <v>0</v>
          </cell>
          <cell r="F110">
            <v>0</v>
          </cell>
          <cell r="G110">
            <v>0</v>
          </cell>
          <cell r="J110">
            <v>0</v>
          </cell>
        </row>
        <row r="111">
          <cell r="A111">
            <v>4375</v>
          </cell>
          <cell r="B111" t="str">
            <v>Revenues from Non-Utility Operations</v>
          </cell>
          <cell r="C111">
            <v>-2363.69</v>
          </cell>
          <cell r="D111">
            <v>-505000</v>
          </cell>
          <cell r="E111">
            <v>505000</v>
          </cell>
          <cell r="F111">
            <v>0</v>
          </cell>
          <cell r="G111">
            <v>-793141</v>
          </cell>
          <cell r="I111">
            <v>793141</v>
          </cell>
          <cell r="J111">
            <v>0</v>
          </cell>
        </row>
        <row r="112">
          <cell r="A112">
            <v>4390</v>
          </cell>
          <cell r="B112" t="str">
            <v>Miscellaneous Non-Operating Income</v>
          </cell>
          <cell r="C112">
            <v>-1252049.4300000004</v>
          </cell>
          <cell r="D112">
            <v>-1261665</v>
          </cell>
          <cell r="E112">
            <v>0</v>
          </cell>
          <cell r="F112">
            <v>-1261665</v>
          </cell>
          <cell r="G112">
            <v>-1308935.2890625</v>
          </cell>
          <cell r="J112">
            <v>-1308935.2890625</v>
          </cell>
        </row>
        <row r="113">
          <cell r="A113">
            <v>4405</v>
          </cell>
          <cell r="B113" t="str">
            <v>Interest and Dividend Income</v>
          </cell>
          <cell r="C113">
            <v>-13465.009999999998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J113">
            <v>0</v>
          </cell>
        </row>
        <row r="114">
          <cell r="A114">
            <v>4615</v>
          </cell>
          <cell r="B114" t="str">
            <v>Maintenance of Boiler Plant</v>
          </cell>
          <cell r="C114">
            <v>0</v>
          </cell>
          <cell r="D114" t="str">
            <v>0</v>
          </cell>
          <cell r="E114">
            <v>0</v>
          </cell>
          <cell r="F114">
            <v>0</v>
          </cell>
          <cell r="G114">
            <v>0</v>
          </cell>
          <cell r="J114">
            <v>0</v>
          </cell>
        </row>
        <row r="115">
          <cell r="A115">
            <v>4635</v>
          </cell>
          <cell r="B115" t="str">
            <v>Maintenance of Generating and Electric Plant</v>
          </cell>
          <cell r="C115">
            <v>0</v>
          </cell>
          <cell r="D115" t="str">
            <v>0</v>
          </cell>
          <cell r="E115">
            <v>0</v>
          </cell>
          <cell r="F115">
            <v>0</v>
          </cell>
          <cell r="G115">
            <v>0</v>
          </cell>
          <cell r="J115">
            <v>0</v>
          </cell>
        </row>
        <row r="116">
          <cell r="A116">
            <v>4705</v>
          </cell>
          <cell r="B116" t="str">
            <v>Power Purchased</v>
          </cell>
          <cell r="C116">
            <v>213392186.39000002</v>
          </cell>
          <cell r="D116">
            <v>0</v>
          </cell>
          <cell r="E116">
            <v>0</v>
          </cell>
          <cell r="F116">
            <v>213392186.39000002</v>
          </cell>
          <cell r="G116">
            <v>0</v>
          </cell>
          <cell r="J116">
            <v>213392186.39000002</v>
          </cell>
        </row>
        <row r="117">
          <cell r="A117">
            <v>4708</v>
          </cell>
          <cell r="B117" t="str">
            <v>Charges-WMS</v>
          </cell>
          <cell r="C117">
            <v>28568553.37</v>
          </cell>
          <cell r="D117">
            <v>0</v>
          </cell>
          <cell r="E117">
            <v>0</v>
          </cell>
          <cell r="F117">
            <v>28568553.37</v>
          </cell>
          <cell r="G117">
            <v>0</v>
          </cell>
          <cell r="J117">
            <v>28568553.37</v>
          </cell>
        </row>
        <row r="118">
          <cell r="A118">
            <v>4710</v>
          </cell>
          <cell r="B118" t="str">
            <v>Cost of Power Adjustments</v>
          </cell>
          <cell r="C118">
            <v>71588493.84</v>
          </cell>
          <cell r="D118">
            <v>0</v>
          </cell>
          <cell r="E118">
            <v>0</v>
          </cell>
          <cell r="F118">
            <v>71588493.84</v>
          </cell>
          <cell r="G118">
            <v>0</v>
          </cell>
          <cell r="J118">
            <v>71588493.84</v>
          </cell>
        </row>
        <row r="119">
          <cell r="A119">
            <v>4714</v>
          </cell>
          <cell r="B119" t="str">
            <v>Charges-NW</v>
          </cell>
          <cell r="C119">
            <v>25634368.85</v>
          </cell>
          <cell r="D119">
            <v>0</v>
          </cell>
          <cell r="E119">
            <v>0</v>
          </cell>
          <cell r="F119">
            <v>25634368.85</v>
          </cell>
          <cell r="G119">
            <v>0</v>
          </cell>
          <cell r="J119">
            <v>25634368.85</v>
          </cell>
        </row>
        <row r="120">
          <cell r="A120">
            <v>4716</v>
          </cell>
          <cell r="B120" t="str">
            <v>Charges-CN</v>
          </cell>
          <cell r="C120">
            <v>23276543.37</v>
          </cell>
          <cell r="D120">
            <v>0</v>
          </cell>
          <cell r="E120">
            <v>0</v>
          </cell>
          <cell r="F120">
            <v>23276543.37</v>
          </cell>
          <cell r="G120">
            <v>0</v>
          </cell>
          <cell r="J120">
            <v>23276543.37</v>
          </cell>
        </row>
        <row r="121">
          <cell r="A121">
            <v>4720</v>
          </cell>
          <cell r="B121" t="str">
            <v>Other Expenses</v>
          </cell>
          <cell r="C121" t="str">
            <v/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J121">
            <v>0</v>
          </cell>
        </row>
        <row r="122">
          <cell r="A122">
            <v>4750</v>
          </cell>
          <cell r="B122" t="str">
            <v>Charges-LV</v>
          </cell>
          <cell r="C122">
            <v>164506.26</v>
          </cell>
          <cell r="D122">
            <v>0</v>
          </cell>
          <cell r="E122">
            <v>0</v>
          </cell>
          <cell r="F122">
            <v>164506.26</v>
          </cell>
          <cell r="G122">
            <v>0</v>
          </cell>
          <cell r="J122">
            <v>164506.26</v>
          </cell>
        </row>
        <row r="123">
          <cell r="A123">
            <v>4830</v>
          </cell>
          <cell r="B123" t="str">
            <v>Overhead Line Expenses</v>
          </cell>
          <cell r="C123" t="str">
            <v/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J123">
            <v>0</v>
          </cell>
        </row>
        <row r="124">
          <cell r="A124">
            <v>5005</v>
          </cell>
          <cell r="B124" t="str">
            <v>Operation Supervision and Engineering</v>
          </cell>
          <cell r="C124">
            <v>2048737.6899999997</v>
          </cell>
          <cell r="D124">
            <v>1862266.8500000006</v>
          </cell>
          <cell r="E124">
            <v>70130</v>
          </cell>
          <cell r="F124">
            <v>1932396.8500000006</v>
          </cell>
          <cell r="G124">
            <v>3166403.7066955566</v>
          </cell>
          <cell r="J124">
            <v>3166403.7066955566</v>
          </cell>
        </row>
        <row r="125">
          <cell r="A125">
            <v>5010</v>
          </cell>
          <cell r="B125" t="str">
            <v>Load Dispatching</v>
          </cell>
          <cell r="C125">
            <v>2261059.3000000003</v>
          </cell>
          <cell r="D125">
            <v>2159712.0500000007</v>
          </cell>
          <cell r="E125">
            <v>0</v>
          </cell>
          <cell r="F125">
            <v>2159712.0500000007</v>
          </cell>
          <cell r="G125">
            <v>2413976.9206695557</v>
          </cell>
          <cell r="J125">
            <v>2413976.9206695557</v>
          </cell>
        </row>
        <row r="126">
          <cell r="A126">
            <v>5012</v>
          </cell>
          <cell r="B126" t="str">
            <v>Station Buildings and Fixtures Expense</v>
          </cell>
          <cell r="C126">
            <v>17446.69</v>
          </cell>
          <cell r="D126">
            <v>415039</v>
          </cell>
          <cell r="E126">
            <v>0</v>
          </cell>
          <cell r="F126">
            <v>415039</v>
          </cell>
          <cell r="G126">
            <v>540097</v>
          </cell>
          <cell r="J126">
            <v>540097</v>
          </cell>
        </row>
        <row r="127">
          <cell r="A127">
            <v>5015</v>
          </cell>
          <cell r="B127" t="str">
            <v>Transformer Station Equipment - Operation Supplies and Expenses</v>
          </cell>
          <cell r="C127" t="str">
            <v/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J127">
            <v>0</v>
          </cell>
        </row>
        <row r="128">
          <cell r="A128">
            <v>5016</v>
          </cell>
          <cell r="B128" t="str">
            <v>Distribution Station Equipment - Operation Labour</v>
          </cell>
          <cell r="C128">
            <v>29770.090000000037</v>
          </cell>
          <cell r="D128">
            <v>6157.080000000004</v>
          </cell>
          <cell r="E128">
            <v>0</v>
          </cell>
          <cell r="F128">
            <v>6157.080000000004</v>
          </cell>
          <cell r="G128">
            <v>246808.9921875</v>
          </cell>
          <cell r="J128">
            <v>246808.9921875</v>
          </cell>
        </row>
        <row r="129">
          <cell r="A129">
            <v>5017</v>
          </cell>
          <cell r="B129" t="str">
            <v>Distribution Station Equipment - Operation Supplies and Expenses</v>
          </cell>
          <cell r="C129">
            <v>305875.37</v>
          </cell>
          <cell r="D129">
            <v>296389.56</v>
          </cell>
          <cell r="E129">
            <v>0</v>
          </cell>
          <cell r="F129">
            <v>296389.56</v>
          </cell>
          <cell r="G129">
            <v>280739.68981933594</v>
          </cell>
          <cell r="J129">
            <v>280739.68981933594</v>
          </cell>
        </row>
        <row r="130">
          <cell r="A130">
            <v>5020</v>
          </cell>
          <cell r="B130" t="str">
            <v>Overhead Distribution Lines and Feeders - Operation Labour</v>
          </cell>
          <cell r="C130">
            <v>2086103.1600000001</v>
          </cell>
          <cell r="D130">
            <v>585603.8599999993</v>
          </cell>
          <cell r="E130">
            <v>5373</v>
          </cell>
          <cell r="F130">
            <v>590976.8599999993</v>
          </cell>
          <cell r="G130">
            <v>677072.927947998</v>
          </cell>
          <cell r="J130">
            <v>677072.927947998</v>
          </cell>
        </row>
        <row r="131">
          <cell r="A131">
            <v>5025</v>
          </cell>
          <cell r="B131" t="str">
            <v>Overhead Distribution Lines &amp; Feeders - Operation Supplies and Expenses</v>
          </cell>
          <cell r="C131">
            <v>322404.95</v>
          </cell>
          <cell r="D131">
            <v>356441</v>
          </cell>
          <cell r="E131">
            <v>0</v>
          </cell>
          <cell r="F131">
            <v>356441</v>
          </cell>
          <cell r="G131">
            <v>562390.1116790771</v>
          </cell>
          <cell r="J131">
            <v>562390.1116790771</v>
          </cell>
        </row>
        <row r="132">
          <cell r="A132">
            <v>5035</v>
          </cell>
          <cell r="B132" t="str">
            <v>Overhead Distribution Transformers- Operation</v>
          </cell>
          <cell r="C132" t="str">
            <v/>
          </cell>
          <cell r="D132">
            <v>1127.14</v>
          </cell>
          <cell r="E132">
            <v>-1127</v>
          </cell>
          <cell r="F132">
            <v>0.14000000000010004</v>
          </cell>
          <cell r="G132">
            <v>0</v>
          </cell>
          <cell r="J132">
            <v>0</v>
          </cell>
        </row>
        <row r="133">
          <cell r="A133">
            <v>5040</v>
          </cell>
          <cell r="B133" t="str">
            <v>Underground Distribution Lines and Feeders - Operation Labour</v>
          </cell>
          <cell r="C133">
            <v>633907.4500000001</v>
          </cell>
          <cell r="D133">
            <v>532325.1700000002</v>
          </cell>
          <cell r="E133">
            <v>-256525</v>
          </cell>
          <cell r="F133">
            <v>275800.17000000016</v>
          </cell>
          <cell r="G133">
            <v>312081.015625</v>
          </cell>
          <cell r="J133">
            <v>312081.015625</v>
          </cell>
        </row>
        <row r="134">
          <cell r="A134">
            <v>5045</v>
          </cell>
          <cell r="B134" t="str">
            <v>Underground Distribution Lines &amp; Feeders - Operation Supplies &amp; Expenses</v>
          </cell>
          <cell r="C134">
            <v>867144.26</v>
          </cell>
          <cell r="D134">
            <v>953546.08</v>
          </cell>
          <cell r="E134">
            <v>0</v>
          </cell>
          <cell r="F134">
            <v>953546.08</v>
          </cell>
          <cell r="G134">
            <v>898854.4375</v>
          </cell>
          <cell r="J134">
            <v>898854.4375</v>
          </cell>
        </row>
        <row r="135">
          <cell r="A135">
            <v>5050</v>
          </cell>
          <cell r="B135" t="str">
            <v>Underground Subtransmission Feeders - Operation</v>
          </cell>
          <cell r="C135">
            <v>133.06</v>
          </cell>
          <cell r="D135" t="str">
            <v>0</v>
          </cell>
          <cell r="E135">
            <v>0</v>
          </cell>
          <cell r="F135">
            <v>0</v>
          </cell>
          <cell r="G135">
            <v>0</v>
          </cell>
          <cell r="J135">
            <v>0</v>
          </cell>
        </row>
        <row r="136">
          <cell r="A136">
            <v>5055</v>
          </cell>
          <cell r="B136" t="str">
            <v>Underground Distribution Transformers - Operation</v>
          </cell>
          <cell r="C136">
            <v>14765.090000000002</v>
          </cell>
          <cell r="D136">
            <v>7790.610000000001</v>
          </cell>
          <cell r="E136">
            <v>13031</v>
          </cell>
          <cell r="F136">
            <v>20821.61</v>
          </cell>
          <cell r="G136">
            <v>24263.455402374268</v>
          </cell>
          <cell r="J136">
            <v>24263.455402374268</v>
          </cell>
        </row>
        <row r="137">
          <cell r="A137">
            <v>5065</v>
          </cell>
          <cell r="B137" t="str">
            <v>Meter Expense</v>
          </cell>
          <cell r="C137">
            <v>3487991.2700000005</v>
          </cell>
          <cell r="D137">
            <v>4059631.0999999987</v>
          </cell>
          <cell r="E137">
            <v>0</v>
          </cell>
          <cell r="F137">
            <v>4059631.0999999987</v>
          </cell>
          <cell r="G137">
            <v>6246805.260787964</v>
          </cell>
          <cell r="J137">
            <v>6246805.260787964</v>
          </cell>
        </row>
        <row r="138">
          <cell r="A138">
            <v>5070</v>
          </cell>
          <cell r="B138" t="str">
            <v>Customer Premises - Operation Labour</v>
          </cell>
          <cell r="C138">
            <v>763145.92</v>
          </cell>
          <cell r="D138">
            <v>764868.6000000001</v>
          </cell>
          <cell r="E138">
            <v>246409</v>
          </cell>
          <cell r="F138">
            <v>1011277.6000000001</v>
          </cell>
          <cell r="G138">
            <v>1144306</v>
          </cell>
          <cell r="J138">
            <v>1144306</v>
          </cell>
        </row>
        <row r="139">
          <cell r="A139">
            <v>5075</v>
          </cell>
          <cell r="B139" t="str">
            <v>Customer Premises - Materials and Expenses</v>
          </cell>
          <cell r="C139">
            <v>339211.66000000003</v>
          </cell>
          <cell r="D139">
            <v>295116.04</v>
          </cell>
          <cell r="E139">
            <v>0</v>
          </cell>
          <cell r="F139">
            <v>295116.04</v>
          </cell>
          <cell r="G139">
            <v>510538.98026275635</v>
          </cell>
          <cell r="J139">
            <v>510538.98026275635</v>
          </cell>
        </row>
        <row r="140">
          <cell r="A140">
            <v>5085</v>
          </cell>
          <cell r="B140" t="str">
            <v>Miscellaneous Distribution Expense</v>
          </cell>
          <cell r="C140">
            <v>1012610.0399999999</v>
          </cell>
          <cell r="D140">
            <v>901492.72</v>
          </cell>
          <cell r="E140">
            <v>637859</v>
          </cell>
          <cell r="F140">
            <v>1539351.72</v>
          </cell>
          <cell r="G140">
            <v>1527544.004272461</v>
          </cell>
          <cell r="J140">
            <v>1527544.004272461</v>
          </cell>
        </row>
        <row r="141">
          <cell r="A141">
            <v>5096</v>
          </cell>
          <cell r="B141" t="str">
            <v>Other Rent</v>
          </cell>
          <cell r="C141">
            <v>226646</v>
          </cell>
          <cell r="D141">
            <v>250000.08000000002</v>
          </cell>
          <cell r="E141">
            <v>0</v>
          </cell>
          <cell r="F141">
            <v>250000.08000000002</v>
          </cell>
          <cell r="G141">
            <v>250000</v>
          </cell>
          <cell r="J141">
            <v>250000</v>
          </cell>
        </row>
        <row r="142">
          <cell r="A142">
            <v>5105</v>
          </cell>
          <cell r="B142" t="str">
            <v>Maintenance Supervision and Engineering</v>
          </cell>
          <cell r="C142">
            <v>144546.38000000003</v>
          </cell>
          <cell r="D142">
            <v>0</v>
          </cell>
          <cell r="E142">
            <v>0</v>
          </cell>
          <cell r="F142">
            <v>0</v>
          </cell>
          <cell r="G142">
            <v>194570.21295166016</v>
          </cell>
          <cell r="J142">
            <v>194570.21295166016</v>
          </cell>
        </row>
        <row r="143">
          <cell r="A143">
            <v>5110</v>
          </cell>
          <cell r="B143" t="str">
            <v>Maintenance of Buildings and Fixtures - Distribution Stations</v>
          </cell>
          <cell r="C143">
            <v>241273.66999999998</v>
          </cell>
          <cell r="D143">
            <v>360640.88</v>
          </cell>
          <cell r="E143">
            <v>0</v>
          </cell>
          <cell r="F143">
            <v>360640.88</v>
          </cell>
          <cell r="G143">
            <v>160858.38418579102</v>
          </cell>
          <cell r="J143">
            <v>160858.38418579102</v>
          </cell>
        </row>
        <row r="144">
          <cell r="A144">
            <v>5114</v>
          </cell>
          <cell r="B144" t="str">
            <v>Maintenance of Distribution Station Equipment</v>
          </cell>
          <cell r="C144">
            <v>375439.23999999993</v>
          </cell>
          <cell r="D144">
            <v>473507.91000000003</v>
          </cell>
          <cell r="E144">
            <v>23686</v>
          </cell>
          <cell r="F144">
            <v>497193.91000000003</v>
          </cell>
          <cell r="G144">
            <v>612987.4544677734</v>
          </cell>
          <cell r="J144">
            <v>612987.4544677734</v>
          </cell>
        </row>
        <row r="145">
          <cell r="A145">
            <v>5120</v>
          </cell>
          <cell r="B145" t="str">
            <v>Maintenance of Poles, Towers and Fixtures</v>
          </cell>
          <cell r="C145">
            <v>132846.83000000002</v>
          </cell>
          <cell r="D145">
            <v>249134.62</v>
          </cell>
          <cell r="E145">
            <v>-84407</v>
          </cell>
          <cell r="F145">
            <v>164727.62</v>
          </cell>
          <cell r="G145">
            <v>330646.4505004883</v>
          </cell>
          <cell r="J145">
            <v>330646.4505004883</v>
          </cell>
        </row>
        <row r="146">
          <cell r="A146">
            <v>5125</v>
          </cell>
          <cell r="B146" t="str">
            <v>Maintenance of Overhead Conductors and Devices</v>
          </cell>
          <cell r="C146">
            <v>1048377.4700000001</v>
          </cell>
          <cell r="D146">
            <v>1264675.41</v>
          </cell>
          <cell r="E146">
            <v>-231341</v>
          </cell>
          <cell r="F146">
            <v>1033334.4099999999</v>
          </cell>
          <cell r="G146">
            <v>1237839.98828125</v>
          </cell>
          <cell r="J146">
            <v>1237839.98828125</v>
          </cell>
        </row>
        <row r="147">
          <cell r="A147">
            <v>5130</v>
          </cell>
          <cell r="B147" t="str">
            <v>Maintenance of Overhead Services</v>
          </cell>
          <cell r="C147">
            <v>68025.67</v>
          </cell>
          <cell r="D147">
            <v>545905.47</v>
          </cell>
          <cell r="E147">
            <v>-284538</v>
          </cell>
          <cell r="F147">
            <v>261367.46999999997</v>
          </cell>
          <cell r="G147">
            <v>116750.04455566406</v>
          </cell>
          <cell r="J147">
            <v>116750.04455566406</v>
          </cell>
        </row>
        <row r="148">
          <cell r="A148">
            <v>5135</v>
          </cell>
          <cell r="B148" t="str">
            <v>Overhead Distribution Lines and Feeders - Right of Way</v>
          </cell>
          <cell r="C148">
            <v>1116019.71</v>
          </cell>
          <cell r="D148">
            <v>1064513.9900000002</v>
          </cell>
          <cell r="E148">
            <v>24795</v>
          </cell>
          <cell r="F148">
            <v>1089308.9900000002</v>
          </cell>
          <cell r="G148">
            <v>1328186.3779296875</v>
          </cell>
          <cell r="J148">
            <v>1328186.3779296875</v>
          </cell>
        </row>
        <row r="149">
          <cell r="A149">
            <v>5145</v>
          </cell>
          <cell r="B149" t="str">
            <v>Maintenance of Underground Conduit</v>
          </cell>
          <cell r="C149">
            <v>110915.84999999999</v>
          </cell>
          <cell r="D149">
            <v>59442.24</v>
          </cell>
          <cell r="E149">
            <v>27983</v>
          </cell>
          <cell r="F149">
            <v>87425.23999999999</v>
          </cell>
          <cell r="G149">
            <v>106967.76123046875</v>
          </cell>
          <cell r="J149">
            <v>106967.76123046875</v>
          </cell>
        </row>
        <row r="150">
          <cell r="A150">
            <v>5150</v>
          </cell>
          <cell r="B150" t="str">
            <v>Maintenance of Underground Conductors and Devices</v>
          </cell>
          <cell r="C150">
            <v>381874.77999999985</v>
          </cell>
          <cell r="D150">
            <v>842363.13</v>
          </cell>
          <cell r="E150">
            <v>-196625</v>
          </cell>
          <cell r="F150">
            <v>645738.13</v>
          </cell>
          <cell r="G150">
            <v>690522.8529510498</v>
          </cell>
          <cell r="J150">
            <v>690522.8529510498</v>
          </cell>
        </row>
        <row r="151">
          <cell r="A151">
            <v>5155</v>
          </cell>
          <cell r="B151" t="str">
            <v>Maintenance of Underground Services</v>
          </cell>
          <cell r="C151">
            <v>121661.31</v>
          </cell>
          <cell r="D151">
            <v>51135.04</v>
          </cell>
          <cell r="E151">
            <v>27382</v>
          </cell>
          <cell r="F151">
            <v>78517.04000000001</v>
          </cell>
          <cell r="G151">
            <v>41216.49836730957</v>
          </cell>
          <cell r="J151">
            <v>41216.49836730957</v>
          </cell>
        </row>
        <row r="152">
          <cell r="A152">
            <v>5160</v>
          </cell>
          <cell r="B152" t="str">
            <v>Maintenance of Line Transformers</v>
          </cell>
          <cell r="C152">
            <v>52625.27999999999</v>
          </cell>
          <cell r="D152">
            <v>227508.1</v>
          </cell>
          <cell r="E152">
            <v>-96619</v>
          </cell>
          <cell r="F152">
            <v>130889.1</v>
          </cell>
          <cell r="G152">
            <v>171467.77783203125</v>
          </cell>
          <cell r="J152">
            <v>171467.77783203125</v>
          </cell>
        </row>
        <row r="153">
          <cell r="A153">
            <v>5175</v>
          </cell>
          <cell r="B153" t="str">
            <v>Maintenance of Meters</v>
          </cell>
          <cell r="C153">
            <v>89029.16</v>
          </cell>
          <cell r="D153">
            <v>229934.83</v>
          </cell>
          <cell r="E153">
            <v>0</v>
          </cell>
          <cell r="F153">
            <v>229934.83</v>
          </cell>
          <cell r="G153">
            <v>300193.5849609375</v>
          </cell>
          <cell r="J153">
            <v>300193.5849609375</v>
          </cell>
        </row>
        <row r="154">
          <cell r="A154">
            <v>5310</v>
          </cell>
          <cell r="B154" t="str">
            <v>Meter Reading Expense</v>
          </cell>
          <cell r="C154">
            <v>0</v>
          </cell>
          <cell r="D154" t="str">
            <v>0</v>
          </cell>
          <cell r="E154">
            <v>0</v>
          </cell>
          <cell r="F154">
            <v>0</v>
          </cell>
          <cell r="G154">
            <v>0</v>
          </cell>
          <cell r="J154">
            <v>0</v>
          </cell>
        </row>
        <row r="155">
          <cell r="A155">
            <v>5315</v>
          </cell>
          <cell r="B155" t="str">
            <v>Customer Billing</v>
          </cell>
          <cell r="C155">
            <v>36388.17</v>
          </cell>
          <cell r="D155" t="str">
            <v>0</v>
          </cell>
          <cell r="E155">
            <v>0</v>
          </cell>
          <cell r="F155">
            <v>0</v>
          </cell>
          <cell r="G155">
            <v>0</v>
          </cell>
          <cell r="J155">
            <v>0</v>
          </cell>
        </row>
        <row r="156">
          <cell r="A156">
            <v>5320</v>
          </cell>
          <cell r="B156" t="str">
            <v>Collecting</v>
          </cell>
          <cell r="C156">
            <v>255677.53</v>
          </cell>
          <cell r="D156">
            <v>0</v>
          </cell>
          <cell r="E156">
            <v>0</v>
          </cell>
          <cell r="F156">
            <v>0</v>
          </cell>
          <cell r="G156">
            <v>107210.7159614563</v>
          </cell>
          <cell r="J156">
            <v>107210.7159614563</v>
          </cell>
        </row>
        <row r="157">
          <cell r="A157">
            <v>5330</v>
          </cell>
          <cell r="B157" t="str">
            <v>Collection Charges</v>
          </cell>
          <cell r="C157">
            <v>0</v>
          </cell>
          <cell r="D157">
            <v>105000</v>
          </cell>
          <cell r="E157">
            <v>0</v>
          </cell>
          <cell r="F157">
            <v>105000</v>
          </cell>
          <cell r="G157">
            <v>0</v>
          </cell>
          <cell r="J157">
            <v>0</v>
          </cell>
        </row>
        <row r="158">
          <cell r="A158">
            <v>5335</v>
          </cell>
          <cell r="B158" t="str">
            <v>Bad Debt Expense</v>
          </cell>
          <cell r="C158">
            <v>1310334.95</v>
          </cell>
          <cell r="D158">
            <v>970000</v>
          </cell>
          <cell r="E158">
            <v>0</v>
          </cell>
          <cell r="F158">
            <v>970000</v>
          </cell>
          <cell r="G158">
            <v>1350000</v>
          </cell>
          <cell r="J158">
            <v>1350000</v>
          </cell>
        </row>
        <row r="159">
          <cell r="A159">
            <v>5340</v>
          </cell>
          <cell r="B159" t="str">
            <v>Miscellaneous Customer Accounts Expenses</v>
          </cell>
          <cell r="C159">
            <v>6710000.04</v>
          </cell>
          <cell r="D159">
            <v>6710000.04</v>
          </cell>
          <cell r="E159">
            <v>0</v>
          </cell>
          <cell r="F159">
            <v>6710000.04</v>
          </cell>
          <cell r="G159">
            <v>7080650</v>
          </cell>
          <cell r="J159">
            <v>7080650</v>
          </cell>
        </row>
        <row r="160">
          <cell r="A160">
            <v>5405</v>
          </cell>
          <cell r="B160" t="str">
            <v>Supervision</v>
          </cell>
          <cell r="C160">
            <v>56.68</v>
          </cell>
          <cell r="D160">
            <v>27645.55</v>
          </cell>
          <cell r="E160">
            <v>0</v>
          </cell>
          <cell r="F160">
            <v>27645.55</v>
          </cell>
          <cell r="G160">
            <v>0</v>
          </cell>
          <cell r="J160">
            <v>0</v>
          </cell>
        </row>
        <row r="161">
          <cell r="A161">
            <v>5410</v>
          </cell>
          <cell r="B161" t="str">
            <v>Community Relations - Sundry</v>
          </cell>
          <cell r="C161">
            <v>307112.39</v>
          </cell>
          <cell r="D161">
            <v>35000</v>
          </cell>
          <cell r="E161">
            <v>0</v>
          </cell>
          <cell r="F161">
            <v>35000</v>
          </cell>
          <cell r="G161">
            <v>0</v>
          </cell>
          <cell r="J161">
            <v>0</v>
          </cell>
        </row>
        <row r="162">
          <cell r="A162">
            <v>5415</v>
          </cell>
          <cell r="B162" t="str">
            <v>Energy Conservation</v>
          </cell>
          <cell r="C162">
            <v>18310.62</v>
          </cell>
          <cell r="D162">
            <v>632481.5099999999</v>
          </cell>
          <cell r="E162">
            <v>-619628.51</v>
          </cell>
          <cell r="F162">
            <v>12852.999999999884</v>
          </cell>
          <cell r="G162">
            <v>363091.76904296875</v>
          </cell>
          <cell r="I162">
            <v>-363091.76904296875</v>
          </cell>
          <cell r="J162">
            <v>0</v>
          </cell>
        </row>
        <row r="163">
          <cell r="A163">
            <v>5420</v>
          </cell>
          <cell r="B163" t="str">
            <v>Community Safety Program</v>
          </cell>
          <cell r="C163">
            <v>20360</v>
          </cell>
          <cell r="D163">
            <v>0</v>
          </cell>
          <cell r="E163">
            <v>0</v>
          </cell>
          <cell r="F163">
            <v>0</v>
          </cell>
          <cell r="G163">
            <v>35000</v>
          </cell>
          <cell r="J163">
            <v>35000</v>
          </cell>
        </row>
        <row r="164">
          <cell r="A164">
            <v>5515</v>
          </cell>
          <cell r="B164" t="str">
            <v>Advertising Expense</v>
          </cell>
          <cell r="C164">
            <v>89996.79</v>
          </cell>
          <cell r="D164" t="str">
            <v>0</v>
          </cell>
          <cell r="E164">
            <v>0</v>
          </cell>
          <cell r="F164">
            <v>0</v>
          </cell>
          <cell r="G164">
            <v>0</v>
          </cell>
          <cell r="J164">
            <v>0</v>
          </cell>
        </row>
        <row r="165">
          <cell r="A165">
            <v>5520</v>
          </cell>
          <cell r="B165" t="str">
            <v>Miscellaneous Sales Expense</v>
          </cell>
          <cell r="C165" t="str">
            <v/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J165">
            <v>0</v>
          </cell>
        </row>
        <row r="166">
          <cell r="A166">
            <v>5605</v>
          </cell>
          <cell r="B166" t="str">
            <v>Executive Salaries and Expenses</v>
          </cell>
          <cell r="C166">
            <v>1393623.9100000008</v>
          </cell>
          <cell r="D166">
            <v>1739871.6599999995</v>
          </cell>
          <cell r="E166">
            <v>0</v>
          </cell>
          <cell r="F166">
            <v>1739871.6599999995</v>
          </cell>
          <cell r="G166">
            <v>1926963.6085205078</v>
          </cell>
          <cell r="J166">
            <v>1926963.6085205078</v>
          </cell>
        </row>
        <row r="167">
          <cell r="A167">
            <v>5610</v>
          </cell>
          <cell r="B167" t="str">
            <v>Management Salaries and Expenses</v>
          </cell>
          <cell r="C167">
            <v>1838576.0000000002</v>
          </cell>
          <cell r="D167">
            <v>2201883.270000001</v>
          </cell>
          <cell r="E167">
            <v>-7453</v>
          </cell>
          <cell r="F167">
            <v>2194430.270000001</v>
          </cell>
          <cell r="G167">
            <v>2712631.742202759</v>
          </cell>
          <cell r="J167">
            <v>2712631.742202759</v>
          </cell>
        </row>
        <row r="168">
          <cell r="A168">
            <v>5615</v>
          </cell>
          <cell r="B168" t="str">
            <v>General Administrative Salaries and Expenses</v>
          </cell>
          <cell r="C168">
            <v>2153256.8599999985</v>
          </cell>
          <cell r="D168">
            <v>2675986.269999999</v>
          </cell>
          <cell r="E168">
            <v>0</v>
          </cell>
          <cell r="F168">
            <v>2675986.269999999</v>
          </cell>
          <cell r="G168">
            <v>2877332.7063293457</v>
          </cell>
          <cell r="J168">
            <v>2877332.7063293457</v>
          </cell>
        </row>
        <row r="169">
          <cell r="A169">
            <v>5620</v>
          </cell>
          <cell r="B169" t="str">
            <v>Office Supplies and Expenses</v>
          </cell>
          <cell r="C169">
            <v>994267.9600000002</v>
          </cell>
          <cell r="D169">
            <v>1631246.81</v>
          </cell>
          <cell r="E169">
            <v>0</v>
          </cell>
          <cell r="F169">
            <v>1631246.81</v>
          </cell>
          <cell r="G169">
            <v>2677331.766845703</v>
          </cell>
          <cell r="J169">
            <v>2677331.766845703</v>
          </cell>
        </row>
        <row r="170">
          <cell r="A170">
            <v>5630</v>
          </cell>
          <cell r="B170" t="str">
            <v>Outside Services Employed</v>
          </cell>
          <cell r="C170">
            <v>2468781.02</v>
          </cell>
          <cell r="D170">
            <v>2495090.59</v>
          </cell>
          <cell r="E170">
            <v>-386265</v>
          </cell>
          <cell r="F170">
            <v>2108825.59</v>
          </cell>
          <cell r="G170">
            <v>3015009</v>
          </cell>
          <cell r="J170">
            <v>3015009</v>
          </cell>
        </row>
        <row r="171">
          <cell r="A171">
            <v>5635</v>
          </cell>
          <cell r="B171" t="str">
            <v>Property Insurance</v>
          </cell>
          <cell r="C171">
            <v>42878.04</v>
          </cell>
          <cell r="D171">
            <v>0</v>
          </cell>
          <cell r="E171">
            <v>0</v>
          </cell>
          <cell r="F171">
            <v>0</v>
          </cell>
          <cell r="G171">
            <v>83000</v>
          </cell>
          <cell r="J171">
            <v>83000</v>
          </cell>
        </row>
        <row r="172">
          <cell r="A172">
            <v>5640</v>
          </cell>
          <cell r="B172" t="str">
            <v>Injuries and Damages</v>
          </cell>
          <cell r="C172">
            <v>480373.6</v>
          </cell>
          <cell r="D172">
            <v>271365.48</v>
          </cell>
          <cell r="E172">
            <v>0</v>
          </cell>
          <cell r="F172">
            <v>271365.48</v>
          </cell>
          <cell r="G172">
            <v>491000</v>
          </cell>
          <cell r="J172">
            <v>491000</v>
          </cell>
        </row>
        <row r="173">
          <cell r="A173">
            <v>5645</v>
          </cell>
          <cell r="B173" t="str">
            <v>Employee Pensions and Benefits</v>
          </cell>
          <cell r="C173">
            <v>1025438.43</v>
          </cell>
          <cell r="D173">
            <v>992417.05</v>
          </cell>
          <cell r="E173">
            <v>0</v>
          </cell>
          <cell r="F173">
            <v>992417.05</v>
          </cell>
          <cell r="G173">
            <v>1005944</v>
          </cell>
          <cell r="J173">
            <v>1005944</v>
          </cell>
        </row>
        <row r="174">
          <cell r="A174">
            <v>5655</v>
          </cell>
          <cell r="B174" t="str">
            <v>Regulatory Expenses</v>
          </cell>
          <cell r="C174">
            <v>647683.43</v>
          </cell>
          <cell r="D174">
            <v>709999.96</v>
          </cell>
          <cell r="E174">
            <v>0</v>
          </cell>
          <cell r="F174">
            <v>709999.96</v>
          </cell>
          <cell r="G174">
            <v>710600</v>
          </cell>
          <cell r="J174">
            <v>710600</v>
          </cell>
        </row>
        <row r="175">
          <cell r="A175">
            <v>5660</v>
          </cell>
          <cell r="B175" t="str">
            <v>General Advertising Expenses</v>
          </cell>
          <cell r="C175">
            <v>74084.73000000001</v>
          </cell>
          <cell r="D175">
            <v>308500.07999999996</v>
          </cell>
          <cell r="E175">
            <v>0</v>
          </cell>
          <cell r="F175">
            <v>308500.07999999996</v>
          </cell>
          <cell r="G175">
            <v>347100</v>
          </cell>
          <cell r="J175">
            <v>347100</v>
          </cell>
        </row>
        <row r="176">
          <cell r="A176">
            <v>5665</v>
          </cell>
          <cell r="B176" t="str">
            <v>Miscellaneous General Expenses</v>
          </cell>
          <cell r="C176">
            <v>927010.0000000063</v>
          </cell>
          <cell r="D176">
            <v>1262385.01</v>
          </cell>
          <cell r="E176">
            <v>-677000</v>
          </cell>
          <cell r="F176">
            <v>585385.01</v>
          </cell>
          <cell r="G176">
            <v>1099500</v>
          </cell>
          <cell r="I176">
            <v>-677000</v>
          </cell>
          <cell r="J176">
            <v>422500</v>
          </cell>
        </row>
        <row r="177">
          <cell r="A177">
            <v>5675</v>
          </cell>
          <cell r="B177" t="str">
            <v>Maintenance of General Plant</v>
          </cell>
          <cell r="C177">
            <v>925729.4299999992</v>
          </cell>
          <cell r="D177">
            <v>1143992.9300000002</v>
          </cell>
          <cell r="E177">
            <v>0</v>
          </cell>
          <cell r="F177">
            <v>1143992.9300000002</v>
          </cell>
          <cell r="G177">
            <v>1224889.914527893</v>
          </cell>
          <cell r="J177">
            <v>1224889.914527893</v>
          </cell>
        </row>
        <row r="178">
          <cell r="A178">
            <v>5695</v>
          </cell>
          <cell r="B178" t="str">
            <v>OM&amp;A Contra Account</v>
          </cell>
          <cell r="C178">
            <v>-1240883</v>
          </cell>
          <cell r="D178">
            <v>-468252</v>
          </cell>
          <cell r="E178">
            <v>-464375.26</v>
          </cell>
          <cell r="F178">
            <v>-932627.26</v>
          </cell>
          <cell r="G178">
            <v>0</v>
          </cell>
          <cell r="I178">
            <v>-3282583.78231812</v>
          </cell>
          <cell r="J178">
            <v>-3282583.78231812</v>
          </cell>
        </row>
        <row r="179">
          <cell r="A179">
            <v>5705</v>
          </cell>
          <cell r="B179" t="str">
            <v>Amortization Expense - Property, Plant, and Equipment</v>
          </cell>
          <cell r="C179">
            <v>23295449.649999995</v>
          </cell>
          <cell r="D179">
            <v>27822000</v>
          </cell>
          <cell r="E179">
            <v>-1885427.6100000003</v>
          </cell>
          <cell r="F179">
            <v>25936572.39</v>
          </cell>
          <cell r="G179">
            <v>29242779</v>
          </cell>
          <cell r="H179">
            <v>-1871641.7880051993</v>
          </cell>
          <cell r="J179">
            <v>27371137.2119948</v>
          </cell>
        </row>
        <row r="180">
          <cell r="A180">
            <v>6030</v>
          </cell>
          <cell r="B180" t="str">
            <v>Interest on Debt to Associated Companies</v>
          </cell>
          <cell r="C180">
            <v>9220838.53</v>
          </cell>
          <cell r="D180">
            <v>8688000</v>
          </cell>
          <cell r="E180">
            <v>0</v>
          </cell>
          <cell r="F180">
            <v>8688000</v>
          </cell>
          <cell r="G180">
            <v>9703627</v>
          </cell>
          <cell r="J180">
            <v>9703627</v>
          </cell>
        </row>
        <row r="181">
          <cell r="A181">
            <v>6035</v>
          </cell>
          <cell r="B181" t="str">
            <v>Other Interest Expense</v>
          </cell>
          <cell r="C181">
            <v>679487.6199999999</v>
          </cell>
          <cell r="D181">
            <v>1581000</v>
          </cell>
          <cell r="E181">
            <v>0</v>
          </cell>
          <cell r="F181">
            <v>1581000</v>
          </cell>
          <cell r="G181">
            <v>1765819</v>
          </cell>
          <cell r="J181">
            <v>1765819</v>
          </cell>
        </row>
        <row r="182">
          <cell r="A182">
            <v>6105</v>
          </cell>
          <cell r="B182" t="str">
            <v>Taxes Other Than Income Taxes</v>
          </cell>
          <cell r="C182">
            <v>1195229.85</v>
          </cell>
          <cell r="D182">
            <v>575666</v>
          </cell>
          <cell r="E182">
            <v>0</v>
          </cell>
          <cell r="F182">
            <v>575666</v>
          </cell>
          <cell r="G182">
            <v>337800</v>
          </cell>
          <cell r="J182">
            <v>337800</v>
          </cell>
        </row>
        <row r="183">
          <cell r="A183">
            <v>6110</v>
          </cell>
          <cell r="B183" t="str">
            <v>Income Taxes</v>
          </cell>
          <cell r="C183">
            <v>5502940.35</v>
          </cell>
          <cell r="D183">
            <v>4284000</v>
          </cell>
          <cell r="E183">
            <v>-432606</v>
          </cell>
          <cell r="F183">
            <v>3851394</v>
          </cell>
          <cell r="G183">
            <v>0</v>
          </cell>
          <cell r="I183">
            <v>-1385852.09</v>
          </cell>
          <cell r="J183">
            <v>-1385852.09</v>
          </cell>
        </row>
        <row r="184">
          <cell r="A184">
            <v>6205</v>
          </cell>
          <cell r="B184" t="str">
            <v>Donations</v>
          </cell>
          <cell r="C184">
            <v>25890</v>
          </cell>
          <cell r="D184">
            <v>34450</v>
          </cell>
          <cell r="E184">
            <v>0</v>
          </cell>
          <cell r="F184">
            <v>34450</v>
          </cell>
          <cell r="G184">
            <v>60000</v>
          </cell>
          <cell r="J184">
            <v>60000</v>
          </cell>
        </row>
        <row r="185">
          <cell r="A185">
            <v>8810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J185">
            <v>0</v>
          </cell>
        </row>
        <row r="186">
          <cell r="A186">
            <v>8812</v>
          </cell>
          <cell r="C186" t="str">
            <v/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J186">
            <v>0</v>
          </cell>
        </row>
        <row r="187">
          <cell r="A187">
            <v>8820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J187">
            <v>0</v>
          </cell>
        </row>
        <row r="188">
          <cell r="A188">
            <v>8822</v>
          </cell>
          <cell r="C188" t="str">
            <v/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J188">
            <v>0</v>
          </cell>
        </row>
        <row r="189">
          <cell r="A189">
            <v>8830</v>
          </cell>
          <cell r="C189" t="str">
            <v/>
          </cell>
          <cell r="D189" t="str">
            <v>0</v>
          </cell>
          <cell r="E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A190">
            <v>9040</v>
          </cell>
          <cell r="C190" t="str">
            <v/>
          </cell>
          <cell r="D190">
            <v>0.219999999855645</v>
          </cell>
          <cell r="E190">
            <v>-0.22</v>
          </cell>
          <cell r="F190">
            <v>-1.443550001756222E-10</v>
          </cell>
          <cell r="G190">
            <v>-0.0697021484375</v>
          </cell>
          <cell r="I190">
            <v>0.0697021484375</v>
          </cell>
          <cell r="J190">
            <v>0</v>
          </cell>
        </row>
        <row r="191">
          <cell r="A191">
            <v>9041</v>
          </cell>
          <cell r="C191">
            <v>-9.276845958083868E-11</v>
          </cell>
          <cell r="D191">
            <v>0.19999999995343387</v>
          </cell>
          <cell r="E191">
            <v>-0.2</v>
          </cell>
          <cell r="F191">
            <v>-4.656613983300417E-11</v>
          </cell>
          <cell r="G191">
            <v>0.026123046875</v>
          </cell>
          <cell r="I191">
            <v>-0.026123046875</v>
          </cell>
          <cell r="J191">
            <v>0</v>
          </cell>
        </row>
        <row r="192">
          <cell r="A192">
            <v>9073</v>
          </cell>
          <cell r="C192" t="str">
            <v/>
          </cell>
          <cell r="D192">
            <v>0.020000000367872417</v>
          </cell>
          <cell r="E192">
            <v>-0.02</v>
          </cell>
          <cell r="F192">
            <v>3.678724165567804E-10</v>
          </cell>
          <cell r="G192">
            <v>-0.093841552734375</v>
          </cell>
          <cell r="I192">
            <v>0.093841552734375</v>
          </cell>
          <cell r="J192">
            <v>0</v>
          </cell>
        </row>
        <row r="193">
          <cell r="A193">
            <v>9080</v>
          </cell>
          <cell r="C193" t="str">
            <v/>
          </cell>
          <cell r="D193" t="str">
            <v>0</v>
          </cell>
          <cell r="E193">
            <v>0</v>
          </cell>
          <cell r="F193">
            <v>0</v>
          </cell>
          <cell r="G193">
            <v>0.036865234375</v>
          </cell>
          <cell r="I193">
            <v>-0.036865234375</v>
          </cell>
          <cell r="J193">
            <v>0</v>
          </cell>
        </row>
        <row r="194">
          <cell r="A194">
            <v>9090</v>
          </cell>
          <cell r="C194">
            <v>-7.578648819617229E-10</v>
          </cell>
          <cell r="D194" t="str">
            <v>0</v>
          </cell>
          <cell r="E194">
            <v>0</v>
          </cell>
          <cell r="F194">
            <v>0</v>
          </cell>
          <cell r="G194">
            <v>0.488037109375</v>
          </cell>
          <cell r="I194">
            <v>-0.488037109375</v>
          </cell>
          <cell r="J194">
            <v>0</v>
          </cell>
        </row>
        <row r="195">
          <cell r="A195">
            <v>9092</v>
          </cell>
          <cell r="C195" t="str">
            <v/>
          </cell>
          <cell r="D195">
            <v>-0.1399999997811392</v>
          </cell>
          <cell r="E195">
            <v>0.14</v>
          </cell>
          <cell r="F195">
            <v>2.1886081835731375E-10</v>
          </cell>
          <cell r="G195">
            <v>-0.00927734375</v>
          </cell>
          <cell r="I195">
            <v>0.00927734375</v>
          </cell>
          <cell r="J195">
            <v>0</v>
          </cell>
        </row>
        <row r="196">
          <cell r="A196">
            <v>9093</v>
          </cell>
          <cell r="C196" t="str">
            <v/>
          </cell>
          <cell r="D196">
            <v>0.04000000000814907</v>
          </cell>
          <cell r="E196">
            <v>-0.04</v>
          </cell>
          <cell r="F196">
            <v>8.149071695218169E-12</v>
          </cell>
          <cell r="G196">
            <v>-0.0186767578125</v>
          </cell>
          <cell r="I196">
            <v>0.0186767578125</v>
          </cell>
          <cell r="J196">
            <v>0</v>
          </cell>
        </row>
        <row r="197">
          <cell r="A197">
            <v>9094</v>
          </cell>
          <cell r="C197" t="str">
            <v/>
          </cell>
          <cell r="D197" t="str">
            <v/>
          </cell>
          <cell r="E197" t="str">
            <v/>
          </cell>
          <cell r="F197">
            <v>0</v>
          </cell>
          <cell r="G197">
            <v>-0.00390625</v>
          </cell>
          <cell r="H197">
            <v>0</v>
          </cell>
          <cell r="I197">
            <v>0.00390625</v>
          </cell>
          <cell r="J197">
            <v>0</v>
          </cell>
        </row>
        <row r="198">
          <cell r="A198">
            <v>9095</v>
          </cell>
          <cell r="C198" t="str">
            <v/>
          </cell>
          <cell r="D198" t="str">
            <v/>
          </cell>
          <cell r="E198" t="str">
            <v/>
          </cell>
          <cell r="F198">
            <v>0</v>
          </cell>
          <cell r="G198">
            <v>-0.00579833984375</v>
          </cell>
          <cell r="H198">
            <v>0</v>
          </cell>
          <cell r="I198">
            <v>0.00579833984375</v>
          </cell>
          <cell r="J198">
            <v>0</v>
          </cell>
        </row>
        <row r="199">
          <cell r="A199">
            <v>9096</v>
          </cell>
          <cell r="C199">
            <v>5.820766091346741E-11</v>
          </cell>
          <cell r="D199">
            <v>0.6400000001303852</v>
          </cell>
          <cell r="E199">
            <v>-0.64</v>
          </cell>
          <cell r="F199">
            <v>1.303851471234907E-10</v>
          </cell>
          <cell r="G199">
            <v>0.0008544921875</v>
          </cell>
          <cell r="I199">
            <v>-0.0008544921875</v>
          </cell>
          <cell r="J199">
            <v>0</v>
          </cell>
        </row>
        <row r="200">
          <cell r="A200">
            <v>9098</v>
          </cell>
          <cell r="C200" t="str">
            <v/>
          </cell>
          <cell r="D200">
            <v>0.09999999962747097</v>
          </cell>
          <cell r="E200">
            <v>-0.1</v>
          </cell>
          <cell r="F200">
            <v>-3.7252903539730653E-10</v>
          </cell>
          <cell r="G200">
            <v>-0.1162109375</v>
          </cell>
          <cell r="I200">
            <v>0.1162109375</v>
          </cell>
          <cell r="J200">
            <v>0</v>
          </cell>
        </row>
        <row r="201">
          <cell r="A201">
            <v>9099</v>
          </cell>
          <cell r="C201" t="str">
            <v/>
          </cell>
          <cell r="D201">
            <v>0.09999999962747097</v>
          </cell>
          <cell r="E201">
            <v>-0.1</v>
          </cell>
          <cell r="F201">
            <v>-3.7252903539730653E-10</v>
          </cell>
          <cell r="G201">
            <v>-0.0284423828125</v>
          </cell>
          <cell r="I201">
            <v>0.0284423828125</v>
          </cell>
          <cell r="J201">
            <v>0</v>
          </cell>
        </row>
        <row r="202">
          <cell r="A202">
            <v>9908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J202">
            <v>0</v>
          </cell>
        </row>
        <row r="203">
          <cell r="A203">
            <v>9909</v>
          </cell>
          <cell r="C203" t="str">
            <v/>
          </cell>
          <cell r="D203" t="str">
            <v>0</v>
          </cell>
          <cell r="E203">
            <v>0</v>
          </cell>
          <cell r="F203">
            <v>0</v>
          </cell>
          <cell r="G203">
            <v>0</v>
          </cell>
          <cell r="J203">
            <v>0</v>
          </cell>
        </row>
        <row r="204">
          <cell r="A204">
            <v>9910</v>
          </cell>
          <cell r="C204" t="str">
            <v/>
          </cell>
          <cell r="D204" t="str">
            <v>0</v>
          </cell>
          <cell r="E204">
            <v>0</v>
          </cell>
          <cell r="F204">
            <v>0</v>
          </cell>
          <cell r="G204">
            <v>0</v>
          </cell>
          <cell r="J204">
            <v>0</v>
          </cell>
        </row>
        <row r="205">
          <cell r="A205">
            <v>9911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J205">
            <v>0</v>
          </cell>
        </row>
        <row r="206">
          <cell r="A206">
            <v>9912</v>
          </cell>
          <cell r="C206" t="str">
            <v/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J206">
            <v>0</v>
          </cell>
        </row>
        <row r="207">
          <cell r="A207">
            <v>9913</v>
          </cell>
          <cell r="C207" t="str">
            <v/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J207">
            <v>0</v>
          </cell>
        </row>
        <row r="208">
          <cell r="A208">
            <v>9914</v>
          </cell>
          <cell r="C208" t="str">
            <v/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J208">
            <v>0</v>
          </cell>
        </row>
        <row r="209">
          <cell r="A209">
            <v>9915</v>
          </cell>
          <cell r="C209" t="str">
            <v/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J209">
            <v>0</v>
          </cell>
        </row>
        <row r="210">
          <cell r="A210">
            <v>9920</v>
          </cell>
          <cell r="C210" t="str">
            <v/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J210">
            <v>0</v>
          </cell>
        </row>
        <row r="211">
          <cell r="A211">
            <v>9950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J211">
            <v>0</v>
          </cell>
        </row>
        <row r="212">
          <cell r="A212">
            <v>9951</v>
          </cell>
          <cell r="C212" t="str">
            <v/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J2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3"/>
  <sheetViews>
    <sheetView zoomScale="75" zoomScaleNormal="75" zoomScalePageLayoutView="0" workbookViewId="0" topLeftCell="A1">
      <pane xSplit="4" ySplit="3" topLeftCell="J29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IV16384"/>
    </sheetView>
  </sheetViews>
  <sheetFormatPr defaultColWidth="9.140625" defaultRowHeight="15"/>
  <cols>
    <col min="1" max="1" width="9.140625" style="118" customWidth="1"/>
    <col min="2" max="2" width="59.140625" style="118" customWidth="1"/>
    <col min="3" max="3" width="35.421875" style="118" customWidth="1"/>
    <col min="4" max="4" width="34.421875" style="118" customWidth="1"/>
    <col min="5" max="5" width="17.8515625" style="119" customWidth="1"/>
    <col min="6" max="6" width="17.7109375" style="119" customWidth="1"/>
    <col min="7" max="7" width="19.00390625" style="125" customWidth="1"/>
    <col min="8" max="8" width="20.7109375" style="121" customWidth="1"/>
    <col min="9" max="9" width="20.7109375" style="122" customWidth="1"/>
    <col min="10" max="12" width="20.7109375" style="89" bestFit="1" customWidth="1"/>
    <col min="13" max="13" width="18.00390625" style="89" bestFit="1" customWidth="1"/>
    <col min="14" max="14" width="18.140625" style="89" customWidth="1"/>
    <col min="15" max="15" width="9.140625" style="89" customWidth="1"/>
    <col min="16" max="16" width="37.8515625" style="90" customWidth="1"/>
    <col min="17" max="17" width="17.28125" style="90" bestFit="1" customWidth="1"/>
    <col min="18" max="19" width="13.00390625" style="89" bestFit="1" customWidth="1"/>
    <col min="20" max="16384" width="9.140625" style="89" customWidth="1"/>
  </cols>
  <sheetData>
    <row r="1" spans="1:10" ht="29.25" customHeight="1">
      <c r="A1" s="135" t="s">
        <v>203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4" ht="25.5">
      <c r="A2" s="89"/>
      <c r="B2" s="89"/>
      <c r="C2" s="91"/>
      <c r="D2" s="91"/>
      <c r="E2" s="92" t="s">
        <v>204</v>
      </c>
      <c r="F2" s="92" t="s">
        <v>204</v>
      </c>
      <c r="G2" s="93" t="s">
        <v>204</v>
      </c>
      <c r="H2" s="93" t="s">
        <v>205</v>
      </c>
      <c r="I2" s="93" t="s">
        <v>205</v>
      </c>
      <c r="J2" s="93" t="s">
        <v>205</v>
      </c>
      <c r="K2" s="93" t="s">
        <v>205</v>
      </c>
      <c r="L2" s="93" t="s">
        <v>205</v>
      </c>
      <c r="M2" s="93" t="s">
        <v>205</v>
      </c>
      <c r="N2" s="93" t="s">
        <v>205</v>
      </c>
    </row>
    <row r="3" spans="1:17" ht="25.5" customHeight="1">
      <c r="A3" s="91" t="s">
        <v>206</v>
      </c>
      <c r="B3" s="91" t="s">
        <v>207</v>
      </c>
      <c r="C3" s="91" t="s">
        <v>208</v>
      </c>
      <c r="D3" s="91" t="s">
        <v>209</v>
      </c>
      <c r="E3" s="94">
        <v>2002</v>
      </c>
      <c r="F3" s="94">
        <v>2003</v>
      </c>
      <c r="G3" s="95">
        <v>2004</v>
      </c>
      <c r="H3" s="95">
        <v>2005</v>
      </c>
      <c r="I3" s="95">
        <v>2006</v>
      </c>
      <c r="J3" s="95">
        <v>2007</v>
      </c>
      <c r="K3" s="95">
        <v>2008</v>
      </c>
      <c r="L3" s="95">
        <v>2009</v>
      </c>
      <c r="M3" s="95">
        <v>2010</v>
      </c>
      <c r="N3" s="95">
        <v>2011</v>
      </c>
      <c r="P3" s="90" t="s">
        <v>46</v>
      </c>
      <c r="Q3" s="90" t="s">
        <v>210</v>
      </c>
    </row>
    <row r="4" spans="1:17" s="101" customFormat="1" ht="15.75">
      <c r="A4" s="96">
        <v>1005</v>
      </c>
      <c r="B4" s="97" t="s">
        <v>211</v>
      </c>
      <c r="C4" s="97" t="s">
        <v>212</v>
      </c>
      <c r="D4" s="97" t="s">
        <v>213</v>
      </c>
      <c r="E4" s="98">
        <v>-5410179.21</v>
      </c>
      <c r="F4" s="98">
        <v>24292849.95</v>
      </c>
      <c r="G4" s="98">
        <v>42886813.06</v>
      </c>
      <c r="H4" s="98">
        <v>35650845.55</v>
      </c>
      <c r="I4" s="98">
        <v>19620021.22</v>
      </c>
      <c r="J4" s="98">
        <v>14400608.410000002</v>
      </c>
      <c r="K4" s="98">
        <v>4299498.9799999995</v>
      </c>
      <c r="L4" s="99">
        <f>IF(ISNA(VLOOKUP(A4,'[3]OEB Adjusted Financials'!$I$6:$J$188,2,FALSE)),"",VLOOKUP(A4,'[3]OEB Adjusted Financials'!$I$6:$J$188,2,FALSE))</f>
        <v>-23618734.769999996</v>
      </c>
      <c r="M4" s="100">
        <f>IF(ISNA(VLOOKUP($A4,'[4]2010 TB'!$A$4:$E$210,5,FALSE)),"",VLOOKUP($A4,'[4]2010 TB'!$A$4:$E$210,5,FALSE))</f>
        <v>-23618734.719999995</v>
      </c>
      <c r="N4" s="100">
        <f>IF(ISNA(VLOOKUP($A4,'[5]2011 TB Summary'!$A$4:$J$212,10,FALSE)),"",VLOOKUP($A4,'[5]2011 TB Summary'!$A$4:$J$212,10,FALSE))</f>
        <v>-23618734.719999995</v>
      </c>
      <c r="P4" s="102" t="s">
        <v>212</v>
      </c>
      <c r="Q4" s="103">
        <f>SUMIF($C:$C,P4,$L:$L)</f>
        <v>80830795.52</v>
      </c>
    </row>
    <row r="5" spans="1:17" s="101" customFormat="1" ht="15.75">
      <c r="A5" s="96">
        <v>1010</v>
      </c>
      <c r="B5" s="97" t="s">
        <v>214</v>
      </c>
      <c r="C5" s="97" t="s">
        <v>212</v>
      </c>
      <c r="D5" s="97" t="s">
        <v>213</v>
      </c>
      <c r="E5" s="98">
        <v>3050</v>
      </c>
      <c r="F5" s="98">
        <v>3350</v>
      </c>
      <c r="G5" s="98">
        <v>2800</v>
      </c>
      <c r="H5" s="98">
        <v>3553.59</v>
      </c>
      <c r="I5" s="98">
        <v>4500</v>
      </c>
      <c r="J5" s="98">
        <v>5300</v>
      </c>
      <c r="K5" s="98">
        <v>2000</v>
      </c>
      <c r="L5" s="99">
        <f>IF(ISNA(VLOOKUP(A5,'[3]OEB Adjusted Financials'!$I$6:$J$188,2,FALSE)),"",VLOOKUP(A5,'[3]OEB Adjusted Financials'!$I$6:$J$188,2,FALSE))</f>
        <v>5287.32</v>
      </c>
      <c r="M5" s="100">
        <f>IF(ISNA(VLOOKUP($A5,'[4]2010 TB'!$A$4:$E$210,5,FALSE)),"",VLOOKUP($A5,'[4]2010 TB'!$A$4:$E$210,5,FALSE))</f>
        <v>5287.32</v>
      </c>
      <c r="N5" s="100">
        <f>IF(ISNA(VLOOKUP($A5,'[5]2011 TB Summary'!$A$4:$J$212,10,FALSE)),"",VLOOKUP($A5,'[5]2011 TB Summary'!$A$4:$J$212,10,FALSE))</f>
        <v>5287.32</v>
      </c>
      <c r="P5" s="102" t="s">
        <v>215</v>
      </c>
      <c r="Q5" s="103">
        <f>SUMIF($C:$C,P5,$L:$L)</f>
        <v>6340625.329999997</v>
      </c>
    </row>
    <row r="6" spans="1:17" s="101" customFormat="1" ht="15.75">
      <c r="A6" s="96">
        <v>1020</v>
      </c>
      <c r="B6" s="97" t="s">
        <v>216</v>
      </c>
      <c r="C6" s="97" t="s">
        <v>212</v>
      </c>
      <c r="D6" s="97" t="s">
        <v>213</v>
      </c>
      <c r="E6" s="98" t="s">
        <v>217</v>
      </c>
      <c r="F6" s="98" t="s">
        <v>217</v>
      </c>
      <c r="G6" s="98" t="s">
        <v>217</v>
      </c>
      <c r="H6" s="98"/>
      <c r="I6" s="98"/>
      <c r="J6" s="98">
        <v>0</v>
      </c>
      <c r="K6" s="98"/>
      <c r="L6" s="99">
        <f>IF(ISNA(VLOOKUP(A6,'[3]OEB Adjusted Financials'!$I$6:$J$188,2,FALSE)),"",VLOOKUP(A6,'[3]OEB Adjusted Financials'!$I$6:$J$188,2,FALSE))</f>
      </c>
      <c r="M6" s="100">
        <f>IF(ISNA(VLOOKUP($A6,'[4]2010 TB'!$A$4:$E$210,5,FALSE)),"",VLOOKUP($A6,'[4]2010 TB'!$A$4:$E$210,5,FALSE))</f>
      </c>
      <c r="N6" s="100">
        <f>IF(ISNA(VLOOKUP($A6,'[5]2011 TB Summary'!$A$4:$J$212,10,FALSE)),"",VLOOKUP($A6,'[5]2011 TB Summary'!$A$4:$J$212,10,FALSE))</f>
      </c>
      <c r="P6" s="102" t="s">
        <v>218</v>
      </c>
      <c r="Q6" s="103">
        <f>SUMIF($C:$C,P6,$L:$L)</f>
        <v>0</v>
      </c>
    </row>
    <row r="7" spans="1:17" s="101" customFormat="1" ht="15.75">
      <c r="A7" s="96">
        <v>1030</v>
      </c>
      <c r="B7" s="97" t="s">
        <v>219</v>
      </c>
      <c r="C7" s="97" t="s">
        <v>212</v>
      </c>
      <c r="D7" s="97" t="s">
        <v>213</v>
      </c>
      <c r="E7" s="98" t="s">
        <v>217</v>
      </c>
      <c r="F7" s="98" t="s">
        <v>217</v>
      </c>
      <c r="G7" s="98" t="s">
        <v>217</v>
      </c>
      <c r="H7" s="98"/>
      <c r="I7" s="98"/>
      <c r="J7" s="98"/>
      <c r="K7" s="98"/>
      <c r="L7" s="99">
        <f>IF(ISNA(VLOOKUP(A7,'[3]OEB Adjusted Financials'!$I$6:$J$188,2,FALSE)),"",VLOOKUP(A7,'[3]OEB Adjusted Financials'!$I$6:$J$188,2,FALSE))</f>
      </c>
      <c r="M7" s="100">
        <f>IF(ISNA(VLOOKUP($A7,'[4]2010 TB'!$A$4:$E$210,5,FALSE)),"",VLOOKUP($A7,'[4]2010 TB'!$A$4:$E$210,5,FALSE))</f>
      </c>
      <c r="N7" s="100">
        <f>IF(ISNA(VLOOKUP($A7,'[5]2011 TB Summary'!$A$4:$J$212,10,FALSE)),"",VLOOKUP($A7,'[5]2011 TB Summary'!$A$4:$J$212,10,FALSE))</f>
      </c>
      <c r="P7" s="102" t="s">
        <v>220</v>
      </c>
      <c r="Q7" s="103">
        <f>SUMIF($C:$C,P7,$L:$L)</f>
        <v>-3450986.2300000153</v>
      </c>
    </row>
    <row r="8" spans="1:17" s="101" customFormat="1" ht="15.75">
      <c r="A8" s="96">
        <v>1040</v>
      </c>
      <c r="B8" s="97" t="s">
        <v>221</v>
      </c>
      <c r="C8" s="97" t="s">
        <v>212</v>
      </c>
      <c r="D8" s="97" t="s">
        <v>213</v>
      </c>
      <c r="E8" s="98" t="s">
        <v>217</v>
      </c>
      <c r="F8" s="98" t="s">
        <v>217</v>
      </c>
      <c r="G8" s="98" t="s">
        <v>217</v>
      </c>
      <c r="H8" s="98"/>
      <c r="I8" s="98"/>
      <c r="J8" s="98"/>
      <c r="K8" s="98"/>
      <c r="L8" s="99">
        <f>IF(ISNA(VLOOKUP(A8,'[3]OEB Adjusted Financials'!$I$6:$J$188,2,FALSE)),"",VLOOKUP(A8,'[3]OEB Adjusted Financials'!$I$6:$J$188,2,FALSE))</f>
        <v>100</v>
      </c>
      <c r="M8" s="100">
        <f>IF(ISNA(VLOOKUP($A8,'[4]2010 TB'!$A$4:$E$210,5,FALSE)),"",VLOOKUP($A8,'[4]2010 TB'!$A$4:$E$210,5,FALSE))</f>
        <v>100</v>
      </c>
      <c r="N8" s="100">
        <f>IF(ISNA(VLOOKUP($A8,'[5]2011 TB Summary'!$A$4:$J$212,10,FALSE)),"",VLOOKUP($A8,'[5]2011 TB Summary'!$A$4:$J$212,10,FALSE))</f>
        <v>100</v>
      </c>
      <c r="P8" s="102" t="s">
        <v>222</v>
      </c>
      <c r="Q8" s="103">
        <f>SUMIF($C:$C,P8,$L:$L)</f>
        <v>634890679.8000001</v>
      </c>
    </row>
    <row r="9" spans="1:17" s="101" customFormat="1" ht="15.75">
      <c r="A9" s="96">
        <v>1060</v>
      </c>
      <c r="B9" s="97" t="s">
        <v>223</v>
      </c>
      <c r="C9" s="97" t="s">
        <v>212</v>
      </c>
      <c r="D9" s="97" t="s">
        <v>213</v>
      </c>
      <c r="E9" s="98" t="s">
        <v>217</v>
      </c>
      <c r="F9" s="98" t="s">
        <v>217</v>
      </c>
      <c r="G9" s="98" t="s">
        <v>217</v>
      </c>
      <c r="H9" s="98"/>
      <c r="I9" s="98"/>
      <c r="J9" s="98"/>
      <c r="K9" s="98"/>
      <c r="L9" s="99">
        <f>IF(ISNA(VLOOKUP(A9,'[3]OEB Adjusted Financials'!$I$6:$J$188,2,FALSE)),"",VLOOKUP(A9,'[3]OEB Adjusted Financials'!$I$6:$J$188,2,FALSE))</f>
      </c>
      <c r="M9" s="100">
        <f>IF(ISNA(VLOOKUP($A9,'[4]2010 TB'!$A$4:$E$210,5,FALSE)),"",VLOOKUP($A9,'[4]2010 TB'!$A$4:$E$210,5,FALSE))</f>
      </c>
      <c r="N9" s="100">
        <f>IF(ISNA(VLOOKUP($A9,'[5]2011 TB Summary'!$A$4:$J$212,10,FALSE)),"",VLOOKUP($A9,'[5]2011 TB Summary'!$A$4:$J$212,10,FALSE))</f>
      </c>
      <c r="P9" s="102" t="s">
        <v>224</v>
      </c>
      <c r="Q9" s="103">
        <f>SUMIF($C:$C,P9,$L:$L)</f>
        <v>-312468399.77466625</v>
      </c>
    </row>
    <row r="10" spans="1:17" s="101" customFormat="1" ht="15.75">
      <c r="A10" s="96">
        <v>1070</v>
      </c>
      <c r="B10" s="97" t="s">
        <v>225</v>
      </c>
      <c r="C10" s="97" t="s">
        <v>212</v>
      </c>
      <c r="D10" s="97" t="s">
        <v>213</v>
      </c>
      <c r="E10" s="98" t="s">
        <v>217</v>
      </c>
      <c r="F10" s="98" t="s">
        <v>217</v>
      </c>
      <c r="G10" s="98" t="s">
        <v>217</v>
      </c>
      <c r="H10" s="98"/>
      <c r="I10" s="98"/>
      <c r="J10" s="98">
        <v>0</v>
      </c>
      <c r="K10" s="98"/>
      <c r="L10" s="99">
        <f>IF(ISNA(VLOOKUP(A10,'[3]OEB Adjusted Financials'!$I$6:$J$188,2,FALSE)),"",VLOOKUP(A10,'[3]OEB Adjusted Financials'!$I$6:$J$188,2,FALSE))</f>
      </c>
      <c r="M10" s="100">
        <f>IF(ISNA(VLOOKUP($A10,'[4]2010 TB'!$A$4:$E$210,5,FALSE)),"",VLOOKUP($A10,'[4]2010 TB'!$A$4:$E$210,5,FALSE))</f>
      </c>
      <c r="N10" s="100">
        <f>IF(ISNA(VLOOKUP($A10,'[5]2011 TB Summary'!$A$4:$J$212,10,FALSE)),"",VLOOKUP($A10,'[5]2011 TB Summary'!$A$4:$J$212,10,FALSE))</f>
      </c>
      <c r="P10" s="102"/>
      <c r="Q10" s="102"/>
    </row>
    <row r="11" spans="1:17" s="101" customFormat="1" ht="15.75">
      <c r="A11" s="96">
        <v>1100</v>
      </c>
      <c r="B11" s="97" t="s">
        <v>226</v>
      </c>
      <c r="C11" s="97" t="s">
        <v>212</v>
      </c>
      <c r="D11" s="97" t="s">
        <v>227</v>
      </c>
      <c r="E11" s="98">
        <v>28147369.02</v>
      </c>
      <c r="F11" s="98">
        <v>18985724.62</v>
      </c>
      <c r="G11" s="98">
        <v>14960757.77</v>
      </c>
      <c r="H11" s="98">
        <v>32351909.92</v>
      </c>
      <c r="I11" s="98">
        <v>32288955.77</v>
      </c>
      <c r="J11" s="98">
        <v>33588518.7</v>
      </c>
      <c r="K11" s="98">
        <v>28134504.349999998</v>
      </c>
      <c r="L11" s="99">
        <f>IF(ISNA(VLOOKUP(A11,'[3]OEB Adjusted Financials'!$I$6:$J$188,2,FALSE)),"",VLOOKUP(A11,'[3]OEB Adjusted Financials'!$I$6:$J$188,2,FALSE))</f>
        <v>30357564.740000002</v>
      </c>
      <c r="M11" s="100">
        <f>IF(ISNA(VLOOKUP($A11,'[4]2010 TB'!$A$4:$E$210,5,FALSE)),"",VLOOKUP($A11,'[4]2010 TB'!$A$4:$E$210,5,FALSE))</f>
        <v>30357564.740000002</v>
      </c>
      <c r="N11" s="100">
        <f>IF(ISNA(VLOOKUP($A11,'[5]2011 TB Summary'!$A$4:$J$212,10,FALSE)),"",VLOOKUP($A11,'[5]2011 TB Summary'!$A$4:$J$212,10,FALSE))</f>
        <v>30357564.740000002</v>
      </c>
      <c r="P11" s="104" t="s">
        <v>228</v>
      </c>
      <c r="Q11" s="105">
        <f>SUM(Q4:Q9)</f>
        <v>406142714.6453338</v>
      </c>
    </row>
    <row r="12" spans="1:17" s="101" customFormat="1" ht="15.75">
      <c r="A12" s="96">
        <v>1102</v>
      </c>
      <c r="B12" s="97" t="s">
        <v>229</v>
      </c>
      <c r="C12" s="97" t="s">
        <v>212</v>
      </c>
      <c r="D12" s="97" t="s">
        <v>227</v>
      </c>
      <c r="E12" s="98">
        <v>506958.14</v>
      </c>
      <c r="F12" s="98" t="s">
        <v>217</v>
      </c>
      <c r="G12" s="98" t="s">
        <v>217</v>
      </c>
      <c r="H12" s="98">
        <v>279868.03</v>
      </c>
      <c r="I12" s="98">
        <v>-663521.4</v>
      </c>
      <c r="J12" s="98">
        <v>0</v>
      </c>
      <c r="K12" s="98">
        <v>0</v>
      </c>
      <c r="L12" s="99">
        <f>IF(ISNA(VLOOKUP(A12,'[3]OEB Adjusted Financials'!$I$6:$J$188,2,FALSE)),"",VLOOKUP(A12,'[3]OEB Adjusted Financials'!$I$6:$J$188,2,FALSE))</f>
        <v>0</v>
      </c>
      <c r="M12" s="100">
        <f>IF(ISNA(VLOOKUP($A12,'[4]2010 TB'!$A$4:$E$210,5,FALSE)),"",VLOOKUP($A12,'[4]2010 TB'!$A$4:$E$210,5,FALSE))</f>
        <v>0</v>
      </c>
      <c r="N12" s="100">
        <f>IF(ISNA(VLOOKUP($A12,'[5]2011 TB Summary'!$A$4:$J$212,10,FALSE)),"",VLOOKUP($A12,'[5]2011 TB Summary'!$A$4:$J$212,10,FALSE))</f>
        <v>0</v>
      </c>
      <c r="P12" s="102"/>
      <c r="Q12" s="102"/>
    </row>
    <row r="13" spans="1:17" s="101" customFormat="1" ht="15.75">
      <c r="A13" s="96">
        <v>1104</v>
      </c>
      <c r="B13" s="97" t="s">
        <v>230</v>
      </c>
      <c r="C13" s="97" t="s">
        <v>212</v>
      </c>
      <c r="D13" s="97" t="s">
        <v>227</v>
      </c>
      <c r="E13" s="98" t="s">
        <v>217</v>
      </c>
      <c r="F13" s="98" t="s">
        <v>217</v>
      </c>
      <c r="G13" s="98" t="s">
        <v>217</v>
      </c>
      <c r="H13" s="98"/>
      <c r="I13" s="98"/>
      <c r="J13" s="98">
        <v>896715.67</v>
      </c>
      <c r="K13" s="98">
        <v>11329096.74</v>
      </c>
      <c r="L13" s="99">
        <f>IF(ISNA(VLOOKUP(A13,'[3]OEB Adjusted Financials'!$I$6:$J$188,2,FALSE)),"",VLOOKUP(A13,'[3]OEB Adjusted Financials'!$I$6:$J$188,2,FALSE))</f>
        <v>9203658.259999992</v>
      </c>
      <c r="M13" s="100">
        <f>IF(ISNA(VLOOKUP($A13,'[4]2010 TB'!$A$4:$E$210,5,FALSE)),"",VLOOKUP($A13,'[4]2010 TB'!$A$4:$E$210,5,FALSE))</f>
        <v>9203658.259999992</v>
      </c>
      <c r="N13" s="100">
        <f>IF(ISNA(VLOOKUP($A13,'[5]2011 TB Summary'!$A$4:$J$212,10,FALSE)),"",VLOOKUP($A13,'[5]2011 TB Summary'!$A$4:$J$212,10,FALSE))</f>
        <v>9203658.259999992</v>
      </c>
      <c r="P13" s="102" t="s">
        <v>231</v>
      </c>
      <c r="Q13" s="103">
        <f>SUMIF($C:$C,P13,$L:$L)</f>
        <v>-6383017.26</v>
      </c>
    </row>
    <row r="14" spans="1:17" s="101" customFormat="1" ht="15.75">
      <c r="A14" s="96">
        <v>1105</v>
      </c>
      <c r="B14" s="97" t="s">
        <v>232</v>
      </c>
      <c r="C14" s="97" t="s">
        <v>212</v>
      </c>
      <c r="D14" s="97" t="s">
        <v>227</v>
      </c>
      <c r="E14" s="98">
        <v>374641.98</v>
      </c>
      <c r="F14" s="98">
        <v>518884.26</v>
      </c>
      <c r="G14" s="98">
        <v>7388966.91</v>
      </c>
      <c r="H14" s="98">
        <v>1136800.32</v>
      </c>
      <c r="I14" s="98">
        <v>2563086.36</v>
      </c>
      <c r="J14" s="98">
        <v>859449.36</v>
      </c>
      <c r="K14" s="98"/>
      <c r="L14" s="99">
        <f>IF(ISNA(VLOOKUP(A14,'[3]OEB Adjusted Financials'!$I$6:$J$188,2,FALSE)),"",VLOOKUP(A14,'[3]OEB Adjusted Financials'!$I$6:$J$188,2,FALSE))</f>
      </c>
      <c r="M14" s="100">
        <f>IF(ISNA(VLOOKUP($A14,'[4]2010 TB'!$A$4:$E$210,5,FALSE)),"",VLOOKUP($A14,'[4]2010 TB'!$A$4:$E$210,5,FALSE))</f>
      </c>
      <c r="N14" s="100">
        <f>IF(ISNA(VLOOKUP($A14,'[5]2011 TB Summary'!$A$4:$J$212,10,FALSE)),"",VLOOKUP($A14,'[5]2011 TB Summary'!$A$4:$J$212,10,FALSE))</f>
      </c>
      <c r="P14" s="102" t="s">
        <v>233</v>
      </c>
      <c r="Q14" s="103">
        <f>SUMIF($C:$C,P14,$L:$L)</f>
        <v>-225430452.11</v>
      </c>
    </row>
    <row r="15" spans="1:17" s="101" customFormat="1" ht="15.75">
      <c r="A15" s="96">
        <v>1110</v>
      </c>
      <c r="B15" s="97" t="s">
        <v>234</v>
      </c>
      <c r="C15" s="97" t="s">
        <v>212</v>
      </c>
      <c r="D15" s="97" t="s">
        <v>227</v>
      </c>
      <c r="E15" s="98">
        <v>91665.22</v>
      </c>
      <c r="F15" s="98">
        <v>2126350.38</v>
      </c>
      <c r="G15" s="98">
        <v>46847.82</v>
      </c>
      <c r="H15" s="98">
        <v>159494</v>
      </c>
      <c r="I15" s="98">
        <v>260538.37</v>
      </c>
      <c r="J15" s="98">
        <v>312792.38</v>
      </c>
      <c r="K15" s="98">
        <v>1382397.0899999999</v>
      </c>
      <c r="L15" s="99">
        <f>IF(ISNA(VLOOKUP(A15,'[3]OEB Adjusted Financials'!$I$6:$J$188,2,FALSE)),"",VLOOKUP(A15,'[3]OEB Adjusted Financials'!$I$6:$J$188,2,FALSE))</f>
        <v>569482.5500000002</v>
      </c>
      <c r="M15" s="100">
        <f>IF(ISNA(VLOOKUP($A15,'[4]2010 TB'!$A$4:$E$210,5,FALSE)),"",VLOOKUP($A15,'[4]2010 TB'!$A$4:$E$210,5,FALSE))</f>
        <v>569482.5500000002</v>
      </c>
      <c r="N15" s="100">
        <f>IF(ISNA(VLOOKUP($A15,'[5]2011 TB Summary'!$A$4:$J$212,10,FALSE)),"",VLOOKUP($A15,'[5]2011 TB Summary'!$A$4:$J$212,10,FALSE))</f>
        <v>569482.5500000002</v>
      </c>
      <c r="P15" s="102" t="s">
        <v>235</v>
      </c>
      <c r="Q15" s="103">
        <f>SUMIF($C:$C,P15,$L:$L)</f>
        <v>167407.41999999998</v>
      </c>
    </row>
    <row r="16" spans="1:17" s="101" customFormat="1" ht="15.75">
      <c r="A16" s="96">
        <v>1120</v>
      </c>
      <c r="B16" s="97" t="s">
        <v>236</v>
      </c>
      <c r="C16" s="97" t="s">
        <v>212</v>
      </c>
      <c r="D16" s="97" t="s">
        <v>227</v>
      </c>
      <c r="E16" s="98">
        <v>41170710.56</v>
      </c>
      <c r="F16" s="98">
        <v>31027320.57</v>
      </c>
      <c r="G16" s="98">
        <v>35130598.74</v>
      </c>
      <c r="H16" s="98">
        <v>50996046.66</v>
      </c>
      <c r="I16" s="98">
        <v>45520912.16</v>
      </c>
      <c r="J16" s="98">
        <v>46374814.279999994</v>
      </c>
      <c r="K16" s="98">
        <v>48128114.730000004</v>
      </c>
      <c r="L16" s="99">
        <f>IF(ISNA(VLOOKUP(A16,'[3]OEB Adjusted Financials'!$I$6:$J$188,2,FALSE)),"",VLOOKUP(A16,'[3]OEB Adjusted Financials'!$I$6:$J$188,2,FALSE))</f>
        <v>49957347.99</v>
      </c>
      <c r="M16" s="100">
        <f>IF(ISNA(VLOOKUP($A16,'[4]2010 TB'!$A$4:$E$210,5,FALSE)),"",VLOOKUP($A16,'[4]2010 TB'!$A$4:$E$210,5,FALSE))</f>
        <v>49957347.99</v>
      </c>
      <c r="N16" s="100">
        <f>IF(ISNA(VLOOKUP($A16,'[5]2011 TB Summary'!$A$4:$J$212,10,FALSE)),"",VLOOKUP($A16,'[5]2011 TB Summary'!$A$4:$J$212,10,FALSE))</f>
        <v>49957347.99</v>
      </c>
      <c r="P16" s="102" t="s">
        <v>237</v>
      </c>
      <c r="Q16" s="103">
        <f>SUMIF($C:$C,P16,$L:$L)</f>
        <v>-174496652.69999963</v>
      </c>
    </row>
    <row r="17" spans="1:17" s="101" customFormat="1" ht="15.75">
      <c r="A17" s="96">
        <v>1130</v>
      </c>
      <c r="B17" s="97" t="s">
        <v>238</v>
      </c>
      <c r="C17" s="97" t="s">
        <v>212</v>
      </c>
      <c r="D17" s="97" t="s">
        <v>227</v>
      </c>
      <c r="E17" s="98">
        <v>-1500000</v>
      </c>
      <c r="F17" s="98">
        <v>-1250000</v>
      </c>
      <c r="G17" s="98">
        <v>-700000</v>
      </c>
      <c r="H17" s="98">
        <v>-1000000</v>
      </c>
      <c r="I17" s="98">
        <v>-1000000</v>
      </c>
      <c r="J17" s="98">
        <v>-1000000</v>
      </c>
      <c r="K17" s="98">
        <v>-1305000</v>
      </c>
      <c r="L17" s="99">
        <f>IF(ISNA(VLOOKUP(A17,'[3]OEB Adjusted Financials'!$I$6:$J$188,2,FALSE)),"",VLOOKUP(A17,'[3]OEB Adjusted Financials'!$I$6:$J$188,2,FALSE))</f>
        <v>-1830000</v>
      </c>
      <c r="M17" s="100">
        <f>IF(ISNA(VLOOKUP($A17,'[4]2010 TB'!$A$4:$E$210,5,FALSE)),"",VLOOKUP($A17,'[4]2010 TB'!$A$4:$E$210,5,FALSE))</f>
        <v>-1830000</v>
      </c>
      <c r="N17" s="100">
        <f>IF(ISNA(VLOOKUP($A17,'[5]2011 TB Summary'!$A$4:$J$212,10,FALSE)),"",VLOOKUP($A17,'[5]2011 TB Summary'!$A$4:$J$212,10,FALSE))</f>
        <v>-1830000</v>
      </c>
      <c r="P17" s="102"/>
      <c r="Q17" s="102"/>
    </row>
    <row r="18" spans="1:17" s="101" customFormat="1" ht="15.75">
      <c r="A18" s="96">
        <v>1140</v>
      </c>
      <c r="B18" s="97" t="s">
        <v>239</v>
      </c>
      <c r="C18" s="97" t="s">
        <v>212</v>
      </c>
      <c r="D18" s="97" t="s">
        <v>227</v>
      </c>
      <c r="E18" s="98" t="s">
        <v>217</v>
      </c>
      <c r="F18" s="98" t="s">
        <v>217</v>
      </c>
      <c r="G18" s="98" t="s">
        <v>217</v>
      </c>
      <c r="H18" s="98">
        <v>1874.51</v>
      </c>
      <c r="I18" s="98">
        <v>443.72</v>
      </c>
      <c r="J18" s="98">
        <v>123.36</v>
      </c>
      <c r="K18" s="98">
        <v>0</v>
      </c>
      <c r="L18" s="99">
        <f>IF(ISNA(VLOOKUP(A18,'[3]OEB Adjusted Financials'!$I$6:$J$188,2,FALSE)),"",VLOOKUP(A18,'[3]OEB Adjusted Financials'!$I$6:$J$188,2,FALSE))</f>
        <v>0</v>
      </c>
      <c r="M18" s="100">
        <f>IF(ISNA(VLOOKUP($A18,'[4]2010 TB'!$A$4:$E$210,5,FALSE)),"",VLOOKUP($A18,'[4]2010 TB'!$A$4:$E$210,5,FALSE))</f>
        <v>0</v>
      </c>
      <c r="N18" s="100">
        <f>IF(ISNA(VLOOKUP($A18,'[5]2011 TB Summary'!$A$4:$J$212,10,FALSE)),"",VLOOKUP($A18,'[5]2011 TB Summary'!$A$4:$J$212,10,FALSE))</f>
        <v>0</v>
      </c>
      <c r="P18" s="104" t="s">
        <v>240</v>
      </c>
      <c r="Q18" s="105">
        <f>SUM(Q13:Q17)</f>
        <v>-406142714.6499996</v>
      </c>
    </row>
    <row r="19" spans="1:17" s="101" customFormat="1" ht="15.75">
      <c r="A19" s="96">
        <v>1150</v>
      </c>
      <c r="B19" s="97" t="s">
        <v>241</v>
      </c>
      <c r="C19" s="97" t="s">
        <v>212</v>
      </c>
      <c r="D19" s="97" t="s">
        <v>227</v>
      </c>
      <c r="E19" s="98">
        <v>266252.64</v>
      </c>
      <c r="F19" s="98">
        <v>198448.64</v>
      </c>
      <c r="G19" s="98">
        <v>233063.2</v>
      </c>
      <c r="H19" s="98">
        <v>507238.37</v>
      </c>
      <c r="I19" s="98">
        <v>389166.07</v>
      </c>
      <c r="J19" s="98">
        <v>369194.92</v>
      </c>
      <c r="K19" s="98">
        <v>871511.38</v>
      </c>
      <c r="L19" s="99">
        <f>IF(ISNA(VLOOKUP(A19,'[3]OEB Adjusted Financials'!$I$6:$J$188,2,FALSE)),"",VLOOKUP(A19,'[3]OEB Adjusted Financials'!$I$6:$J$188,2,FALSE))</f>
        <v>90467.76</v>
      </c>
      <c r="M19" s="100">
        <f>IF(ISNA(VLOOKUP($A19,'[4]2010 TB'!$A$4:$E$210,5,FALSE)),"",VLOOKUP($A19,'[4]2010 TB'!$A$4:$E$210,5,FALSE))</f>
        <v>90467.76</v>
      </c>
      <c r="N19" s="100">
        <f>IF(ISNA(VLOOKUP($A19,'[5]2011 TB Summary'!$A$4:$J$212,10,FALSE)),"",VLOOKUP($A19,'[5]2011 TB Summary'!$A$4:$J$212,10,FALSE))</f>
        <v>90467.76</v>
      </c>
      <c r="P19" s="102"/>
      <c r="Q19" s="102"/>
    </row>
    <row r="20" spans="1:17" s="101" customFormat="1" ht="16.5" thickBot="1">
      <c r="A20" s="96">
        <v>1170</v>
      </c>
      <c r="B20" s="97" t="s">
        <v>242</v>
      </c>
      <c r="C20" s="97" t="s">
        <v>212</v>
      </c>
      <c r="D20" s="97"/>
      <c r="E20" s="98">
        <v>43518.29</v>
      </c>
      <c r="F20" s="98" t="s">
        <v>243</v>
      </c>
      <c r="G20" s="98" t="s">
        <v>217</v>
      </c>
      <c r="H20" s="98"/>
      <c r="I20" s="98"/>
      <c r="J20" s="98">
        <v>0</v>
      </c>
      <c r="K20" s="98"/>
      <c r="L20" s="99">
        <f>IF(ISNA(VLOOKUP(A20,'[3]OEB Adjusted Financials'!$I$6:$J$188,2,FALSE)),"",VLOOKUP(A20,'[3]OEB Adjusted Financials'!$I$6:$J$188,2,FALSE))</f>
      </c>
      <c r="M20" s="100">
        <f>IF(ISNA(VLOOKUP($A20,'[4]2010 TB'!$A$4:$E$210,5,FALSE)),"",VLOOKUP($A20,'[4]2010 TB'!$A$4:$E$210,5,FALSE))</f>
      </c>
      <c r="N20" s="100">
        <f>IF(ISNA(VLOOKUP($A20,'[5]2011 TB Summary'!$A$4:$J$212,10,FALSE)),"",VLOOKUP($A20,'[5]2011 TB Summary'!$A$4:$J$212,10,FALSE))</f>
      </c>
      <c r="P20" s="106"/>
      <c r="Q20" s="107">
        <f>+Q11+Q18</f>
        <v>-0.004665791988372803</v>
      </c>
    </row>
    <row r="21" spans="1:17" s="101" customFormat="1" ht="16.5" thickTop="1">
      <c r="A21" s="96">
        <v>1180</v>
      </c>
      <c r="B21" s="97" t="s">
        <v>244</v>
      </c>
      <c r="C21" s="97" t="s">
        <v>212</v>
      </c>
      <c r="D21" s="97" t="s">
        <v>245</v>
      </c>
      <c r="E21" s="98">
        <v>761796.18</v>
      </c>
      <c r="F21" s="98">
        <v>662906.12</v>
      </c>
      <c r="G21" s="98">
        <v>734489.55</v>
      </c>
      <c r="H21" s="98">
        <v>1130474.25</v>
      </c>
      <c r="I21" s="98">
        <v>1219517.28</v>
      </c>
      <c r="J21" s="98">
        <v>1531638.98</v>
      </c>
      <c r="K21" s="98">
        <v>1548547.5</v>
      </c>
      <c r="L21" s="99">
        <f>IF(ISNA(VLOOKUP(A21,'[3]OEB Adjusted Financials'!$I$6:$J$188,2,FALSE)),"",VLOOKUP(A21,'[3]OEB Adjusted Financials'!$I$6:$J$188,2,FALSE))</f>
        <v>1601397.0499999998</v>
      </c>
      <c r="M21" s="100">
        <f>IF(ISNA(VLOOKUP($A21,'[4]2010 TB'!$A$4:$E$210,5,FALSE)),"",VLOOKUP($A21,'[4]2010 TB'!$A$4:$E$210,5,FALSE))</f>
        <v>1601397.0499999998</v>
      </c>
      <c r="N21" s="100">
        <f>IF(ISNA(VLOOKUP($A21,'[5]2011 TB Summary'!$A$4:$J$212,10,FALSE)),"",VLOOKUP($A21,'[5]2011 TB Summary'!$A$4:$J$212,10,FALSE))</f>
        <v>1601397.0499999998</v>
      </c>
      <c r="P21" s="102"/>
      <c r="Q21" s="102"/>
    </row>
    <row r="22" spans="1:17" s="101" customFormat="1" ht="15.75">
      <c r="A22" s="96">
        <v>1190</v>
      </c>
      <c r="B22" s="97" t="s">
        <v>246</v>
      </c>
      <c r="C22" s="97" t="s">
        <v>212</v>
      </c>
      <c r="D22" s="97"/>
      <c r="E22" s="98">
        <v>28526.23</v>
      </c>
      <c r="F22" s="98" t="s">
        <v>217</v>
      </c>
      <c r="G22" s="98" t="s">
        <v>217</v>
      </c>
      <c r="H22" s="98"/>
      <c r="I22" s="98"/>
      <c r="J22" s="98">
        <v>0</v>
      </c>
      <c r="K22" s="98"/>
      <c r="L22" s="99">
        <f>IF(ISNA(VLOOKUP(A22,'[3]OEB Adjusted Financials'!$I$6:$J$188,2,FALSE)),"",VLOOKUP(A22,'[3]OEB Adjusted Financials'!$I$6:$J$188,2,FALSE))</f>
      </c>
      <c r="M22" s="100">
        <f>IF(ISNA(VLOOKUP($A22,'[4]2010 TB'!$A$4:$E$210,5,FALSE)),"",VLOOKUP($A22,'[4]2010 TB'!$A$4:$E$210,5,FALSE))</f>
      </c>
      <c r="N22" s="100">
        <f>IF(ISNA(VLOOKUP($A22,'[5]2011 TB Summary'!$A$4:$J$212,10,FALSE)),"",VLOOKUP($A22,'[5]2011 TB Summary'!$A$4:$J$212,10,FALSE))</f>
      </c>
      <c r="P22" s="108" t="s">
        <v>247</v>
      </c>
      <c r="Q22" s="102"/>
    </row>
    <row r="23" spans="1:17" s="101" customFormat="1" ht="15.75">
      <c r="A23" s="96">
        <v>1200</v>
      </c>
      <c r="B23" s="97" t="s">
        <v>248</v>
      </c>
      <c r="C23" s="97" t="s">
        <v>212</v>
      </c>
      <c r="D23" s="97" t="s">
        <v>249</v>
      </c>
      <c r="E23" s="98">
        <v>6580173.17</v>
      </c>
      <c r="F23" s="98">
        <v>12059244.35</v>
      </c>
      <c r="G23" s="98">
        <v>52004.76</v>
      </c>
      <c r="H23" s="98">
        <v>0</v>
      </c>
      <c r="I23" s="98">
        <v>391669.29</v>
      </c>
      <c r="J23" s="98">
        <v>0</v>
      </c>
      <c r="K23" s="98"/>
      <c r="L23" s="99">
        <f>IF(ISNA(VLOOKUP(A23,'[3]OEB Adjusted Financials'!$I$6:$J$188,2,FALSE)),"",VLOOKUP(A23,'[3]OEB Adjusted Financials'!$I$6:$J$188,2,FALSE))</f>
        <v>14494224.620000001</v>
      </c>
      <c r="M23" s="100">
        <f>IF(ISNA(VLOOKUP($A23,'[4]2010 TB'!$A$4:$E$210,5,FALSE)),"",VLOOKUP($A23,'[4]2010 TB'!$A$4:$E$210,5,FALSE))</f>
        <v>14494224.620000001</v>
      </c>
      <c r="N23" s="100">
        <f>IF(ISNA(VLOOKUP($A23,'[5]2011 TB Summary'!$A$4:$J$212,10,FALSE)),"",VLOOKUP($A23,'[5]2011 TB Summary'!$A$4:$J$212,10,FALSE))</f>
        <v>14494224.620000001</v>
      </c>
      <c r="P23" s="102" t="s">
        <v>250</v>
      </c>
      <c r="Q23" s="103">
        <f>SUMIF($C:$C,P23,$L:$L)</f>
        <v>-362624652.08000004</v>
      </c>
    </row>
    <row r="24" spans="1:17" s="101" customFormat="1" ht="15.75">
      <c r="A24" s="96">
        <v>1210</v>
      </c>
      <c r="B24" s="97" t="s">
        <v>251</v>
      </c>
      <c r="C24" s="97" t="s">
        <v>212</v>
      </c>
      <c r="D24" s="97"/>
      <c r="E24" s="98" t="s">
        <v>217</v>
      </c>
      <c r="F24" s="98" t="s">
        <v>217</v>
      </c>
      <c r="G24" s="98" t="s">
        <v>217</v>
      </c>
      <c r="H24" s="98">
        <v>-12496.45</v>
      </c>
      <c r="I24" s="98">
        <v>-43547</v>
      </c>
      <c r="J24" s="98">
        <v>0</v>
      </c>
      <c r="K24" s="98"/>
      <c r="L24" s="99">
        <f>IF(ISNA(VLOOKUP(A24,'[3]OEB Adjusted Financials'!$I$6:$J$188,2,FALSE)),"",VLOOKUP(A24,'[3]OEB Adjusted Financials'!$I$6:$J$188,2,FALSE))</f>
      </c>
      <c r="M24" s="100">
        <f>IF(ISNA(VLOOKUP($A24,'[4]2010 TB'!$A$4:$E$210,5,FALSE)),"",VLOOKUP($A24,'[4]2010 TB'!$A$4:$E$210,5,FALSE))</f>
      </c>
      <c r="N24" s="100">
        <f>IF(ISNA(VLOOKUP($A24,'[5]2011 TB Summary'!$A$4:$J$212,10,FALSE)),"",VLOOKUP($A24,'[5]2011 TB Summary'!$A$4:$J$212,10,FALSE))</f>
      </c>
      <c r="P24" s="102" t="s">
        <v>252</v>
      </c>
      <c r="Q24" s="103">
        <f>SUMIF($C:$C,P24,$L:$L)</f>
        <v>-84791785.84000003</v>
      </c>
    </row>
    <row r="25" spans="1:17" s="101" customFormat="1" ht="15.75">
      <c r="A25" s="96">
        <v>1305</v>
      </c>
      <c r="B25" s="97" t="s">
        <v>253</v>
      </c>
      <c r="C25" s="97" t="s">
        <v>215</v>
      </c>
      <c r="D25" s="97"/>
      <c r="E25" s="98" t="s">
        <v>217</v>
      </c>
      <c r="F25" s="98" t="s">
        <v>217</v>
      </c>
      <c r="G25" s="98" t="s">
        <v>217</v>
      </c>
      <c r="H25" s="98"/>
      <c r="I25" s="98"/>
      <c r="J25" s="98"/>
      <c r="K25" s="98"/>
      <c r="L25" s="99">
        <f>IF(ISNA(VLOOKUP(A25,'[3]OEB Adjusted Financials'!$I$6:$J$188,2,FALSE)),"",VLOOKUP(A25,'[3]OEB Adjusted Financials'!$I$6:$J$188,2,FALSE))</f>
        <v>-28241.92</v>
      </c>
      <c r="M25" s="100">
        <f>IF(ISNA(VLOOKUP($A25,'[4]2010 TB'!$A$4:$E$210,5,FALSE)),"",VLOOKUP($A25,'[4]2010 TB'!$A$4:$E$210,5,FALSE))</f>
        <v>-28241.92</v>
      </c>
      <c r="N25" s="100">
        <f>IF(ISNA(VLOOKUP($A25,'[5]2011 TB Summary'!$A$4:$J$212,10,FALSE)),"",VLOOKUP($A25,'[5]2011 TB Summary'!$A$4:$J$212,10,FALSE))</f>
        <v>-28241.92</v>
      </c>
      <c r="P25" s="102" t="s">
        <v>254</v>
      </c>
      <c r="Q25" s="103">
        <f>SUMIF($C:$C,P25,$L:$L)</f>
        <v>-3977910.83</v>
      </c>
    </row>
    <row r="26" spans="1:17" s="101" customFormat="1" ht="15.75">
      <c r="A26" s="96">
        <v>1330</v>
      </c>
      <c r="B26" s="97" t="s">
        <v>255</v>
      </c>
      <c r="C26" s="97" t="s">
        <v>215</v>
      </c>
      <c r="D26" s="97" t="s">
        <v>215</v>
      </c>
      <c r="E26" s="98">
        <v>4185973.97</v>
      </c>
      <c r="F26" s="98">
        <v>3701260.9</v>
      </c>
      <c r="G26" s="98">
        <v>3337886.42</v>
      </c>
      <c r="H26" s="98">
        <v>5453716.09</v>
      </c>
      <c r="I26" s="98">
        <v>6479869.34</v>
      </c>
      <c r="J26" s="98">
        <v>6377553.64</v>
      </c>
      <c r="K26" s="98">
        <v>5928385.76</v>
      </c>
      <c r="L26" s="99">
        <f>IF(ISNA(VLOOKUP(A26,'[3]OEB Adjusted Financials'!$I$6:$J$188,2,FALSE)),"",VLOOKUP(A26,'[3]OEB Adjusted Financials'!$I$6:$J$188,2,FALSE))</f>
        <v>6368867.249999997</v>
      </c>
      <c r="M26" s="100">
        <f>IF(ISNA(VLOOKUP($A26,'[4]2010 TB'!$A$4:$E$210,5,FALSE)),"",VLOOKUP($A26,'[4]2010 TB'!$A$4:$E$210,5,FALSE))</f>
        <v>6368867.249999997</v>
      </c>
      <c r="N26" s="100">
        <f>IF(ISNA(VLOOKUP($A26,'[5]2011 TB Summary'!$A$4:$J$212,10,FALSE)),"",VLOOKUP($A26,'[5]2011 TB Summary'!$A$4:$J$212,10,FALSE))</f>
        <v>6368867.249999997</v>
      </c>
      <c r="P26" s="102" t="s">
        <v>256</v>
      </c>
      <c r="Q26" s="103">
        <f>SUMIF($C:$C,P26,$L:$L)</f>
        <v>-1367689.3800000004</v>
      </c>
    </row>
    <row r="27" spans="1:17" s="101" customFormat="1" ht="15.75">
      <c r="A27" s="96">
        <v>1340</v>
      </c>
      <c r="B27" s="97" t="s">
        <v>257</v>
      </c>
      <c r="C27" s="97" t="s">
        <v>215</v>
      </c>
      <c r="D27" s="97"/>
      <c r="E27" s="98">
        <v>33361.64</v>
      </c>
      <c r="F27" s="98" t="s">
        <v>217</v>
      </c>
      <c r="G27" s="98" t="s">
        <v>217</v>
      </c>
      <c r="H27" s="98"/>
      <c r="I27" s="98"/>
      <c r="J27" s="98">
        <v>0</v>
      </c>
      <c r="K27" s="98"/>
      <c r="L27" s="99">
        <f>IF(ISNA(VLOOKUP(A27,'[3]OEB Adjusted Financials'!$I$6:$J$188,2,FALSE)),"",VLOOKUP(A27,'[3]OEB Adjusted Financials'!$I$6:$J$188,2,FALSE))</f>
      </c>
      <c r="M27" s="100">
        <f>IF(ISNA(VLOOKUP($A27,'[4]2010 TB'!$A$4:$E$210,5,FALSE)),"",VLOOKUP($A27,'[4]2010 TB'!$A$4:$E$210,5,FALSE))</f>
      </c>
      <c r="N27" s="100">
        <f>IF(ISNA(VLOOKUP($A27,'[5]2011 TB Summary'!$A$4:$J$212,10,FALSE)),"",VLOOKUP($A27,'[5]2011 TB Summary'!$A$4:$J$212,10,FALSE))</f>
      </c>
      <c r="P27" s="102" t="s">
        <v>258</v>
      </c>
      <c r="Q27" s="103">
        <f>SUMIF($C:$C,P27,$L:$L)</f>
        <v>-13465.009999999998</v>
      </c>
    </row>
    <row r="28" spans="1:17" s="101" customFormat="1" ht="15.75">
      <c r="A28" s="96">
        <v>1350</v>
      </c>
      <c r="B28" s="97" t="s">
        <v>259</v>
      </c>
      <c r="C28" s="97" t="s">
        <v>215</v>
      </c>
      <c r="D28" s="97"/>
      <c r="E28" s="98">
        <v>5800.25</v>
      </c>
      <c r="F28" s="98">
        <v>29087.37</v>
      </c>
      <c r="G28" s="98">
        <v>29742.04</v>
      </c>
      <c r="H28" s="98"/>
      <c r="I28" s="98"/>
      <c r="J28" s="98">
        <v>0</v>
      </c>
      <c r="K28" s="98"/>
      <c r="L28" s="99">
        <f>IF(ISNA(VLOOKUP(A28,'[3]OEB Adjusted Financials'!$I$6:$J$188,2,FALSE)),"",VLOOKUP(A28,'[3]OEB Adjusted Financials'!$I$6:$J$188,2,FALSE))</f>
        <v>0</v>
      </c>
      <c r="M28" s="100">
        <f>IF(ISNA(VLOOKUP($A28,'[4]2010 TB'!$A$4:$E$210,5,FALSE)),"",VLOOKUP($A28,'[4]2010 TB'!$A$4:$E$210,5,FALSE))</f>
        <v>0</v>
      </c>
      <c r="N28" s="100">
        <f>IF(ISNA(VLOOKUP($A28,'[5]2011 TB Summary'!$A$4:$J$212,10,FALSE)),"",VLOOKUP($A28,'[5]2011 TB Summary'!$A$4:$J$212,10,FALSE))</f>
        <v>0</v>
      </c>
      <c r="P28" s="102"/>
      <c r="Q28" s="102"/>
    </row>
    <row r="29" spans="1:17" s="101" customFormat="1" ht="15.75">
      <c r="A29" s="96">
        <v>1405</v>
      </c>
      <c r="B29" s="97" t="s">
        <v>260</v>
      </c>
      <c r="C29" s="97" t="s">
        <v>218</v>
      </c>
      <c r="D29" s="97" t="s">
        <v>245</v>
      </c>
      <c r="E29" s="98">
        <v>67864</v>
      </c>
      <c r="F29" s="98">
        <v>67864</v>
      </c>
      <c r="G29" s="98">
        <v>67864</v>
      </c>
      <c r="H29" s="98">
        <v>67864</v>
      </c>
      <c r="I29" s="98">
        <v>67864</v>
      </c>
      <c r="J29" s="98">
        <v>0</v>
      </c>
      <c r="K29" s="98">
        <v>0</v>
      </c>
      <c r="L29" s="99">
        <f>IF(ISNA(VLOOKUP(A29,'[3]OEB Adjusted Financials'!$I$6:$J$188,2,FALSE)),"",VLOOKUP(A29,'[3]OEB Adjusted Financials'!$I$6:$J$188,2,FALSE))</f>
      </c>
      <c r="M29" s="100">
        <f>IF(ISNA(VLOOKUP($A29,'[4]2010 TB'!$A$4:$E$210,5,FALSE)),"",VLOOKUP($A29,'[4]2010 TB'!$A$4:$E$210,5,FALSE))</f>
      </c>
      <c r="N29" s="100">
        <f>IF(ISNA(VLOOKUP($A29,'[5]2011 TB Summary'!$A$4:$J$212,10,FALSE)),"",VLOOKUP($A29,'[5]2011 TB Summary'!$A$4:$J$212,10,FALSE))</f>
      </c>
      <c r="P29" s="104" t="s">
        <v>261</v>
      </c>
      <c r="Q29" s="105">
        <f>SUM(Q23:Q28)</f>
        <v>-452775503.14000005</v>
      </c>
    </row>
    <row r="30" spans="1:17" s="101" customFormat="1" ht="15.75">
      <c r="A30" s="96">
        <v>1408</v>
      </c>
      <c r="B30" s="97" t="s">
        <v>262</v>
      </c>
      <c r="C30" s="97" t="s">
        <v>218</v>
      </c>
      <c r="D30" s="97"/>
      <c r="E30" s="98" t="s">
        <v>217</v>
      </c>
      <c r="F30" s="98" t="s">
        <v>217</v>
      </c>
      <c r="G30" s="98" t="s">
        <v>217</v>
      </c>
      <c r="H30" s="98"/>
      <c r="I30" s="98"/>
      <c r="J30" s="98"/>
      <c r="K30" s="98"/>
      <c r="L30" s="99">
        <f>IF(ISNA(VLOOKUP(A30,'[3]OEB Adjusted Financials'!$I$6:$J$188,2,FALSE)),"",VLOOKUP(A30,'[3]OEB Adjusted Financials'!$I$6:$J$188,2,FALSE))</f>
      </c>
      <c r="M30" s="100">
        <f>IF(ISNA(VLOOKUP($A30,'[4]2010 TB'!$A$4:$E$210,5,FALSE)),"",VLOOKUP($A30,'[4]2010 TB'!$A$4:$E$210,5,FALSE))</f>
      </c>
      <c r="N30" s="100">
        <f>IF(ISNA(VLOOKUP($A30,'[5]2011 TB Summary'!$A$4:$J$212,10,FALSE)),"",VLOOKUP($A30,'[5]2011 TB Summary'!$A$4:$J$212,10,FALSE))</f>
      </c>
      <c r="P30" s="102"/>
      <c r="Q30" s="102"/>
    </row>
    <row r="31" spans="1:17" s="101" customFormat="1" ht="15.75">
      <c r="A31" s="96">
        <v>1410</v>
      </c>
      <c r="B31" s="97" t="s">
        <v>263</v>
      </c>
      <c r="C31" s="97" t="s">
        <v>218</v>
      </c>
      <c r="D31" s="97"/>
      <c r="E31" s="98" t="s">
        <v>217</v>
      </c>
      <c r="F31" s="98" t="s">
        <v>217</v>
      </c>
      <c r="G31" s="98" t="s">
        <v>217</v>
      </c>
      <c r="H31" s="98"/>
      <c r="I31" s="98"/>
      <c r="J31" s="98">
        <v>0</v>
      </c>
      <c r="K31" s="98"/>
      <c r="L31" s="99">
        <f>IF(ISNA(VLOOKUP(A31,'[3]OEB Adjusted Financials'!$I$6:$J$188,2,FALSE)),"",VLOOKUP(A31,'[3]OEB Adjusted Financials'!$I$6:$J$188,2,FALSE))</f>
      </c>
      <c r="M31" s="100">
        <f>IF(ISNA(VLOOKUP($A31,'[4]2010 TB'!$A$4:$E$210,5,FALSE)),"",VLOOKUP($A31,'[4]2010 TB'!$A$4:$E$210,5,FALSE))</f>
      </c>
      <c r="N31" s="100">
        <f>IF(ISNA(VLOOKUP($A31,'[5]2011 TB Summary'!$A$4:$J$212,10,FALSE)),"",VLOOKUP($A31,'[5]2011 TB Summary'!$A$4:$J$212,10,FALSE))</f>
      </c>
      <c r="P31" s="102"/>
      <c r="Q31" s="102"/>
    </row>
    <row r="32" spans="1:17" s="101" customFormat="1" ht="15.75">
      <c r="A32" s="96">
        <v>1415</v>
      </c>
      <c r="B32" s="97" t="s">
        <v>264</v>
      </c>
      <c r="C32" s="97" t="s">
        <v>218</v>
      </c>
      <c r="D32" s="97"/>
      <c r="E32" s="98">
        <v>2663920.13</v>
      </c>
      <c r="F32" s="98">
        <v>3019735.13</v>
      </c>
      <c r="G32" s="98" t="s">
        <v>217</v>
      </c>
      <c r="H32" s="98"/>
      <c r="I32" s="98"/>
      <c r="J32" s="98">
        <v>0</v>
      </c>
      <c r="K32" s="98"/>
      <c r="L32" s="99">
        <f>IF(ISNA(VLOOKUP(A32,'[3]OEB Adjusted Financials'!$I$6:$J$188,2,FALSE)),"",VLOOKUP(A32,'[3]OEB Adjusted Financials'!$I$6:$J$188,2,FALSE))</f>
      </c>
      <c r="M32" s="100">
        <f>IF(ISNA(VLOOKUP($A32,'[4]2010 TB'!$A$4:$E$210,5,FALSE)),"",VLOOKUP($A32,'[4]2010 TB'!$A$4:$E$210,5,FALSE))</f>
      </c>
      <c r="N32" s="100">
        <f>IF(ISNA(VLOOKUP($A32,'[5]2011 TB Summary'!$A$4:$J$212,10,FALSE)),"",VLOOKUP($A32,'[5]2011 TB Summary'!$A$4:$J$212,10,FALSE))</f>
      </c>
      <c r="P32" s="108" t="s">
        <v>265</v>
      </c>
      <c r="Q32" s="102"/>
    </row>
    <row r="33" spans="1:17" s="101" customFormat="1" ht="15.75">
      <c r="A33" s="96">
        <v>1425</v>
      </c>
      <c r="B33" s="97" t="s">
        <v>266</v>
      </c>
      <c r="C33" s="97" t="s">
        <v>218</v>
      </c>
      <c r="D33" s="97"/>
      <c r="E33" s="98" t="s">
        <v>217</v>
      </c>
      <c r="F33" s="98" t="s">
        <v>217</v>
      </c>
      <c r="G33" s="98" t="s">
        <v>217</v>
      </c>
      <c r="H33" s="98"/>
      <c r="I33" s="98"/>
      <c r="J33" s="98"/>
      <c r="K33" s="98"/>
      <c r="L33" s="99">
        <f>IF(ISNA(VLOOKUP(A33,'[3]OEB Adjusted Financials'!$I$6:$J$188,2,FALSE)),"",VLOOKUP(A33,'[3]OEB Adjusted Financials'!$I$6:$J$188,2,FALSE))</f>
      </c>
      <c r="M33" s="100">
        <f>IF(ISNA(VLOOKUP($A33,'[4]2010 TB'!$A$4:$E$210,5,FALSE)),"",VLOOKUP($A33,'[4]2010 TB'!$A$4:$E$210,5,FALSE))</f>
      </c>
      <c r="N33" s="100">
        <f>IF(ISNA(VLOOKUP($A33,'[5]2011 TB Summary'!$A$4:$J$212,10,FALSE)),"",VLOOKUP($A33,'[5]2011 TB Summary'!$A$4:$J$212,10,FALSE))</f>
      </c>
      <c r="P33" s="102" t="s">
        <v>267</v>
      </c>
      <c r="Q33" s="109"/>
    </row>
    <row r="34" spans="1:17" s="101" customFormat="1" ht="15.75">
      <c r="A34" s="96">
        <v>1445</v>
      </c>
      <c r="B34" s="97" t="s">
        <v>268</v>
      </c>
      <c r="C34" s="97" t="s">
        <v>218</v>
      </c>
      <c r="D34" s="97"/>
      <c r="E34" s="98" t="s">
        <v>217</v>
      </c>
      <c r="F34" s="98" t="s">
        <v>217</v>
      </c>
      <c r="G34" s="98" t="s">
        <v>217</v>
      </c>
      <c r="H34" s="98"/>
      <c r="I34" s="98"/>
      <c r="J34" s="98"/>
      <c r="K34" s="98"/>
      <c r="L34" s="99">
        <f>IF(ISNA(VLOOKUP(A34,'[3]OEB Adjusted Financials'!$I$6:$J$188,2,FALSE)),"",VLOOKUP(A34,'[3]OEB Adjusted Financials'!$I$6:$J$188,2,FALSE))</f>
      </c>
      <c r="M34" s="100">
        <f>IF(ISNA(VLOOKUP($A34,'[4]2010 TB'!$A$4:$E$210,5,FALSE)),"",VLOOKUP($A34,'[4]2010 TB'!$A$4:$E$210,5,FALSE))</f>
      </c>
      <c r="N34" s="100">
        <f>IF(ISNA(VLOOKUP($A34,'[5]2011 TB Summary'!$A$4:$J$212,10,FALSE)),"",VLOOKUP($A34,'[5]2011 TB Summary'!$A$4:$J$212,10,FALSE))</f>
      </c>
      <c r="P34" s="102" t="s">
        <v>269</v>
      </c>
      <c r="Q34" s="103">
        <f>SUMIF($C:$C,P34,$L:$L)</f>
        <v>362624652.08000004</v>
      </c>
    </row>
    <row r="35" spans="1:17" s="101" customFormat="1" ht="15.75">
      <c r="A35" s="96">
        <v>1455</v>
      </c>
      <c r="B35" s="97" t="s">
        <v>270</v>
      </c>
      <c r="C35" s="97" t="s">
        <v>218</v>
      </c>
      <c r="D35" s="97"/>
      <c r="E35" s="98" t="s">
        <v>217</v>
      </c>
      <c r="F35" s="98" t="s">
        <v>217</v>
      </c>
      <c r="G35" s="98" t="s">
        <v>217</v>
      </c>
      <c r="H35" s="98"/>
      <c r="I35" s="98"/>
      <c r="J35" s="98"/>
      <c r="K35" s="98"/>
      <c r="L35" s="99">
        <f>IF(ISNA(VLOOKUP(A35,'[3]OEB Adjusted Financials'!$I$6:$J$188,2,FALSE)),"",VLOOKUP(A35,'[3]OEB Adjusted Financials'!$I$6:$J$188,2,FALSE))</f>
      </c>
      <c r="M35" s="100">
        <f>IF(ISNA(VLOOKUP($A35,'[4]2010 TB'!$A$4:$E$210,5,FALSE)),"",VLOOKUP($A35,'[4]2010 TB'!$A$4:$E$210,5,FALSE))</f>
      </c>
      <c r="N35" s="100">
        <f>IF(ISNA(VLOOKUP($A35,'[5]2011 TB Summary'!$A$4:$J$212,10,FALSE)),"",VLOOKUP($A35,'[5]2011 TB Summary'!$A$4:$J$212,10,FALSE))</f>
      </c>
      <c r="P35" s="102" t="s">
        <v>271</v>
      </c>
      <c r="Q35" s="109"/>
    </row>
    <row r="36" spans="1:17" s="101" customFormat="1" ht="15.75">
      <c r="A36" s="96">
        <v>1460</v>
      </c>
      <c r="B36" s="97" t="s">
        <v>272</v>
      </c>
      <c r="C36" s="97" t="s">
        <v>218</v>
      </c>
      <c r="D36" s="97"/>
      <c r="E36" s="98" t="s">
        <v>217</v>
      </c>
      <c r="F36" s="98" t="s">
        <v>217</v>
      </c>
      <c r="G36" s="98">
        <v>1030851.26</v>
      </c>
      <c r="H36" s="98">
        <v>-8427.83</v>
      </c>
      <c r="I36" s="98">
        <v>1474024.63</v>
      </c>
      <c r="J36" s="98">
        <v>0</v>
      </c>
      <c r="K36" s="98"/>
      <c r="L36" s="99">
        <f>IF(ISNA(VLOOKUP(A36,'[3]OEB Adjusted Financials'!$I$6:$J$188,2,FALSE)),"",VLOOKUP(A36,'[3]OEB Adjusted Financials'!$I$6:$J$188,2,FALSE))</f>
      </c>
      <c r="M36" s="100">
        <f>IF(ISNA(VLOOKUP($A36,'[4]2010 TB'!$A$4:$E$210,5,FALSE)),"",VLOOKUP($A36,'[4]2010 TB'!$A$4:$E$210,5,FALSE))</f>
      </c>
      <c r="N36" s="100">
        <f>IF(ISNA(VLOOKUP($A36,'[5]2011 TB Summary'!$A$4:$J$212,10,FALSE)),"",VLOOKUP($A36,'[5]2011 TB Summary'!$A$4:$J$212,10,FALSE))</f>
      </c>
      <c r="P36" s="102" t="s">
        <v>273</v>
      </c>
      <c r="Q36" s="103">
        <f>SUMIF($C:$C,P36,$L:$L)</f>
        <v>18299587.350000005</v>
      </c>
    </row>
    <row r="37" spans="1:17" s="101" customFormat="1" ht="15.75">
      <c r="A37" s="96">
        <v>1465</v>
      </c>
      <c r="B37" s="97" t="s">
        <v>274</v>
      </c>
      <c r="C37" s="97" t="s">
        <v>218</v>
      </c>
      <c r="D37" s="97"/>
      <c r="E37" s="98" t="s">
        <v>217</v>
      </c>
      <c r="F37" s="98" t="s">
        <v>217</v>
      </c>
      <c r="G37" s="98" t="s">
        <v>217</v>
      </c>
      <c r="H37" s="98"/>
      <c r="I37" s="98"/>
      <c r="J37" s="98"/>
      <c r="K37" s="98"/>
      <c r="L37" s="99">
        <f>IF(ISNA(VLOOKUP(A37,'[3]OEB Adjusted Financials'!$I$6:$J$188,2,FALSE)),"",VLOOKUP(A37,'[3]OEB Adjusted Financials'!$I$6:$J$188,2,FALSE))</f>
      </c>
      <c r="M37" s="100">
        <f>IF(ISNA(VLOOKUP($A37,'[4]2010 TB'!$A$4:$E$210,5,FALSE)),"",VLOOKUP($A37,'[4]2010 TB'!$A$4:$E$210,5,FALSE))</f>
      </c>
      <c r="N37" s="100">
        <f>IF(ISNA(VLOOKUP($A37,'[5]2011 TB Summary'!$A$4:$J$212,10,FALSE)),"",VLOOKUP($A37,'[5]2011 TB Summary'!$A$4:$J$212,10,FALSE))</f>
      </c>
      <c r="P37" s="102" t="s">
        <v>275</v>
      </c>
      <c r="Q37" s="109"/>
    </row>
    <row r="38" spans="1:17" s="101" customFormat="1" ht="15.75">
      <c r="A38" s="96">
        <v>1470</v>
      </c>
      <c r="B38" s="97" t="s">
        <v>276</v>
      </c>
      <c r="C38" s="97" t="s">
        <v>218</v>
      </c>
      <c r="D38" s="97"/>
      <c r="E38" s="98" t="s">
        <v>217</v>
      </c>
      <c r="F38" s="98" t="s">
        <v>217</v>
      </c>
      <c r="G38" s="98" t="s">
        <v>217</v>
      </c>
      <c r="H38" s="98"/>
      <c r="I38" s="98"/>
      <c r="J38" s="98"/>
      <c r="K38" s="98"/>
      <c r="L38" s="99">
        <f>IF(ISNA(VLOOKUP(A38,'[3]OEB Adjusted Financials'!$I$6:$J$188,2,FALSE)),"",VLOOKUP(A38,'[3]OEB Adjusted Financials'!$I$6:$J$188,2,FALSE))</f>
      </c>
      <c r="M38" s="100">
        <f>IF(ISNA(VLOOKUP($A38,'[4]2010 TB'!$A$4:$E$210,5,FALSE)),"",VLOOKUP($A38,'[4]2010 TB'!$A$4:$E$210,5,FALSE))</f>
      </c>
      <c r="N38" s="100">
        <f>IF(ISNA(VLOOKUP($A38,'[5]2011 TB Summary'!$A$4:$J$212,10,FALSE)),"",VLOOKUP($A38,'[5]2011 TB Summary'!$A$4:$J$212,10,FALSE))</f>
      </c>
      <c r="P38" s="102" t="s">
        <v>277</v>
      </c>
      <c r="Q38" s="103">
        <f>SUMIF($C:$C,P38,$L:$L)</f>
        <v>8312400.6899999995</v>
      </c>
    </row>
    <row r="39" spans="1:17" s="101" customFormat="1" ht="15.75">
      <c r="A39" s="96">
        <v>1475</v>
      </c>
      <c r="B39" s="97" t="s">
        <v>278</v>
      </c>
      <c r="C39" s="97" t="s">
        <v>218</v>
      </c>
      <c r="D39" s="97"/>
      <c r="E39" s="98" t="s">
        <v>217</v>
      </c>
      <c r="F39" s="98" t="s">
        <v>217</v>
      </c>
      <c r="G39" s="98" t="s">
        <v>217</v>
      </c>
      <c r="H39" s="98"/>
      <c r="I39" s="98"/>
      <c r="J39" s="98"/>
      <c r="K39" s="98"/>
      <c r="L39" s="99">
        <f>IF(ISNA(VLOOKUP(A39,'[3]OEB Adjusted Financials'!$I$6:$J$188,2,FALSE)),"",VLOOKUP(A39,'[3]OEB Adjusted Financials'!$I$6:$J$188,2,FALSE))</f>
      </c>
      <c r="M39" s="100">
        <f>IF(ISNA(VLOOKUP($A39,'[4]2010 TB'!$A$4:$E$210,5,FALSE)),"",VLOOKUP($A39,'[4]2010 TB'!$A$4:$E$210,5,FALSE))</f>
      </c>
      <c r="N39" s="100">
        <f>IF(ISNA(VLOOKUP($A39,'[5]2011 TB Summary'!$A$4:$J$212,10,FALSE)),"",VLOOKUP($A39,'[5]2011 TB Summary'!$A$4:$J$212,10,FALSE))</f>
      </c>
      <c r="P39" s="102" t="s">
        <v>279</v>
      </c>
      <c r="Q39" s="103">
        <f>SUMIF($C:$C,P39,$L:$L)</f>
        <v>345839.69</v>
      </c>
    </row>
    <row r="40" spans="1:17" s="101" customFormat="1" ht="15.75">
      <c r="A40" s="96">
        <v>1480</v>
      </c>
      <c r="B40" s="97" t="s">
        <v>280</v>
      </c>
      <c r="C40" s="97" t="s">
        <v>218</v>
      </c>
      <c r="D40" s="97"/>
      <c r="E40" s="98" t="s">
        <v>217</v>
      </c>
      <c r="F40" s="98" t="s">
        <v>217</v>
      </c>
      <c r="G40" s="98" t="s">
        <v>217</v>
      </c>
      <c r="H40" s="98"/>
      <c r="I40" s="98"/>
      <c r="J40" s="98"/>
      <c r="K40" s="98"/>
      <c r="L40" s="99">
        <f>IF(ISNA(VLOOKUP(A40,'[3]OEB Adjusted Financials'!$I$6:$J$188,2,FALSE)),"",VLOOKUP(A40,'[3]OEB Adjusted Financials'!$I$6:$J$188,2,FALSE))</f>
      </c>
      <c r="M40" s="100">
        <f>IF(ISNA(VLOOKUP($A40,'[4]2010 TB'!$A$4:$E$210,5,FALSE)),"",VLOOKUP($A40,'[4]2010 TB'!$A$4:$E$210,5,FALSE))</f>
      </c>
      <c r="N40" s="100">
        <f>IF(ISNA(VLOOKUP($A40,'[5]2011 TB Summary'!$A$4:$J$212,10,FALSE)),"",VLOOKUP($A40,'[5]2011 TB Summary'!$A$4:$J$212,10,FALSE))</f>
      </c>
      <c r="P40" s="102" t="s">
        <v>281</v>
      </c>
      <c r="Q40" s="103">
        <f>SUMIF($C:$C,P40,$L:$L)</f>
        <v>89996.79</v>
      </c>
    </row>
    <row r="41" spans="1:19" s="101" customFormat="1" ht="15.75">
      <c r="A41" s="96">
        <v>1485</v>
      </c>
      <c r="B41" s="97" t="s">
        <v>282</v>
      </c>
      <c r="C41" s="97" t="s">
        <v>218</v>
      </c>
      <c r="D41" s="97"/>
      <c r="E41" s="98" t="s">
        <v>217</v>
      </c>
      <c r="F41" s="98" t="s">
        <v>217</v>
      </c>
      <c r="G41" s="98" t="s">
        <v>217</v>
      </c>
      <c r="H41" s="98"/>
      <c r="I41" s="98"/>
      <c r="J41" s="98"/>
      <c r="K41" s="98"/>
      <c r="L41" s="99">
        <f>IF(ISNA(VLOOKUP(A41,'[3]OEB Adjusted Financials'!$I$6:$J$188,2,FALSE)),"",VLOOKUP(A41,'[3]OEB Adjusted Financials'!$I$6:$J$188,2,FALSE))</f>
      </c>
      <c r="M41" s="100">
        <f>IF(ISNA(VLOOKUP($A41,'[4]2010 TB'!$A$4:$E$210,5,FALSE)),"",VLOOKUP($A41,'[4]2010 TB'!$A$4:$E$210,5,FALSE))</f>
      </c>
      <c r="N41" s="100">
        <f>IF(ISNA(VLOOKUP($A41,'[5]2011 TB Summary'!$A$4:$J$212,10,FALSE)),"",VLOOKUP($A41,'[5]2011 TB Summary'!$A$4:$J$212,10,FALSE))</f>
      </c>
      <c r="P41" s="102" t="s">
        <v>283</v>
      </c>
      <c r="Q41" s="103">
        <f>SUMIF($C:$C,P41,$L:$L)</f>
        <v>11730820.410000004</v>
      </c>
      <c r="S41" s="110"/>
    </row>
    <row r="42" spans="1:17" s="101" customFormat="1" ht="15.75">
      <c r="A42" s="96">
        <v>1490</v>
      </c>
      <c r="B42" s="97" t="s">
        <v>284</v>
      </c>
      <c r="C42" s="97" t="s">
        <v>218</v>
      </c>
      <c r="D42" s="97"/>
      <c r="E42" s="98" t="s">
        <v>217</v>
      </c>
      <c r="F42" s="98" t="s">
        <v>217</v>
      </c>
      <c r="G42" s="98" t="s">
        <v>217</v>
      </c>
      <c r="H42" s="98"/>
      <c r="I42" s="98"/>
      <c r="J42" s="98"/>
      <c r="K42" s="98"/>
      <c r="L42" s="99">
        <f>IF(ISNA(VLOOKUP(A42,'[3]OEB Adjusted Financials'!$I$6:$J$188,2,FALSE)),"",VLOOKUP(A42,'[3]OEB Adjusted Financials'!$I$6:$J$188,2,FALSE))</f>
      </c>
      <c r="M42" s="100">
        <f>IF(ISNA(VLOOKUP($A42,'[4]2010 TB'!$A$4:$E$210,5,FALSE)),"",VLOOKUP($A42,'[4]2010 TB'!$A$4:$E$210,5,FALSE))</f>
      </c>
      <c r="N42" s="100">
        <f>IF(ISNA(VLOOKUP($A42,'[5]2011 TB Summary'!$A$4:$J$212,10,FALSE)),"",VLOOKUP($A42,'[5]2011 TB Summary'!$A$4:$J$212,10,FALSE))</f>
      </c>
      <c r="P42" s="102" t="s">
        <v>285</v>
      </c>
      <c r="Q42" s="103">
        <f>SUMIF($C:$C,P42,$L:$L)</f>
        <v>23295449.649999995</v>
      </c>
    </row>
    <row r="43" spans="1:17" s="101" customFormat="1" ht="15.75">
      <c r="A43" s="96">
        <v>1505</v>
      </c>
      <c r="B43" s="97" t="s">
        <v>286</v>
      </c>
      <c r="C43" s="97" t="s">
        <v>220</v>
      </c>
      <c r="D43" s="97"/>
      <c r="E43" s="98" t="s">
        <v>217</v>
      </c>
      <c r="F43" s="98" t="s">
        <v>217</v>
      </c>
      <c r="G43" s="98" t="s">
        <v>217</v>
      </c>
      <c r="H43" s="98"/>
      <c r="I43" s="98"/>
      <c r="J43" s="98"/>
      <c r="K43" s="98"/>
      <c r="L43" s="99">
        <f>IF(ISNA(VLOOKUP(A43,'[3]OEB Adjusted Financials'!$I$6:$J$188,2,FALSE)),"",VLOOKUP(A43,'[3]OEB Adjusted Financials'!$I$6:$J$188,2,FALSE))</f>
      </c>
      <c r="M43" s="100">
        <f>IF(ISNA(VLOOKUP($A43,'[4]2010 TB'!$A$4:$E$210,5,FALSE)),"",VLOOKUP($A43,'[4]2010 TB'!$A$4:$E$210,5,FALSE))</f>
      </c>
      <c r="N43" s="100">
        <f>IF(ISNA(VLOOKUP($A43,'[5]2011 TB Summary'!$A$4:$J$212,10,FALSE)),"",VLOOKUP($A43,'[5]2011 TB Summary'!$A$4:$J$212,10,FALSE))</f>
      </c>
      <c r="P43" s="102" t="s">
        <v>287</v>
      </c>
      <c r="Q43" s="103">
        <f>SUMIF($C:$C,P43,$L:$L)</f>
        <v>9900326.149999999</v>
      </c>
    </row>
    <row r="44" spans="1:17" s="101" customFormat="1" ht="15.75">
      <c r="A44" s="96">
        <v>1508</v>
      </c>
      <c r="B44" s="97" t="s">
        <v>288</v>
      </c>
      <c r="C44" s="97" t="s">
        <v>220</v>
      </c>
      <c r="D44" s="97" t="s">
        <v>289</v>
      </c>
      <c r="E44" s="98" t="s">
        <v>217</v>
      </c>
      <c r="F44" s="98" t="s">
        <v>243</v>
      </c>
      <c r="G44" s="98" t="s">
        <v>217</v>
      </c>
      <c r="H44" s="98">
        <v>144764.85</v>
      </c>
      <c r="I44" s="98">
        <v>1999283.59</v>
      </c>
      <c r="J44" s="98">
        <v>1992758.72</v>
      </c>
      <c r="K44" s="98">
        <v>1031838.72</v>
      </c>
      <c r="L44" s="99">
        <f>IF(ISNA(VLOOKUP(A44,'[3]OEB Adjusted Financials'!$I$6:$J$188,2,FALSE)),"",VLOOKUP(A44,'[3]OEB Adjusted Financials'!$I$6:$J$188,2,FALSE))</f>
        <v>2094816.75</v>
      </c>
      <c r="M44" s="100">
        <f>IF(ISNA(VLOOKUP($A44,'[4]2010 TB'!$A$4:$E$210,5,FALSE)),"",VLOOKUP($A44,'[4]2010 TB'!$A$4:$E$210,5,FALSE))</f>
        <v>2714445.26</v>
      </c>
      <c r="N44" s="100">
        <f>IF(ISNA(VLOOKUP($A44,'[5]2011 TB Summary'!$A$4:$J$212,10,FALSE)),"",VLOOKUP($A44,'[5]2011 TB Summary'!$A$4:$J$212,10,FALSE))</f>
        <v>3077537.0290429685</v>
      </c>
      <c r="P44" s="102" t="s">
        <v>290</v>
      </c>
      <c r="Q44" s="103">
        <f>SUMIF($C:$C,P44,$L:$L)</f>
        <v>6698170.199999999</v>
      </c>
    </row>
    <row r="45" spans="1:18" s="101" customFormat="1" ht="15.75">
      <c r="A45" s="96">
        <v>1510</v>
      </c>
      <c r="B45" s="97" t="s">
        <v>291</v>
      </c>
      <c r="C45" s="97" t="s">
        <v>220</v>
      </c>
      <c r="D45" s="97"/>
      <c r="E45" s="98" t="s">
        <v>217</v>
      </c>
      <c r="F45" s="98" t="s">
        <v>217</v>
      </c>
      <c r="G45" s="98" t="s">
        <v>217</v>
      </c>
      <c r="H45" s="98"/>
      <c r="I45" s="98"/>
      <c r="J45" s="98"/>
      <c r="K45" s="98"/>
      <c r="L45" s="99">
        <f>IF(ISNA(VLOOKUP(A45,'[3]OEB Adjusted Financials'!$I$6:$J$188,2,FALSE)),"",VLOOKUP(A45,'[3]OEB Adjusted Financials'!$I$6:$J$188,2,FALSE))</f>
      </c>
      <c r="M45" s="100">
        <f>IF(ISNA(VLOOKUP($A45,'[4]2010 TB'!$A$4:$E$210,5,FALSE)),"",VLOOKUP($A45,'[4]2010 TB'!$A$4:$E$210,5,FALSE))</f>
      </c>
      <c r="N45" s="100">
        <f>IF(ISNA(VLOOKUP($A45,'[5]2011 TB Summary'!$A$4:$J$212,10,FALSE)),"",VLOOKUP($A45,'[5]2011 TB Summary'!$A$4:$J$212,10,FALSE))</f>
      </c>
      <c r="P45" s="102" t="s">
        <v>292</v>
      </c>
      <c r="Q45" s="103">
        <f>SUMIF($C:$C,P45,$L:$L)</f>
        <v>25890</v>
      </c>
      <c r="R45" s="110"/>
    </row>
    <row r="46" spans="1:17" s="101" customFormat="1" ht="15.75">
      <c r="A46" s="96">
        <v>1515</v>
      </c>
      <c r="B46" s="97" t="s">
        <v>293</v>
      </c>
      <c r="C46" s="97" t="s">
        <v>220</v>
      </c>
      <c r="D46" s="97"/>
      <c r="E46" s="98" t="s">
        <v>217</v>
      </c>
      <c r="F46" s="98" t="s">
        <v>217</v>
      </c>
      <c r="G46" s="98" t="s">
        <v>217</v>
      </c>
      <c r="H46" s="98"/>
      <c r="I46" s="98"/>
      <c r="J46" s="98"/>
      <c r="K46" s="98"/>
      <c r="L46" s="99">
        <f>IF(ISNA(VLOOKUP(A46,'[3]OEB Adjusted Financials'!$I$6:$J$188,2,FALSE)),"",VLOOKUP(A46,'[3]OEB Adjusted Financials'!$I$6:$J$188,2,FALSE))</f>
      </c>
      <c r="M46" s="100">
        <f>IF(ISNA(VLOOKUP($A46,'[4]2010 TB'!$A$4:$E$210,5,FALSE)),"",VLOOKUP($A46,'[4]2010 TB'!$A$4:$E$210,5,FALSE))</f>
      </c>
      <c r="N46" s="100">
        <f>IF(ISNA(VLOOKUP($A46,'[5]2011 TB Summary'!$A$4:$J$212,10,FALSE)),"",VLOOKUP($A46,'[5]2011 TB Summary'!$A$4:$J$212,10,FALSE))</f>
      </c>
      <c r="P46" s="102" t="s">
        <v>294</v>
      </c>
      <c r="Q46" s="103">
        <f>SUMIF($C:$C,P46,$L:$L)</f>
        <v>0</v>
      </c>
    </row>
    <row r="47" spans="1:17" s="101" customFormat="1" ht="15.75">
      <c r="A47" s="96">
        <v>1516</v>
      </c>
      <c r="B47" s="97" t="s">
        <v>295</v>
      </c>
      <c r="C47" s="97" t="s">
        <v>220</v>
      </c>
      <c r="D47" s="97"/>
      <c r="E47" s="98" t="s">
        <v>217</v>
      </c>
      <c r="F47" s="98" t="s">
        <v>217</v>
      </c>
      <c r="G47" s="98" t="s">
        <v>217</v>
      </c>
      <c r="H47" s="98"/>
      <c r="I47" s="98"/>
      <c r="J47" s="98"/>
      <c r="K47" s="98"/>
      <c r="L47" s="99">
        <f>IF(ISNA(VLOOKUP(A47,'[3]OEB Adjusted Financials'!$I$6:$J$188,2,FALSE)),"",VLOOKUP(A47,'[3]OEB Adjusted Financials'!$I$6:$J$188,2,FALSE))</f>
      </c>
      <c r="M47" s="100">
        <f>IF(ISNA(VLOOKUP($A47,'[4]2010 TB'!$A$4:$E$210,5,FALSE)),"",VLOOKUP($A47,'[4]2010 TB'!$A$4:$E$210,5,FALSE))</f>
      </c>
      <c r="N47" s="100">
        <f>IF(ISNA(VLOOKUP($A47,'[5]2011 TB Summary'!$A$4:$J$212,10,FALSE)),"",VLOOKUP($A47,'[5]2011 TB Summary'!$A$4:$J$212,10,FALSE))</f>
      </c>
      <c r="P47" s="102" t="s">
        <v>296</v>
      </c>
      <c r="Q47" s="103">
        <f>SUMIF($C:$C,P47,$L:$L)</f>
        <v>0</v>
      </c>
    </row>
    <row r="48" spans="1:17" s="101" customFormat="1" ht="15.75">
      <c r="A48" s="96">
        <v>1518</v>
      </c>
      <c r="B48" s="97" t="s">
        <v>297</v>
      </c>
      <c r="C48" s="97" t="s">
        <v>220</v>
      </c>
      <c r="D48" s="97" t="s">
        <v>289</v>
      </c>
      <c r="E48" s="98">
        <v>-156397.35</v>
      </c>
      <c r="F48" s="98">
        <v>-182485.08</v>
      </c>
      <c r="G48" s="98">
        <v>-271815.88</v>
      </c>
      <c r="H48" s="98">
        <v>-99559.06</v>
      </c>
      <c r="I48" s="98">
        <v>-70843.82</v>
      </c>
      <c r="J48" s="98">
        <v>-64279.6100000001</v>
      </c>
      <c r="K48" s="98">
        <v>24653.1</v>
      </c>
      <c r="L48" s="99">
        <f>IF(ISNA(VLOOKUP(A48,'[3]OEB Adjusted Financials'!$I$6:$J$188,2,FALSE)),"",VLOOKUP(A48,'[3]OEB Adjusted Financials'!$I$6:$J$188,2,FALSE))</f>
        <v>299310.58</v>
      </c>
      <c r="M48" s="100">
        <f>IF(ISNA(VLOOKUP($A48,'[4]2010 TB'!$A$4:$E$210,5,FALSE)),"",VLOOKUP($A48,'[4]2010 TB'!$A$4:$E$210,5,FALSE))</f>
        <v>299310.58</v>
      </c>
      <c r="N48" s="100">
        <f>IF(ISNA(VLOOKUP($A48,'[5]2011 TB Summary'!$A$4:$J$212,10,FALSE)),"",VLOOKUP($A48,'[5]2011 TB Summary'!$A$4:$J$212,10,FALSE))</f>
        <v>299310.58</v>
      </c>
      <c r="P48" s="102"/>
      <c r="Q48" s="102"/>
    </row>
    <row r="49" spans="1:17" s="101" customFormat="1" ht="15.75">
      <c r="A49" s="96">
        <v>1520</v>
      </c>
      <c r="B49" s="97" t="s">
        <v>298</v>
      </c>
      <c r="C49" s="97" t="s">
        <v>220</v>
      </c>
      <c r="D49" s="97"/>
      <c r="E49" s="98" t="s">
        <v>217</v>
      </c>
      <c r="F49" s="98" t="s">
        <v>217</v>
      </c>
      <c r="G49" s="98" t="s">
        <v>217</v>
      </c>
      <c r="H49" s="98"/>
      <c r="I49" s="98"/>
      <c r="J49" s="98">
        <v>0</v>
      </c>
      <c r="K49" s="98"/>
      <c r="L49" s="99">
        <f>IF(ISNA(VLOOKUP(A49,'[3]OEB Adjusted Financials'!$I$6:$J$188,2,FALSE)),"",VLOOKUP(A49,'[3]OEB Adjusted Financials'!$I$6:$J$188,2,FALSE))</f>
      </c>
      <c r="M49" s="100">
        <f>IF(ISNA(VLOOKUP($A49,'[4]2010 TB'!$A$4:$E$210,5,FALSE)),"",VLOOKUP($A49,'[4]2010 TB'!$A$4:$E$210,5,FALSE))</f>
      </c>
      <c r="N49" s="100">
        <f>IF(ISNA(VLOOKUP($A49,'[5]2011 TB Summary'!$A$4:$J$212,10,FALSE)),"",VLOOKUP($A49,'[5]2011 TB Summary'!$A$4:$J$212,10,FALSE))</f>
      </c>
      <c r="P49" s="104" t="s">
        <v>299</v>
      </c>
      <c r="Q49" s="105">
        <f>SUM(Q33:Q47)</f>
        <v>441323133.01000005</v>
      </c>
    </row>
    <row r="50" spans="1:17" s="101" customFormat="1" ht="15.75">
      <c r="A50" s="96">
        <v>1525</v>
      </c>
      <c r="B50" s="97" t="s">
        <v>300</v>
      </c>
      <c r="C50" s="97" t="s">
        <v>220</v>
      </c>
      <c r="D50" s="97" t="s">
        <v>245</v>
      </c>
      <c r="E50" s="98" t="s">
        <v>217</v>
      </c>
      <c r="F50" s="98">
        <v>172959.2</v>
      </c>
      <c r="G50" s="98">
        <v>172959.2</v>
      </c>
      <c r="H50" s="98">
        <v>248701.02</v>
      </c>
      <c r="I50" s="98"/>
      <c r="J50" s="98">
        <v>185987.06</v>
      </c>
      <c r="K50" s="98">
        <v>0</v>
      </c>
      <c r="L50" s="99">
        <f>IF(ISNA(VLOOKUP(A50,'[3]OEB Adjusted Financials'!$I$6:$J$188,2,FALSE)),"",VLOOKUP(A50,'[3]OEB Adjusted Financials'!$I$6:$J$188,2,FALSE))</f>
      </c>
      <c r="M50" s="100">
        <f>IF(ISNA(VLOOKUP($A50,'[4]2010 TB'!$A$4:$E$210,5,FALSE)),"",VLOOKUP($A50,'[4]2010 TB'!$A$4:$E$210,5,FALSE))</f>
      </c>
      <c r="N50" s="100">
        <f>IF(ISNA(VLOOKUP($A50,'[5]2011 TB Summary'!$A$4:$J$212,10,FALSE)),"",VLOOKUP($A50,'[5]2011 TB Summary'!$A$4:$J$212,10,FALSE))</f>
      </c>
      <c r="P50" s="102"/>
      <c r="Q50" s="102"/>
    </row>
    <row r="51" spans="1:17" s="101" customFormat="1" ht="16.5" thickBot="1">
      <c r="A51" s="96">
        <v>1530</v>
      </c>
      <c r="B51" s="97" t="s">
        <v>301</v>
      </c>
      <c r="C51" s="97" t="s">
        <v>220</v>
      </c>
      <c r="D51" s="97"/>
      <c r="E51" s="98" t="s">
        <v>217</v>
      </c>
      <c r="F51" s="98" t="s">
        <v>217</v>
      </c>
      <c r="G51" s="98" t="s">
        <v>217</v>
      </c>
      <c r="H51" s="98"/>
      <c r="I51" s="98"/>
      <c r="J51" s="98"/>
      <c r="K51" s="98"/>
      <c r="L51" s="99">
        <f>IF(ISNA(VLOOKUP(A51,'[3]OEB Adjusted Financials'!$I$6:$J$188,2,FALSE)),"",VLOOKUP(A51,'[3]OEB Adjusted Financials'!$I$6:$J$188,2,FALSE))</f>
      </c>
      <c r="M51" s="100">
        <f>IF(ISNA(VLOOKUP($A51,'[4]2010 TB'!$A$4:$E$210,5,FALSE)),"",VLOOKUP($A51,'[4]2010 TB'!$A$4:$E$210,5,FALSE))</f>
      </c>
      <c r="N51" s="100">
        <f>IF(ISNA(VLOOKUP($A51,'[5]2011 TB Summary'!$A$4:$J$212,10,FALSE)),"",VLOOKUP($A51,'[5]2011 TB Summary'!$A$4:$J$212,10,FALSE))</f>
      </c>
      <c r="P51" s="111" t="s">
        <v>302</v>
      </c>
      <c r="Q51" s="112">
        <f>+Q29+Q49</f>
        <v>-11452370.129999995</v>
      </c>
    </row>
    <row r="52" spans="1:17" s="101" customFormat="1" ht="16.5" thickTop="1">
      <c r="A52" s="96">
        <v>1540</v>
      </c>
      <c r="B52" s="97" t="s">
        <v>303</v>
      </c>
      <c r="C52" s="97" t="s">
        <v>220</v>
      </c>
      <c r="D52" s="97"/>
      <c r="E52" s="98" t="s">
        <v>217</v>
      </c>
      <c r="F52" s="98" t="s">
        <v>217</v>
      </c>
      <c r="G52" s="98" t="s">
        <v>217</v>
      </c>
      <c r="H52" s="98"/>
      <c r="I52" s="98"/>
      <c r="J52" s="98"/>
      <c r="K52" s="98"/>
      <c r="L52" s="99">
        <f>IF(ISNA(VLOOKUP(A52,'[3]OEB Adjusted Financials'!$I$6:$J$188,2,FALSE)),"",VLOOKUP(A52,'[3]OEB Adjusted Financials'!$I$6:$J$188,2,FALSE))</f>
      </c>
      <c r="M52" s="100">
        <f>IF(ISNA(VLOOKUP($A52,'[4]2010 TB'!$A$4:$E$210,5,FALSE)),"",VLOOKUP($A52,'[4]2010 TB'!$A$4:$E$210,5,FALSE))</f>
      </c>
      <c r="N52" s="100">
        <f>IF(ISNA(VLOOKUP($A52,'[5]2011 TB Summary'!$A$4:$J$212,10,FALSE)),"",VLOOKUP($A52,'[5]2011 TB Summary'!$A$4:$J$212,10,FALSE))</f>
      </c>
      <c r="P52" s="102"/>
      <c r="Q52" s="102"/>
    </row>
    <row r="53" spans="1:17" s="101" customFormat="1" ht="15.75">
      <c r="A53" s="96">
        <v>1545</v>
      </c>
      <c r="B53" s="97" t="s">
        <v>304</v>
      </c>
      <c r="C53" s="97" t="s">
        <v>220</v>
      </c>
      <c r="D53" s="97"/>
      <c r="E53" s="98" t="s">
        <v>217</v>
      </c>
      <c r="F53" s="98" t="s">
        <v>217</v>
      </c>
      <c r="G53" s="98" t="s">
        <v>217</v>
      </c>
      <c r="H53" s="98"/>
      <c r="I53" s="98"/>
      <c r="J53" s="98"/>
      <c r="K53" s="98"/>
      <c r="L53" s="99">
        <f>IF(ISNA(VLOOKUP(A53,'[3]OEB Adjusted Financials'!$I$6:$J$188,2,FALSE)),"",VLOOKUP(A53,'[3]OEB Adjusted Financials'!$I$6:$J$188,2,FALSE))</f>
      </c>
      <c r="M53" s="100">
        <f>IF(ISNA(VLOOKUP($A53,'[4]2010 TB'!$A$4:$E$210,5,FALSE)),"",VLOOKUP($A53,'[4]2010 TB'!$A$4:$E$210,5,FALSE))</f>
      </c>
      <c r="N53" s="100">
        <f>IF(ISNA(VLOOKUP($A53,'[5]2011 TB Summary'!$A$4:$J$212,10,FALSE)),"",VLOOKUP($A53,'[5]2011 TB Summary'!$A$4:$J$212,10,FALSE))</f>
      </c>
      <c r="P53" s="113"/>
      <c r="Q53" s="113"/>
    </row>
    <row r="54" spans="1:17" s="101" customFormat="1" ht="15.75">
      <c r="A54" s="96">
        <v>1548</v>
      </c>
      <c r="B54" s="97" t="s">
        <v>305</v>
      </c>
      <c r="C54" s="97" t="s">
        <v>220</v>
      </c>
      <c r="D54" s="97" t="s">
        <v>289</v>
      </c>
      <c r="E54" s="98">
        <v>62645.71</v>
      </c>
      <c r="F54" s="98">
        <v>69257.58</v>
      </c>
      <c r="G54" s="98">
        <v>76828.95</v>
      </c>
      <c r="H54" s="98">
        <v>168610.35</v>
      </c>
      <c r="I54" s="98">
        <v>48983.34</v>
      </c>
      <c r="J54" s="98">
        <v>55841.34</v>
      </c>
      <c r="K54" s="98">
        <v>55691.72</v>
      </c>
      <c r="L54" s="99">
        <f>IF(ISNA(VLOOKUP(A54,'[3]OEB Adjusted Financials'!$I$6:$J$188,2,FALSE)),"",VLOOKUP(A54,'[3]OEB Adjusted Financials'!$I$6:$J$188,2,FALSE))</f>
        <v>58749.340000000004</v>
      </c>
      <c r="M54" s="100">
        <f>IF(ISNA(VLOOKUP($A54,'[4]2010 TB'!$A$4:$E$210,5,FALSE)),"",VLOOKUP($A54,'[4]2010 TB'!$A$4:$E$210,5,FALSE))</f>
        <v>58749.340000000004</v>
      </c>
      <c r="N54" s="100">
        <f>IF(ISNA(VLOOKUP($A54,'[5]2011 TB Summary'!$A$4:$J$212,10,FALSE)),"",VLOOKUP($A54,'[5]2011 TB Summary'!$A$4:$J$212,10,FALSE))</f>
        <v>58749.340000000004</v>
      </c>
      <c r="P54" s="113"/>
      <c r="Q54" s="113"/>
    </row>
    <row r="55" spans="1:17" s="101" customFormat="1" ht="15.75">
      <c r="A55" s="96">
        <v>1550</v>
      </c>
      <c r="B55" s="97" t="s">
        <v>306</v>
      </c>
      <c r="C55" s="97" t="s">
        <v>220</v>
      </c>
      <c r="D55" s="97" t="s">
        <v>289</v>
      </c>
      <c r="E55" s="98"/>
      <c r="F55" s="98"/>
      <c r="G55" s="98"/>
      <c r="H55" s="98"/>
      <c r="I55" s="98">
        <v>-269456.62</v>
      </c>
      <c r="J55" s="98">
        <v>-678450.74</v>
      </c>
      <c r="K55" s="98">
        <v>-769692.8099999999</v>
      </c>
      <c r="L55" s="99">
        <f>IF(ISNA(VLOOKUP(A55,'[3]OEB Adjusted Financials'!$I$6:$J$188,2,FALSE)),"",VLOOKUP(A55,'[3]OEB Adjusted Financials'!$I$6:$J$188,2,FALSE))</f>
        <v>-709185.75</v>
      </c>
      <c r="M55" s="100">
        <f>IF(ISNA(VLOOKUP($A55,'[4]2010 TB'!$A$4:$E$210,5,FALSE)),"",VLOOKUP($A55,'[4]2010 TB'!$A$4:$E$210,5,FALSE))</f>
        <v>-709185.75</v>
      </c>
      <c r="N55" s="100">
        <f>IF(ISNA(VLOOKUP($A55,'[5]2011 TB Summary'!$A$4:$J$212,10,FALSE)),"",VLOOKUP($A55,'[5]2011 TB Summary'!$A$4:$J$212,10,FALSE))</f>
        <v>-709185.75</v>
      </c>
      <c r="P55" s="113"/>
      <c r="Q55" s="113"/>
    </row>
    <row r="56" spans="1:17" s="101" customFormat="1" ht="15.75">
      <c r="A56" s="96">
        <v>1555</v>
      </c>
      <c r="B56" s="97" t="s">
        <v>307</v>
      </c>
      <c r="C56" s="97" t="s">
        <v>220</v>
      </c>
      <c r="D56" s="97" t="s">
        <v>289</v>
      </c>
      <c r="E56" s="98"/>
      <c r="F56" s="98"/>
      <c r="G56" s="98"/>
      <c r="H56" s="98"/>
      <c r="I56" s="98">
        <v>-711692.09</v>
      </c>
      <c r="J56" s="98">
        <v>4531111.61</v>
      </c>
      <c r="K56" s="98">
        <v>12769459.04</v>
      </c>
      <c r="L56" s="99">
        <f>IF(ISNA(VLOOKUP(A56,'[3]OEB Adjusted Financials'!$I$6:$J$188,2,FALSE)),"",VLOOKUP(A56,'[3]OEB Adjusted Financials'!$I$6:$J$188,2,FALSE))</f>
        <v>14931664.984666254</v>
      </c>
      <c r="M56" s="100">
        <f>IF(ISNA(VLOOKUP($A56,'[4]2010 TB'!$A$4:$E$210,5,FALSE)),"",VLOOKUP($A56,'[4]2010 TB'!$A$4:$E$210,5,FALSE))</f>
        <v>15632664.984666254</v>
      </c>
      <c r="N56" s="100">
        <f>IF(ISNA(VLOOKUP($A56,'[5]2011 TB Summary'!$A$4:$J$212,10,FALSE)),"",VLOOKUP($A56,'[5]2011 TB Summary'!$A$4:$J$212,10,FALSE))</f>
        <v>17210939.614666253</v>
      </c>
      <c r="P56" s="113"/>
      <c r="Q56" s="113"/>
    </row>
    <row r="57" spans="1:17" s="101" customFormat="1" ht="15.75">
      <c r="A57" s="96">
        <v>1556</v>
      </c>
      <c r="B57" s="97" t="s">
        <v>308</v>
      </c>
      <c r="C57" s="97" t="s">
        <v>220</v>
      </c>
      <c r="D57" s="97" t="s">
        <v>289</v>
      </c>
      <c r="E57" s="98"/>
      <c r="F57" s="98"/>
      <c r="G57" s="98"/>
      <c r="H57" s="98"/>
      <c r="I57" s="98">
        <v>99285.03</v>
      </c>
      <c r="J57" s="98">
        <v>1130346.74</v>
      </c>
      <c r="K57" s="98">
        <v>2621400.49</v>
      </c>
      <c r="L57" s="99">
        <f>IF(ISNA(VLOOKUP(A57,'[3]OEB Adjusted Financials'!$I$6:$J$188,2,FALSE)),"",VLOOKUP(A57,'[3]OEB Adjusted Financials'!$I$6:$J$188,2,FALSE))</f>
        <v>5323614.125333734</v>
      </c>
      <c r="M57" s="100">
        <f>IF(ISNA(VLOOKUP($A57,'[4]2010 TB'!$A$4:$E$210,5,FALSE)),"",VLOOKUP($A57,'[4]2010 TB'!$A$4:$E$210,5,FALSE))</f>
        <v>6256241.385333734</v>
      </c>
      <c r="N57" s="100">
        <f>IF(ISNA(VLOOKUP($A57,'[5]2011 TB Summary'!$A$4:$J$212,10,FALSE)),"",VLOOKUP($A57,'[5]2011 TB Summary'!$A$4:$J$212,10,FALSE))</f>
        <v>9538825.167651854</v>
      </c>
      <c r="P57" s="113"/>
      <c r="Q57" s="113"/>
    </row>
    <row r="58" spans="1:17" s="101" customFormat="1" ht="15.75">
      <c r="A58" s="96">
        <v>1560</v>
      </c>
      <c r="B58" s="97" t="s">
        <v>309</v>
      </c>
      <c r="C58" s="97" t="s">
        <v>220</v>
      </c>
      <c r="D58" s="97" t="s">
        <v>289</v>
      </c>
      <c r="E58" s="98" t="s">
        <v>217</v>
      </c>
      <c r="F58" s="98" t="s">
        <v>217</v>
      </c>
      <c r="G58" s="98" t="s">
        <v>217</v>
      </c>
      <c r="H58" s="98"/>
      <c r="I58" s="98"/>
      <c r="J58" s="98"/>
      <c r="K58" s="98"/>
      <c r="L58" s="99">
        <f>IF(ISNA(VLOOKUP(A58,'[3]OEB Adjusted Financials'!$I$6:$J$188,2,FALSE)),"",VLOOKUP(A58,'[3]OEB Adjusted Financials'!$I$6:$J$188,2,FALSE))</f>
      </c>
      <c r="M58" s="100">
        <f>IF(ISNA(VLOOKUP($A58,'[4]2010 TB'!$A$4:$E$210,5,FALSE)),"",VLOOKUP($A58,'[4]2010 TB'!$A$4:$E$210,5,FALSE))</f>
      </c>
      <c r="N58" s="100">
        <f>IF(ISNA(VLOOKUP($A58,'[5]2011 TB Summary'!$A$4:$J$212,10,FALSE)),"",VLOOKUP($A58,'[5]2011 TB Summary'!$A$4:$J$212,10,FALSE))</f>
      </c>
      <c r="P58" s="113"/>
      <c r="Q58" s="113"/>
    </row>
    <row r="59" spans="1:17" s="101" customFormat="1" ht="15.75">
      <c r="A59" s="96">
        <v>1562</v>
      </c>
      <c r="B59" s="97" t="s">
        <v>310</v>
      </c>
      <c r="C59" s="97" t="s">
        <v>220</v>
      </c>
      <c r="D59" s="97" t="s">
        <v>289</v>
      </c>
      <c r="E59" s="98" t="s">
        <v>243</v>
      </c>
      <c r="F59" s="98">
        <v>1760053</v>
      </c>
      <c r="G59" s="98">
        <v>2329159.55</v>
      </c>
      <c r="H59" s="98">
        <v>2714250.19</v>
      </c>
      <c r="I59" s="98">
        <v>2868768.8</v>
      </c>
      <c r="J59" s="98">
        <v>3189044.85</v>
      </c>
      <c r="K59" s="98">
        <v>3287848.14</v>
      </c>
      <c r="L59" s="99">
        <f>IF(ISNA(VLOOKUP(A59,'[3]OEB Adjusted Financials'!$I$6:$J$188,2,FALSE)),"",VLOOKUP(A59,'[3]OEB Adjusted Financials'!$I$6:$J$188,2,FALSE))</f>
        <v>-3643058.46</v>
      </c>
      <c r="M59" s="100">
        <f>IF(ISNA(VLOOKUP($A59,'[4]2010 TB'!$A$4:$E$210,5,FALSE)),"",VLOOKUP($A59,'[4]2010 TB'!$A$4:$E$210,5,FALSE))</f>
        <v>-3643058.46</v>
      </c>
      <c r="N59" s="100">
        <f>IF(ISNA(VLOOKUP($A59,'[5]2011 TB Summary'!$A$4:$J$212,10,FALSE)),"",VLOOKUP($A59,'[5]2011 TB Summary'!$A$4:$J$212,10,FALSE))</f>
        <v>-3643058.46</v>
      </c>
      <c r="P59" s="113"/>
      <c r="Q59" s="113"/>
    </row>
    <row r="60" spans="1:17" s="101" customFormat="1" ht="15.75">
      <c r="A60" s="96">
        <v>1563</v>
      </c>
      <c r="B60" s="97" t="s">
        <v>311</v>
      </c>
      <c r="C60" s="97" t="s">
        <v>220</v>
      </c>
      <c r="D60" s="97" t="s">
        <v>289</v>
      </c>
      <c r="E60" s="98" t="s">
        <v>217</v>
      </c>
      <c r="F60" s="98" t="s">
        <v>217</v>
      </c>
      <c r="G60" s="98" t="s">
        <v>217</v>
      </c>
      <c r="H60" s="98"/>
      <c r="I60" s="98"/>
      <c r="J60" s="98">
        <v>0</v>
      </c>
      <c r="K60" s="98">
        <v>0</v>
      </c>
      <c r="L60" s="99">
        <f>IF(ISNA(VLOOKUP(A60,'[3]OEB Adjusted Financials'!$I$6:$J$188,2,FALSE)),"",VLOOKUP(A60,'[3]OEB Adjusted Financials'!$I$6:$J$188,2,FALSE))</f>
      </c>
      <c r="M60" s="100">
        <f>IF(ISNA(VLOOKUP($A60,'[4]2010 TB'!$A$4:$E$210,5,FALSE)),"",VLOOKUP($A60,'[4]2010 TB'!$A$4:$E$210,5,FALSE))</f>
      </c>
      <c r="N60" s="100">
        <f>IF(ISNA(VLOOKUP($A60,'[5]2011 TB Summary'!$A$4:$J$212,10,FALSE)),"",VLOOKUP($A60,'[5]2011 TB Summary'!$A$4:$J$212,10,FALSE))</f>
      </c>
      <c r="P60" s="113"/>
      <c r="Q60" s="113"/>
    </row>
    <row r="61" spans="1:17" s="101" customFormat="1" ht="15.75">
      <c r="A61" s="96">
        <v>1565</v>
      </c>
      <c r="B61" s="97" t="s">
        <v>312</v>
      </c>
      <c r="C61" s="97" t="s">
        <v>220</v>
      </c>
      <c r="D61" s="97" t="s">
        <v>289</v>
      </c>
      <c r="E61" s="98" t="s">
        <v>217</v>
      </c>
      <c r="F61" s="98" t="s">
        <v>217</v>
      </c>
      <c r="G61" s="98" t="s">
        <v>217</v>
      </c>
      <c r="H61" s="98">
        <v>-5116398.28</v>
      </c>
      <c r="I61" s="98">
        <v>-2350357.57</v>
      </c>
      <c r="J61" s="98">
        <v>-40100</v>
      </c>
      <c r="K61" s="98"/>
      <c r="L61" s="99">
        <f>IF(ISNA(VLOOKUP(A61,'[3]OEB Adjusted Financials'!$I$6:$J$188,2,FALSE)),"",VLOOKUP(A61,'[3]OEB Adjusted Financials'!$I$6:$J$188,2,FALSE))</f>
      </c>
      <c r="M61" s="100">
        <f>IF(ISNA(VLOOKUP($A61,'[4]2010 TB'!$A$4:$E$210,5,FALSE)),"",VLOOKUP($A61,'[4]2010 TB'!$A$4:$E$210,5,FALSE))</f>
        <v>0</v>
      </c>
      <c r="N61" s="100">
        <f>IF(ISNA(VLOOKUP($A61,'[5]2011 TB Summary'!$A$4:$J$212,10,FALSE)),"",VLOOKUP($A61,'[5]2011 TB Summary'!$A$4:$J$212,10,FALSE))</f>
        <v>0</v>
      </c>
      <c r="P61" s="113"/>
      <c r="Q61" s="113"/>
    </row>
    <row r="62" spans="1:17" s="101" customFormat="1" ht="15.75">
      <c r="A62" s="96">
        <v>1566</v>
      </c>
      <c r="B62" s="97" t="s">
        <v>313</v>
      </c>
      <c r="C62" s="97" t="s">
        <v>220</v>
      </c>
      <c r="D62" s="97" t="s">
        <v>289</v>
      </c>
      <c r="E62" s="98"/>
      <c r="F62" s="98"/>
      <c r="G62" s="98"/>
      <c r="H62" s="98">
        <v>5116398.28</v>
      </c>
      <c r="I62" s="98">
        <v>2350357.57</v>
      </c>
      <c r="J62" s="98">
        <v>40100</v>
      </c>
      <c r="K62" s="98"/>
      <c r="L62" s="99">
        <f>IF(ISNA(VLOOKUP(A62,'[3]OEB Adjusted Financials'!$I$6:$J$188,2,FALSE)),"",VLOOKUP(A62,'[3]OEB Adjusted Financials'!$I$6:$J$188,2,FALSE))</f>
      </c>
      <c r="M62" s="100">
        <f>IF(ISNA(VLOOKUP($A62,'[4]2010 TB'!$A$4:$E$210,5,FALSE)),"",VLOOKUP($A62,'[4]2010 TB'!$A$4:$E$210,5,FALSE))</f>
      </c>
      <c r="N62" s="100">
        <f>IF(ISNA(VLOOKUP($A62,'[5]2011 TB Summary'!$A$4:$J$212,10,FALSE)),"",VLOOKUP($A62,'[5]2011 TB Summary'!$A$4:$J$212,10,FALSE))</f>
      </c>
      <c r="P62" s="113"/>
      <c r="Q62" s="113"/>
    </row>
    <row r="63" spans="1:17" s="101" customFormat="1" ht="15.75">
      <c r="A63" s="96">
        <v>1570</v>
      </c>
      <c r="B63" s="97" t="s">
        <v>314</v>
      </c>
      <c r="C63" s="97" t="s">
        <v>220</v>
      </c>
      <c r="D63" s="97" t="s">
        <v>289</v>
      </c>
      <c r="E63" s="98">
        <v>4165265.45</v>
      </c>
      <c r="F63" s="98">
        <v>3425612.39</v>
      </c>
      <c r="G63" s="98">
        <v>4025291.14</v>
      </c>
      <c r="H63" s="98">
        <v>7261902.7</v>
      </c>
      <c r="I63" s="98"/>
      <c r="J63" s="98">
        <v>0</v>
      </c>
      <c r="K63" s="98"/>
      <c r="L63" s="99">
        <f>IF(ISNA(VLOOKUP(A63,'[3]OEB Adjusted Financials'!$I$6:$J$188,2,FALSE)),"",VLOOKUP(A63,'[3]OEB Adjusted Financials'!$I$6:$J$188,2,FALSE))</f>
      </c>
      <c r="M63" s="100">
        <f>IF(ISNA(VLOOKUP($A63,'[4]2010 TB'!$A$4:$E$210,5,FALSE)),"",VLOOKUP($A63,'[4]2010 TB'!$A$4:$E$210,5,FALSE))</f>
      </c>
      <c r="N63" s="100">
        <f>IF(ISNA(VLOOKUP($A63,'[5]2011 TB Summary'!$A$4:$J$212,10,FALSE)),"",VLOOKUP($A63,'[5]2011 TB Summary'!$A$4:$J$212,10,FALSE))</f>
      </c>
      <c r="P63" s="113"/>
      <c r="Q63" s="113"/>
    </row>
    <row r="64" spans="1:17" s="101" customFormat="1" ht="15.75">
      <c r="A64" s="96">
        <v>1571</v>
      </c>
      <c r="B64" s="97" t="s">
        <v>315</v>
      </c>
      <c r="C64" s="97" t="s">
        <v>220</v>
      </c>
      <c r="D64" s="97" t="s">
        <v>289</v>
      </c>
      <c r="E64" s="98">
        <v>3188754.15</v>
      </c>
      <c r="F64" s="98">
        <v>3487739.6</v>
      </c>
      <c r="G64" s="98">
        <v>3708682.4</v>
      </c>
      <c r="H64" s="98">
        <v>7201823.17</v>
      </c>
      <c r="I64" s="98"/>
      <c r="J64" s="98">
        <v>0</v>
      </c>
      <c r="K64" s="98"/>
      <c r="L64" s="99">
        <f>IF(ISNA(VLOOKUP(A64,'[3]OEB Adjusted Financials'!$I$6:$J$188,2,FALSE)),"",VLOOKUP(A64,'[3]OEB Adjusted Financials'!$I$6:$J$188,2,FALSE))</f>
      </c>
      <c r="M64" s="100">
        <f>IF(ISNA(VLOOKUP($A64,'[4]2010 TB'!$A$4:$E$210,5,FALSE)),"",VLOOKUP($A64,'[4]2010 TB'!$A$4:$E$210,5,FALSE))</f>
      </c>
      <c r="N64" s="100">
        <f>IF(ISNA(VLOOKUP($A64,'[5]2011 TB Summary'!$A$4:$J$212,10,FALSE)),"",VLOOKUP($A64,'[5]2011 TB Summary'!$A$4:$J$212,10,FALSE))</f>
      </c>
      <c r="P64" s="113"/>
      <c r="Q64" s="113"/>
    </row>
    <row r="65" spans="1:17" s="101" customFormat="1" ht="15.75">
      <c r="A65" s="96">
        <v>1572</v>
      </c>
      <c r="B65" s="97" t="s">
        <v>316</v>
      </c>
      <c r="C65" s="97" t="s">
        <v>220</v>
      </c>
      <c r="D65" s="97" t="s">
        <v>289</v>
      </c>
      <c r="E65" s="98">
        <v>176856.84</v>
      </c>
      <c r="F65" s="98" t="s">
        <v>217</v>
      </c>
      <c r="G65" s="98" t="s">
        <v>217</v>
      </c>
      <c r="H65" s="98">
        <v>188869.8</v>
      </c>
      <c r="I65" s="98"/>
      <c r="J65" s="98">
        <v>0</v>
      </c>
      <c r="K65" s="98"/>
      <c r="L65" s="99">
        <f>IF(ISNA(VLOOKUP(A65,'[3]OEB Adjusted Financials'!$I$6:$J$188,2,FALSE)),"",VLOOKUP(A65,'[3]OEB Adjusted Financials'!$I$6:$J$188,2,FALSE))</f>
      </c>
      <c r="M65" s="100">
        <f>IF(ISNA(VLOOKUP($A65,'[4]2010 TB'!$A$4:$E$210,5,FALSE)),"",VLOOKUP($A65,'[4]2010 TB'!$A$4:$E$210,5,FALSE))</f>
      </c>
      <c r="N65" s="100">
        <f>IF(ISNA(VLOOKUP($A65,'[5]2011 TB Summary'!$A$4:$J$212,10,FALSE)),"",VLOOKUP($A65,'[5]2011 TB Summary'!$A$4:$J$212,10,FALSE))</f>
      </c>
      <c r="P65" s="113"/>
      <c r="Q65" s="113"/>
    </row>
    <row r="66" spans="1:17" s="101" customFormat="1" ht="15.75">
      <c r="A66" s="96">
        <v>1574</v>
      </c>
      <c r="B66" s="97" t="s">
        <v>317</v>
      </c>
      <c r="C66" s="97" t="s">
        <v>220</v>
      </c>
      <c r="D66" s="97" t="s">
        <v>289</v>
      </c>
      <c r="E66" s="98" t="s">
        <v>217</v>
      </c>
      <c r="F66" s="98" t="s">
        <v>217</v>
      </c>
      <c r="G66" s="98" t="s">
        <v>217</v>
      </c>
      <c r="H66" s="98"/>
      <c r="I66" s="98"/>
      <c r="J66" s="98">
        <v>0</v>
      </c>
      <c r="K66" s="98"/>
      <c r="L66" s="99">
        <f>IF(ISNA(VLOOKUP(A66,'[3]OEB Adjusted Financials'!$I$6:$J$188,2,FALSE)),"",VLOOKUP(A66,'[3]OEB Adjusted Financials'!$I$6:$J$188,2,FALSE))</f>
      </c>
      <c r="M66" s="100">
        <f>IF(ISNA(VLOOKUP($A66,'[4]2010 TB'!$A$4:$E$210,5,FALSE)),"",VLOOKUP($A66,'[4]2010 TB'!$A$4:$E$210,5,FALSE))</f>
      </c>
      <c r="N66" s="100">
        <f>IF(ISNA(VLOOKUP($A66,'[5]2011 TB Summary'!$A$4:$J$212,10,FALSE)),"",VLOOKUP($A66,'[5]2011 TB Summary'!$A$4:$J$212,10,FALSE))</f>
      </c>
      <c r="P66" s="113"/>
      <c r="Q66" s="113"/>
    </row>
    <row r="67" spans="1:17" s="101" customFormat="1" ht="15.75">
      <c r="A67" s="96">
        <v>1580</v>
      </c>
      <c r="B67" s="97" t="s">
        <v>318</v>
      </c>
      <c r="C67" s="97" t="s">
        <v>220</v>
      </c>
      <c r="D67" s="97" t="s">
        <v>289</v>
      </c>
      <c r="E67" s="98">
        <v>6111595.88</v>
      </c>
      <c r="F67" s="98">
        <v>6627870.1</v>
      </c>
      <c r="G67" s="98">
        <v>7001379.39</v>
      </c>
      <c r="H67" s="98">
        <v>13134018.44</v>
      </c>
      <c r="I67" s="98">
        <v>-2857140.26</v>
      </c>
      <c r="J67" s="98">
        <v>-10469533.889999997</v>
      </c>
      <c r="K67" s="98">
        <v>-11230990.62</v>
      </c>
      <c r="L67" s="99">
        <f>IF(ISNA(VLOOKUP(A67,'[3]OEB Adjusted Financials'!$I$6:$J$188,2,FALSE)),"",VLOOKUP(A67,'[3]OEB Adjusted Financials'!$I$6:$J$188,2,FALSE))</f>
        <v>-13354863.16</v>
      </c>
      <c r="M67" s="100">
        <f>IF(ISNA(VLOOKUP($A67,'[4]2010 TB'!$A$4:$E$210,5,FALSE)),"",VLOOKUP($A67,'[4]2010 TB'!$A$4:$E$210,5,FALSE))</f>
        <v>-13354863.16</v>
      </c>
      <c r="N67" s="100">
        <f>IF(ISNA(VLOOKUP($A67,'[5]2011 TB Summary'!$A$4:$J$212,10,FALSE)),"",VLOOKUP($A67,'[5]2011 TB Summary'!$A$4:$J$212,10,FALSE))</f>
        <v>-13354863.16</v>
      </c>
      <c r="P67" s="113"/>
      <c r="Q67" s="113"/>
    </row>
    <row r="68" spans="1:17" s="101" customFormat="1" ht="15.75">
      <c r="A68" s="96">
        <v>1582</v>
      </c>
      <c r="B68" s="97" t="s">
        <v>319</v>
      </c>
      <c r="C68" s="97" t="s">
        <v>220</v>
      </c>
      <c r="D68" s="97" t="s">
        <v>289</v>
      </c>
      <c r="E68" s="98" t="s">
        <v>217</v>
      </c>
      <c r="F68" s="98">
        <v>162810.44</v>
      </c>
      <c r="G68" s="98">
        <v>357936.32</v>
      </c>
      <c r="H68" s="98">
        <v>897782.23</v>
      </c>
      <c r="I68" s="98">
        <v>328861.1</v>
      </c>
      <c r="J68" s="98">
        <v>344407.82</v>
      </c>
      <c r="K68" s="98">
        <v>0</v>
      </c>
      <c r="L68" s="99">
        <f>IF(ISNA(VLOOKUP(A68,'[3]OEB Adjusted Financials'!$I$6:$J$188,2,FALSE)),"",VLOOKUP(A68,'[3]OEB Adjusted Financials'!$I$6:$J$188,2,FALSE))</f>
      </c>
      <c r="M68" s="100">
        <f>IF(ISNA(VLOOKUP($A68,'[4]2010 TB'!$A$4:$E$210,5,FALSE)),"",VLOOKUP($A68,'[4]2010 TB'!$A$4:$E$210,5,FALSE))</f>
      </c>
      <c r="N68" s="100">
        <f>IF(ISNA(VLOOKUP($A68,'[5]2011 TB Summary'!$A$4:$J$212,10,FALSE)),"",VLOOKUP($A68,'[5]2011 TB Summary'!$A$4:$J$212,10,FALSE))</f>
      </c>
      <c r="P68" s="113"/>
      <c r="Q68" s="113"/>
    </row>
    <row r="69" spans="1:17" s="101" customFormat="1" ht="15.75">
      <c r="A69" s="96">
        <v>1584</v>
      </c>
      <c r="B69" s="97" t="s">
        <v>320</v>
      </c>
      <c r="C69" s="97" t="s">
        <v>220</v>
      </c>
      <c r="D69" s="97" t="s">
        <v>289</v>
      </c>
      <c r="E69" s="98">
        <v>261012.4</v>
      </c>
      <c r="F69" s="98">
        <v>-184765.96</v>
      </c>
      <c r="G69" s="98">
        <v>-581843.03</v>
      </c>
      <c r="H69" s="98">
        <v>-2141185.98</v>
      </c>
      <c r="I69" s="98">
        <v>-693156.04</v>
      </c>
      <c r="J69" s="98">
        <v>-1455212.26</v>
      </c>
      <c r="K69" s="98">
        <v>-6258408.29</v>
      </c>
      <c r="L69" s="99">
        <f>IF(ISNA(VLOOKUP(A69,'[3]OEB Adjusted Financials'!$I$6:$J$188,2,FALSE)),"",VLOOKUP(A69,'[3]OEB Adjusted Financials'!$I$6:$J$188,2,FALSE))</f>
        <v>-5772606.48</v>
      </c>
      <c r="M69" s="100">
        <f>IF(ISNA(VLOOKUP($A69,'[4]2010 TB'!$A$4:$E$210,5,FALSE)),"",VLOOKUP($A69,'[4]2010 TB'!$A$4:$E$210,5,FALSE))</f>
        <v>-5772606.48</v>
      </c>
      <c r="N69" s="100">
        <f>IF(ISNA(VLOOKUP($A69,'[5]2011 TB Summary'!$A$4:$J$212,10,FALSE)),"",VLOOKUP($A69,'[5]2011 TB Summary'!$A$4:$J$212,10,FALSE))</f>
        <v>-5772606.48</v>
      </c>
      <c r="P69" s="113"/>
      <c r="Q69" s="113"/>
    </row>
    <row r="70" spans="1:17" s="101" customFormat="1" ht="15.75">
      <c r="A70" s="96">
        <v>1586</v>
      </c>
      <c r="B70" s="97" t="s">
        <v>321</v>
      </c>
      <c r="C70" s="97" t="s">
        <v>220</v>
      </c>
      <c r="D70" s="97" t="s">
        <v>289</v>
      </c>
      <c r="E70" s="98">
        <v>-2270385.66</v>
      </c>
      <c r="F70" s="98">
        <v>-6307721.42</v>
      </c>
      <c r="G70" s="98">
        <v>-10461291.22</v>
      </c>
      <c r="H70" s="98">
        <v>-17027921.83</v>
      </c>
      <c r="I70" s="98">
        <v>-5254370.83</v>
      </c>
      <c r="J70" s="98">
        <v>-4311530.919999987</v>
      </c>
      <c r="K70" s="98">
        <v>384110.25</v>
      </c>
      <c r="L70" s="99">
        <f>IF(ISNA(VLOOKUP(A70,'[3]OEB Adjusted Financials'!$I$6:$J$188,2,FALSE)),"",VLOOKUP(A70,'[3]OEB Adjusted Financials'!$I$6:$J$188,2,FALSE))</f>
        <v>63193.380000000005</v>
      </c>
      <c r="M70" s="100">
        <f>IF(ISNA(VLOOKUP($A70,'[4]2010 TB'!$A$4:$E$210,5,FALSE)),"",VLOOKUP($A70,'[4]2010 TB'!$A$4:$E$210,5,FALSE))</f>
        <v>63193.380000000005</v>
      </c>
      <c r="N70" s="100">
        <f>IF(ISNA(VLOOKUP($A70,'[5]2011 TB Summary'!$A$4:$J$212,10,FALSE)),"",VLOOKUP($A70,'[5]2011 TB Summary'!$A$4:$J$212,10,FALSE))</f>
        <v>63193.380000000005</v>
      </c>
      <c r="P70" s="113"/>
      <c r="Q70" s="113"/>
    </row>
    <row r="71" spans="1:17" s="101" customFormat="1" ht="15.75">
      <c r="A71" s="96">
        <v>1588</v>
      </c>
      <c r="B71" s="97" t="s">
        <v>322</v>
      </c>
      <c r="C71" s="97" t="s">
        <v>220</v>
      </c>
      <c r="D71" s="97" t="s">
        <v>289</v>
      </c>
      <c r="E71" s="98">
        <v>-1919527.95</v>
      </c>
      <c r="F71" s="98">
        <v>-2542909.06</v>
      </c>
      <c r="G71" s="98">
        <v>-3327928.75</v>
      </c>
      <c r="H71" s="98">
        <v>-10457817.36</v>
      </c>
      <c r="I71" s="98">
        <v>-112551.81</v>
      </c>
      <c r="J71" s="98">
        <v>-2139810.9299998917</v>
      </c>
      <c r="K71" s="98">
        <v>-1238790.2699999998</v>
      </c>
      <c r="L71" s="99">
        <f>IF(ISNA(VLOOKUP(A71,'[3]OEB Adjusted Financials'!$I$6:$J$188,2,FALSE)),"",VLOOKUP(A71,'[3]OEB Adjusted Financials'!$I$6:$J$188,2,FALSE))</f>
        <v>2624394.38</v>
      </c>
      <c r="M71" s="100">
        <f>IF(ISNA(VLOOKUP($A71,'[4]2010 TB'!$A$4:$E$210,5,FALSE)),"",VLOOKUP($A71,'[4]2010 TB'!$A$4:$E$210,5,FALSE))</f>
        <v>2624394.38</v>
      </c>
      <c r="N71" s="100">
        <f>IF(ISNA(VLOOKUP($A71,'[5]2011 TB Summary'!$A$4:$J$212,10,FALSE)),"",VLOOKUP($A71,'[5]2011 TB Summary'!$A$4:$J$212,10,FALSE))</f>
        <v>2624394.38</v>
      </c>
      <c r="P71" s="113"/>
      <c r="Q71" s="113"/>
    </row>
    <row r="72" spans="1:17" s="101" customFormat="1" ht="15.75">
      <c r="A72" s="96">
        <v>1590</v>
      </c>
      <c r="B72" s="97" t="s">
        <v>323</v>
      </c>
      <c r="C72" s="97" t="s">
        <v>220</v>
      </c>
      <c r="D72" s="97" t="s">
        <v>289</v>
      </c>
      <c r="E72" s="98" t="s">
        <v>217</v>
      </c>
      <c r="F72" s="98" t="s">
        <v>217</v>
      </c>
      <c r="G72" s="98">
        <v>-3560945.33</v>
      </c>
      <c r="H72" s="98">
        <v>-8414100.98</v>
      </c>
      <c r="I72" s="98">
        <v>-2560614.61</v>
      </c>
      <c r="J72" s="98">
        <v>-1023882.48</v>
      </c>
      <c r="K72" s="98">
        <v>403471.31</v>
      </c>
      <c r="L72" s="99">
        <f>IF(ISNA(VLOOKUP(A72,'[3]OEB Adjusted Financials'!$I$6:$J$188,2,FALSE)),"",VLOOKUP(A72,'[3]OEB Adjusted Financials'!$I$6:$J$188,2,FALSE))</f>
        <v>397006.19</v>
      </c>
      <c r="M72" s="100">
        <f>IF(ISNA(VLOOKUP($A72,'[4]2010 TB'!$A$4:$E$210,5,FALSE)),"",VLOOKUP($A72,'[4]2010 TB'!$A$4:$E$210,5,FALSE))</f>
        <v>397006.19</v>
      </c>
      <c r="N72" s="100">
        <f>IF(ISNA(VLOOKUP($A72,'[5]2011 TB Summary'!$A$4:$J$212,10,FALSE)),"",VLOOKUP($A72,'[5]2011 TB Summary'!$A$4:$J$212,10,FALSE))</f>
        <v>397006.19</v>
      </c>
      <c r="P72" s="113"/>
      <c r="Q72" s="113"/>
    </row>
    <row r="73" spans="1:17" s="101" customFormat="1" ht="15.75">
      <c r="A73" s="96">
        <v>1592</v>
      </c>
      <c r="B73" s="97" t="s">
        <v>324</v>
      </c>
      <c r="C73" s="97" t="s">
        <v>220</v>
      </c>
      <c r="D73" s="97" t="s">
        <v>289</v>
      </c>
      <c r="E73" s="98"/>
      <c r="F73" s="98"/>
      <c r="G73" s="98"/>
      <c r="H73" s="98"/>
      <c r="I73" s="98"/>
      <c r="J73" s="98">
        <v>-290134.02</v>
      </c>
      <c r="K73" s="98">
        <v>-912979.23</v>
      </c>
      <c r="L73" s="99">
        <f>IF(ISNA(VLOOKUP(A73,'[3]OEB Adjusted Financials'!$I$6:$J$188,2,FALSE)),"",VLOOKUP(A73,'[3]OEB Adjusted Financials'!$I$6:$J$188,2,FALSE))</f>
        <v>-922956.45</v>
      </c>
      <c r="M73" s="100">
        <f>IF(ISNA(VLOOKUP($A73,'[4]2010 TB'!$A$4:$E$210,5,FALSE)),"",VLOOKUP($A73,'[4]2010 TB'!$A$4:$E$210,5,FALSE))</f>
        <v>-922956.45</v>
      </c>
      <c r="N73" s="100">
        <f>IF(ISNA(VLOOKUP($A73,'[5]2011 TB Summary'!$A$4:$J$212,10,FALSE)),"",VLOOKUP($A73,'[5]2011 TB Summary'!$A$4:$J$212,10,FALSE))</f>
        <v>-922956.45</v>
      </c>
      <c r="P73" s="113"/>
      <c r="Q73" s="113"/>
    </row>
    <row r="74" spans="1:17" s="101" customFormat="1" ht="15.75">
      <c r="A74" s="96">
        <v>1595</v>
      </c>
      <c r="B74" s="97" t="s">
        <v>325</v>
      </c>
      <c r="C74" s="97" t="s">
        <v>220</v>
      </c>
      <c r="D74" s="97" t="s">
        <v>289</v>
      </c>
      <c r="E74" s="98"/>
      <c r="F74" s="98"/>
      <c r="G74" s="98"/>
      <c r="H74" s="98"/>
      <c r="I74" s="98"/>
      <c r="J74" s="98"/>
      <c r="K74" s="98">
        <v>-7304322.62</v>
      </c>
      <c r="L74" s="99">
        <f>IF(ISNA(VLOOKUP(A74,'[3]OEB Adjusted Financials'!$I$6:$J$188,2,FALSE)),"",VLOOKUP(A74,'[3]OEB Adjusted Financials'!$I$6:$J$188,2,FALSE))</f>
        <v>-4841065.66</v>
      </c>
      <c r="M74" s="100">
        <f>IF(ISNA(VLOOKUP($A74,'[4]2010 TB'!$A$4:$E$210,5,FALSE)),"",VLOOKUP($A74,'[4]2010 TB'!$A$4:$E$210,5,FALSE))</f>
        <v>-4841065.66</v>
      </c>
      <c r="N74" s="100">
        <f>IF(ISNA(VLOOKUP($A74,'[5]2011 TB Summary'!$A$4:$J$212,10,FALSE)),"",VLOOKUP($A74,'[5]2011 TB Summary'!$A$4:$J$212,10,FALSE))</f>
        <v>-4841065.66</v>
      </c>
      <c r="P74" s="113"/>
      <c r="Q74" s="113"/>
    </row>
    <row r="75" spans="1:17" s="101" customFormat="1" ht="15.75">
      <c r="A75" s="96">
        <v>1605</v>
      </c>
      <c r="B75" s="97" t="s">
        <v>326</v>
      </c>
      <c r="C75" s="97" t="s">
        <v>327</v>
      </c>
      <c r="D75" s="97"/>
      <c r="E75" s="98">
        <v>358461467.56</v>
      </c>
      <c r="F75" s="98">
        <v>381356270.21</v>
      </c>
      <c r="G75" s="98">
        <v>389471125.53</v>
      </c>
      <c r="H75" s="98"/>
      <c r="I75" s="98">
        <v>528248146.37000006</v>
      </c>
      <c r="J75" s="114">
        <v>550633266.2800001</v>
      </c>
      <c r="K75" s="114">
        <v>581389363.9800001</v>
      </c>
      <c r="L75" s="114">
        <f>SUM(L91:L142)</f>
        <v>609651887.6200001</v>
      </c>
      <c r="M75" s="114">
        <f>SUM(M91:M142)</f>
        <v>647244887.62</v>
      </c>
      <c r="N75" s="114">
        <f>SUM(N91:N142)</f>
        <v>691236986.3261491</v>
      </c>
      <c r="P75" s="113"/>
      <c r="Q75" s="113"/>
    </row>
    <row r="76" spans="1:17" s="101" customFormat="1" ht="15.75">
      <c r="A76" s="96">
        <v>1606</v>
      </c>
      <c r="B76" s="97" t="s">
        <v>328</v>
      </c>
      <c r="C76" s="97" t="s">
        <v>327</v>
      </c>
      <c r="D76" s="97"/>
      <c r="E76" s="98" t="s">
        <v>217</v>
      </c>
      <c r="F76" s="98" t="s">
        <v>217</v>
      </c>
      <c r="G76" s="98" t="s">
        <v>217</v>
      </c>
      <c r="H76" s="98"/>
      <c r="I76" s="98"/>
      <c r="J76" s="98"/>
      <c r="K76" s="98"/>
      <c r="L76" s="99">
        <f>IF(ISNA(VLOOKUP(A76,'[3]OEB Adjusted Financials'!$I$6:$J$188,2,FALSE)),"",VLOOKUP(A76,'[3]OEB Adjusted Financials'!$I$6:$J$188,2,FALSE))</f>
      </c>
      <c r="M76" s="100">
        <f>IF(ISNA(VLOOKUP($A76,'[4]2010 TB'!$A$4:$E$210,5,FALSE)),"",VLOOKUP($A76,'[4]2010 TB'!$A$4:$E$210,5,FALSE))</f>
      </c>
      <c r="N76" s="100">
        <f>IF(ISNA(VLOOKUP($A76,'[5]2011 TB Summary'!$A$4:$J$212,10,FALSE)),"",VLOOKUP($A76,'[5]2011 TB Summary'!$A$4:$J$212,10,FALSE))</f>
      </c>
      <c r="P76" s="113"/>
      <c r="Q76" s="113"/>
    </row>
    <row r="77" spans="1:17" s="101" customFormat="1" ht="15.75">
      <c r="A77" s="96">
        <v>1608</v>
      </c>
      <c r="B77" s="97" t="s">
        <v>329</v>
      </c>
      <c r="C77" s="97" t="s">
        <v>327</v>
      </c>
      <c r="D77" s="97"/>
      <c r="E77" s="98" t="s">
        <v>217</v>
      </c>
      <c r="F77" s="98" t="s">
        <v>217</v>
      </c>
      <c r="G77" s="98" t="s">
        <v>217</v>
      </c>
      <c r="H77" s="98"/>
      <c r="I77" s="98"/>
      <c r="J77" s="98"/>
      <c r="K77" s="98"/>
      <c r="L77" s="99">
        <f>IF(ISNA(VLOOKUP(A77,'[3]OEB Adjusted Financials'!$I$6:$J$188,2,FALSE)),"",VLOOKUP(A77,'[3]OEB Adjusted Financials'!$I$6:$J$188,2,FALSE))</f>
      </c>
      <c r="M77" s="100">
        <f>IF(ISNA(VLOOKUP($A77,'[4]2010 TB'!$A$4:$E$210,5,FALSE)),"",VLOOKUP($A77,'[4]2010 TB'!$A$4:$E$210,5,FALSE))</f>
      </c>
      <c r="N77" s="100">
        <f>IF(ISNA(VLOOKUP($A77,'[5]2011 TB Summary'!$A$4:$J$212,10,FALSE)),"",VLOOKUP($A77,'[5]2011 TB Summary'!$A$4:$J$212,10,FALSE))</f>
      </c>
      <c r="P77" s="113"/>
      <c r="Q77" s="113"/>
    </row>
    <row r="78" spans="1:17" s="101" customFormat="1" ht="15.75">
      <c r="A78" s="96">
        <v>1610</v>
      </c>
      <c r="B78" s="97" t="s">
        <v>330</v>
      </c>
      <c r="C78" s="97" t="s">
        <v>327</v>
      </c>
      <c r="D78" s="97"/>
      <c r="E78" s="98" t="s">
        <v>217</v>
      </c>
      <c r="F78" s="98" t="s">
        <v>217</v>
      </c>
      <c r="G78" s="98" t="s">
        <v>217</v>
      </c>
      <c r="H78" s="98"/>
      <c r="I78" s="98"/>
      <c r="J78" s="98"/>
      <c r="K78" s="98"/>
      <c r="L78" s="99">
        <f>IF(ISNA(VLOOKUP(A78,'[3]OEB Adjusted Financials'!$I$6:$J$188,2,FALSE)),"",VLOOKUP(A78,'[3]OEB Adjusted Financials'!$I$6:$J$188,2,FALSE))</f>
      </c>
      <c r="M78" s="100">
        <f>IF(ISNA(VLOOKUP($A78,'[4]2010 TB'!$A$4:$E$210,5,FALSE)),"",VLOOKUP($A78,'[4]2010 TB'!$A$4:$E$210,5,FALSE))</f>
      </c>
      <c r="N78" s="100">
        <f>IF(ISNA(VLOOKUP($A78,'[5]2011 TB Summary'!$A$4:$J$212,10,FALSE)),"",VLOOKUP($A78,'[5]2011 TB Summary'!$A$4:$J$212,10,FALSE))</f>
      </c>
      <c r="P78" s="113"/>
      <c r="Q78" s="113"/>
    </row>
    <row r="79" spans="1:17" s="101" customFormat="1" ht="15.75">
      <c r="A79" s="96">
        <v>1615</v>
      </c>
      <c r="B79" s="97" t="s">
        <v>17</v>
      </c>
      <c r="C79" s="97" t="s">
        <v>331</v>
      </c>
      <c r="D79" s="97"/>
      <c r="E79" s="98" t="s">
        <v>217</v>
      </c>
      <c r="F79" s="98" t="s">
        <v>217</v>
      </c>
      <c r="G79" s="98" t="s">
        <v>217</v>
      </c>
      <c r="H79" s="98"/>
      <c r="I79" s="98"/>
      <c r="J79" s="98"/>
      <c r="K79" s="98"/>
      <c r="L79" s="99">
        <f>IF(ISNA(VLOOKUP(A79,'[3]OEB Adjusted Financials'!$I$6:$J$188,2,FALSE)),"",VLOOKUP(A79,'[3]OEB Adjusted Financials'!$I$6:$J$188,2,FALSE))</f>
      </c>
      <c r="M79" s="100">
        <f>IF(ISNA(VLOOKUP($A79,'[4]2010 TB'!$A$4:$E$210,5,FALSE)),"",VLOOKUP($A79,'[4]2010 TB'!$A$4:$E$210,5,FALSE))</f>
      </c>
      <c r="N79" s="100">
        <f>IF(ISNA(VLOOKUP($A79,'[5]2011 TB Summary'!$A$4:$J$212,10,FALSE)),"",VLOOKUP($A79,'[5]2011 TB Summary'!$A$4:$J$212,10,FALSE))</f>
      </c>
      <c r="P79" s="113"/>
      <c r="Q79" s="113"/>
    </row>
    <row r="80" spans="1:17" s="101" customFormat="1" ht="15.75">
      <c r="A80" s="96">
        <v>1616</v>
      </c>
      <c r="B80" s="97" t="s">
        <v>18</v>
      </c>
      <c r="C80" s="97" t="s">
        <v>331</v>
      </c>
      <c r="D80" s="97"/>
      <c r="E80" s="98" t="s">
        <v>217</v>
      </c>
      <c r="F80" s="98" t="s">
        <v>217</v>
      </c>
      <c r="G80" s="98" t="s">
        <v>217</v>
      </c>
      <c r="H80" s="98"/>
      <c r="I80" s="98"/>
      <c r="J80" s="98"/>
      <c r="K80" s="98"/>
      <c r="L80" s="99">
        <f>IF(ISNA(VLOOKUP(A80,'[3]OEB Adjusted Financials'!$I$6:$J$188,2,FALSE)),"",VLOOKUP(A80,'[3]OEB Adjusted Financials'!$I$6:$J$188,2,FALSE))</f>
      </c>
      <c r="M80" s="100">
        <f>IF(ISNA(VLOOKUP($A80,'[4]2010 TB'!$A$4:$E$210,5,FALSE)),"",VLOOKUP($A80,'[4]2010 TB'!$A$4:$E$210,5,FALSE))</f>
      </c>
      <c r="N80" s="100">
        <f>IF(ISNA(VLOOKUP($A80,'[5]2011 TB Summary'!$A$4:$J$212,10,FALSE)),"",VLOOKUP($A80,'[5]2011 TB Summary'!$A$4:$J$212,10,FALSE))</f>
      </c>
      <c r="P80" s="113"/>
      <c r="Q80" s="113"/>
    </row>
    <row r="81" spans="1:17" s="101" customFormat="1" ht="15.75">
      <c r="A81" s="96">
        <v>1620</v>
      </c>
      <c r="B81" s="97" t="s">
        <v>332</v>
      </c>
      <c r="C81" s="97" t="s">
        <v>331</v>
      </c>
      <c r="D81" s="97"/>
      <c r="E81" s="98" t="s">
        <v>217</v>
      </c>
      <c r="F81" s="98" t="s">
        <v>217</v>
      </c>
      <c r="G81" s="98" t="s">
        <v>217</v>
      </c>
      <c r="H81" s="98"/>
      <c r="I81" s="98"/>
      <c r="J81" s="98"/>
      <c r="K81" s="98"/>
      <c r="L81" s="99">
        <f>IF(ISNA(VLOOKUP(A81,'[3]OEB Adjusted Financials'!$I$6:$J$188,2,FALSE)),"",VLOOKUP(A81,'[3]OEB Adjusted Financials'!$I$6:$J$188,2,FALSE))</f>
      </c>
      <c r="M81" s="100">
        <f>IF(ISNA(VLOOKUP($A81,'[4]2010 TB'!$A$4:$E$210,5,FALSE)),"",VLOOKUP($A81,'[4]2010 TB'!$A$4:$E$210,5,FALSE))</f>
      </c>
      <c r="N81" s="100">
        <f>IF(ISNA(VLOOKUP($A81,'[5]2011 TB Summary'!$A$4:$J$212,10,FALSE)),"",VLOOKUP($A81,'[5]2011 TB Summary'!$A$4:$J$212,10,FALSE))</f>
      </c>
      <c r="P81" s="113"/>
      <c r="Q81" s="113"/>
    </row>
    <row r="82" spans="1:17" s="101" customFormat="1" ht="15.75">
      <c r="A82" s="96">
        <v>1630</v>
      </c>
      <c r="B82" s="97" t="s">
        <v>8</v>
      </c>
      <c r="C82" s="97" t="s">
        <v>331</v>
      </c>
      <c r="D82" s="97"/>
      <c r="E82" s="98" t="s">
        <v>217</v>
      </c>
      <c r="F82" s="98" t="s">
        <v>217</v>
      </c>
      <c r="G82" s="98" t="s">
        <v>217</v>
      </c>
      <c r="H82" s="98"/>
      <c r="I82" s="98"/>
      <c r="J82" s="98"/>
      <c r="K82" s="98"/>
      <c r="L82" s="99">
        <f>IF(ISNA(VLOOKUP(A82,'[3]OEB Adjusted Financials'!$I$6:$J$188,2,FALSE)),"",VLOOKUP(A82,'[3]OEB Adjusted Financials'!$I$6:$J$188,2,FALSE))</f>
      </c>
      <c r="M82" s="100">
        <f>IF(ISNA(VLOOKUP($A82,'[4]2010 TB'!$A$4:$E$210,5,FALSE)),"",VLOOKUP($A82,'[4]2010 TB'!$A$4:$E$210,5,FALSE))</f>
      </c>
      <c r="N82" s="100">
        <f>IF(ISNA(VLOOKUP($A82,'[5]2011 TB Summary'!$A$4:$J$212,10,FALSE)),"",VLOOKUP($A82,'[5]2011 TB Summary'!$A$4:$J$212,10,FALSE))</f>
      </c>
      <c r="P82" s="113"/>
      <c r="Q82" s="113"/>
    </row>
    <row r="83" spans="1:17" s="101" customFormat="1" ht="15.75">
      <c r="A83" s="96">
        <v>1635</v>
      </c>
      <c r="B83" s="97" t="s">
        <v>333</v>
      </c>
      <c r="C83" s="97" t="s">
        <v>331</v>
      </c>
      <c r="D83" s="97"/>
      <c r="E83" s="98" t="s">
        <v>217</v>
      </c>
      <c r="F83" s="98" t="s">
        <v>217</v>
      </c>
      <c r="G83" s="98" t="s">
        <v>217</v>
      </c>
      <c r="H83" s="98"/>
      <c r="I83" s="98"/>
      <c r="J83" s="98"/>
      <c r="K83" s="98"/>
      <c r="L83" s="99">
        <f>IF(ISNA(VLOOKUP(A83,'[3]OEB Adjusted Financials'!$I$6:$J$188,2,FALSE)),"",VLOOKUP(A83,'[3]OEB Adjusted Financials'!$I$6:$J$188,2,FALSE))</f>
        <v>0</v>
      </c>
      <c r="M83" s="100">
        <f>IF(ISNA(VLOOKUP($A83,'[4]2010 TB'!$A$4:$E$210,5,FALSE)),"",VLOOKUP($A83,'[4]2010 TB'!$A$4:$E$210,5,FALSE))</f>
        <v>0</v>
      </c>
      <c r="N83" s="100">
        <f>IF(ISNA(VLOOKUP($A83,'[5]2011 TB Summary'!$A$4:$J$212,10,FALSE)),"",VLOOKUP($A83,'[5]2011 TB Summary'!$A$4:$J$212,10,FALSE))</f>
        <v>0</v>
      </c>
      <c r="P83" s="113"/>
      <c r="Q83" s="113"/>
    </row>
    <row r="84" spans="1:17" s="101" customFormat="1" ht="15.75">
      <c r="A84" s="96">
        <v>1640</v>
      </c>
      <c r="B84" s="97" t="s">
        <v>334</v>
      </c>
      <c r="C84" s="97" t="s">
        <v>331</v>
      </c>
      <c r="D84" s="97"/>
      <c r="E84" s="98" t="s">
        <v>217</v>
      </c>
      <c r="F84" s="98" t="s">
        <v>217</v>
      </c>
      <c r="G84" s="98" t="s">
        <v>217</v>
      </c>
      <c r="H84" s="98"/>
      <c r="I84" s="98"/>
      <c r="J84" s="98"/>
      <c r="K84" s="98"/>
      <c r="L84" s="99">
        <f>IF(ISNA(VLOOKUP(A84,'[3]OEB Adjusted Financials'!$I$6:$J$188,2,FALSE)),"",VLOOKUP(A84,'[3]OEB Adjusted Financials'!$I$6:$J$188,2,FALSE))</f>
        <v>0</v>
      </c>
      <c r="M84" s="100">
        <f>IF(ISNA(VLOOKUP($A84,'[4]2010 TB'!$A$4:$E$210,5,FALSE)),"",VLOOKUP($A84,'[4]2010 TB'!$A$4:$E$210,5,FALSE))</f>
        <v>0</v>
      </c>
      <c r="N84" s="100">
        <f>IF(ISNA(VLOOKUP($A84,'[5]2011 TB Summary'!$A$4:$J$212,10,FALSE)),"",VLOOKUP($A84,'[5]2011 TB Summary'!$A$4:$J$212,10,FALSE))</f>
        <v>0</v>
      </c>
      <c r="P84" s="113"/>
      <c r="Q84" s="113"/>
    </row>
    <row r="85" spans="1:17" s="101" customFormat="1" ht="15.75">
      <c r="A85" s="96">
        <v>1645</v>
      </c>
      <c r="B85" s="97" t="s">
        <v>335</v>
      </c>
      <c r="C85" s="97" t="s">
        <v>331</v>
      </c>
      <c r="D85" s="97"/>
      <c r="E85" s="98" t="s">
        <v>217</v>
      </c>
      <c r="F85" s="98" t="s">
        <v>217</v>
      </c>
      <c r="G85" s="98" t="s">
        <v>217</v>
      </c>
      <c r="H85" s="98"/>
      <c r="I85" s="98"/>
      <c r="J85" s="98"/>
      <c r="K85" s="98"/>
      <c r="L85" s="99">
        <f>IF(ISNA(VLOOKUP(A85,'[3]OEB Adjusted Financials'!$I$6:$J$188,2,FALSE)),"",VLOOKUP(A85,'[3]OEB Adjusted Financials'!$I$6:$J$188,2,FALSE))</f>
      </c>
      <c r="M85" s="100">
        <f>IF(ISNA(VLOOKUP($A85,'[4]2010 TB'!$A$4:$E$210,5,FALSE)),"",VLOOKUP($A85,'[4]2010 TB'!$A$4:$E$210,5,FALSE))</f>
      </c>
      <c r="N85" s="100">
        <f>IF(ISNA(VLOOKUP($A85,'[5]2011 TB Summary'!$A$4:$J$212,10,FALSE)),"",VLOOKUP($A85,'[5]2011 TB Summary'!$A$4:$J$212,10,FALSE))</f>
      </c>
      <c r="P85" s="113"/>
      <c r="Q85" s="113"/>
    </row>
    <row r="86" spans="1:17" s="101" customFormat="1" ht="15.75">
      <c r="A86" s="96">
        <v>1650</v>
      </c>
      <c r="B86" s="97" t="s">
        <v>336</v>
      </c>
      <c r="C86" s="97" t="s">
        <v>331</v>
      </c>
      <c r="D86" s="97"/>
      <c r="E86" s="98" t="s">
        <v>217</v>
      </c>
      <c r="F86" s="98" t="s">
        <v>217</v>
      </c>
      <c r="G86" s="98" t="s">
        <v>217</v>
      </c>
      <c r="H86" s="98"/>
      <c r="I86" s="98"/>
      <c r="J86" s="98"/>
      <c r="K86" s="98"/>
      <c r="L86" s="99">
        <f>IF(ISNA(VLOOKUP(A86,'[3]OEB Adjusted Financials'!$I$6:$J$188,2,FALSE)),"",VLOOKUP(A86,'[3]OEB Adjusted Financials'!$I$6:$J$188,2,FALSE))</f>
      </c>
      <c r="M86" s="100">
        <f>IF(ISNA(VLOOKUP($A86,'[4]2010 TB'!$A$4:$E$210,5,FALSE)),"",VLOOKUP($A86,'[4]2010 TB'!$A$4:$E$210,5,FALSE))</f>
      </c>
      <c r="N86" s="100">
        <f>IF(ISNA(VLOOKUP($A86,'[5]2011 TB Summary'!$A$4:$J$212,10,FALSE)),"",VLOOKUP($A86,'[5]2011 TB Summary'!$A$4:$J$212,10,FALSE))</f>
      </c>
      <c r="P86" s="113"/>
      <c r="Q86" s="113"/>
    </row>
    <row r="87" spans="1:17" s="101" customFormat="1" ht="15.75">
      <c r="A87" s="96">
        <v>1655</v>
      </c>
      <c r="B87" s="97" t="s">
        <v>337</v>
      </c>
      <c r="C87" s="97" t="s">
        <v>331</v>
      </c>
      <c r="D87" s="97"/>
      <c r="E87" s="98" t="s">
        <v>217</v>
      </c>
      <c r="F87" s="98" t="s">
        <v>217</v>
      </c>
      <c r="G87" s="98" t="s">
        <v>217</v>
      </c>
      <c r="H87" s="98"/>
      <c r="I87" s="98"/>
      <c r="J87" s="98"/>
      <c r="K87" s="98"/>
      <c r="L87" s="99">
        <f>IF(ISNA(VLOOKUP(A87,'[3]OEB Adjusted Financials'!$I$6:$J$188,2,FALSE)),"",VLOOKUP(A87,'[3]OEB Adjusted Financials'!$I$6:$J$188,2,FALSE))</f>
      </c>
      <c r="M87" s="100">
        <f>IF(ISNA(VLOOKUP($A87,'[4]2010 TB'!$A$4:$E$210,5,FALSE)),"",VLOOKUP($A87,'[4]2010 TB'!$A$4:$E$210,5,FALSE))</f>
      </c>
      <c r="N87" s="100">
        <f>IF(ISNA(VLOOKUP($A87,'[5]2011 TB Summary'!$A$4:$J$212,10,FALSE)),"",VLOOKUP($A87,'[5]2011 TB Summary'!$A$4:$J$212,10,FALSE))</f>
      </c>
      <c r="P87" s="113"/>
      <c r="Q87" s="113"/>
    </row>
    <row r="88" spans="1:17" s="101" customFormat="1" ht="15.75">
      <c r="A88" s="96">
        <v>1660</v>
      </c>
      <c r="B88" s="97" t="s">
        <v>338</v>
      </c>
      <c r="C88" s="97" t="s">
        <v>331</v>
      </c>
      <c r="D88" s="97"/>
      <c r="E88" s="98" t="s">
        <v>217</v>
      </c>
      <c r="F88" s="98" t="s">
        <v>217</v>
      </c>
      <c r="G88" s="98" t="s">
        <v>217</v>
      </c>
      <c r="H88" s="98"/>
      <c r="I88" s="98"/>
      <c r="J88" s="98"/>
      <c r="K88" s="98"/>
      <c r="L88" s="99">
        <f>IF(ISNA(VLOOKUP(A88,'[3]OEB Adjusted Financials'!$I$6:$J$188,2,FALSE)),"",VLOOKUP(A88,'[3]OEB Adjusted Financials'!$I$6:$J$188,2,FALSE))</f>
      </c>
      <c r="M88" s="100">
        <f>IF(ISNA(VLOOKUP($A88,'[4]2010 TB'!$A$4:$E$210,5,FALSE)),"",VLOOKUP($A88,'[4]2010 TB'!$A$4:$E$210,5,FALSE))</f>
      </c>
      <c r="N88" s="100">
        <f>IF(ISNA(VLOOKUP($A88,'[5]2011 TB Summary'!$A$4:$J$212,10,FALSE)),"",VLOOKUP($A88,'[5]2011 TB Summary'!$A$4:$J$212,10,FALSE))</f>
      </c>
      <c r="P88" s="113"/>
      <c r="Q88" s="113"/>
    </row>
    <row r="89" spans="1:17" s="101" customFormat="1" ht="15.75">
      <c r="A89" s="96">
        <v>1665</v>
      </c>
      <c r="B89" s="97" t="s">
        <v>339</v>
      </c>
      <c r="C89" s="97" t="s">
        <v>331</v>
      </c>
      <c r="D89" s="97"/>
      <c r="E89" s="98" t="s">
        <v>217</v>
      </c>
      <c r="F89" s="98" t="s">
        <v>217</v>
      </c>
      <c r="G89" s="98" t="s">
        <v>217</v>
      </c>
      <c r="H89" s="98"/>
      <c r="I89" s="98"/>
      <c r="J89" s="98"/>
      <c r="K89" s="98"/>
      <c r="L89" s="99">
        <f>IF(ISNA(VLOOKUP(A89,'[3]OEB Adjusted Financials'!$I$6:$J$188,2,FALSE)),"",VLOOKUP(A89,'[3]OEB Adjusted Financials'!$I$6:$J$188,2,FALSE))</f>
      </c>
      <c r="M89" s="100">
        <f>IF(ISNA(VLOOKUP($A89,'[4]2010 TB'!$A$4:$E$210,5,FALSE)),"",VLOOKUP($A89,'[4]2010 TB'!$A$4:$E$210,5,FALSE))</f>
      </c>
      <c r="N89" s="100">
        <f>IF(ISNA(VLOOKUP($A89,'[5]2011 TB Summary'!$A$4:$J$212,10,FALSE)),"",VLOOKUP($A89,'[5]2011 TB Summary'!$A$4:$J$212,10,FALSE))</f>
      </c>
      <c r="P89" s="113"/>
      <c r="Q89" s="113"/>
    </row>
    <row r="90" spans="1:17" s="101" customFormat="1" ht="15.75">
      <c r="A90" s="96">
        <v>1670</v>
      </c>
      <c r="B90" s="97" t="s">
        <v>340</v>
      </c>
      <c r="C90" s="97" t="s">
        <v>331</v>
      </c>
      <c r="D90" s="97"/>
      <c r="E90" s="98" t="s">
        <v>217</v>
      </c>
      <c r="F90" s="98" t="s">
        <v>217</v>
      </c>
      <c r="G90" s="98" t="s">
        <v>217</v>
      </c>
      <c r="H90" s="98"/>
      <c r="I90" s="98"/>
      <c r="J90" s="98"/>
      <c r="K90" s="98"/>
      <c r="L90" s="99">
        <f>IF(ISNA(VLOOKUP(A90,'[3]OEB Adjusted Financials'!$I$6:$J$188,2,FALSE)),"",VLOOKUP(A90,'[3]OEB Adjusted Financials'!$I$6:$J$188,2,FALSE))</f>
      </c>
      <c r="M90" s="100">
        <f>IF(ISNA(VLOOKUP($A90,'[4]2010 TB'!$A$4:$E$210,5,FALSE)),"",VLOOKUP($A90,'[4]2010 TB'!$A$4:$E$210,5,FALSE))</f>
      </c>
      <c r="N90" s="100">
        <f>IF(ISNA(VLOOKUP($A90,'[5]2011 TB Summary'!$A$4:$J$212,10,FALSE)),"",VLOOKUP($A90,'[5]2011 TB Summary'!$A$4:$J$212,10,FALSE))</f>
      </c>
      <c r="P90" s="113"/>
      <c r="Q90" s="113"/>
    </row>
    <row r="91" spans="1:17" s="101" customFormat="1" ht="15.75">
      <c r="A91" s="96">
        <v>1675</v>
      </c>
      <c r="B91" s="97" t="s">
        <v>341</v>
      </c>
      <c r="C91" s="97" t="s">
        <v>222</v>
      </c>
      <c r="D91" s="97" t="s">
        <v>342</v>
      </c>
      <c r="E91" s="98" t="s">
        <v>217</v>
      </c>
      <c r="F91" s="98" t="s">
        <v>217</v>
      </c>
      <c r="G91" s="98" t="s">
        <v>217</v>
      </c>
      <c r="H91" s="98"/>
      <c r="I91" s="98"/>
      <c r="J91" s="98">
        <v>1321818.1</v>
      </c>
      <c r="K91" s="98">
        <v>1296686.92</v>
      </c>
      <c r="L91" s="99">
        <f>IF(ISNA(VLOOKUP(A91,'[3]OEB Adjusted Financials'!$I$6:$J$188,2,FALSE)),"",VLOOKUP(A91,'[3]OEB Adjusted Financials'!$I$6:$J$188,2,FALSE))</f>
        <v>1296686.92</v>
      </c>
      <c r="M91" s="100">
        <f>IF(ISNA(VLOOKUP($A91,'[4]2010 TB'!$A$4:$E$210,5,FALSE)),"",VLOOKUP($A91,'[4]2010 TB'!$A$4:$E$210,5,FALSE))</f>
        <v>1296686.92</v>
      </c>
      <c r="N91" s="100">
        <f>IF(ISNA(VLOOKUP($A91,'[5]2011 TB Summary'!$A$4:$J$212,10,FALSE)),"",VLOOKUP($A91,'[5]2011 TB Summary'!$A$4:$J$212,10,FALSE))</f>
        <v>1296686.92</v>
      </c>
      <c r="P91" s="113"/>
      <c r="Q91" s="113"/>
    </row>
    <row r="92" spans="1:17" s="101" customFormat="1" ht="15.75">
      <c r="A92" s="96">
        <v>1680</v>
      </c>
      <c r="B92" s="97" t="s">
        <v>343</v>
      </c>
      <c r="C92" s="97" t="s">
        <v>331</v>
      </c>
      <c r="D92" s="97"/>
      <c r="E92" s="98" t="s">
        <v>217</v>
      </c>
      <c r="F92" s="98" t="s">
        <v>217</v>
      </c>
      <c r="G92" s="98" t="s">
        <v>217</v>
      </c>
      <c r="H92" s="98"/>
      <c r="I92" s="98"/>
      <c r="J92" s="98"/>
      <c r="K92" s="98"/>
      <c r="L92" s="99">
        <f>IF(ISNA(VLOOKUP(A92,'[3]OEB Adjusted Financials'!$I$6:$J$188,2,FALSE)),"",VLOOKUP(A92,'[3]OEB Adjusted Financials'!$I$6:$J$188,2,FALSE))</f>
      </c>
      <c r="M92" s="100">
        <f>IF(ISNA(VLOOKUP($A92,'[4]2010 TB'!$A$4:$E$210,5,FALSE)),"",VLOOKUP($A92,'[4]2010 TB'!$A$4:$E$210,5,FALSE))</f>
      </c>
      <c r="N92" s="100">
        <f>IF(ISNA(VLOOKUP($A92,'[5]2011 TB Summary'!$A$4:$J$212,10,FALSE)),"",VLOOKUP($A92,'[5]2011 TB Summary'!$A$4:$J$212,10,FALSE))</f>
      </c>
      <c r="P92" s="113"/>
      <c r="Q92" s="113"/>
    </row>
    <row r="93" spans="1:17" s="101" customFormat="1" ht="15.75">
      <c r="A93" s="96">
        <v>1685</v>
      </c>
      <c r="B93" s="97" t="s">
        <v>344</v>
      </c>
      <c r="C93" s="97" t="s">
        <v>331</v>
      </c>
      <c r="D93" s="97"/>
      <c r="E93" s="98" t="s">
        <v>217</v>
      </c>
      <c r="F93" s="98" t="s">
        <v>217</v>
      </c>
      <c r="G93" s="98" t="s">
        <v>217</v>
      </c>
      <c r="H93" s="98"/>
      <c r="I93" s="98"/>
      <c r="J93" s="98"/>
      <c r="K93" s="98"/>
      <c r="L93" s="99">
        <f>IF(ISNA(VLOOKUP(A93,'[3]OEB Adjusted Financials'!$I$6:$J$188,2,FALSE)),"",VLOOKUP(A93,'[3]OEB Adjusted Financials'!$I$6:$J$188,2,FALSE))</f>
      </c>
      <c r="M93" s="100">
        <f>IF(ISNA(VLOOKUP($A93,'[4]2010 TB'!$A$4:$E$210,5,FALSE)),"",VLOOKUP($A93,'[4]2010 TB'!$A$4:$E$210,5,FALSE))</f>
      </c>
      <c r="N93" s="100">
        <f>IF(ISNA(VLOOKUP($A93,'[5]2011 TB Summary'!$A$4:$J$212,10,FALSE)),"",VLOOKUP($A93,'[5]2011 TB Summary'!$A$4:$J$212,10,FALSE))</f>
      </c>
      <c r="P93" s="113"/>
      <c r="Q93" s="113"/>
    </row>
    <row r="94" spans="1:17" s="101" customFormat="1" ht="15.75">
      <c r="A94" s="96">
        <v>1705</v>
      </c>
      <c r="B94" s="97" t="s">
        <v>17</v>
      </c>
      <c r="C94" s="97" t="s">
        <v>331</v>
      </c>
      <c r="D94" s="97"/>
      <c r="E94" s="98" t="s">
        <v>217</v>
      </c>
      <c r="F94" s="98" t="s">
        <v>217</v>
      </c>
      <c r="G94" s="98" t="s">
        <v>217</v>
      </c>
      <c r="H94" s="98"/>
      <c r="I94" s="98"/>
      <c r="J94" s="98"/>
      <c r="K94" s="98"/>
      <c r="L94" s="99">
        <f>IF(ISNA(VLOOKUP(A94,'[3]OEB Adjusted Financials'!$I$6:$J$188,2,FALSE)),"",VLOOKUP(A94,'[3]OEB Adjusted Financials'!$I$6:$J$188,2,FALSE))</f>
      </c>
      <c r="M94" s="100">
        <f>IF(ISNA(VLOOKUP($A94,'[4]2010 TB'!$A$4:$E$210,5,FALSE)),"",VLOOKUP($A94,'[4]2010 TB'!$A$4:$E$210,5,FALSE))</f>
      </c>
      <c r="N94" s="100">
        <f>IF(ISNA(VLOOKUP($A94,'[5]2011 TB Summary'!$A$4:$J$212,10,FALSE)),"",VLOOKUP($A94,'[5]2011 TB Summary'!$A$4:$J$212,10,FALSE))</f>
      </c>
      <c r="P94" s="113"/>
      <c r="Q94" s="113"/>
    </row>
    <row r="95" spans="1:17" s="101" customFormat="1" ht="15.75">
      <c r="A95" s="96">
        <v>1706</v>
      </c>
      <c r="B95" s="97" t="s">
        <v>18</v>
      </c>
      <c r="C95" s="97" t="s">
        <v>331</v>
      </c>
      <c r="D95" s="97"/>
      <c r="E95" s="98" t="s">
        <v>217</v>
      </c>
      <c r="F95" s="98" t="s">
        <v>217</v>
      </c>
      <c r="G95" s="98" t="s">
        <v>217</v>
      </c>
      <c r="H95" s="98"/>
      <c r="I95" s="98"/>
      <c r="J95" s="98"/>
      <c r="K95" s="98"/>
      <c r="L95" s="99">
        <f>IF(ISNA(VLOOKUP(A95,'[3]OEB Adjusted Financials'!$I$6:$J$188,2,FALSE)),"",VLOOKUP(A95,'[3]OEB Adjusted Financials'!$I$6:$J$188,2,FALSE))</f>
      </c>
      <c r="M95" s="100">
        <f>IF(ISNA(VLOOKUP($A95,'[4]2010 TB'!$A$4:$E$210,5,FALSE)),"",VLOOKUP($A95,'[4]2010 TB'!$A$4:$E$210,5,FALSE))</f>
      </c>
      <c r="N95" s="100">
        <f>IF(ISNA(VLOOKUP($A95,'[5]2011 TB Summary'!$A$4:$J$212,10,FALSE)),"",VLOOKUP($A95,'[5]2011 TB Summary'!$A$4:$J$212,10,FALSE))</f>
      </c>
      <c r="P95" s="113"/>
      <c r="Q95" s="113"/>
    </row>
    <row r="96" spans="1:17" s="101" customFormat="1" ht="15.75">
      <c r="A96" s="96">
        <v>1708</v>
      </c>
      <c r="B96" s="97" t="s">
        <v>332</v>
      </c>
      <c r="C96" s="97" t="s">
        <v>331</v>
      </c>
      <c r="D96" s="97"/>
      <c r="E96" s="98" t="s">
        <v>217</v>
      </c>
      <c r="F96" s="98" t="s">
        <v>217</v>
      </c>
      <c r="G96" s="98" t="s">
        <v>217</v>
      </c>
      <c r="H96" s="98"/>
      <c r="I96" s="98"/>
      <c r="J96" s="98"/>
      <c r="K96" s="98"/>
      <c r="L96" s="99">
        <f>IF(ISNA(VLOOKUP(A96,'[3]OEB Adjusted Financials'!$I$6:$J$188,2,FALSE)),"",VLOOKUP(A96,'[3]OEB Adjusted Financials'!$I$6:$J$188,2,FALSE))</f>
      </c>
      <c r="M96" s="100">
        <f>IF(ISNA(VLOOKUP($A96,'[4]2010 TB'!$A$4:$E$210,5,FALSE)),"",VLOOKUP($A96,'[4]2010 TB'!$A$4:$E$210,5,FALSE))</f>
      </c>
      <c r="N96" s="100">
        <f>IF(ISNA(VLOOKUP($A96,'[5]2011 TB Summary'!$A$4:$J$212,10,FALSE)),"",VLOOKUP($A96,'[5]2011 TB Summary'!$A$4:$J$212,10,FALSE))</f>
      </c>
      <c r="P96" s="113"/>
      <c r="Q96" s="113"/>
    </row>
    <row r="97" spans="1:17" s="101" customFormat="1" ht="15.75">
      <c r="A97" s="96">
        <v>1710</v>
      </c>
      <c r="B97" s="97" t="s">
        <v>8</v>
      </c>
      <c r="C97" s="97" t="s">
        <v>331</v>
      </c>
      <c r="D97" s="97"/>
      <c r="E97" s="98" t="s">
        <v>217</v>
      </c>
      <c r="F97" s="98" t="s">
        <v>217</v>
      </c>
      <c r="G97" s="98" t="s">
        <v>217</v>
      </c>
      <c r="H97" s="98"/>
      <c r="I97" s="98"/>
      <c r="J97" s="98"/>
      <c r="K97" s="98"/>
      <c r="L97" s="99">
        <f>IF(ISNA(VLOOKUP(A97,'[3]OEB Adjusted Financials'!$I$6:$J$188,2,FALSE)),"",VLOOKUP(A97,'[3]OEB Adjusted Financials'!$I$6:$J$188,2,FALSE))</f>
      </c>
      <c r="M97" s="100">
        <f>IF(ISNA(VLOOKUP($A97,'[4]2010 TB'!$A$4:$E$210,5,FALSE)),"",VLOOKUP($A97,'[4]2010 TB'!$A$4:$E$210,5,FALSE))</f>
      </c>
      <c r="N97" s="100">
        <f>IF(ISNA(VLOOKUP($A97,'[5]2011 TB Summary'!$A$4:$J$212,10,FALSE)),"",VLOOKUP($A97,'[5]2011 TB Summary'!$A$4:$J$212,10,FALSE))</f>
      </c>
      <c r="P97" s="113"/>
      <c r="Q97" s="113"/>
    </row>
    <row r="98" spans="1:17" s="101" customFormat="1" ht="15.75">
      <c r="A98" s="96">
        <v>1715</v>
      </c>
      <c r="B98" s="97" t="s">
        <v>345</v>
      </c>
      <c r="C98" s="97" t="s">
        <v>331</v>
      </c>
      <c r="D98" s="97"/>
      <c r="E98" s="98" t="s">
        <v>217</v>
      </c>
      <c r="F98" s="98" t="s">
        <v>217</v>
      </c>
      <c r="G98" s="98" t="s">
        <v>217</v>
      </c>
      <c r="H98" s="98"/>
      <c r="I98" s="98"/>
      <c r="J98" s="98"/>
      <c r="K98" s="98"/>
      <c r="L98" s="99">
        <f>IF(ISNA(VLOOKUP(A98,'[3]OEB Adjusted Financials'!$I$6:$J$188,2,FALSE)),"",VLOOKUP(A98,'[3]OEB Adjusted Financials'!$I$6:$J$188,2,FALSE))</f>
      </c>
      <c r="M98" s="100">
        <f>IF(ISNA(VLOOKUP($A98,'[4]2010 TB'!$A$4:$E$210,5,FALSE)),"",VLOOKUP($A98,'[4]2010 TB'!$A$4:$E$210,5,FALSE))</f>
      </c>
      <c r="N98" s="100">
        <f>IF(ISNA(VLOOKUP($A98,'[5]2011 TB Summary'!$A$4:$J$212,10,FALSE)),"",VLOOKUP($A98,'[5]2011 TB Summary'!$A$4:$J$212,10,FALSE))</f>
      </c>
      <c r="P98" s="113"/>
      <c r="Q98" s="113"/>
    </row>
    <row r="99" spans="1:17" s="101" customFormat="1" ht="15.75">
      <c r="A99" s="96">
        <v>1720</v>
      </c>
      <c r="B99" s="97" t="s">
        <v>346</v>
      </c>
      <c r="C99" s="97" t="s">
        <v>331</v>
      </c>
      <c r="D99" s="97"/>
      <c r="E99" s="98" t="s">
        <v>217</v>
      </c>
      <c r="F99" s="98" t="s">
        <v>217</v>
      </c>
      <c r="G99" s="98" t="s">
        <v>217</v>
      </c>
      <c r="H99" s="98"/>
      <c r="I99" s="98"/>
      <c r="J99" s="98"/>
      <c r="K99" s="98"/>
      <c r="L99" s="99">
        <f>IF(ISNA(VLOOKUP(A99,'[3]OEB Adjusted Financials'!$I$6:$J$188,2,FALSE)),"",VLOOKUP(A99,'[3]OEB Adjusted Financials'!$I$6:$J$188,2,FALSE))</f>
      </c>
      <c r="M99" s="100">
        <f>IF(ISNA(VLOOKUP($A99,'[4]2010 TB'!$A$4:$E$210,5,FALSE)),"",VLOOKUP($A99,'[4]2010 TB'!$A$4:$E$210,5,FALSE))</f>
      </c>
      <c r="N99" s="100">
        <f>IF(ISNA(VLOOKUP($A99,'[5]2011 TB Summary'!$A$4:$J$212,10,FALSE)),"",VLOOKUP($A99,'[5]2011 TB Summary'!$A$4:$J$212,10,FALSE))</f>
      </c>
      <c r="P99" s="113"/>
      <c r="Q99" s="113"/>
    </row>
    <row r="100" spans="1:17" s="101" customFormat="1" ht="15.75">
      <c r="A100" s="96">
        <v>1725</v>
      </c>
      <c r="B100" s="97" t="s">
        <v>347</v>
      </c>
      <c r="C100" s="97" t="s">
        <v>331</v>
      </c>
      <c r="D100" s="97"/>
      <c r="E100" s="98" t="s">
        <v>217</v>
      </c>
      <c r="F100" s="98" t="s">
        <v>217</v>
      </c>
      <c r="G100" s="98" t="s">
        <v>217</v>
      </c>
      <c r="H100" s="98"/>
      <c r="I100" s="98"/>
      <c r="J100" s="98"/>
      <c r="K100" s="98"/>
      <c r="L100" s="99">
        <f>IF(ISNA(VLOOKUP(A100,'[3]OEB Adjusted Financials'!$I$6:$J$188,2,FALSE)),"",VLOOKUP(A100,'[3]OEB Adjusted Financials'!$I$6:$J$188,2,FALSE))</f>
      </c>
      <c r="M100" s="100">
        <f>IF(ISNA(VLOOKUP($A100,'[4]2010 TB'!$A$4:$E$210,5,FALSE)),"",VLOOKUP($A100,'[4]2010 TB'!$A$4:$E$210,5,FALSE))</f>
      </c>
      <c r="N100" s="100">
        <f>IF(ISNA(VLOOKUP($A100,'[5]2011 TB Summary'!$A$4:$J$212,10,FALSE)),"",VLOOKUP($A100,'[5]2011 TB Summary'!$A$4:$J$212,10,FALSE))</f>
      </c>
      <c r="P100" s="113"/>
      <c r="Q100" s="113"/>
    </row>
    <row r="101" spans="1:17" s="101" customFormat="1" ht="15.75">
      <c r="A101" s="96">
        <v>1730</v>
      </c>
      <c r="B101" s="97" t="s">
        <v>348</v>
      </c>
      <c r="C101" s="97" t="s">
        <v>331</v>
      </c>
      <c r="D101" s="97"/>
      <c r="E101" s="98" t="s">
        <v>217</v>
      </c>
      <c r="F101" s="98" t="s">
        <v>217</v>
      </c>
      <c r="G101" s="98" t="s">
        <v>217</v>
      </c>
      <c r="H101" s="98"/>
      <c r="I101" s="98"/>
      <c r="J101" s="98"/>
      <c r="K101" s="98"/>
      <c r="L101" s="99">
        <f>IF(ISNA(VLOOKUP(A101,'[3]OEB Adjusted Financials'!$I$6:$J$188,2,FALSE)),"",VLOOKUP(A101,'[3]OEB Adjusted Financials'!$I$6:$J$188,2,FALSE))</f>
      </c>
      <c r="M101" s="100">
        <f>IF(ISNA(VLOOKUP($A101,'[4]2010 TB'!$A$4:$E$210,5,FALSE)),"",VLOOKUP($A101,'[4]2010 TB'!$A$4:$E$210,5,FALSE))</f>
      </c>
      <c r="N101" s="100">
        <f>IF(ISNA(VLOOKUP($A101,'[5]2011 TB Summary'!$A$4:$J$212,10,FALSE)),"",VLOOKUP($A101,'[5]2011 TB Summary'!$A$4:$J$212,10,FALSE))</f>
      </c>
      <c r="P101" s="113"/>
      <c r="Q101" s="113"/>
    </row>
    <row r="102" spans="1:17" s="101" customFormat="1" ht="15.75">
      <c r="A102" s="96">
        <v>1735</v>
      </c>
      <c r="B102" s="97" t="s">
        <v>349</v>
      </c>
      <c r="C102" s="97" t="s">
        <v>331</v>
      </c>
      <c r="D102" s="97"/>
      <c r="E102" s="98" t="s">
        <v>217</v>
      </c>
      <c r="F102" s="98" t="s">
        <v>217</v>
      </c>
      <c r="G102" s="98" t="s">
        <v>217</v>
      </c>
      <c r="H102" s="98"/>
      <c r="I102" s="98"/>
      <c r="J102" s="98"/>
      <c r="K102" s="98"/>
      <c r="L102" s="99">
        <f>IF(ISNA(VLOOKUP(A102,'[3]OEB Adjusted Financials'!$I$6:$J$188,2,FALSE)),"",VLOOKUP(A102,'[3]OEB Adjusted Financials'!$I$6:$J$188,2,FALSE))</f>
      </c>
      <c r="M102" s="100">
        <f>IF(ISNA(VLOOKUP($A102,'[4]2010 TB'!$A$4:$E$210,5,FALSE)),"",VLOOKUP($A102,'[4]2010 TB'!$A$4:$E$210,5,FALSE))</f>
      </c>
      <c r="N102" s="100">
        <f>IF(ISNA(VLOOKUP($A102,'[5]2011 TB Summary'!$A$4:$J$212,10,FALSE)),"",VLOOKUP($A102,'[5]2011 TB Summary'!$A$4:$J$212,10,FALSE))</f>
      </c>
      <c r="P102" s="113"/>
      <c r="Q102" s="113"/>
    </row>
    <row r="103" spans="1:17" s="101" customFormat="1" ht="15.75">
      <c r="A103" s="96">
        <v>1740</v>
      </c>
      <c r="B103" s="97" t="s">
        <v>350</v>
      </c>
      <c r="C103" s="97" t="s">
        <v>331</v>
      </c>
      <c r="D103" s="97"/>
      <c r="E103" s="98" t="s">
        <v>217</v>
      </c>
      <c r="F103" s="98" t="s">
        <v>217</v>
      </c>
      <c r="G103" s="98" t="s">
        <v>217</v>
      </c>
      <c r="H103" s="98"/>
      <c r="I103" s="98"/>
      <c r="J103" s="98"/>
      <c r="K103" s="98"/>
      <c r="L103" s="99">
        <f>IF(ISNA(VLOOKUP(A103,'[3]OEB Adjusted Financials'!$I$6:$J$188,2,FALSE)),"",VLOOKUP(A103,'[3]OEB Adjusted Financials'!$I$6:$J$188,2,FALSE))</f>
        <v>0</v>
      </c>
      <c r="M103" s="100">
        <f>IF(ISNA(VLOOKUP($A103,'[4]2010 TB'!$A$4:$E$210,5,FALSE)),"",VLOOKUP($A103,'[4]2010 TB'!$A$4:$E$210,5,FALSE))</f>
        <v>0</v>
      </c>
      <c r="N103" s="100">
        <f>IF(ISNA(VLOOKUP($A103,'[5]2011 TB Summary'!$A$4:$J$212,10,FALSE)),"",VLOOKUP($A103,'[5]2011 TB Summary'!$A$4:$J$212,10,FALSE))</f>
        <v>0</v>
      </c>
      <c r="P103" s="113"/>
      <c r="Q103" s="113"/>
    </row>
    <row r="104" spans="1:17" s="101" customFormat="1" ht="15.75">
      <c r="A104" s="96">
        <v>1745</v>
      </c>
      <c r="B104" s="97" t="s">
        <v>351</v>
      </c>
      <c r="C104" s="97" t="s">
        <v>331</v>
      </c>
      <c r="D104" s="97"/>
      <c r="E104" s="98" t="s">
        <v>217</v>
      </c>
      <c r="F104" s="98" t="s">
        <v>217</v>
      </c>
      <c r="G104" s="98" t="s">
        <v>217</v>
      </c>
      <c r="H104" s="98"/>
      <c r="I104" s="98"/>
      <c r="J104" s="98"/>
      <c r="K104" s="98"/>
      <c r="L104" s="99">
        <f>IF(ISNA(VLOOKUP(A104,'[3]OEB Adjusted Financials'!$I$6:$J$188,2,FALSE)),"",VLOOKUP(A104,'[3]OEB Adjusted Financials'!$I$6:$J$188,2,FALSE))</f>
      </c>
      <c r="M104" s="100">
        <f>IF(ISNA(VLOOKUP($A104,'[4]2010 TB'!$A$4:$E$210,5,FALSE)),"",VLOOKUP($A104,'[4]2010 TB'!$A$4:$E$210,5,FALSE))</f>
      </c>
      <c r="N104" s="100">
        <f>IF(ISNA(VLOOKUP($A104,'[5]2011 TB Summary'!$A$4:$J$212,10,FALSE)),"",VLOOKUP($A104,'[5]2011 TB Summary'!$A$4:$J$212,10,FALSE))</f>
      </c>
      <c r="P104" s="113"/>
      <c r="Q104" s="113"/>
    </row>
    <row r="105" spans="1:17" s="101" customFormat="1" ht="15.75">
      <c r="A105" s="96">
        <v>1805</v>
      </c>
      <c r="B105" s="97" t="s">
        <v>17</v>
      </c>
      <c r="C105" s="97" t="s">
        <v>222</v>
      </c>
      <c r="D105" s="97" t="s">
        <v>342</v>
      </c>
      <c r="E105" s="98">
        <v>247521.6</v>
      </c>
      <c r="F105" s="98">
        <v>242521.1</v>
      </c>
      <c r="G105" s="98">
        <v>242521.1</v>
      </c>
      <c r="H105" s="98">
        <v>415141.45</v>
      </c>
      <c r="I105" s="98">
        <v>415141.45</v>
      </c>
      <c r="J105" s="98">
        <v>415141.45</v>
      </c>
      <c r="K105" s="98">
        <v>414741.45</v>
      </c>
      <c r="L105" s="99">
        <f>IF(ISNA(VLOOKUP(A105,'[3]OEB Adjusted Financials'!$I$6:$J$188,2,FALSE)),"",VLOOKUP(A105,'[3]OEB Adjusted Financials'!$I$6:$J$188,2,FALSE))</f>
        <v>414741.45</v>
      </c>
      <c r="M105" s="100">
        <f>IF(ISNA(VLOOKUP($A105,'[4]2010 TB'!$A$4:$E$210,5,FALSE)),"",VLOOKUP($A105,'[4]2010 TB'!$A$4:$E$210,5,FALSE))</f>
        <v>414741.45</v>
      </c>
      <c r="N105" s="100">
        <f>IF(ISNA(VLOOKUP($A105,'[5]2011 TB Summary'!$A$4:$J$212,10,FALSE)),"",VLOOKUP($A105,'[5]2011 TB Summary'!$A$4:$J$212,10,FALSE))</f>
        <v>414741.45</v>
      </c>
      <c r="P105" s="113"/>
      <c r="Q105" s="113"/>
    </row>
    <row r="106" spans="1:17" s="101" customFormat="1" ht="15.75">
      <c r="A106" s="96">
        <v>1806</v>
      </c>
      <c r="B106" s="97" t="s">
        <v>18</v>
      </c>
      <c r="C106" s="97" t="s">
        <v>222</v>
      </c>
      <c r="D106" s="97" t="s">
        <v>342</v>
      </c>
      <c r="E106" s="98">
        <v>7147.2</v>
      </c>
      <c r="F106" s="98" t="s">
        <v>217</v>
      </c>
      <c r="G106" s="98" t="s">
        <v>217</v>
      </c>
      <c r="H106" s="98">
        <v>29679.99</v>
      </c>
      <c r="I106" s="98"/>
      <c r="J106" s="98">
        <v>0</v>
      </c>
      <c r="K106" s="98">
        <v>162636.38</v>
      </c>
      <c r="L106" s="99">
        <f>IF(ISNA(VLOOKUP(A106,'[3]OEB Adjusted Financials'!$I$6:$J$188,2,FALSE)),"",VLOOKUP(A106,'[3]OEB Adjusted Financials'!$I$6:$J$188,2,FALSE))</f>
        <v>162636.38</v>
      </c>
      <c r="M106" s="100">
        <f>IF(ISNA(VLOOKUP($A106,'[4]2010 TB'!$A$4:$E$210,5,FALSE)),"",VLOOKUP($A106,'[4]2010 TB'!$A$4:$E$210,5,FALSE))</f>
        <v>162636.38</v>
      </c>
      <c r="N106" s="100">
        <f>IF(ISNA(VLOOKUP($A106,'[5]2011 TB Summary'!$A$4:$J$212,10,FALSE)),"",VLOOKUP($A106,'[5]2011 TB Summary'!$A$4:$J$212,10,FALSE))</f>
        <v>162636.38</v>
      </c>
      <c r="P106" s="113"/>
      <c r="Q106" s="113"/>
    </row>
    <row r="107" spans="1:17" s="101" customFormat="1" ht="15.75">
      <c r="A107" s="96">
        <v>1808</v>
      </c>
      <c r="B107" s="97" t="s">
        <v>332</v>
      </c>
      <c r="C107" s="97" t="s">
        <v>222</v>
      </c>
      <c r="D107" s="97" t="s">
        <v>342</v>
      </c>
      <c r="E107" s="98">
        <v>1356748.43</v>
      </c>
      <c r="F107" s="98">
        <v>1465027.61</v>
      </c>
      <c r="G107" s="98">
        <v>1618736.53</v>
      </c>
      <c r="H107" s="98">
        <v>1983980.75</v>
      </c>
      <c r="I107" s="98">
        <v>2041560.11</v>
      </c>
      <c r="J107" s="98">
        <v>2124603.29</v>
      </c>
      <c r="K107" s="98"/>
      <c r="L107" s="99">
        <f>IF(ISNA(VLOOKUP(A107,'[3]OEB Adjusted Financials'!$I$6:$J$188,2,FALSE)),"",VLOOKUP(A107,'[3]OEB Adjusted Financials'!$I$6:$J$188,2,FALSE))</f>
        <v>2138307.23</v>
      </c>
      <c r="M107" s="100">
        <f>IF(ISNA(VLOOKUP($A107,'[4]2010 TB'!$A$4:$E$210,5,FALSE)),"",VLOOKUP($A107,'[4]2010 TB'!$A$4:$E$210,5,FALSE))</f>
        <v>2138307.23</v>
      </c>
      <c r="N107" s="100">
        <f>IF(ISNA(VLOOKUP($A107,'[5]2011 TB Summary'!$A$4:$J$212,10,FALSE)),"",VLOOKUP($A107,'[5]2011 TB Summary'!$A$4:$J$212,10,FALSE))</f>
        <v>2138307.23</v>
      </c>
      <c r="P107" s="113"/>
      <c r="Q107" s="113"/>
    </row>
    <row r="108" spans="1:17" s="101" customFormat="1" ht="15.75">
      <c r="A108" s="96">
        <v>1810</v>
      </c>
      <c r="B108" s="97" t="s">
        <v>8</v>
      </c>
      <c r="C108" s="97" t="s">
        <v>222</v>
      </c>
      <c r="D108" s="97" t="s">
        <v>342</v>
      </c>
      <c r="E108" s="98">
        <v>20885.65</v>
      </c>
      <c r="F108" s="98">
        <v>20885.65</v>
      </c>
      <c r="G108" s="98">
        <v>20885.65</v>
      </c>
      <c r="H108" s="98">
        <v>20885.65</v>
      </c>
      <c r="I108" s="98">
        <v>20885.65</v>
      </c>
      <c r="J108" s="98">
        <v>20885.65</v>
      </c>
      <c r="K108" s="98">
        <v>20885.65</v>
      </c>
      <c r="L108" s="99">
        <f>IF(ISNA(VLOOKUP(A108,'[3]OEB Adjusted Financials'!$I$6:$J$188,2,FALSE)),"",VLOOKUP(A108,'[3]OEB Adjusted Financials'!$I$6:$J$188,2,FALSE))</f>
        <v>20885.65</v>
      </c>
      <c r="M108" s="100">
        <f>IF(ISNA(VLOOKUP($A108,'[4]2010 TB'!$A$4:$E$210,5,FALSE)),"",VLOOKUP($A108,'[4]2010 TB'!$A$4:$E$210,5,FALSE))</f>
        <v>20885.65</v>
      </c>
      <c r="N108" s="100">
        <f>IF(ISNA(VLOOKUP($A108,'[5]2011 TB Summary'!$A$4:$J$212,10,FALSE)),"",VLOOKUP($A108,'[5]2011 TB Summary'!$A$4:$J$212,10,FALSE))</f>
        <v>20885.65</v>
      </c>
      <c r="P108" s="113"/>
      <c r="Q108" s="113"/>
    </row>
    <row r="109" spans="1:17" s="101" customFormat="1" ht="15.75">
      <c r="A109" s="96">
        <v>1815</v>
      </c>
      <c r="B109" s="97" t="s">
        <v>352</v>
      </c>
      <c r="C109" s="97" t="s">
        <v>222</v>
      </c>
      <c r="D109" s="97" t="s">
        <v>342</v>
      </c>
      <c r="E109" s="98" t="s">
        <v>217</v>
      </c>
      <c r="F109" s="98">
        <v>3643600</v>
      </c>
      <c r="G109" s="98">
        <v>3396683.12</v>
      </c>
      <c r="H109" s="98"/>
      <c r="I109" s="98"/>
      <c r="J109" s="98"/>
      <c r="K109" s="98"/>
      <c r="L109" s="99">
        <f>IF(ISNA(VLOOKUP(A109,'[3]OEB Adjusted Financials'!$I$6:$J$188,2,FALSE)),"",VLOOKUP(A109,'[3]OEB Adjusted Financials'!$I$6:$J$188,2,FALSE))</f>
      </c>
      <c r="M109" s="100">
        <f>IF(ISNA(VLOOKUP($A109,'[4]2010 TB'!$A$4:$E$210,5,FALSE)),"",VLOOKUP($A109,'[4]2010 TB'!$A$4:$E$210,5,FALSE))</f>
      </c>
      <c r="N109" s="100">
        <f>IF(ISNA(VLOOKUP($A109,'[5]2011 TB Summary'!$A$4:$J$212,10,FALSE)),"",VLOOKUP($A109,'[5]2011 TB Summary'!$A$4:$J$212,10,FALSE))</f>
      </c>
      <c r="P109" s="113"/>
      <c r="Q109" s="113"/>
    </row>
    <row r="110" spans="1:17" s="101" customFormat="1" ht="15.75">
      <c r="A110" s="96">
        <v>1820</v>
      </c>
      <c r="B110" s="97" t="s">
        <v>353</v>
      </c>
      <c r="C110" s="97" t="s">
        <v>222</v>
      </c>
      <c r="D110" s="97" t="s">
        <v>342</v>
      </c>
      <c r="E110" s="98">
        <v>8637042.2</v>
      </c>
      <c r="F110" s="98">
        <v>8606190.98</v>
      </c>
      <c r="G110" s="98">
        <v>8730004.68</v>
      </c>
      <c r="H110" s="98">
        <v>11429323.04</v>
      </c>
      <c r="I110" s="98">
        <v>11368736.61</v>
      </c>
      <c r="J110" s="98">
        <v>11450486.82</v>
      </c>
      <c r="K110" s="98">
        <v>11467932.62</v>
      </c>
      <c r="L110" s="99">
        <f>IF(ISNA(VLOOKUP(A110,'[3]OEB Adjusted Financials'!$I$6:$J$188,2,FALSE)),"",VLOOKUP(A110,'[3]OEB Adjusted Financials'!$I$6:$J$188,2,FALSE))</f>
        <v>11774640.47</v>
      </c>
      <c r="M110" s="100">
        <f>IF(ISNA(VLOOKUP($A110,'[4]2010 TB'!$A$4:$E$210,5,FALSE)),"",VLOOKUP($A110,'[4]2010 TB'!$A$4:$E$210,5,FALSE))</f>
        <v>11774640.47</v>
      </c>
      <c r="N110" s="100">
        <f>IF(ISNA(VLOOKUP($A110,'[5]2011 TB Summary'!$A$4:$J$212,10,FALSE)),"",VLOOKUP($A110,'[5]2011 TB Summary'!$A$4:$J$212,10,FALSE))</f>
        <v>11774640.47</v>
      </c>
      <c r="P110" s="113"/>
      <c r="Q110" s="113"/>
    </row>
    <row r="111" spans="1:17" s="101" customFormat="1" ht="15.75">
      <c r="A111" s="96">
        <v>1825</v>
      </c>
      <c r="B111" s="97" t="s">
        <v>53</v>
      </c>
      <c r="C111" s="97" t="s">
        <v>222</v>
      </c>
      <c r="D111" s="97" t="s">
        <v>342</v>
      </c>
      <c r="E111" s="98" t="s">
        <v>217</v>
      </c>
      <c r="F111" s="98" t="s">
        <v>217</v>
      </c>
      <c r="G111" s="98" t="s">
        <v>217</v>
      </c>
      <c r="H111" s="98"/>
      <c r="I111" s="98"/>
      <c r="J111" s="98"/>
      <c r="K111" s="98"/>
      <c r="L111" s="99">
        <f>IF(ISNA(VLOOKUP(A111,'[3]OEB Adjusted Financials'!$I$6:$J$188,2,FALSE)),"",VLOOKUP(A111,'[3]OEB Adjusted Financials'!$I$6:$J$188,2,FALSE))</f>
      </c>
      <c r="M111" s="100">
        <f>IF(ISNA(VLOOKUP($A111,'[4]2010 TB'!$A$4:$E$210,5,FALSE)),"",VLOOKUP($A111,'[4]2010 TB'!$A$4:$E$210,5,FALSE))</f>
      </c>
      <c r="N111" s="100">
        <f>IF(ISNA(VLOOKUP($A111,'[5]2011 TB Summary'!$A$4:$J$212,10,FALSE)),"",VLOOKUP($A111,'[5]2011 TB Summary'!$A$4:$J$212,10,FALSE))</f>
      </c>
      <c r="P111" s="113"/>
      <c r="Q111" s="113"/>
    </row>
    <row r="112" spans="1:17" s="101" customFormat="1" ht="15.75">
      <c r="A112" s="96">
        <v>1830</v>
      </c>
      <c r="B112" s="97" t="s">
        <v>354</v>
      </c>
      <c r="C112" s="97" t="s">
        <v>222</v>
      </c>
      <c r="D112" s="97" t="s">
        <v>342</v>
      </c>
      <c r="E112" s="98">
        <v>27208701.01</v>
      </c>
      <c r="F112" s="98">
        <v>29517081.04</v>
      </c>
      <c r="G112" s="98">
        <v>30222762.56</v>
      </c>
      <c r="H112" s="98">
        <v>49574157.93</v>
      </c>
      <c r="I112" s="98">
        <v>53506171.79</v>
      </c>
      <c r="J112" s="98">
        <v>57680983.129999995</v>
      </c>
      <c r="K112" s="98">
        <v>63112003.9</v>
      </c>
      <c r="L112" s="99">
        <f>IF(ISNA(VLOOKUP(A112,'[3]OEB Adjusted Financials'!$I$6:$J$188,2,FALSE)),"",VLOOKUP(A112,'[3]OEB Adjusted Financials'!$I$6:$J$188,2,FALSE))</f>
        <v>69899086.43</v>
      </c>
      <c r="M112" s="100">
        <f>IF(ISNA(VLOOKUP($A112,'[4]2010 TB'!$A$4:$E$210,5,FALSE)),"",VLOOKUP($A112,'[4]2010 TB'!$A$4:$E$210,5,FALSE))</f>
        <v>78487675.9</v>
      </c>
      <c r="N112" s="100">
        <f>IF(ISNA(VLOOKUP($A112,'[5]2011 TB Summary'!$A$4:$J$212,10,FALSE)),"",VLOOKUP($A112,'[5]2011 TB Summary'!$A$4:$J$212,10,FALSE))</f>
        <v>88308742.61512023</v>
      </c>
      <c r="P112" s="113"/>
      <c r="Q112" s="113"/>
    </row>
    <row r="113" spans="1:17" s="101" customFormat="1" ht="15.75">
      <c r="A113" s="96">
        <v>1835</v>
      </c>
      <c r="B113" s="97" t="s">
        <v>348</v>
      </c>
      <c r="C113" s="97" t="s">
        <v>222</v>
      </c>
      <c r="D113" s="97" t="s">
        <v>342</v>
      </c>
      <c r="E113" s="98">
        <v>37028296.91</v>
      </c>
      <c r="F113" s="98">
        <v>41230460.41</v>
      </c>
      <c r="G113" s="98">
        <v>43294272.55</v>
      </c>
      <c r="H113" s="98">
        <v>64399682.35</v>
      </c>
      <c r="I113" s="98">
        <v>64925060.74</v>
      </c>
      <c r="J113" s="98">
        <v>66897163.69</v>
      </c>
      <c r="K113" s="98">
        <v>68013627.06</v>
      </c>
      <c r="L113" s="99">
        <f>IF(ISNA(VLOOKUP(A113,'[3]OEB Adjusted Financials'!$I$6:$J$188,2,FALSE)),"",VLOOKUP(A113,'[3]OEB Adjusted Financials'!$I$6:$J$188,2,FALSE))</f>
        <v>71233394.75999999</v>
      </c>
      <c r="M113" s="100">
        <f>IF(ISNA(VLOOKUP($A113,'[4]2010 TB'!$A$4:$E$210,5,FALSE)),"",VLOOKUP($A113,'[4]2010 TB'!$A$4:$E$210,5,FALSE))</f>
        <v>76510321.66999999</v>
      </c>
      <c r="N113" s="100">
        <f>IF(ISNA(VLOOKUP($A113,'[5]2011 TB Summary'!$A$4:$J$212,10,FALSE)),"",VLOOKUP($A113,'[5]2011 TB Summary'!$A$4:$J$212,10,FALSE))</f>
        <v>81805324.24427009</v>
      </c>
      <c r="P113" s="113"/>
      <c r="Q113" s="113"/>
    </row>
    <row r="114" spans="1:17" s="101" customFormat="1" ht="15.75">
      <c r="A114" s="96">
        <v>1840</v>
      </c>
      <c r="B114" s="97" t="s">
        <v>349</v>
      </c>
      <c r="C114" s="97" t="s">
        <v>222</v>
      </c>
      <c r="D114" s="97" t="s">
        <v>342</v>
      </c>
      <c r="E114" s="98">
        <v>79985596.91</v>
      </c>
      <c r="F114" s="98">
        <v>83234277.39</v>
      </c>
      <c r="G114" s="98">
        <v>86532738.24</v>
      </c>
      <c r="H114" s="98">
        <v>100996183.26</v>
      </c>
      <c r="I114" s="98">
        <v>105057289.48</v>
      </c>
      <c r="J114" s="98">
        <v>108117824.82000001</v>
      </c>
      <c r="K114" s="98">
        <v>110742657.43</v>
      </c>
      <c r="L114" s="99">
        <f>IF(ISNA(VLOOKUP(A114,'[3]OEB Adjusted Financials'!$I$6:$J$188,2,FALSE)),"",VLOOKUP(A114,'[3]OEB Adjusted Financials'!$I$6:$J$188,2,FALSE))</f>
        <v>115114231.16999999</v>
      </c>
      <c r="M114" s="100">
        <f>IF(ISNA(VLOOKUP($A114,'[4]2010 TB'!$A$4:$E$210,5,FALSE)),"",VLOOKUP($A114,'[4]2010 TB'!$A$4:$E$210,5,FALSE))</f>
        <v>120312759.1</v>
      </c>
      <c r="N114" s="100">
        <f>IF(ISNA(VLOOKUP($A114,'[5]2011 TB Summary'!$A$4:$J$212,10,FALSE)),"",VLOOKUP($A114,'[5]2011 TB Summary'!$A$4:$J$212,10,FALSE))</f>
        <v>126064584.05135652</v>
      </c>
      <c r="P114" s="113"/>
      <c r="Q114" s="113"/>
    </row>
    <row r="115" spans="1:17" s="101" customFormat="1" ht="15.75">
      <c r="A115" s="96">
        <v>1845</v>
      </c>
      <c r="B115" s="97" t="s">
        <v>350</v>
      </c>
      <c r="C115" s="97" t="s">
        <v>222</v>
      </c>
      <c r="D115" s="97" t="s">
        <v>342</v>
      </c>
      <c r="E115" s="98">
        <v>70506539.78</v>
      </c>
      <c r="F115" s="98">
        <v>73450858.52</v>
      </c>
      <c r="G115" s="98">
        <v>77782604.33</v>
      </c>
      <c r="H115" s="98">
        <v>93676257.23</v>
      </c>
      <c r="I115" s="98">
        <v>100790475.32</v>
      </c>
      <c r="J115" s="98">
        <v>105774641.77000001</v>
      </c>
      <c r="K115" s="98">
        <v>111675305.68</v>
      </c>
      <c r="L115" s="99">
        <f>IF(ISNA(VLOOKUP(A115,'[3]OEB Adjusted Financials'!$I$6:$J$188,2,FALSE)),"",VLOOKUP(A115,'[3]OEB Adjusted Financials'!$I$6:$J$188,2,FALSE))</f>
        <v>117085475.74</v>
      </c>
      <c r="M115" s="100">
        <f>IF(ISNA(VLOOKUP($A115,'[4]2010 TB'!$A$4:$E$210,5,FALSE)),"",VLOOKUP($A115,'[4]2010 TB'!$A$4:$E$210,5,FALSE))</f>
        <v>124874594.17999999</v>
      </c>
      <c r="N115" s="100">
        <f>IF(ISNA(VLOOKUP($A115,'[5]2011 TB Summary'!$A$4:$J$212,10,FALSE)),"",VLOOKUP($A115,'[5]2011 TB Summary'!$A$4:$J$212,10,FALSE))</f>
        <v>131962441.82158466</v>
      </c>
      <c r="P115" s="113"/>
      <c r="Q115" s="113"/>
    </row>
    <row r="116" spans="1:17" s="101" customFormat="1" ht="15.75">
      <c r="A116" s="96">
        <v>1850</v>
      </c>
      <c r="B116" s="97" t="s">
        <v>13</v>
      </c>
      <c r="C116" s="97" t="s">
        <v>222</v>
      </c>
      <c r="D116" s="97" t="s">
        <v>342</v>
      </c>
      <c r="E116" s="98">
        <v>55366379.33</v>
      </c>
      <c r="F116" s="98">
        <v>59033206.56</v>
      </c>
      <c r="G116" s="98">
        <v>61032250.76</v>
      </c>
      <c r="H116" s="98">
        <v>77261476.75</v>
      </c>
      <c r="I116" s="98">
        <v>82395993.49</v>
      </c>
      <c r="J116" s="98">
        <v>85658925.19</v>
      </c>
      <c r="K116" s="98">
        <v>88428293.99</v>
      </c>
      <c r="L116" s="99">
        <f>IF(ISNA(VLOOKUP(A116,'[3]OEB Adjusted Financials'!$I$6:$J$188,2,FALSE)),"",VLOOKUP(A116,'[3]OEB Adjusted Financials'!$I$6:$J$188,2,FALSE))</f>
        <v>96118395.81</v>
      </c>
      <c r="M116" s="100">
        <f>IF(ISNA(VLOOKUP($A116,'[4]2010 TB'!$A$4:$E$210,5,FALSE)),"",VLOOKUP($A116,'[4]2010 TB'!$A$4:$E$210,5,FALSE))</f>
        <v>101128941.28</v>
      </c>
      <c r="N116" s="100">
        <f>IF(ISNA(VLOOKUP($A116,'[5]2011 TB Summary'!$A$4:$J$212,10,FALSE)),"",VLOOKUP($A116,'[5]2011 TB Summary'!$A$4:$J$212,10,FALSE))</f>
        <v>108173654.17766845</v>
      </c>
      <c r="P116" s="113"/>
      <c r="Q116" s="113"/>
    </row>
    <row r="117" spans="1:17" s="101" customFormat="1" ht="15.75">
      <c r="A117" s="96">
        <v>1855</v>
      </c>
      <c r="B117" s="97" t="s">
        <v>355</v>
      </c>
      <c r="C117" s="97" t="s">
        <v>222</v>
      </c>
      <c r="D117" s="97" t="s">
        <v>342</v>
      </c>
      <c r="E117" s="98">
        <v>9647322.36</v>
      </c>
      <c r="F117" s="98">
        <v>11269054.83</v>
      </c>
      <c r="G117" s="98">
        <v>11345808.97</v>
      </c>
      <c r="H117" s="98">
        <v>18626343.53</v>
      </c>
      <c r="I117" s="98">
        <v>19804746.13</v>
      </c>
      <c r="J117" s="98">
        <v>20982010.98</v>
      </c>
      <c r="K117" s="98">
        <v>22420495.07</v>
      </c>
      <c r="L117" s="99">
        <f>IF(ISNA(VLOOKUP(A117,'[3]OEB Adjusted Financials'!$I$6:$J$188,2,FALSE)),"",VLOOKUP(A117,'[3]OEB Adjusted Financials'!$I$6:$J$188,2,FALSE))</f>
        <v>24184344.55</v>
      </c>
      <c r="M117" s="100">
        <f>IF(ISNA(VLOOKUP($A117,'[4]2010 TB'!$A$4:$E$210,5,FALSE)),"",VLOOKUP($A117,'[4]2010 TB'!$A$4:$E$210,5,FALSE))</f>
        <v>24651203.66</v>
      </c>
      <c r="N117" s="100">
        <f>IF(ISNA(VLOOKUP($A117,'[5]2011 TB Summary'!$A$4:$J$212,10,FALSE)),"",VLOOKUP($A117,'[5]2011 TB Summary'!$A$4:$J$212,10,FALSE))</f>
        <v>25352707.53918814</v>
      </c>
      <c r="P117" s="113"/>
      <c r="Q117" s="113"/>
    </row>
    <row r="118" spans="1:17" s="101" customFormat="1" ht="15.75">
      <c r="A118" s="96">
        <v>1860</v>
      </c>
      <c r="B118" s="97" t="s">
        <v>15</v>
      </c>
      <c r="C118" s="97" t="s">
        <v>222</v>
      </c>
      <c r="D118" s="97" t="s">
        <v>342</v>
      </c>
      <c r="E118" s="98">
        <v>23648098.44</v>
      </c>
      <c r="F118" s="98">
        <v>25060836.6</v>
      </c>
      <c r="G118" s="98">
        <v>21646406.51</v>
      </c>
      <c r="H118" s="98">
        <v>27630492.54</v>
      </c>
      <c r="I118" s="98">
        <v>30725884.22</v>
      </c>
      <c r="J118" s="98">
        <v>32224136.209999997</v>
      </c>
      <c r="K118" s="98">
        <v>37136364.190000005</v>
      </c>
      <c r="L118" s="99">
        <f>IF(ISNA(VLOOKUP(A118,'[3]OEB Adjusted Financials'!$I$6:$J$188,2,FALSE)),"",VLOOKUP(A118,'[3]OEB Adjusted Financials'!$I$6:$J$188,2,FALSE))</f>
        <v>37819862.03000001</v>
      </c>
      <c r="M118" s="100">
        <f>IF(ISNA(VLOOKUP($A118,'[4]2010 TB'!$A$4:$E$210,5,FALSE)),"",VLOOKUP($A118,'[4]2010 TB'!$A$4:$E$210,5,FALSE))</f>
        <v>39556180.79000001</v>
      </c>
      <c r="N118" s="100">
        <f>IF(ISNA(VLOOKUP($A118,'[5]2011 TB Summary'!$A$4:$J$212,10,FALSE)),"",VLOOKUP($A118,'[5]2011 TB Summary'!$A$4:$J$212,10,FALSE))</f>
        <v>40681615.17227346</v>
      </c>
      <c r="P118" s="113"/>
      <c r="Q118" s="113"/>
    </row>
    <row r="119" spans="1:17" s="101" customFormat="1" ht="15.75">
      <c r="A119" s="96">
        <v>1865</v>
      </c>
      <c r="B119" s="97" t="s">
        <v>356</v>
      </c>
      <c r="C119" s="97" t="s">
        <v>222</v>
      </c>
      <c r="D119" s="97" t="s">
        <v>342</v>
      </c>
      <c r="E119" s="98" t="s">
        <v>217</v>
      </c>
      <c r="F119" s="98" t="s">
        <v>217</v>
      </c>
      <c r="G119" s="98" t="s">
        <v>217</v>
      </c>
      <c r="H119" s="98"/>
      <c r="I119" s="98"/>
      <c r="J119" s="98"/>
      <c r="K119" s="98"/>
      <c r="L119" s="99">
        <f>IF(ISNA(VLOOKUP(A119,'[3]OEB Adjusted Financials'!$I$6:$J$188,2,FALSE)),"",VLOOKUP(A119,'[3]OEB Adjusted Financials'!$I$6:$J$188,2,FALSE))</f>
      </c>
      <c r="M119" s="100">
        <f>IF(ISNA(VLOOKUP($A119,'[4]2010 TB'!$A$4:$E$210,5,FALSE)),"",VLOOKUP($A119,'[4]2010 TB'!$A$4:$E$210,5,FALSE))</f>
      </c>
      <c r="N119" s="100">
        <f>IF(ISNA(VLOOKUP($A119,'[5]2011 TB Summary'!$A$4:$J$212,10,FALSE)),"",VLOOKUP($A119,'[5]2011 TB Summary'!$A$4:$J$212,10,FALSE))</f>
      </c>
      <c r="P119" s="113"/>
      <c r="Q119" s="113"/>
    </row>
    <row r="120" spans="1:17" s="101" customFormat="1" ht="15.75">
      <c r="A120" s="96">
        <v>1870</v>
      </c>
      <c r="B120" s="97" t="s">
        <v>357</v>
      </c>
      <c r="C120" s="97" t="s">
        <v>222</v>
      </c>
      <c r="D120" s="97" t="s">
        <v>342</v>
      </c>
      <c r="E120" s="98" t="s">
        <v>217</v>
      </c>
      <c r="F120" s="98" t="s">
        <v>217</v>
      </c>
      <c r="G120" s="98" t="s">
        <v>217</v>
      </c>
      <c r="H120" s="98"/>
      <c r="I120" s="98"/>
      <c r="J120" s="98"/>
      <c r="K120" s="98"/>
      <c r="L120" s="99">
        <f>IF(ISNA(VLOOKUP(A120,'[3]OEB Adjusted Financials'!$I$6:$J$188,2,FALSE)),"",VLOOKUP(A120,'[3]OEB Adjusted Financials'!$I$6:$J$188,2,FALSE))</f>
      </c>
      <c r="M120" s="100">
        <f>IF(ISNA(VLOOKUP($A120,'[4]2010 TB'!$A$4:$E$210,5,FALSE)),"",VLOOKUP($A120,'[4]2010 TB'!$A$4:$E$210,5,FALSE))</f>
      </c>
      <c r="N120" s="100">
        <f>IF(ISNA(VLOOKUP($A120,'[5]2011 TB Summary'!$A$4:$J$212,10,FALSE)),"",VLOOKUP($A120,'[5]2011 TB Summary'!$A$4:$J$212,10,FALSE))</f>
      </c>
      <c r="P120" s="113"/>
      <c r="Q120" s="113"/>
    </row>
    <row r="121" spans="1:17" s="101" customFormat="1" ht="15.75">
      <c r="A121" s="96">
        <v>1875</v>
      </c>
      <c r="B121" s="97" t="s">
        <v>358</v>
      </c>
      <c r="C121" s="97" t="s">
        <v>222</v>
      </c>
      <c r="D121" s="97" t="s">
        <v>342</v>
      </c>
      <c r="E121" s="98" t="s">
        <v>217</v>
      </c>
      <c r="F121" s="98" t="s">
        <v>217</v>
      </c>
      <c r="G121" s="98" t="s">
        <v>217</v>
      </c>
      <c r="H121" s="98"/>
      <c r="I121" s="98"/>
      <c r="J121" s="98"/>
      <c r="K121" s="98"/>
      <c r="L121" s="99">
        <f>IF(ISNA(VLOOKUP(A121,'[3]OEB Adjusted Financials'!$I$6:$J$188,2,FALSE)),"",VLOOKUP(A121,'[3]OEB Adjusted Financials'!$I$6:$J$188,2,FALSE))</f>
      </c>
      <c r="M121" s="100">
        <f>IF(ISNA(VLOOKUP($A121,'[4]2010 TB'!$A$4:$E$210,5,FALSE)),"",VLOOKUP($A121,'[4]2010 TB'!$A$4:$E$210,5,FALSE))</f>
      </c>
      <c r="N121" s="100">
        <f>IF(ISNA(VLOOKUP($A121,'[5]2011 TB Summary'!$A$4:$J$212,10,FALSE)),"",VLOOKUP($A121,'[5]2011 TB Summary'!$A$4:$J$212,10,FALSE))</f>
      </c>
      <c r="P121" s="113"/>
      <c r="Q121" s="113"/>
    </row>
    <row r="122" spans="1:17" s="101" customFormat="1" ht="15.75">
      <c r="A122" s="96">
        <v>1905</v>
      </c>
      <c r="B122" s="97" t="s">
        <v>17</v>
      </c>
      <c r="C122" s="97" t="s">
        <v>222</v>
      </c>
      <c r="D122" s="97" t="s">
        <v>342</v>
      </c>
      <c r="E122" s="98">
        <v>982570.68</v>
      </c>
      <c r="F122" s="98">
        <v>943941.68</v>
      </c>
      <c r="G122" s="98">
        <v>939532.6</v>
      </c>
      <c r="H122" s="98">
        <v>1078176.33</v>
      </c>
      <c r="I122" s="98">
        <v>1078176.33</v>
      </c>
      <c r="J122" s="98">
        <v>1067629.41</v>
      </c>
      <c r="K122" s="98">
        <v>1067629.41</v>
      </c>
      <c r="L122" s="99">
        <f>IF(ISNA(VLOOKUP(A122,'[3]OEB Adjusted Financials'!$I$6:$J$188,2,FALSE)),"",VLOOKUP(A122,'[3]OEB Adjusted Financials'!$I$6:$J$188,2,FALSE))</f>
        <v>1067629.41</v>
      </c>
      <c r="M122" s="100">
        <f>IF(ISNA(VLOOKUP($A122,'[4]2010 TB'!$A$4:$E$210,5,FALSE)),"",VLOOKUP($A122,'[4]2010 TB'!$A$4:$E$210,5,FALSE))</f>
        <v>1067629.41</v>
      </c>
      <c r="N122" s="100">
        <f>IF(ISNA(VLOOKUP($A122,'[5]2011 TB Summary'!$A$4:$J$212,10,FALSE)),"",VLOOKUP($A122,'[5]2011 TB Summary'!$A$4:$J$212,10,FALSE))</f>
        <v>1067629.41</v>
      </c>
      <c r="P122" s="113"/>
      <c r="Q122" s="113"/>
    </row>
    <row r="123" spans="1:17" s="101" customFormat="1" ht="15.75">
      <c r="A123" s="96">
        <v>1906</v>
      </c>
      <c r="B123" s="97" t="s">
        <v>18</v>
      </c>
      <c r="C123" s="97" t="s">
        <v>222</v>
      </c>
      <c r="D123" s="97" t="s">
        <v>342</v>
      </c>
      <c r="E123" s="98">
        <v>105591.62</v>
      </c>
      <c r="F123" s="98">
        <v>115197.42</v>
      </c>
      <c r="G123" s="98">
        <v>115197.42</v>
      </c>
      <c r="H123" s="98">
        <v>115197.42</v>
      </c>
      <c r="I123" s="98">
        <v>144877.41</v>
      </c>
      <c r="J123" s="98">
        <v>157545.71</v>
      </c>
      <c r="K123" s="98">
        <v>0</v>
      </c>
      <c r="L123" s="99">
        <f>IF(ISNA(VLOOKUP(A123,'[3]OEB Adjusted Financials'!$I$6:$J$188,2,FALSE)),"",VLOOKUP(A123,'[3]OEB Adjusted Financials'!$I$6:$J$188,2,FALSE))</f>
      </c>
      <c r="M123" s="100">
        <f>IF(ISNA(VLOOKUP($A123,'[4]2010 TB'!$A$4:$E$210,5,FALSE)),"",VLOOKUP($A123,'[4]2010 TB'!$A$4:$E$210,5,FALSE))</f>
      </c>
      <c r="N123" s="100">
        <f>IF(ISNA(VLOOKUP($A123,'[5]2011 TB Summary'!$A$4:$J$212,10,FALSE)),"",VLOOKUP($A123,'[5]2011 TB Summary'!$A$4:$J$212,10,FALSE))</f>
      </c>
      <c r="P123" s="113"/>
      <c r="Q123" s="113"/>
    </row>
    <row r="124" spans="1:17" s="101" customFormat="1" ht="15.75">
      <c r="A124" s="96">
        <v>1908</v>
      </c>
      <c r="B124" s="97" t="s">
        <v>332</v>
      </c>
      <c r="C124" s="97" t="s">
        <v>222</v>
      </c>
      <c r="D124" s="97" t="s">
        <v>342</v>
      </c>
      <c r="E124" s="98">
        <v>17882939.2</v>
      </c>
      <c r="F124" s="98">
        <v>17992347.84</v>
      </c>
      <c r="G124" s="98">
        <v>17899245.01</v>
      </c>
      <c r="H124" s="98">
        <v>22207492.4</v>
      </c>
      <c r="I124" s="98">
        <v>23512923.45</v>
      </c>
      <c r="J124" s="98">
        <v>25505907.9</v>
      </c>
      <c r="K124" s="98">
        <v>28191915.17</v>
      </c>
      <c r="L124" s="99">
        <f>IF(ISNA(VLOOKUP(A124,'[3]OEB Adjusted Financials'!$I$6:$J$188,2,FALSE)),"",VLOOKUP(A124,'[3]OEB Adjusted Financials'!$I$6:$J$188,2,FALSE))</f>
        <v>26677604.69</v>
      </c>
      <c r="M124" s="100">
        <f>IF(ISNA(VLOOKUP($A124,'[4]2010 TB'!$A$4:$E$210,5,FALSE)),"",VLOOKUP($A124,'[4]2010 TB'!$A$4:$E$210,5,FALSE))</f>
        <v>27185104.69</v>
      </c>
      <c r="N124" s="100">
        <f>IF(ISNA(VLOOKUP($A124,'[5]2011 TB Summary'!$A$4:$J$212,10,FALSE)),"",VLOOKUP($A124,'[5]2011 TB Summary'!$A$4:$J$212,10,FALSE))</f>
        <v>28725604.69</v>
      </c>
      <c r="P124" s="113"/>
      <c r="Q124" s="113"/>
    </row>
    <row r="125" spans="1:17" s="101" customFormat="1" ht="15.75">
      <c r="A125" s="96">
        <v>1910</v>
      </c>
      <c r="B125" s="97" t="s">
        <v>8</v>
      </c>
      <c r="C125" s="97" t="s">
        <v>222</v>
      </c>
      <c r="D125" s="97" t="s">
        <v>342</v>
      </c>
      <c r="E125" s="98" t="s">
        <v>217</v>
      </c>
      <c r="F125" s="98" t="s">
        <v>217</v>
      </c>
      <c r="G125" s="98" t="s">
        <v>217</v>
      </c>
      <c r="H125" s="98"/>
      <c r="I125" s="98"/>
      <c r="J125" s="98"/>
      <c r="K125" s="98"/>
      <c r="L125" s="99">
        <f>IF(ISNA(VLOOKUP(A125,'[3]OEB Adjusted Financials'!$I$6:$J$188,2,FALSE)),"",VLOOKUP(A125,'[3]OEB Adjusted Financials'!$I$6:$J$188,2,FALSE))</f>
      </c>
      <c r="M125" s="100">
        <f>IF(ISNA(VLOOKUP($A125,'[4]2010 TB'!$A$4:$E$210,5,FALSE)),"",VLOOKUP($A125,'[4]2010 TB'!$A$4:$E$210,5,FALSE))</f>
      </c>
      <c r="N125" s="100">
        <f>IF(ISNA(VLOOKUP($A125,'[5]2011 TB Summary'!$A$4:$J$212,10,FALSE)),"",VLOOKUP($A125,'[5]2011 TB Summary'!$A$4:$J$212,10,FALSE))</f>
      </c>
      <c r="P125" s="113"/>
      <c r="Q125" s="113"/>
    </row>
    <row r="126" spans="1:17" s="101" customFormat="1" ht="15.75">
      <c r="A126" s="96">
        <v>1915</v>
      </c>
      <c r="B126" s="97" t="s">
        <v>359</v>
      </c>
      <c r="C126" s="97" t="s">
        <v>222</v>
      </c>
      <c r="D126" s="97" t="s">
        <v>342</v>
      </c>
      <c r="E126" s="98">
        <v>2576001.35</v>
      </c>
      <c r="F126" s="98">
        <v>2605071.86</v>
      </c>
      <c r="G126" s="98">
        <v>2662650.51</v>
      </c>
      <c r="H126" s="98">
        <v>3397410.68</v>
      </c>
      <c r="I126" s="98">
        <v>3785800.77</v>
      </c>
      <c r="J126" s="98">
        <v>4104509.87</v>
      </c>
      <c r="K126" s="98">
        <v>4392548.09</v>
      </c>
      <c r="L126" s="99">
        <f>IF(ISNA(VLOOKUP(A126,'[3]OEB Adjusted Financials'!$I$6:$J$188,2,FALSE)),"",VLOOKUP(A126,'[3]OEB Adjusted Financials'!$I$6:$J$188,2,FALSE))</f>
        <v>4958697.08</v>
      </c>
      <c r="M126" s="100">
        <f>IF(ISNA(VLOOKUP($A126,'[4]2010 TB'!$A$4:$E$210,5,FALSE)),"",VLOOKUP($A126,'[4]2010 TB'!$A$4:$E$210,5,FALSE))</f>
        <v>5370067.08</v>
      </c>
      <c r="N126" s="100">
        <f>IF(ISNA(VLOOKUP($A126,'[5]2011 TB Summary'!$A$4:$J$212,10,FALSE)),"",VLOOKUP($A126,'[5]2011 TB Summary'!$A$4:$J$212,10,FALSE))</f>
        <v>5754567.08</v>
      </c>
      <c r="P126" s="113"/>
      <c r="Q126" s="113"/>
    </row>
    <row r="127" spans="1:17" s="101" customFormat="1" ht="15.75">
      <c r="A127" s="96">
        <v>1920</v>
      </c>
      <c r="B127" s="97" t="s">
        <v>360</v>
      </c>
      <c r="C127" s="97" t="s">
        <v>222</v>
      </c>
      <c r="D127" s="97" t="s">
        <v>342</v>
      </c>
      <c r="E127" s="98">
        <v>4048883.03</v>
      </c>
      <c r="F127" s="98">
        <v>4253887.39</v>
      </c>
      <c r="G127" s="98">
        <v>4512771.05</v>
      </c>
      <c r="H127" s="98">
        <v>6191260.52</v>
      </c>
      <c r="I127" s="98">
        <v>6679368.89</v>
      </c>
      <c r="J127" s="98">
        <v>7313760.19</v>
      </c>
      <c r="K127" s="98">
        <v>8231723.21</v>
      </c>
      <c r="L127" s="99">
        <f>IF(ISNA(VLOOKUP(A127,'[3]OEB Adjusted Financials'!$I$6:$J$188,2,FALSE)),"",VLOOKUP(A127,'[3]OEB Adjusted Financials'!$I$6:$J$188,2,FALSE))</f>
        <v>9109560.66</v>
      </c>
      <c r="M127" s="100">
        <f>IF(ISNA(VLOOKUP($A127,'[4]2010 TB'!$A$4:$E$210,5,FALSE)),"",VLOOKUP($A127,'[4]2010 TB'!$A$4:$E$210,5,FALSE))</f>
        <v>10222391.66</v>
      </c>
      <c r="N127" s="100">
        <f>IF(ISNA(VLOOKUP($A127,'[5]2011 TB Summary'!$A$4:$J$212,10,FALSE)),"",VLOOKUP($A127,'[5]2011 TB Summary'!$A$4:$J$212,10,FALSE))</f>
        <v>11834563.835844034</v>
      </c>
      <c r="P127" s="113"/>
      <c r="Q127" s="113"/>
    </row>
    <row r="128" spans="1:17" s="101" customFormat="1" ht="15.75">
      <c r="A128" s="96">
        <v>1925</v>
      </c>
      <c r="B128" s="97" t="s">
        <v>94</v>
      </c>
      <c r="C128" s="97" t="s">
        <v>222</v>
      </c>
      <c r="D128" s="97" t="s">
        <v>342</v>
      </c>
      <c r="E128" s="98">
        <v>1509968.17</v>
      </c>
      <c r="F128" s="98">
        <v>1745611.71</v>
      </c>
      <c r="G128" s="98">
        <v>2013296.17</v>
      </c>
      <c r="H128" s="98">
        <v>4142907.97</v>
      </c>
      <c r="I128" s="98">
        <v>4358908.62</v>
      </c>
      <c r="J128" s="98">
        <v>4742389.58</v>
      </c>
      <c r="K128" s="98">
        <v>10257632.37</v>
      </c>
      <c r="L128" s="99">
        <f>IF(ISNA(VLOOKUP(A128,'[3]OEB Adjusted Financials'!$I$6:$J$188,2,FALSE)),"",VLOOKUP(A128,'[3]OEB Adjusted Financials'!$I$6:$J$188,2,FALSE))</f>
        <v>11297833.69</v>
      </c>
      <c r="M128" s="100">
        <f>IF(ISNA(VLOOKUP($A128,'[4]2010 TB'!$A$4:$E$210,5,FALSE)),"",VLOOKUP($A128,'[4]2010 TB'!$A$4:$E$210,5,FALSE))</f>
        <v>12898094.69</v>
      </c>
      <c r="N128" s="100">
        <f>IF(ISNA(VLOOKUP($A128,'[5]2011 TB Summary'!$A$4:$J$212,10,FALSE)),"",VLOOKUP($A128,'[5]2011 TB Summary'!$A$4:$J$212,10,FALSE))</f>
        <v>14831672.514155965</v>
      </c>
      <c r="P128" s="113"/>
      <c r="Q128" s="113"/>
    </row>
    <row r="129" spans="1:17" s="101" customFormat="1" ht="15.75">
      <c r="A129" s="96">
        <v>1930</v>
      </c>
      <c r="B129" s="97" t="s">
        <v>24</v>
      </c>
      <c r="C129" s="97" t="s">
        <v>222</v>
      </c>
      <c r="D129" s="97" t="s">
        <v>342</v>
      </c>
      <c r="E129" s="98">
        <v>10657282.02</v>
      </c>
      <c r="F129" s="98">
        <v>11391234.2</v>
      </c>
      <c r="G129" s="98">
        <v>11776028.9</v>
      </c>
      <c r="H129" s="98">
        <v>14688816.2</v>
      </c>
      <c r="I129" s="98">
        <v>15617084.67</v>
      </c>
      <c r="J129" s="98">
        <v>16575938.33</v>
      </c>
      <c r="K129" s="98">
        <v>17716234.82</v>
      </c>
      <c r="L129" s="99">
        <f>IF(ISNA(VLOOKUP(A129,'[3]OEB Adjusted Financials'!$I$6:$J$188,2,FALSE)),"",VLOOKUP(A129,'[3]OEB Adjusted Financials'!$I$6:$J$188,2,FALSE))</f>
        <v>17306131</v>
      </c>
      <c r="M129" s="100">
        <f>IF(ISNA(VLOOKUP($A129,'[4]2010 TB'!$A$4:$E$210,5,FALSE)),"",VLOOKUP($A129,'[4]2010 TB'!$A$4:$E$210,5,FALSE))</f>
        <v>18611130.96</v>
      </c>
      <c r="N129" s="100">
        <f>IF(ISNA(VLOOKUP($A129,'[5]2011 TB Summary'!$A$4:$J$212,10,FALSE)),"",VLOOKUP($A129,'[5]2011 TB Summary'!$A$4:$J$212,10,FALSE))</f>
        <v>20056630.96</v>
      </c>
      <c r="P129" s="113"/>
      <c r="Q129" s="113"/>
    </row>
    <row r="130" spans="1:17" s="101" customFormat="1" ht="15.75">
      <c r="A130" s="96">
        <v>1935</v>
      </c>
      <c r="B130" s="97" t="s">
        <v>25</v>
      </c>
      <c r="C130" s="97" t="s">
        <v>222</v>
      </c>
      <c r="D130" s="97" t="s">
        <v>342</v>
      </c>
      <c r="E130" s="98">
        <v>356185.83</v>
      </c>
      <c r="F130" s="98">
        <v>404784.59</v>
      </c>
      <c r="G130" s="98">
        <v>417224.03</v>
      </c>
      <c r="H130" s="98">
        <v>507174.49</v>
      </c>
      <c r="I130" s="98">
        <v>508476.86</v>
      </c>
      <c r="J130" s="98">
        <v>513124.86</v>
      </c>
      <c r="K130" s="98">
        <v>781069.31</v>
      </c>
      <c r="L130" s="99">
        <f>IF(ISNA(VLOOKUP(A130,'[3]OEB Adjusted Financials'!$I$6:$J$188,2,FALSE)),"",VLOOKUP(A130,'[3]OEB Adjusted Financials'!$I$6:$J$188,2,FALSE))</f>
        <v>892540.1799999999</v>
      </c>
      <c r="M130" s="100">
        <f>IF(ISNA(VLOOKUP($A130,'[4]2010 TB'!$A$4:$E$210,5,FALSE)),"",VLOOKUP($A130,'[4]2010 TB'!$A$4:$E$210,5,FALSE))</f>
        <v>892540.1799999999</v>
      </c>
      <c r="N130" s="100">
        <f>IF(ISNA(VLOOKUP($A130,'[5]2011 TB Summary'!$A$4:$J$212,10,FALSE)),"",VLOOKUP($A130,'[5]2011 TB Summary'!$A$4:$J$212,10,FALSE))</f>
        <v>892540.1799999999</v>
      </c>
      <c r="P130" s="113"/>
      <c r="Q130" s="113"/>
    </row>
    <row r="131" spans="1:17" s="101" customFormat="1" ht="15.75">
      <c r="A131" s="96">
        <v>1940</v>
      </c>
      <c r="B131" s="97" t="s">
        <v>361</v>
      </c>
      <c r="C131" s="97" t="s">
        <v>222</v>
      </c>
      <c r="D131" s="97" t="s">
        <v>342</v>
      </c>
      <c r="E131" s="98">
        <v>4619227.04</v>
      </c>
      <c r="F131" s="98">
        <v>4921139.38</v>
      </c>
      <c r="G131" s="98">
        <v>5125367.21</v>
      </c>
      <c r="H131" s="98">
        <v>5786800.62</v>
      </c>
      <c r="I131" s="98">
        <v>6332026.22</v>
      </c>
      <c r="J131" s="98">
        <v>6682074.920000001</v>
      </c>
      <c r="K131" s="98">
        <v>7020745.68</v>
      </c>
      <c r="L131" s="99">
        <f>IF(ISNA(VLOOKUP(A131,'[3]OEB Adjusted Financials'!$I$6:$J$188,2,FALSE)),"",VLOOKUP(A131,'[3]OEB Adjusted Financials'!$I$6:$J$188,2,FALSE))</f>
        <v>7346438.35</v>
      </c>
      <c r="M131" s="100">
        <f>IF(ISNA(VLOOKUP($A131,'[4]2010 TB'!$A$4:$E$210,5,FALSE)),"",VLOOKUP($A131,'[4]2010 TB'!$A$4:$E$210,5,FALSE))</f>
        <v>7834837.35</v>
      </c>
      <c r="N131" s="100">
        <f>IF(ISNA(VLOOKUP($A131,'[5]2011 TB Summary'!$A$4:$J$212,10,FALSE)),"",VLOOKUP($A131,'[5]2011 TB Summary'!$A$4:$J$212,10,FALSE))</f>
        <v>8384187.35</v>
      </c>
      <c r="P131" s="113"/>
      <c r="Q131" s="113"/>
    </row>
    <row r="132" spans="1:17" s="101" customFormat="1" ht="15.75">
      <c r="A132" s="96">
        <v>1945</v>
      </c>
      <c r="B132" s="97" t="s">
        <v>362</v>
      </c>
      <c r="C132" s="97" t="s">
        <v>222</v>
      </c>
      <c r="D132" s="97" t="s">
        <v>342</v>
      </c>
      <c r="E132" s="98">
        <v>179703.13</v>
      </c>
      <c r="F132" s="98">
        <v>239026.18</v>
      </c>
      <c r="G132" s="98">
        <v>291582.09</v>
      </c>
      <c r="H132" s="98">
        <v>992194.96</v>
      </c>
      <c r="I132" s="98">
        <v>1176326.05</v>
      </c>
      <c r="J132" s="98">
        <v>1310649.38</v>
      </c>
      <c r="K132" s="98">
        <v>1389954.51</v>
      </c>
      <c r="L132" s="99">
        <f>IF(ISNA(VLOOKUP(A132,'[3]OEB Adjusted Financials'!$I$6:$J$188,2,FALSE)),"",VLOOKUP(A132,'[3]OEB Adjusted Financials'!$I$6:$J$188,2,FALSE))</f>
        <v>1458621.3900000001</v>
      </c>
      <c r="M132" s="100">
        <f>IF(ISNA(VLOOKUP($A132,'[4]2010 TB'!$A$4:$E$210,5,FALSE)),"",VLOOKUP($A132,'[4]2010 TB'!$A$4:$E$210,5,FALSE))</f>
        <v>1550171.3900000001</v>
      </c>
      <c r="N132" s="100">
        <f>IF(ISNA(VLOOKUP($A132,'[5]2011 TB Summary'!$A$4:$J$212,10,FALSE)),"",VLOOKUP($A132,'[5]2011 TB Summary'!$A$4:$J$212,10,FALSE))</f>
        <v>1758671.3900000001</v>
      </c>
      <c r="P132" s="113"/>
      <c r="Q132" s="113"/>
    </row>
    <row r="133" spans="1:17" s="101" customFormat="1" ht="15.75">
      <c r="A133" s="96">
        <v>1950</v>
      </c>
      <c r="B133" s="97" t="s">
        <v>363</v>
      </c>
      <c r="C133" s="97" t="s">
        <v>222</v>
      </c>
      <c r="D133" s="97" t="s">
        <v>342</v>
      </c>
      <c r="E133" s="98">
        <v>41022.72</v>
      </c>
      <c r="F133" s="98">
        <v>46940.04</v>
      </c>
      <c r="G133" s="98">
        <v>114363.68</v>
      </c>
      <c r="H133" s="98">
        <v>144034.63</v>
      </c>
      <c r="I133" s="98">
        <v>144034.63</v>
      </c>
      <c r="J133" s="98">
        <v>144034.63</v>
      </c>
      <c r="K133" s="98">
        <v>144034.63</v>
      </c>
      <c r="L133" s="99">
        <f>IF(ISNA(VLOOKUP(A133,'[3]OEB Adjusted Financials'!$I$6:$J$188,2,FALSE)),"",VLOOKUP(A133,'[3]OEB Adjusted Financials'!$I$6:$J$188,2,FALSE))</f>
        <v>144034.63</v>
      </c>
      <c r="M133" s="100">
        <f>IF(ISNA(VLOOKUP($A133,'[4]2010 TB'!$A$4:$E$210,5,FALSE)),"",VLOOKUP($A133,'[4]2010 TB'!$A$4:$E$210,5,FALSE))</f>
        <v>144034.63</v>
      </c>
      <c r="N133" s="100">
        <f>IF(ISNA(VLOOKUP($A133,'[5]2011 TB Summary'!$A$4:$J$212,10,FALSE)),"",VLOOKUP($A133,'[5]2011 TB Summary'!$A$4:$J$212,10,FALSE))</f>
        <v>144034.63</v>
      </c>
      <c r="P133" s="113"/>
      <c r="Q133" s="113"/>
    </row>
    <row r="134" spans="1:17" s="101" customFormat="1" ht="15.75">
      <c r="A134" s="96">
        <v>1955</v>
      </c>
      <c r="B134" s="97" t="s">
        <v>364</v>
      </c>
      <c r="C134" s="97" t="s">
        <v>222</v>
      </c>
      <c r="D134" s="97" t="s">
        <v>342</v>
      </c>
      <c r="E134" s="98">
        <v>15835.5</v>
      </c>
      <c r="F134" s="98">
        <v>49395.91</v>
      </c>
      <c r="G134" s="98">
        <v>62334.32</v>
      </c>
      <c r="H134" s="98">
        <v>240325.37</v>
      </c>
      <c r="I134" s="98">
        <v>890155.93</v>
      </c>
      <c r="J134" s="98">
        <v>1265432.11</v>
      </c>
      <c r="K134" s="98">
        <v>1310596.26</v>
      </c>
      <c r="L134" s="99">
        <f>IF(ISNA(VLOOKUP(A134,'[3]OEB Adjusted Financials'!$I$6:$J$188,2,FALSE)),"",VLOOKUP(A134,'[3]OEB Adjusted Financials'!$I$6:$J$188,2,FALSE))</f>
        <v>1350163.2599999998</v>
      </c>
      <c r="M134" s="100">
        <f>IF(ISNA(VLOOKUP($A134,'[4]2010 TB'!$A$4:$E$210,5,FALSE)),"",VLOOKUP($A134,'[4]2010 TB'!$A$4:$E$210,5,FALSE))</f>
        <v>1622013.2599999998</v>
      </c>
      <c r="N134" s="100">
        <f>IF(ISNA(VLOOKUP($A134,'[5]2011 TB Summary'!$A$4:$J$212,10,FALSE)),"",VLOOKUP($A134,'[5]2011 TB Summary'!$A$4:$J$212,10,FALSE))</f>
        <v>2721513.26</v>
      </c>
      <c r="P134" s="113"/>
      <c r="Q134" s="113"/>
    </row>
    <row r="135" spans="1:17" s="101" customFormat="1" ht="15.75">
      <c r="A135" s="96">
        <v>1960</v>
      </c>
      <c r="B135" s="97" t="s">
        <v>56</v>
      </c>
      <c r="C135" s="97" t="s">
        <v>222</v>
      </c>
      <c r="D135" s="97" t="s">
        <v>342</v>
      </c>
      <c r="E135" s="98" t="s">
        <v>217</v>
      </c>
      <c r="F135" s="98" t="s">
        <v>217</v>
      </c>
      <c r="G135" s="98" t="s">
        <v>217</v>
      </c>
      <c r="H135" s="98">
        <v>120082.88</v>
      </c>
      <c r="I135" s="98"/>
      <c r="J135" s="98">
        <v>1229.57</v>
      </c>
      <c r="K135" s="98">
        <v>515329.99</v>
      </c>
      <c r="L135" s="99">
        <f>IF(ISNA(VLOOKUP(A135,'[3]OEB Adjusted Financials'!$I$6:$J$188,2,FALSE)),"",VLOOKUP(A135,'[3]OEB Adjusted Financials'!$I$6:$J$188,2,FALSE))</f>
        <v>515329.99</v>
      </c>
      <c r="M135" s="100">
        <f>IF(ISNA(VLOOKUP($A135,'[4]2010 TB'!$A$4:$E$210,5,FALSE)),"",VLOOKUP($A135,'[4]2010 TB'!$A$4:$E$210,5,FALSE))</f>
        <v>515329.99</v>
      </c>
      <c r="N135" s="100">
        <f>IF(ISNA(VLOOKUP($A135,'[5]2011 TB Summary'!$A$4:$J$212,10,FALSE)),"",VLOOKUP($A135,'[5]2011 TB Summary'!$A$4:$J$212,10,FALSE))</f>
        <v>515329.99</v>
      </c>
      <c r="P135" s="113"/>
      <c r="Q135" s="113"/>
    </row>
    <row r="136" spans="1:17" s="101" customFormat="1" ht="15.75">
      <c r="A136" s="96">
        <v>1965</v>
      </c>
      <c r="B136" s="97" t="s">
        <v>57</v>
      </c>
      <c r="C136" s="97" t="s">
        <v>222</v>
      </c>
      <c r="D136" s="97" t="s">
        <v>342</v>
      </c>
      <c r="E136" s="98" t="s">
        <v>217</v>
      </c>
      <c r="F136" s="98" t="s">
        <v>217</v>
      </c>
      <c r="G136" s="98" t="s">
        <v>217</v>
      </c>
      <c r="H136" s="98"/>
      <c r="I136" s="98"/>
      <c r="J136" s="98">
        <v>0</v>
      </c>
      <c r="K136" s="98"/>
      <c r="L136" s="99">
        <f>IF(ISNA(VLOOKUP(A136,'[3]OEB Adjusted Financials'!$I$6:$J$188,2,FALSE)),"",VLOOKUP(A136,'[3]OEB Adjusted Financials'!$I$6:$J$188,2,FALSE))</f>
      </c>
      <c r="M136" s="100">
        <f>IF(ISNA(VLOOKUP($A136,'[4]2010 TB'!$A$4:$E$210,5,FALSE)),"",VLOOKUP($A136,'[4]2010 TB'!$A$4:$E$210,5,FALSE))</f>
      </c>
      <c r="N136" s="100">
        <f>IF(ISNA(VLOOKUP($A136,'[5]2011 TB Summary'!$A$4:$J$212,10,FALSE)),"",VLOOKUP($A136,'[5]2011 TB Summary'!$A$4:$J$212,10,FALSE))</f>
      </c>
      <c r="P136" s="113"/>
      <c r="Q136" s="113"/>
    </row>
    <row r="137" spans="1:17" s="101" customFormat="1" ht="15.75">
      <c r="A137" s="96">
        <v>1970</v>
      </c>
      <c r="B137" s="97" t="s">
        <v>365</v>
      </c>
      <c r="C137" s="97" t="s">
        <v>222</v>
      </c>
      <c r="D137" s="97" t="s">
        <v>342</v>
      </c>
      <c r="E137" s="98" t="s">
        <v>217</v>
      </c>
      <c r="F137" s="98" t="s">
        <v>217</v>
      </c>
      <c r="G137" s="98" t="s">
        <v>217</v>
      </c>
      <c r="H137" s="98"/>
      <c r="I137" s="98">
        <v>192511.5</v>
      </c>
      <c r="J137" s="98">
        <v>515329.99</v>
      </c>
      <c r="K137" s="98"/>
      <c r="L137" s="99">
        <f>IF(ISNA(VLOOKUP(A137,'[3]OEB Adjusted Financials'!$I$6:$J$188,2,FALSE)),"",VLOOKUP(A137,'[3]OEB Adjusted Financials'!$I$6:$J$188,2,FALSE))</f>
      </c>
      <c r="M137" s="100">
        <f>IF(ISNA(VLOOKUP($A137,'[4]2010 TB'!$A$4:$E$210,5,FALSE)),"",VLOOKUP($A137,'[4]2010 TB'!$A$4:$E$210,5,FALSE))</f>
      </c>
      <c r="N137" s="100">
        <f>IF(ISNA(VLOOKUP($A137,'[5]2011 TB Summary'!$A$4:$J$212,10,FALSE)),"",VLOOKUP($A137,'[5]2011 TB Summary'!$A$4:$J$212,10,FALSE))</f>
      </c>
      <c r="P137" s="113"/>
      <c r="Q137" s="113"/>
    </row>
    <row r="138" spans="1:17" s="101" customFormat="1" ht="15.75">
      <c r="A138" s="96">
        <v>1975</v>
      </c>
      <c r="B138" s="97" t="s">
        <v>366</v>
      </c>
      <c r="C138" s="97" t="s">
        <v>222</v>
      </c>
      <c r="D138" s="97" t="s">
        <v>342</v>
      </c>
      <c r="E138" s="98" t="s">
        <v>217</v>
      </c>
      <c r="F138" s="98" t="s">
        <v>217</v>
      </c>
      <c r="G138" s="98" t="s">
        <v>217</v>
      </c>
      <c r="H138" s="98"/>
      <c r="I138" s="98"/>
      <c r="J138" s="98"/>
      <c r="K138" s="98"/>
      <c r="L138" s="99">
        <f>IF(ISNA(VLOOKUP(A138,'[3]OEB Adjusted Financials'!$I$6:$J$188,2,FALSE)),"",VLOOKUP(A138,'[3]OEB Adjusted Financials'!$I$6:$J$188,2,FALSE))</f>
      </c>
      <c r="M138" s="100">
        <f>IF(ISNA(VLOOKUP($A138,'[4]2010 TB'!$A$4:$E$210,5,FALSE)),"",VLOOKUP($A138,'[4]2010 TB'!$A$4:$E$210,5,FALSE))</f>
      </c>
      <c r="N138" s="100">
        <f>IF(ISNA(VLOOKUP($A138,'[5]2011 TB Summary'!$A$4:$J$212,10,FALSE)),"",VLOOKUP($A138,'[5]2011 TB Summary'!$A$4:$J$212,10,FALSE))</f>
      </c>
      <c r="P138" s="113"/>
      <c r="Q138" s="113"/>
    </row>
    <row r="139" spans="1:17" s="101" customFormat="1" ht="15.75">
      <c r="A139" s="96">
        <v>1980</v>
      </c>
      <c r="B139" s="97" t="s">
        <v>34</v>
      </c>
      <c r="C139" s="97" t="s">
        <v>222</v>
      </c>
      <c r="D139" s="97" t="s">
        <v>342</v>
      </c>
      <c r="E139" s="98">
        <v>3013558.03</v>
      </c>
      <c r="F139" s="98">
        <v>3142904.49</v>
      </c>
      <c r="G139" s="98">
        <v>3143371.12</v>
      </c>
      <c r="H139" s="98">
        <v>3292219.02</v>
      </c>
      <c r="I139" s="98">
        <v>3302877.86</v>
      </c>
      <c r="J139" s="98">
        <v>3315938.7</v>
      </c>
      <c r="K139" s="98">
        <v>3315938.7</v>
      </c>
      <c r="L139" s="99">
        <f>IF(ISNA(VLOOKUP(A139,'[3]OEB Adjusted Financials'!$I$6:$J$188,2,FALSE)),"",VLOOKUP(A139,'[3]OEB Adjusted Financials'!$I$6:$J$188,2,FALSE))</f>
        <v>3777542.26</v>
      </c>
      <c r="M139" s="100">
        <f>IF(ISNA(VLOOKUP($A139,'[4]2010 TB'!$A$4:$E$210,5,FALSE)),"",VLOOKUP($A139,'[4]2010 TB'!$A$4:$E$210,5,FALSE))</f>
        <v>3777542.26</v>
      </c>
      <c r="N139" s="100">
        <f>IF(ISNA(VLOOKUP($A139,'[5]2011 TB Summary'!$A$4:$J$212,10,FALSE)),"",VLOOKUP($A139,'[5]2011 TB Summary'!$A$4:$J$212,10,FALSE))</f>
        <v>4212819.9246875</v>
      </c>
      <c r="P139" s="113"/>
      <c r="Q139" s="113"/>
    </row>
    <row r="140" spans="1:17" s="101" customFormat="1" ht="15.75">
      <c r="A140" s="96">
        <v>1985</v>
      </c>
      <c r="B140" s="97" t="s">
        <v>59</v>
      </c>
      <c r="C140" s="97" t="s">
        <v>222</v>
      </c>
      <c r="D140" s="97" t="s">
        <v>342</v>
      </c>
      <c r="E140" s="98" t="s">
        <v>217</v>
      </c>
      <c r="F140" s="98" t="s">
        <v>217</v>
      </c>
      <c r="G140" s="98" t="s">
        <v>217</v>
      </c>
      <c r="H140" s="98"/>
      <c r="I140" s="98"/>
      <c r="J140" s="98">
        <v>0</v>
      </c>
      <c r="K140" s="98"/>
      <c r="L140" s="99">
        <f>IF(ISNA(VLOOKUP(A140,'[3]OEB Adjusted Financials'!$I$6:$J$188,2,FALSE)),"",VLOOKUP(A140,'[3]OEB Adjusted Financials'!$I$6:$J$188,2,FALSE))</f>
      </c>
      <c r="M140" s="100">
        <f>IF(ISNA(VLOOKUP($A140,'[4]2010 TB'!$A$4:$E$210,5,FALSE)),"",VLOOKUP($A140,'[4]2010 TB'!$A$4:$E$210,5,FALSE))</f>
      </c>
      <c r="N140" s="100">
        <f>IF(ISNA(VLOOKUP($A140,'[5]2011 TB Summary'!$A$4:$J$212,10,FALSE)),"",VLOOKUP($A140,'[5]2011 TB Summary'!$A$4:$J$212,10,FALSE))</f>
      </c>
      <c r="P140" s="113"/>
      <c r="Q140" s="113"/>
    </row>
    <row r="141" spans="1:17" s="101" customFormat="1" ht="15.75">
      <c r="A141" s="96">
        <v>1990</v>
      </c>
      <c r="B141" s="97" t="s">
        <v>367</v>
      </c>
      <c r="C141" s="97" t="s">
        <v>222</v>
      </c>
      <c r="D141" s="97" t="s">
        <v>342</v>
      </c>
      <c r="E141" s="98" t="s">
        <v>217</v>
      </c>
      <c r="F141" s="98" t="s">
        <v>217</v>
      </c>
      <c r="G141" s="98" t="s">
        <v>217</v>
      </c>
      <c r="H141" s="98"/>
      <c r="I141" s="98"/>
      <c r="J141" s="98"/>
      <c r="K141" s="98">
        <v>0</v>
      </c>
      <c r="L141" s="99">
        <f>IF(ISNA(VLOOKUP(A141,'[3]OEB Adjusted Financials'!$I$6:$J$188,2,FALSE)),"",VLOOKUP(A141,'[3]OEB Adjusted Financials'!$I$6:$J$188,2,FALSE))</f>
      </c>
      <c r="M141" s="100">
        <f>IF(ISNA(VLOOKUP($A141,'[4]2010 TB'!$A$4:$E$210,5,FALSE)),"",VLOOKUP($A141,'[4]2010 TB'!$A$4:$E$210,5,FALSE))</f>
      </c>
      <c r="N141" s="100">
        <f>IF(ISNA(VLOOKUP($A141,'[5]2011 TB Summary'!$A$4:$J$212,10,FALSE)),"",VLOOKUP($A141,'[5]2011 TB Summary'!$A$4:$J$212,10,FALSE))</f>
      </c>
      <c r="P141" s="113"/>
      <c r="Q141" s="113"/>
    </row>
    <row r="142" spans="1:17" s="101" customFormat="1" ht="15.75">
      <c r="A142" s="96">
        <v>1995</v>
      </c>
      <c r="B142" s="97" t="s">
        <v>368</v>
      </c>
      <c r="C142" s="97" t="s">
        <v>222</v>
      </c>
      <c r="D142" s="97" t="s">
        <v>342</v>
      </c>
      <c r="E142" s="98">
        <v>-1187580.58</v>
      </c>
      <c r="F142" s="98">
        <v>-3269213.17</v>
      </c>
      <c r="G142" s="98">
        <v>-5467513.58</v>
      </c>
      <c r="H142" s="98">
        <v>-6306689.23</v>
      </c>
      <c r="I142" s="98">
        <v>-10527347.81</v>
      </c>
      <c r="J142" s="98">
        <v>-13929031.87</v>
      </c>
      <c r="K142" s="98">
        <v>-17837618.509999998</v>
      </c>
      <c r="L142" s="99">
        <f>IF(ISNA(VLOOKUP(A142,'[3]OEB Adjusted Financials'!$I$6:$J$188,2,FALSE)),"",VLOOKUP(A142,'[3]OEB Adjusted Financials'!$I$6:$J$188,2,FALSE))</f>
        <v>-23512927.56</v>
      </c>
      <c r="M142" s="100">
        <f>IF(ISNA(VLOOKUP($A142,'[4]2010 TB'!$A$4:$E$210,5,FALSE)),"",VLOOKUP($A142,'[4]2010 TB'!$A$4:$E$210,5,FALSE))</f>
        <v>-25775574.61</v>
      </c>
      <c r="N142" s="100">
        <f>IF(ISNA(VLOOKUP($A142,'[5]2011 TB Summary'!$A$4:$J$212,10,FALSE)),"",VLOOKUP($A142,'[5]2011 TB Summary'!$A$4:$J$212,10,FALSE))</f>
        <v>-27819746.61</v>
      </c>
      <c r="P142" s="113"/>
      <c r="Q142" s="113"/>
    </row>
    <row r="143" spans="1:17" s="101" customFormat="1" ht="15.75">
      <c r="A143" s="96">
        <v>2005</v>
      </c>
      <c r="B143" s="97" t="s">
        <v>369</v>
      </c>
      <c r="C143" s="97" t="s">
        <v>222</v>
      </c>
      <c r="D143" s="97" t="s">
        <v>342</v>
      </c>
      <c r="E143" s="98" t="s">
        <v>217</v>
      </c>
      <c r="F143" s="98" t="s">
        <v>217</v>
      </c>
      <c r="G143" s="98" t="s">
        <v>217</v>
      </c>
      <c r="H143" s="98"/>
      <c r="I143" s="98"/>
      <c r="J143" s="98"/>
      <c r="K143" s="98"/>
      <c r="L143" s="99">
        <f>IF(ISNA(VLOOKUP(A143,'[3]OEB Adjusted Financials'!$I$6:$J$188,2,FALSE)),"",VLOOKUP(A143,'[3]OEB Adjusted Financials'!$I$6:$J$188,2,FALSE))</f>
      </c>
      <c r="M143" s="100">
        <f>IF(ISNA(VLOOKUP($A143,'[4]2010 TB'!$A$4:$E$210,5,FALSE)),"",VLOOKUP($A143,'[4]2010 TB'!$A$4:$E$210,5,FALSE))</f>
      </c>
      <c r="N143" s="100">
        <f>IF(ISNA(VLOOKUP($A143,'[5]2011 TB Summary'!$A$4:$J$212,10,FALSE)),"",VLOOKUP($A143,'[5]2011 TB Summary'!$A$4:$J$212,10,FALSE))</f>
      </c>
      <c r="P143" s="113"/>
      <c r="Q143" s="113"/>
    </row>
    <row r="144" spans="1:17" s="101" customFormat="1" ht="15.75">
      <c r="A144" s="96">
        <v>2010</v>
      </c>
      <c r="B144" s="97" t="s">
        <v>370</v>
      </c>
      <c r="C144" s="97" t="s">
        <v>222</v>
      </c>
      <c r="D144" s="97"/>
      <c r="E144" s="98" t="s">
        <v>217</v>
      </c>
      <c r="F144" s="98" t="s">
        <v>217</v>
      </c>
      <c r="G144" s="98" t="s">
        <v>217</v>
      </c>
      <c r="H144" s="98"/>
      <c r="I144" s="98"/>
      <c r="J144" s="98"/>
      <c r="K144" s="98"/>
      <c r="L144" s="99">
        <f>IF(ISNA(VLOOKUP(A144,'[3]OEB Adjusted Financials'!$I$6:$J$188,2,FALSE)),"",VLOOKUP(A144,'[3]OEB Adjusted Financials'!$I$6:$J$188,2,FALSE))</f>
      </c>
      <c r="M144" s="100">
        <f>IF(ISNA(VLOOKUP($A144,'[4]2010 TB'!$A$4:$E$210,5,FALSE)),"",VLOOKUP($A144,'[4]2010 TB'!$A$4:$E$210,5,FALSE))</f>
      </c>
      <c r="N144" s="100">
        <f>IF(ISNA(VLOOKUP($A144,'[5]2011 TB Summary'!$A$4:$J$212,10,FALSE)),"",VLOOKUP($A144,'[5]2011 TB Summary'!$A$4:$J$212,10,FALSE))</f>
      </c>
      <c r="P144" s="113"/>
      <c r="Q144" s="113"/>
    </row>
    <row r="145" spans="1:17" s="101" customFormat="1" ht="15.75">
      <c r="A145" s="96">
        <v>2020</v>
      </c>
      <c r="B145" s="97" t="s">
        <v>371</v>
      </c>
      <c r="C145" s="97" t="s">
        <v>222</v>
      </c>
      <c r="D145" s="97"/>
      <c r="E145" s="98" t="s">
        <v>217</v>
      </c>
      <c r="F145" s="98" t="s">
        <v>217</v>
      </c>
      <c r="G145" s="98" t="s">
        <v>217</v>
      </c>
      <c r="H145" s="98"/>
      <c r="I145" s="98"/>
      <c r="J145" s="98"/>
      <c r="K145" s="98"/>
      <c r="L145" s="99">
        <f>IF(ISNA(VLOOKUP(A145,'[3]OEB Adjusted Financials'!$I$6:$J$188,2,FALSE)),"",VLOOKUP(A145,'[3]OEB Adjusted Financials'!$I$6:$J$188,2,FALSE))</f>
      </c>
      <c r="M145" s="100">
        <f>IF(ISNA(VLOOKUP($A145,'[4]2010 TB'!$A$4:$E$210,5,FALSE)),"",VLOOKUP($A145,'[4]2010 TB'!$A$4:$E$210,5,FALSE))</f>
      </c>
      <c r="N145" s="100">
        <f>IF(ISNA(VLOOKUP($A145,'[5]2011 TB Summary'!$A$4:$J$212,10,FALSE)),"",VLOOKUP($A145,'[5]2011 TB Summary'!$A$4:$J$212,10,FALSE))</f>
      </c>
      <c r="P145" s="113"/>
      <c r="Q145" s="113"/>
    </row>
    <row r="146" spans="1:17" s="101" customFormat="1" ht="15.75">
      <c r="A146" s="96">
        <v>2030</v>
      </c>
      <c r="B146" s="97" t="s">
        <v>372</v>
      </c>
      <c r="C146" s="97" t="s">
        <v>222</v>
      </c>
      <c r="D146" s="97"/>
      <c r="E146" s="98" t="s">
        <v>217</v>
      </c>
      <c r="F146" s="98" t="s">
        <v>217</v>
      </c>
      <c r="G146" s="98" t="s">
        <v>217</v>
      </c>
      <c r="H146" s="98"/>
      <c r="I146" s="98"/>
      <c r="J146" s="98"/>
      <c r="K146" s="98"/>
      <c r="L146" s="99">
        <f>IF(ISNA(VLOOKUP(A146,'[3]OEB Adjusted Financials'!$I$6:$J$188,2,FALSE)),"",VLOOKUP(A146,'[3]OEB Adjusted Financials'!$I$6:$J$188,2,FALSE))</f>
      </c>
      <c r="M146" s="100">
        <f>IF(ISNA(VLOOKUP($A146,'[4]2010 TB'!$A$4:$E$210,5,FALSE)),"",VLOOKUP($A146,'[4]2010 TB'!$A$4:$E$210,5,FALSE))</f>
      </c>
      <c r="N146" s="100">
        <f>IF(ISNA(VLOOKUP($A146,'[5]2011 TB Summary'!$A$4:$J$212,10,FALSE)),"",VLOOKUP($A146,'[5]2011 TB Summary'!$A$4:$J$212,10,FALSE))</f>
      </c>
      <c r="P146" s="113"/>
      <c r="Q146" s="113"/>
    </row>
    <row r="147" spans="1:17" s="101" customFormat="1" ht="15.75">
      <c r="A147" s="96">
        <v>2040</v>
      </c>
      <c r="B147" s="97" t="s">
        <v>373</v>
      </c>
      <c r="C147" s="97" t="s">
        <v>222</v>
      </c>
      <c r="D147" s="97"/>
      <c r="E147" s="98" t="s">
        <v>217</v>
      </c>
      <c r="F147" s="98" t="s">
        <v>217</v>
      </c>
      <c r="G147" s="98" t="s">
        <v>217</v>
      </c>
      <c r="H147" s="98"/>
      <c r="I147" s="98"/>
      <c r="J147" s="98"/>
      <c r="K147" s="98"/>
      <c r="L147" s="99">
        <f>IF(ISNA(VLOOKUP(A147,'[3]OEB Adjusted Financials'!$I$6:$J$188,2,FALSE)),"",VLOOKUP(A147,'[3]OEB Adjusted Financials'!$I$6:$J$188,2,FALSE))</f>
      </c>
      <c r="M147" s="100">
        <f>IF(ISNA(VLOOKUP($A147,'[4]2010 TB'!$A$4:$E$210,5,FALSE)),"",VLOOKUP($A147,'[4]2010 TB'!$A$4:$E$210,5,FALSE))</f>
      </c>
      <c r="N147" s="100">
        <f>IF(ISNA(VLOOKUP($A147,'[5]2011 TB Summary'!$A$4:$J$212,10,FALSE)),"",VLOOKUP($A147,'[5]2011 TB Summary'!$A$4:$J$212,10,FALSE))</f>
      </c>
      <c r="P147" s="113"/>
      <c r="Q147" s="113"/>
    </row>
    <row r="148" spans="1:17" s="101" customFormat="1" ht="15.75">
      <c r="A148" s="96">
        <v>2050</v>
      </c>
      <c r="B148" s="97" t="s">
        <v>374</v>
      </c>
      <c r="C148" s="97" t="s">
        <v>222</v>
      </c>
      <c r="D148" s="97"/>
      <c r="E148" s="98" t="s">
        <v>217</v>
      </c>
      <c r="F148" s="98" t="s">
        <v>217</v>
      </c>
      <c r="G148" s="98" t="s">
        <v>217</v>
      </c>
      <c r="H148" s="98"/>
      <c r="I148" s="98"/>
      <c r="J148" s="98">
        <v>0</v>
      </c>
      <c r="K148" s="98"/>
      <c r="L148" s="99">
        <f>IF(ISNA(VLOOKUP(A148,'[3]OEB Adjusted Financials'!$I$6:$J$188,2,FALSE)),"",VLOOKUP(A148,'[3]OEB Adjusted Financials'!$I$6:$J$188,2,FALSE))</f>
      </c>
      <c r="M148" s="100">
        <f>IF(ISNA(VLOOKUP($A148,'[4]2010 TB'!$A$4:$E$210,5,FALSE)),"",VLOOKUP($A148,'[4]2010 TB'!$A$4:$E$210,5,FALSE))</f>
      </c>
      <c r="N148" s="100">
        <f>IF(ISNA(VLOOKUP($A148,'[5]2011 TB Summary'!$A$4:$J$212,10,FALSE)),"",VLOOKUP($A148,'[5]2011 TB Summary'!$A$4:$J$212,10,FALSE))</f>
      </c>
      <c r="P148" s="113"/>
      <c r="Q148" s="113"/>
    </row>
    <row r="149" spans="1:17" s="101" customFormat="1" ht="15.75">
      <c r="A149" s="96">
        <v>2055</v>
      </c>
      <c r="B149" s="97" t="s">
        <v>375</v>
      </c>
      <c r="C149" s="97" t="s">
        <v>222</v>
      </c>
      <c r="D149" s="97" t="s">
        <v>342</v>
      </c>
      <c r="E149" s="98">
        <v>6067700.59</v>
      </c>
      <c r="F149" s="98">
        <v>1507618.98</v>
      </c>
      <c r="G149" s="98">
        <v>1100140.63</v>
      </c>
      <c r="H149" s="98">
        <v>3826533.63</v>
      </c>
      <c r="I149" s="98">
        <v>4210581.69</v>
      </c>
      <c r="J149" s="98">
        <v>8624786.040000001</v>
      </c>
      <c r="K149" s="98">
        <v>5371871.76</v>
      </c>
      <c r="L149" s="99">
        <f>IF(ISNA(VLOOKUP(A149,'[3]OEB Adjusted Financials'!$I$6:$J$188,2,FALSE)),"",VLOOKUP(A149,'[3]OEB Adjusted Financials'!$I$6:$J$188,2,FALSE))</f>
        <v>6315953.399999999</v>
      </c>
      <c r="M149" s="100">
        <f>IF(ISNA(VLOOKUP($A149,'[4]2010 TB'!$A$4:$E$210,5,FALSE)),"",VLOOKUP($A149,'[4]2010 TB'!$A$4:$E$210,5,FALSE))</f>
        <v>6315953.399999999</v>
      </c>
      <c r="N149" s="100">
        <f>IF(ISNA(VLOOKUP($A149,'[5]2011 TB Summary'!$A$4:$J$212,10,FALSE)),"",VLOOKUP($A149,'[5]2011 TB Summary'!$A$4:$J$212,10,FALSE))</f>
        <v>6315953.399999999</v>
      </c>
      <c r="P149" s="113"/>
      <c r="Q149" s="113"/>
    </row>
    <row r="150" spans="1:17" s="101" customFormat="1" ht="15.75">
      <c r="A150" s="96">
        <v>2060</v>
      </c>
      <c r="B150" s="97" t="s">
        <v>376</v>
      </c>
      <c r="C150" s="97" t="s">
        <v>222</v>
      </c>
      <c r="D150" s="97" t="s">
        <v>110</v>
      </c>
      <c r="E150" s="98" t="s">
        <v>217</v>
      </c>
      <c r="F150" s="98" t="s">
        <v>217</v>
      </c>
      <c r="G150" s="98" t="s">
        <v>217</v>
      </c>
      <c r="H150" s="98">
        <v>18922838.78</v>
      </c>
      <c r="I150" s="98">
        <v>18922838.78</v>
      </c>
      <c r="J150" s="98">
        <v>18922838.78</v>
      </c>
      <c r="K150" s="98">
        <v>18922838.78</v>
      </c>
      <c r="L150" s="99">
        <f>IF(ISNA(VLOOKUP(A150,'[3]OEB Adjusted Financials'!$I$6:$J$188,2,FALSE)),"",VLOOKUP(A150,'[3]OEB Adjusted Financials'!$I$6:$J$188,2,FALSE))</f>
        <v>18922838.78</v>
      </c>
      <c r="M150" s="100">
        <f>IF(ISNA(VLOOKUP($A150,'[4]2010 TB'!$A$4:$E$210,5,FALSE)),"",VLOOKUP($A150,'[4]2010 TB'!$A$4:$E$210,5,FALSE))</f>
        <v>18922838.78</v>
      </c>
      <c r="N150" s="100">
        <f>IF(ISNA(VLOOKUP($A150,'[5]2011 TB Summary'!$A$4:$J$212,10,FALSE)),"",VLOOKUP($A150,'[5]2011 TB Summary'!$A$4:$J$212,10,FALSE))</f>
        <v>18922838.78</v>
      </c>
      <c r="P150" s="113"/>
      <c r="Q150" s="113"/>
    </row>
    <row r="151" spans="1:17" s="101" customFormat="1" ht="15.75">
      <c r="A151" s="96">
        <v>2065</v>
      </c>
      <c r="B151" s="97" t="s">
        <v>377</v>
      </c>
      <c r="C151" s="97" t="s">
        <v>222</v>
      </c>
      <c r="D151" s="97"/>
      <c r="E151" s="98" t="s">
        <v>217</v>
      </c>
      <c r="F151" s="98" t="s">
        <v>217</v>
      </c>
      <c r="G151" s="98" t="s">
        <v>217</v>
      </c>
      <c r="H151" s="98"/>
      <c r="I151" s="98"/>
      <c r="J151" s="98"/>
      <c r="K151" s="98"/>
      <c r="L151" s="99">
        <f>IF(ISNA(VLOOKUP(A151,'[3]OEB Adjusted Financials'!$I$6:$J$188,2,FALSE)),"",VLOOKUP(A151,'[3]OEB Adjusted Financials'!$I$6:$J$188,2,FALSE))</f>
      </c>
      <c r="M151" s="100">
        <f>IF(ISNA(VLOOKUP($A151,'[4]2010 TB'!$A$4:$E$210,5,FALSE)),"",VLOOKUP($A151,'[4]2010 TB'!$A$4:$E$210,5,FALSE))</f>
      </c>
      <c r="N151" s="100">
        <f>IF(ISNA(VLOOKUP($A151,'[5]2011 TB Summary'!$A$4:$J$212,10,FALSE)),"",VLOOKUP($A151,'[5]2011 TB Summary'!$A$4:$J$212,10,FALSE))</f>
      </c>
      <c r="P151" s="113"/>
      <c r="Q151" s="113"/>
    </row>
    <row r="152" spans="1:17" s="101" customFormat="1" ht="15.75">
      <c r="A152" s="96">
        <v>2070</v>
      </c>
      <c r="B152" s="97" t="s">
        <v>378</v>
      </c>
      <c r="C152" s="97" t="s">
        <v>222</v>
      </c>
      <c r="D152" s="97"/>
      <c r="E152" s="98" t="s">
        <v>217</v>
      </c>
      <c r="F152" s="98" t="s">
        <v>217</v>
      </c>
      <c r="G152" s="98" t="s">
        <v>217</v>
      </c>
      <c r="H152" s="98"/>
      <c r="I152" s="98"/>
      <c r="J152" s="98"/>
      <c r="K152" s="98"/>
      <c r="L152" s="99">
        <f>IF(ISNA(VLOOKUP(A152,'[3]OEB Adjusted Financials'!$I$6:$J$188,2,FALSE)),"",VLOOKUP(A152,'[3]OEB Adjusted Financials'!$I$6:$J$188,2,FALSE))</f>
      </c>
      <c r="M152" s="100">
        <f>IF(ISNA(VLOOKUP($A152,'[4]2010 TB'!$A$4:$E$210,5,FALSE)),"",VLOOKUP($A152,'[4]2010 TB'!$A$4:$E$210,5,FALSE))</f>
      </c>
      <c r="N152" s="100">
        <f>IF(ISNA(VLOOKUP($A152,'[5]2011 TB Summary'!$A$4:$J$212,10,FALSE)),"",VLOOKUP($A152,'[5]2011 TB Summary'!$A$4:$J$212,10,FALSE))</f>
      </c>
      <c r="P152" s="113"/>
      <c r="Q152" s="113"/>
    </row>
    <row r="153" spans="1:17" s="101" customFormat="1" ht="15.75">
      <c r="A153" s="96">
        <v>2075</v>
      </c>
      <c r="B153" s="97" t="s">
        <v>379</v>
      </c>
      <c r="C153" s="97" t="s">
        <v>222</v>
      </c>
      <c r="D153" s="97"/>
      <c r="E153" s="98" t="s">
        <v>217</v>
      </c>
      <c r="F153" s="98" t="s">
        <v>217</v>
      </c>
      <c r="G153" s="98" t="s">
        <v>217</v>
      </c>
      <c r="H153" s="98"/>
      <c r="I153" s="98"/>
      <c r="J153" s="98"/>
      <c r="K153" s="98"/>
      <c r="L153" s="99">
        <f>IF(ISNA(VLOOKUP(A153,'[3]OEB Adjusted Financials'!$I$6:$J$188,2,FALSE)),"",VLOOKUP(A153,'[3]OEB Adjusted Financials'!$I$6:$J$188,2,FALSE))</f>
      </c>
      <c r="M153" s="100">
        <f>IF(ISNA(VLOOKUP($A153,'[4]2010 TB'!$A$4:$E$210,5,FALSE)),"",VLOOKUP($A153,'[4]2010 TB'!$A$4:$E$210,5,FALSE))</f>
      </c>
      <c r="N153" s="100">
        <f>IF(ISNA(VLOOKUP($A153,'[5]2011 TB Summary'!$A$4:$J$212,10,FALSE)),"",VLOOKUP($A153,'[5]2011 TB Summary'!$A$4:$J$212,10,FALSE))</f>
      </c>
      <c r="P153" s="113"/>
      <c r="Q153" s="113"/>
    </row>
    <row r="154" spans="1:17" s="101" customFormat="1" ht="15.75">
      <c r="A154" s="96">
        <v>2105</v>
      </c>
      <c r="B154" s="97" t="s">
        <v>380</v>
      </c>
      <c r="C154" s="97" t="s">
        <v>224</v>
      </c>
      <c r="D154" s="97" t="s">
        <v>342</v>
      </c>
      <c r="E154" s="98">
        <v>-161095015.69</v>
      </c>
      <c r="F154" s="98">
        <v>-175627711.5</v>
      </c>
      <c r="G154" s="98">
        <v>-182968556.16</v>
      </c>
      <c r="H154" s="98">
        <v>-243161170.81</v>
      </c>
      <c r="I154" s="98">
        <v>-259185308.98</v>
      </c>
      <c r="J154" s="98">
        <v>-277963182.35</v>
      </c>
      <c r="K154" s="98">
        <v>-297186248.68999994</v>
      </c>
      <c r="L154" s="99">
        <f>IF(ISNA(VLOOKUP(A154,'[3]OEB Adjusted Financials'!$I$6:$J$188,2,FALSE)),"",VLOOKUP(A154,'[3]OEB Adjusted Financials'!$I$6:$J$188,2,FALSE))</f>
        <v>-312468399.77466625</v>
      </c>
      <c r="M154" s="100">
        <f>IF(ISNA(VLOOKUP($A154,'[4]2010 TB'!$A$4:$E$210,5,FALSE)),"",VLOOKUP($A154,'[4]2010 TB'!$A$4:$E$210,5,FALSE))</f>
        <v>-339826078.29466623</v>
      </c>
      <c r="N154" s="100">
        <f>IF(ISNA(VLOOKUP($A154,'[5]2011 TB Summary'!$A$4:$J$212,10,FALSE)),"",VLOOKUP($A154,'[5]2011 TB Summary'!$A$4:$J$212,10,FALSE))</f>
        <v>-368608680.50666106</v>
      </c>
      <c r="P154" s="113"/>
      <c r="Q154" s="113"/>
    </row>
    <row r="155" spans="1:17" s="101" customFormat="1" ht="15.75">
      <c r="A155" s="96">
        <v>2120</v>
      </c>
      <c r="B155" s="97" t="s">
        <v>381</v>
      </c>
      <c r="C155" s="97" t="s">
        <v>224</v>
      </c>
      <c r="D155" s="97"/>
      <c r="E155" s="98" t="s">
        <v>217</v>
      </c>
      <c r="F155" s="98" t="s">
        <v>217</v>
      </c>
      <c r="G155" s="98" t="s">
        <v>217</v>
      </c>
      <c r="H155" s="98"/>
      <c r="I155" s="98"/>
      <c r="J155" s="98"/>
      <c r="K155" s="98"/>
      <c r="L155" s="99">
        <f>IF(ISNA(VLOOKUP(A155,'[3]OEB Adjusted Financials'!$I$6:$J$188,2,FALSE)),"",VLOOKUP(A155,'[3]OEB Adjusted Financials'!$I$6:$J$188,2,FALSE))</f>
      </c>
      <c r="M155" s="100">
        <f>IF(ISNA(VLOOKUP($A155,'[4]2010 TB'!$A$4:$E$210,5,FALSE)),"",VLOOKUP($A155,'[4]2010 TB'!$A$4:$E$210,5,FALSE))</f>
      </c>
      <c r="N155" s="100">
        <f>IF(ISNA(VLOOKUP($A155,'[5]2011 TB Summary'!$A$4:$J$212,10,FALSE)),"",VLOOKUP($A155,'[5]2011 TB Summary'!$A$4:$J$212,10,FALSE))</f>
      </c>
      <c r="P155" s="113"/>
      <c r="Q155" s="113"/>
    </row>
    <row r="156" spans="1:17" s="101" customFormat="1" ht="15.75">
      <c r="A156" s="96">
        <v>2140</v>
      </c>
      <c r="B156" s="97" t="s">
        <v>382</v>
      </c>
      <c r="C156" s="97" t="s">
        <v>224</v>
      </c>
      <c r="D156" s="97"/>
      <c r="E156" s="98" t="s">
        <v>217</v>
      </c>
      <c r="F156" s="98" t="s">
        <v>217</v>
      </c>
      <c r="G156" s="98" t="s">
        <v>217</v>
      </c>
      <c r="H156" s="98"/>
      <c r="I156" s="98"/>
      <c r="J156" s="98"/>
      <c r="K156" s="98"/>
      <c r="L156" s="99">
        <f>IF(ISNA(VLOOKUP(A156,'[3]OEB Adjusted Financials'!$I$6:$J$188,2,FALSE)),"",VLOOKUP(A156,'[3]OEB Adjusted Financials'!$I$6:$J$188,2,FALSE))</f>
      </c>
      <c r="M156" s="100">
        <f>IF(ISNA(VLOOKUP($A156,'[4]2010 TB'!$A$4:$E$210,5,FALSE)),"",VLOOKUP($A156,'[4]2010 TB'!$A$4:$E$210,5,FALSE))</f>
      </c>
      <c r="N156" s="100">
        <f>IF(ISNA(VLOOKUP($A156,'[5]2011 TB Summary'!$A$4:$J$212,10,FALSE)),"",VLOOKUP($A156,'[5]2011 TB Summary'!$A$4:$J$212,10,FALSE))</f>
      </c>
      <c r="P156" s="113"/>
      <c r="Q156" s="113"/>
    </row>
    <row r="157" spans="1:17" s="101" customFormat="1" ht="15.75">
      <c r="A157" s="96">
        <v>2160</v>
      </c>
      <c r="B157" s="97" t="s">
        <v>383</v>
      </c>
      <c r="C157" s="97" t="s">
        <v>224</v>
      </c>
      <c r="D157" s="97"/>
      <c r="E157" s="98" t="s">
        <v>217</v>
      </c>
      <c r="F157" s="98" t="s">
        <v>217</v>
      </c>
      <c r="G157" s="98" t="s">
        <v>217</v>
      </c>
      <c r="H157" s="98"/>
      <c r="I157" s="98"/>
      <c r="J157" s="98"/>
      <c r="K157" s="98"/>
      <c r="L157" s="99">
        <f>IF(ISNA(VLOOKUP(A157,'[3]OEB Adjusted Financials'!$I$6:$J$188,2,FALSE)),"",VLOOKUP(A157,'[3]OEB Adjusted Financials'!$I$6:$J$188,2,FALSE))</f>
      </c>
      <c r="M157" s="100">
        <f>IF(ISNA(VLOOKUP($A157,'[4]2010 TB'!$A$4:$E$210,5,FALSE)),"",VLOOKUP($A157,'[4]2010 TB'!$A$4:$E$210,5,FALSE))</f>
      </c>
      <c r="N157" s="100">
        <f>IF(ISNA(VLOOKUP($A157,'[5]2011 TB Summary'!$A$4:$J$212,10,FALSE)),"",VLOOKUP($A157,'[5]2011 TB Summary'!$A$4:$J$212,10,FALSE))</f>
      </c>
      <c r="P157" s="113"/>
      <c r="Q157" s="113"/>
    </row>
    <row r="158" spans="1:17" s="101" customFormat="1" ht="15.75">
      <c r="A158" s="96">
        <v>2180</v>
      </c>
      <c r="B158" s="97" t="s">
        <v>384</v>
      </c>
      <c r="C158" s="97" t="s">
        <v>224</v>
      </c>
      <c r="D158" s="97"/>
      <c r="E158" s="98" t="s">
        <v>217</v>
      </c>
      <c r="F158" s="98" t="s">
        <v>217</v>
      </c>
      <c r="G158" s="98" t="s">
        <v>217</v>
      </c>
      <c r="H158" s="98"/>
      <c r="I158" s="98"/>
      <c r="J158" s="98"/>
      <c r="K158" s="98"/>
      <c r="L158" s="99">
        <f>IF(ISNA(VLOOKUP(A158,'[3]OEB Adjusted Financials'!$I$6:$J$188,2,FALSE)),"",VLOOKUP(A158,'[3]OEB Adjusted Financials'!$I$6:$J$188,2,FALSE))</f>
      </c>
      <c r="M158" s="100">
        <f>IF(ISNA(VLOOKUP($A158,'[4]2010 TB'!$A$4:$E$210,5,FALSE)),"",VLOOKUP($A158,'[4]2010 TB'!$A$4:$E$210,5,FALSE))</f>
      </c>
      <c r="N158" s="100">
        <f>IF(ISNA(VLOOKUP($A158,'[5]2011 TB Summary'!$A$4:$J$212,10,FALSE)),"",VLOOKUP($A158,'[5]2011 TB Summary'!$A$4:$J$212,10,FALSE))</f>
      </c>
      <c r="P158" s="113"/>
      <c r="Q158" s="113"/>
    </row>
    <row r="159" spans="1:17" s="101" customFormat="1" ht="15.75">
      <c r="A159" s="96">
        <v>2205</v>
      </c>
      <c r="B159" s="97" t="s">
        <v>385</v>
      </c>
      <c r="C159" s="97" t="s">
        <v>233</v>
      </c>
      <c r="D159" s="97" t="s">
        <v>386</v>
      </c>
      <c r="E159" s="98">
        <v>-29381328.81</v>
      </c>
      <c r="F159" s="98">
        <v>-24452550.54</v>
      </c>
      <c r="G159" s="98">
        <v>-28519696.81</v>
      </c>
      <c r="H159" s="98">
        <v>-41907357.35</v>
      </c>
      <c r="I159" s="98">
        <v>-36214576.19</v>
      </c>
      <c r="J159" s="98">
        <v>-37904005.160000004</v>
      </c>
      <c r="K159" s="98">
        <v>-14227929.279999997</v>
      </c>
      <c r="L159" s="99">
        <f>IF(ISNA(VLOOKUP(A159,'[3]OEB Adjusted Financials'!$I$6:$J$188,2,FALSE)),"",VLOOKUP(A159,'[3]OEB Adjusted Financials'!$I$6:$J$188,2,FALSE))</f>
        <v>-40624551.03</v>
      </c>
      <c r="M159" s="100">
        <f>IF(ISNA(VLOOKUP($A159,'[4]2010 TB'!$A$4:$E$210,5,FALSE)),"",VLOOKUP($A159,'[4]2010 TB'!$A$4:$E$210,5,FALSE))</f>
        <v>-40624551.03</v>
      </c>
      <c r="N159" s="100">
        <f>IF(ISNA(VLOOKUP($A159,'[5]2011 TB Summary'!$A$4:$J$212,10,FALSE)),"",VLOOKUP($A159,'[5]2011 TB Summary'!$A$4:$J$212,10,FALSE))</f>
        <v>-40624551.03</v>
      </c>
      <c r="P159" s="113"/>
      <c r="Q159" s="113"/>
    </row>
    <row r="160" spans="1:17" s="101" customFormat="1" ht="15.75">
      <c r="A160" s="96">
        <v>2208</v>
      </c>
      <c r="B160" s="97" t="s">
        <v>387</v>
      </c>
      <c r="C160" s="97" t="s">
        <v>233</v>
      </c>
      <c r="D160" s="97" t="s">
        <v>386</v>
      </c>
      <c r="E160" s="98">
        <v>-638673.34</v>
      </c>
      <c r="F160" s="98">
        <v>-1275121.85</v>
      </c>
      <c r="G160" s="98">
        <v>-2762364.74</v>
      </c>
      <c r="H160" s="98">
        <v>-3279929.79</v>
      </c>
      <c r="I160" s="98">
        <v>-4428458.91</v>
      </c>
      <c r="J160" s="98">
        <v>-5114290.39</v>
      </c>
      <c r="K160" s="98">
        <v>-4093159.58</v>
      </c>
      <c r="L160" s="99">
        <f>IF(ISNA(VLOOKUP(A160,'[3]OEB Adjusted Financials'!$I$6:$J$188,2,FALSE)),"",VLOOKUP(A160,'[3]OEB Adjusted Financials'!$I$6:$J$188,2,FALSE))</f>
        <v>-4302940.3100000005</v>
      </c>
      <c r="M160" s="100">
        <f>IF(ISNA(VLOOKUP($A160,'[4]2010 TB'!$A$4:$E$210,5,FALSE)),"",VLOOKUP($A160,'[4]2010 TB'!$A$4:$E$210,5,FALSE))</f>
        <v>-4302940.3100000005</v>
      </c>
      <c r="N160" s="100">
        <f>IF(ISNA(VLOOKUP($A160,'[5]2011 TB Summary'!$A$4:$J$212,10,FALSE)),"",VLOOKUP($A160,'[5]2011 TB Summary'!$A$4:$J$212,10,FALSE))</f>
        <v>-4302940.3100000005</v>
      </c>
      <c r="P160" s="113"/>
      <c r="Q160" s="113"/>
    </row>
    <row r="161" spans="1:17" s="101" customFormat="1" ht="15.75">
      <c r="A161" s="96">
        <v>2210</v>
      </c>
      <c r="B161" s="97" t="s">
        <v>388</v>
      </c>
      <c r="C161" s="97" t="s">
        <v>233</v>
      </c>
      <c r="D161" s="97" t="s">
        <v>389</v>
      </c>
      <c r="E161" s="98">
        <v>-3222293.42</v>
      </c>
      <c r="F161" s="98">
        <v>-6032304.96</v>
      </c>
      <c r="G161" s="98">
        <v>-15123190.61</v>
      </c>
      <c r="H161" s="98">
        <v>-19165935.46</v>
      </c>
      <c r="I161" s="98">
        <v>-21091866.27</v>
      </c>
      <c r="J161" s="98">
        <v>-23847876.64</v>
      </c>
      <c r="K161" s="98">
        <v>-24792459.770000003</v>
      </c>
      <c r="L161" s="99">
        <f>IF(ISNA(VLOOKUP(A161,'[3]OEB Adjusted Financials'!$I$6:$J$188,2,FALSE)),"",VLOOKUP(A161,'[3]OEB Adjusted Financials'!$I$6:$J$188,2,FALSE))</f>
        <v>-22450839.650000002</v>
      </c>
      <c r="M161" s="100">
        <f>IF(ISNA(VLOOKUP($A161,'[4]2010 TB'!$A$4:$E$210,5,FALSE)),"",VLOOKUP($A161,'[4]2010 TB'!$A$4:$E$210,5,FALSE))</f>
        <v>-22450839.650000002</v>
      </c>
      <c r="N161" s="100">
        <f>IF(ISNA(VLOOKUP($A161,'[5]2011 TB Summary'!$A$4:$J$212,10,FALSE)),"",VLOOKUP($A161,'[5]2011 TB Summary'!$A$4:$J$212,10,FALSE))</f>
        <v>-22450839.650000002</v>
      </c>
      <c r="P161" s="113"/>
      <c r="Q161" s="113"/>
    </row>
    <row r="162" spans="1:17" s="101" customFormat="1" ht="15.75">
      <c r="A162" s="96">
        <v>2215</v>
      </c>
      <c r="B162" s="97" t="s">
        <v>390</v>
      </c>
      <c r="C162" s="97" t="s">
        <v>233</v>
      </c>
      <c r="D162" s="97"/>
      <c r="E162" s="98" t="s">
        <v>217</v>
      </c>
      <c r="F162" s="98" t="s">
        <v>217</v>
      </c>
      <c r="G162" s="98" t="s">
        <v>217</v>
      </c>
      <c r="H162" s="98"/>
      <c r="I162" s="98"/>
      <c r="J162" s="98"/>
      <c r="K162" s="98"/>
      <c r="L162" s="99">
        <f>IF(ISNA(VLOOKUP(A162,'[3]OEB Adjusted Financials'!$I$6:$J$188,2,FALSE)),"",VLOOKUP(A162,'[3]OEB Adjusted Financials'!$I$6:$J$188,2,FALSE))</f>
        <v>0</v>
      </c>
      <c r="M162" s="100">
        <f>IF(ISNA(VLOOKUP($A162,'[4]2010 TB'!$A$4:$E$210,5,FALSE)),"",VLOOKUP($A162,'[4]2010 TB'!$A$4:$E$210,5,FALSE))</f>
        <v>0</v>
      </c>
      <c r="N162" s="100">
        <f>IF(ISNA(VLOOKUP($A162,'[5]2011 TB Summary'!$A$4:$J$212,10,FALSE)),"",VLOOKUP($A162,'[5]2011 TB Summary'!$A$4:$J$212,10,FALSE))</f>
        <v>0</v>
      </c>
      <c r="P162" s="113"/>
      <c r="Q162" s="113"/>
    </row>
    <row r="163" spans="1:17" s="101" customFormat="1" ht="15.75">
      <c r="A163" s="96">
        <v>2220</v>
      </c>
      <c r="B163" s="97" t="s">
        <v>391</v>
      </c>
      <c r="C163" s="97" t="s">
        <v>233</v>
      </c>
      <c r="D163" s="97" t="s">
        <v>386</v>
      </c>
      <c r="E163" s="98">
        <v>-2541474.78</v>
      </c>
      <c r="F163" s="98">
        <v>-4238902.87</v>
      </c>
      <c r="G163" s="98">
        <v>-4846072.66</v>
      </c>
      <c r="H163" s="98">
        <v>-28341434.220000003</v>
      </c>
      <c r="I163" s="98">
        <v>-7026252.32</v>
      </c>
      <c r="J163" s="98">
        <v>-3490401.06</v>
      </c>
      <c r="K163" s="98">
        <v>-38558588.7</v>
      </c>
      <c r="L163" s="99">
        <f>IF(ISNA(VLOOKUP(A163,'[3]OEB Adjusted Financials'!$I$6:$J$188,2,FALSE)),"",VLOOKUP(A163,'[3]OEB Adjusted Financials'!$I$6:$J$188,2,FALSE))</f>
        <v>-6300654</v>
      </c>
      <c r="M163" s="100">
        <f>IF(ISNA(VLOOKUP($A163,'[4]2010 TB'!$A$4:$E$210,5,FALSE)),"",VLOOKUP($A163,'[4]2010 TB'!$A$4:$E$210,5,FALSE))</f>
        <v>-6300654</v>
      </c>
      <c r="N163" s="100">
        <f>IF(ISNA(VLOOKUP($A163,'[5]2011 TB Summary'!$A$4:$J$212,10,FALSE)),"",VLOOKUP($A163,'[5]2011 TB Summary'!$A$4:$J$212,10,FALSE))</f>
        <v>-6300654</v>
      </c>
      <c r="P163" s="113"/>
      <c r="Q163" s="113"/>
    </row>
    <row r="164" spans="1:17" s="101" customFormat="1" ht="15.75">
      <c r="A164" s="96">
        <v>2225</v>
      </c>
      <c r="B164" s="97" t="s">
        <v>392</v>
      </c>
      <c r="C164" s="97" t="s">
        <v>233</v>
      </c>
      <c r="D164" s="97"/>
      <c r="E164" s="98" t="s">
        <v>217</v>
      </c>
      <c r="F164" s="98" t="s">
        <v>217</v>
      </c>
      <c r="G164" s="98" t="s">
        <v>217</v>
      </c>
      <c r="H164" s="98"/>
      <c r="I164" s="98"/>
      <c r="J164" s="98"/>
      <c r="K164" s="98"/>
      <c r="L164" s="99">
        <f>IF(ISNA(VLOOKUP(A164,'[3]OEB Adjusted Financials'!$I$6:$J$188,2,FALSE)),"",VLOOKUP(A164,'[3]OEB Adjusted Financials'!$I$6:$J$188,2,FALSE))</f>
      </c>
      <c r="M164" s="100">
        <f>IF(ISNA(VLOOKUP($A164,'[4]2010 TB'!$A$4:$E$210,5,FALSE)),"",VLOOKUP($A164,'[4]2010 TB'!$A$4:$E$210,5,FALSE))</f>
      </c>
      <c r="N164" s="100">
        <f>IF(ISNA(VLOOKUP($A164,'[5]2011 TB Summary'!$A$4:$J$212,10,FALSE)),"",VLOOKUP($A164,'[5]2011 TB Summary'!$A$4:$J$212,10,FALSE))</f>
      </c>
      <c r="P164" s="113"/>
      <c r="Q164" s="113"/>
    </row>
    <row r="165" spans="1:17" s="101" customFormat="1" ht="15.75">
      <c r="A165" s="96">
        <v>2240</v>
      </c>
      <c r="B165" s="97" t="s">
        <v>393</v>
      </c>
      <c r="C165" s="97" t="s">
        <v>233</v>
      </c>
      <c r="D165" s="97" t="s">
        <v>249</v>
      </c>
      <c r="E165" s="98">
        <v>-6819818.61</v>
      </c>
      <c r="F165" s="98">
        <v>-13862766.56</v>
      </c>
      <c r="G165" s="98">
        <v>-1814522.58</v>
      </c>
      <c r="H165" s="98">
        <v>-15653784.919999996</v>
      </c>
      <c r="I165" s="98">
        <v>-21418975.41</v>
      </c>
      <c r="J165" s="98">
        <v>-23367028.65</v>
      </c>
      <c r="K165" s="98">
        <v>-20139449.98</v>
      </c>
      <c r="L165" s="99">
        <f>IF(ISNA(VLOOKUP(A165,'[3]OEB Adjusted Financials'!$I$6:$J$188,2,FALSE)),"",VLOOKUP(A165,'[3]OEB Adjusted Financials'!$I$6:$J$188,2,FALSE))</f>
        <v>-35000661.8</v>
      </c>
      <c r="M165" s="100">
        <f>IF(ISNA(VLOOKUP($A165,'[4]2010 TB'!$A$4:$E$210,5,FALSE)),"",VLOOKUP($A165,'[4]2010 TB'!$A$4:$E$210,5,FALSE))</f>
        <v>-34323661.8</v>
      </c>
      <c r="N165" s="100">
        <f>IF(ISNA(VLOOKUP($A165,'[5]2011 TB Summary'!$A$4:$J$212,10,FALSE)),"",VLOOKUP($A165,'[5]2011 TB Summary'!$A$4:$J$212,10,FALSE))</f>
        <v>-33646661.8</v>
      </c>
      <c r="P165" s="113"/>
      <c r="Q165" s="113"/>
    </row>
    <row r="166" spans="1:17" s="101" customFormat="1" ht="15.75">
      <c r="A166" s="96">
        <v>2242</v>
      </c>
      <c r="B166" s="97" t="s">
        <v>394</v>
      </c>
      <c r="C166" s="97" t="s">
        <v>233</v>
      </c>
      <c r="D166" s="97" t="s">
        <v>395</v>
      </c>
      <c r="E166" s="98" t="s">
        <v>217</v>
      </c>
      <c r="F166" s="98" t="s">
        <v>217</v>
      </c>
      <c r="G166" s="98" t="s">
        <v>217</v>
      </c>
      <c r="H166" s="98"/>
      <c r="I166" s="98"/>
      <c r="J166" s="98"/>
      <c r="K166" s="98">
        <v>-116000000</v>
      </c>
      <c r="L166" s="99">
        <f>IF(ISNA(VLOOKUP(A166,'[3]OEB Adjusted Financials'!$I$6:$J$188,2,FALSE)),"",VLOOKUP(A166,'[3]OEB Adjusted Financials'!$I$6:$J$188,2,FALSE))</f>
        <v>-116000000</v>
      </c>
      <c r="M166" s="100">
        <f>IF(ISNA(VLOOKUP($A166,'[4]2010 TB'!$A$4:$E$210,5,FALSE)),"",VLOOKUP($A166,'[4]2010 TB'!$A$4:$E$210,5,FALSE))</f>
        <v>-116000000</v>
      </c>
      <c r="N166" s="100">
        <f>IF(ISNA(VLOOKUP($A166,'[5]2011 TB Summary'!$A$4:$J$212,10,FALSE)),"",VLOOKUP($A166,'[5]2011 TB Summary'!$A$4:$J$212,10,FALSE))</f>
        <v>-116000000</v>
      </c>
      <c r="P166" s="113"/>
      <c r="Q166" s="113"/>
    </row>
    <row r="167" spans="1:17" s="101" customFormat="1" ht="15.75">
      <c r="A167" s="96">
        <v>2250</v>
      </c>
      <c r="B167" s="97" t="s">
        <v>396</v>
      </c>
      <c r="C167" s="97" t="s">
        <v>233</v>
      </c>
      <c r="D167" s="97" t="s">
        <v>386</v>
      </c>
      <c r="E167" s="98">
        <v>-2032067.67</v>
      </c>
      <c r="F167" s="98">
        <v>-2171956.45</v>
      </c>
      <c r="G167" s="98">
        <v>-2330116.93</v>
      </c>
      <c r="H167" s="98">
        <v>-3340955.9</v>
      </c>
      <c r="I167" s="98">
        <v>-3041761.3</v>
      </c>
      <c r="J167" s="98">
        <v>-3033237.38</v>
      </c>
      <c r="K167" s="98">
        <v>-2814868.5300000003</v>
      </c>
      <c r="L167" s="99">
        <f>IF(ISNA(VLOOKUP(A167,'[3]OEB Adjusted Financials'!$I$6:$J$188,2,FALSE)),"",VLOOKUP(A167,'[3]OEB Adjusted Financials'!$I$6:$J$188,2,FALSE))</f>
        <v>-2647125.6</v>
      </c>
      <c r="M167" s="100">
        <f>IF(ISNA(VLOOKUP($A167,'[4]2010 TB'!$A$4:$E$210,5,FALSE)),"",VLOOKUP($A167,'[4]2010 TB'!$A$4:$E$210,5,FALSE))</f>
        <v>-2647125.6</v>
      </c>
      <c r="N167" s="100">
        <f>IF(ISNA(VLOOKUP($A167,'[5]2011 TB Summary'!$A$4:$J$212,10,FALSE)),"",VLOOKUP($A167,'[5]2011 TB Summary'!$A$4:$J$212,10,FALSE))</f>
        <v>-2647125.6</v>
      </c>
      <c r="P167" s="113"/>
      <c r="Q167" s="113"/>
    </row>
    <row r="168" spans="1:17" s="101" customFormat="1" ht="15.75">
      <c r="A168" s="96">
        <v>2252</v>
      </c>
      <c r="B168" s="97" t="s">
        <v>397</v>
      </c>
      <c r="C168" s="97" t="s">
        <v>233</v>
      </c>
      <c r="D168" s="97"/>
      <c r="E168" s="98" t="s">
        <v>217</v>
      </c>
      <c r="F168" s="98" t="s">
        <v>217</v>
      </c>
      <c r="G168" s="98" t="s">
        <v>217</v>
      </c>
      <c r="H168" s="98"/>
      <c r="I168" s="98"/>
      <c r="J168" s="98"/>
      <c r="K168" s="98"/>
      <c r="L168" s="99">
        <f>IF(ISNA(VLOOKUP(A168,'[3]OEB Adjusted Financials'!$I$6:$J$188,2,FALSE)),"",VLOOKUP(A168,'[3]OEB Adjusted Financials'!$I$6:$J$188,2,FALSE))</f>
      </c>
      <c r="M168" s="100">
        <f>IF(ISNA(VLOOKUP($A168,'[4]2010 TB'!$A$4:$E$210,5,FALSE)),"",VLOOKUP($A168,'[4]2010 TB'!$A$4:$E$210,5,FALSE))</f>
      </c>
      <c r="N168" s="100">
        <f>IF(ISNA(VLOOKUP($A168,'[5]2011 TB Summary'!$A$4:$J$212,10,FALSE)),"",VLOOKUP($A168,'[5]2011 TB Summary'!$A$4:$J$212,10,FALSE))</f>
      </c>
      <c r="P168" s="113"/>
      <c r="Q168" s="113"/>
    </row>
    <row r="169" spans="1:17" s="101" customFormat="1" ht="15.75">
      <c r="A169" s="96">
        <v>2254</v>
      </c>
      <c r="B169" s="97" t="s">
        <v>398</v>
      </c>
      <c r="C169" s="97" t="s">
        <v>233</v>
      </c>
      <c r="D169" s="97"/>
      <c r="E169" s="98" t="s">
        <v>217</v>
      </c>
      <c r="F169" s="98" t="s">
        <v>217</v>
      </c>
      <c r="G169" s="98" t="s">
        <v>217</v>
      </c>
      <c r="H169" s="98"/>
      <c r="I169" s="98"/>
      <c r="J169" s="98"/>
      <c r="K169" s="98"/>
      <c r="L169" s="99">
        <f>IF(ISNA(VLOOKUP(A169,'[3]OEB Adjusted Financials'!$I$6:$J$188,2,FALSE)),"",VLOOKUP(A169,'[3]OEB Adjusted Financials'!$I$6:$J$188,2,FALSE))</f>
      </c>
      <c r="M169" s="100">
        <f>IF(ISNA(VLOOKUP($A169,'[4]2010 TB'!$A$4:$E$210,5,FALSE)),"",VLOOKUP($A169,'[4]2010 TB'!$A$4:$E$210,5,FALSE))</f>
      </c>
      <c r="N169" s="100">
        <f>IF(ISNA(VLOOKUP($A169,'[5]2011 TB Summary'!$A$4:$J$212,10,FALSE)),"",VLOOKUP($A169,'[5]2011 TB Summary'!$A$4:$J$212,10,FALSE))</f>
      </c>
      <c r="P169" s="113"/>
      <c r="Q169" s="113"/>
    </row>
    <row r="170" spans="1:17" s="101" customFormat="1" ht="15.75">
      <c r="A170" s="96">
        <v>2256</v>
      </c>
      <c r="B170" s="97" t="s">
        <v>399</v>
      </c>
      <c r="C170" s="97" t="s">
        <v>233</v>
      </c>
      <c r="D170" s="97"/>
      <c r="E170" s="98" t="s">
        <v>217</v>
      </c>
      <c r="F170" s="98" t="s">
        <v>217</v>
      </c>
      <c r="G170" s="98" t="s">
        <v>217</v>
      </c>
      <c r="H170" s="98"/>
      <c r="I170" s="98"/>
      <c r="J170" s="98"/>
      <c r="K170" s="98"/>
      <c r="L170" s="99">
        <f>IF(ISNA(VLOOKUP(A170,'[3]OEB Adjusted Financials'!$I$6:$J$188,2,FALSE)),"",VLOOKUP(A170,'[3]OEB Adjusted Financials'!$I$6:$J$188,2,FALSE))</f>
      </c>
      <c r="M170" s="100">
        <f>IF(ISNA(VLOOKUP($A170,'[4]2010 TB'!$A$4:$E$210,5,FALSE)),"",VLOOKUP($A170,'[4]2010 TB'!$A$4:$E$210,5,FALSE))</f>
      </c>
      <c r="N170" s="100">
        <f>IF(ISNA(VLOOKUP($A170,'[5]2011 TB Summary'!$A$4:$J$212,10,FALSE)),"",VLOOKUP($A170,'[5]2011 TB Summary'!$A$4:$J$212,10,FALSE))</f>
      </c>
      <c r="P170" s="113"/>
      <c r="Q170" s="113"/>
    </row>
    <row r="171" spans="1:17" s="101" customFormat="1" ht="15.75">
      <c r="A171" s="96">
        <v>2260</v>
      </c>
      <c r="B171" s="97" t="s">
        <v>400</v>
      </c>
      <c r="C171" s="97" t="s">
        <v>233</v>
      </c>
      <c r="D171" s="97"/>
      <c r="E171" s="98">
        <v>-458798.88</v>
      </c>
      <c r="F171" s="98">
        <v>-166639.27</v>
      </c>
      <c r="G171" s="98" t="s">
        <v>217</v>
      </c>
      <c r="H171" s="98"/>
      <c r="I171" s="98"/>
      <c r="J171" s="98">
        <v>0</v>
      </c>
      <c r="K171" s="98"/>
      <c r="L171" s="99">
        <f>IF(ISNA(VLOOKUP(A171,'[3]OEB Adjusted Financials'!$I$6:$J$188,2,FALSE)),"",VLOOKUP(A171,'[3]OEB Adjusted Financials'!$I$6:$J$188,2,FALSE))</f>
      </c>
      <c r="M171" s="100">
        <f>IF(ISNA(VLOOKUP($A171,'[4]2010 TB'!$A$4:$E$210,5,FALSE)),"",VLOOKUP($A171,'[4]2010 TB'!$A$4:$E$210,5,FALSE))</f>
      </c>
      <c r="N171" s="100">
        <f>IF(ISNA(VLOOKUP($A171,'[5]2011 TB Summary'!$A$4:$J$212,10,FALSE)),"",VLOOKUP($A171,'[5]2011 TB Summary'!$A$4:$J$212,10,FALSE))</f>
      </c>
      <c r="P171" s="113"/>
      <c r="Q171" s="113"/>
    </row>
    <row r="172" spans="1:17" s="101" customFormat="1" ht="15.75">
      <c r="A172" s="96">
        <v>2262</v>
      </c>
      <c r="B172" s="97" t="s">
        <v>401</v>
      </c>
      <c r="C172" s="97" t="s">
        <v>233</v>
      </c>
      <c r="D172" s="97"/>
      <c r="E172" s="98" t="s">
        <v>217</v>
      </c>
      <c r="F172" s="98" t="s">
        <v>217</v>
      </c>
      <c r="G172" s="98" t="s">
        <v>217</v>
      </c>
      <c r="H172" s="98"/>
      <c r="I172" s="98"/>
      <c r="J172" s="98"/>
      <c r="K172" s="98"/>
      <c r="L172" s="99">
        <f>IF(ISNA(VLOOKUP(A172,'[3]OEB Adjusted Financials'!$I$6:$J$188,2,FALSE)),"",VLOOKUP(A172,'[3]OEB Adjusted Financials'!$I$6:$J$188,2,FALSE))</f>
      </c>
      <c r="M172" s="100">
        <f>IF(ISNA(VLOOKUP($A172,'[4]2010 TB'!$A$4:$E$210,5,FALSE)),"",VLOOKUP($A172,'[4]2010 TB'!$A$4:$E$210,5,FALSE))</f>
      </c>
      <c r="N172" s="100">
        <f>IF(ISNA(VLOOKUP($A172,'[5]2011 TB Summary'!$A$4:$J$212,10,FALSE)),"",VLOOKUP($A172,'[5]2011 TB Summary'!$A$4:$J$212,10,FALSE))</f>
      </c>
      <c r="P172" s="113"/>
      <c r="Q172" s="113"/>
    </row>
    <row r="173" spans="1:17" s="101" customFormat="1" ht="15.75">
      <c r="A173" s="96">
        <v>2264</v>
      </c>
      <c r="B173" s="97" t="s">
        <v>402</v>
      </c>
      <c r="C173" s="97" t="s">
        <v>233</v>
      </c>
      <c r="D173" s="97"/>
      <c r="E173" s="98" t="s">
        <v>217</v>
      </c>
      <c r="F173" s="98" t="s">
        <v>217</v>
      </c>
      <c r="G173" s="98" t="s">
        <v>217</v>
      </c>
      <c r="H173" s="98"/>
      <c r="I173" s="98"/>
      <c r="J173" s="98"/>
      <c r="K173" s="98"/>
      <c r="L173" s="99">
        <f>IF(ISNA(VLOOKUP(A173,'[3]OEB Adjusted Financials'!$I$6:$J$188,2,FALSE)),"",VLOOKUP(A173,'[3]OEB Adjusted Financials'!$I$6:$J$188,2,FALSE))</f>
      </c>
      <c r="M173" s="100">
        <f>IF(ISNA(VLOOKUP($A173,'[4]2010 TB'!$A$4:$E$210,5,FALSE)),"",VLOOKUP($A173,'[4]2010 TB'!$A$4:$E$210,5,FALSE))</f>
      </c>
      <c r="N173" s="100">
        <f>IF(ISNA(VLOOKUP($A173,'[5]2011 TB Summary'!$A$4:$J$212,10,FALSE)),"",VLOOKUP($A173,'[5]2011 TB Summary'!$A$4:$J$212,10,FALSE))</f>
      </c>
      <c r="P173" s="113"/>
      <c r="Q173" s="113"/>
    </row>
    <row r="174" spans="1:17" s="101" customFormat="1" ht="15.75">
      <c r="A174" s="96">
        <v>2268</v>
      </c>
      <c r="B174" s="97" t="s">
        <v>403</v>
      </c>
      <c r="C174" s="97" t="s">
        <v>233</v>
      </c>
      <c r="D174" s="97"/>
      <c r="E174" s="98">
        <v>-23879</v>
      </c>
      <c r="F174" s="98">
        <v>-23883</v>
      </c>
      <c r="G174" s="98" t="s">
        <v>217</v>
      </c>
      <c r="H174" s="98">
        <v>0</v>
      </c>
      <c r="I174" s="98"/>
      <c r="J174" s="98">
        <v>0</v>
      </c>
      <c r="K174" s="98"/>
      <c r="L174" s="99">
        <f>IF(ISNA(VLOOKUP(A174,'[3]OEB Adjusted Financials'!$I$6:$J$188,2,FALSE)),"",VLOOKUP(A174,'[3]OEB Adjusted Financials'!$I$6:$J$188,2,FALSE))</f>
      </c>
      <c r="M174" s="100">
        <f>IF(ISNA(VLOOKUP($A174,'[4]2010 TB'!$A$4:$E$210,5,FALSE)),"",VLOOKUP($A174,'[4]2010 TB'!$A$4:$E$210,5,FALSE))</f>
      </c>
      <c r="N174" s="100">
        <f>IF(ISNA(VLOOKUP($A174,'[5]2011 TB Summary'!$A$4:$J$212,10,FALSE)),"",VLOOKUP($A174,'[5]2011 TB Summary'!$A$4:$J$212,10,FALSE))</f>
      </c>
      <c r="P174" s="113"/>
      <c r="Q174" s="113"/>
    </row>
    <row r="175" spans="1:17" s="101" customFormat="1" ht="15.75">
      <c r="A175" s="96">
        <v>2270</v>
      </c>
      <c r="B175" s="97" t="s">
        <v>404</v>
      </c>
      <c r="C175" s="97" t="s">
        <v>233</v>
      </c>
      <c r="D175" s="97"/>
      <c r="E175" s="98" t="s">
        <v>217</v>
      </c>
      <c r="F175" s="98" t="s">
        <v>217</v>
      </c>
      <c r="G175" s="98" t="s">
        <v>217</v>
      </c>
      <c r="H175" s="98"/>
      <c r="I175" s="98"/>
      <c r="J175" s="98"/>
      <c r="K175" s="98"/>
      <c r="L175" s="99">
        <f>IF(ISNA(VLOOKUP(A175,'[3]OEB Adjusted Financials'!$I$6:$J$188,2,FALSE)),"",VLOOKUP(A175,'[3]OEB Adjusted Financials'!$I$6:$J$188,2,FALSE))</f>
      </c>
      <c r="M175" s="100">
        <f>IF(ISNA(VLOOKUP($A175,'[4]2010 TB'!$A$4:$E$210,5,FALSE)),"",VLOOKUP($A175,'[4]2010 TB'!$A$4:$E$210,5,FALSE))</f>
      </c>
      <c r="N175" s="100">
        <f>IF(ISNA(VLOOKUP($A175,'[5]2011 TB Summary'!$A$4:$J$212,10,FALSE)),"",VLOOKUP($A175,'[5]2011 TB Summary'!$A$4:$J$212,10,FALSE))</f>
      </c>
      <c r="P175" s="113"/>
      <c r="Q175" s="113"/>
    </row>
    <row r="176" spans="1:17" s="101" customFormat="1" ht="15.75">
      <c r="A176" s="96">
        <v>2272</v>
      </c>
      <c r="B176" s="97" t="s">
        <v>405</v>
      </c>
      <c r="C176" s="97" t="s">
        <v>233</v>
      </c>
      <c r="D176" s="97"/>
      <c r="E176" s="98" t="s">
        <v>217</v>
      </c>
      <c r="F176" s="98" t="s">
        <v>217</v>
      </c>
      <c r="G176" s="98" t="s">
        <v>217</v>
      </c>
      <c r="H176" s="98"/>
      <c r="I176" s="98"/>
      <c r="J176" s="98"/>
      <c r="K176" s="98"/>
      <c r="L176" s="99">
        <f>IF(ISNA(VLOOKUP(A176,'[3]OEB Adjusted Financials'!$I$6:$J$188,2,FALSE)),"",VLOOKUP(A176,'[3]OEB Adjusted Financials'!$I$6:$J$188,2,FALSE))</f>
      </c>
      <c r="M176" s="100">
        <f>IF(ISNA(VLOOKUP($A176,'[4]2010 TB'!$A$4:$E$210,5,FALSE)),"",VLOOKUP($A176,'[4]2010 TB'!$A$4:$E$210,5,FALSE))</f>
      </c>
      <c r="N176" s="100">
        <f>IF(ISNA(VLOOKUP($A176,'[5]2011 TB Summary'!$A$4:$J$212,10,FALSE)),"",VLOOKUP($A176,'[5]2011 TB Summary'!$A$4:$J$212,10,FALSE))</f>
      </c>
      <c r="P176" s="113"/>
      <c r="Q176" s="113"/>
    </row>
    <row r="177" spans="1:17" s="101" customFormat="1" ht="15.75">
      <c r="A177" s="96">
        <v>2285</v>
      </c>
      <c r="B177" s="97" t="s">
        <v>406</v>
      </c>
      <c r="C177" s="97" t="s">
        <v>233</v>
      </c>
      <c r="D177" s="97"/>
      <c r="E177" s="98" t="s">
        <v>217</v>
      </c>
      <c r="F177" s="98" t="s">
        <v>217</v>
      </c>
      <c r="G177" s="98" t="s">
        <v>217</v>
      </c>
      <c r="H177" s="98"/>
      <c r="I177" s="98"/>
      <c r="J177" s="98"/>
      <c r="K177" s="98"/>
      <c r="L177" s="99">
        <f>IF(ISNA(VLOOKUP(A177,'[3]OEB Adjusted Financials'!$I$6:$J$188,2,FALSE)),"",VLOOKUP(A177,'[3]OEB Adjusted Financials'!$I$6:$J$188,2,FALSE))</f>
      </c>
      <c r="M177" s="100">
        <f>IF(ISNA(VLOOKUP($A177,'[4]2010 TB'!$A$4:$E$210,5,FALSE)),"",VLOOKUP($A177,'[4]2010 TB'!$A$4:$E$210,5,FALSE))</f>
      </c>
      <c r="N177" s="100">
        <f>IF(ISNA(VLOOKUP($A177,'[5]2011 TB Summary'!$A$4:$J$212,10,FALSE)),"",VLOOKUP($A177,'[5]2011 TB Summary'!$A$4:$J$212,10,FALSE))</f>
      </c>
      <c r="P177" s="113"/>
      <c r="Q177" s="113"/>
    </row>
    <row r="178" spans="1:17" s="101" customFormat="1" ht="15.75">
      <c r="A178" s="96">
        <v>2290</v>
      </c>
      <c r="B178" s="97" t="s">
        <v>407</v>
      </c>
      <c r="C178" s="97" t="s">
        <v>233</v>
      </c>
      <c r="D178" s="97" t="s">
        <v>386</v>
      </c>
      <c r="E178" s="98">
        <v>-359849.37</v>
      </c>
      <c r="F178" s="98">
        <v>-385448.12</v>
      </c>
      <c r="G178" s="98">
        <v>-960599.11</v>
      </c>
      <c r="H178" s="98">
        <v>-874209.13</v>
      </c>
      <c r="I178" s="98">
        <v>-1732359.94</v>
      </c>
      <c r="J178" s="98">
        <v>-496915.12</v>
      </c>
      <c r="K178" s="98">
        <v>-387494.04999999946</v>
      </c>
      <c r="L178" s="99">
        <f>IF(ISNA(VLOOKUP(A178,'[3]OEB Adjusted Financials'!$I$6:$J$188,2,FALSE)),"",VLOOKUP(A178,'[3]OEB Adjusted Financials'!$I$6:$J$188,2,FALSE))</f>
        <v>-441177.0399999995</v>
      </c>
      <c r="M178" s="100">
        <f>IF(ISNA(VLOOKUP($A178,'[4]2010 TB'!$A$4:$E$210,5,FALSE)),"",VLOOKUP($A178,'[4]2010 TB'!$A$4:$E$210,5,FALSE))</f>
        <v>-441177.0399999995</v>
      </c>
      <c r="N178" s="100">
        <f>IF(ISNA(VLOOKUP($A178,'[5]2011 TB Summary'!$A$4:$J$212,10,FALSE)),"",VLOOKUP($A178,'[5]2011 TB Summary'!$A$4:$J$212,10,FALSE))</f>
        <v>-441177.0399999995</v>
      </c>
      <c r="P178" s="113"/>
      <c r="Q178" s="113"/>
    </row>
    <row r="179" spans="1:17" s="101" customFormat="1" ht="15.75">
      <c r="A179" s="96">
        <v>2292</v>
      </c>
      <c r="B179" s="97" t="s">
        <v>408</v>
      </c>
      <c r="C179" s="97" t="s">
        <v>233</v>
      </c>
      <c r="D179" s="97" t="s">
        <v>386</v>
      </c>
      <c r="E179" s="98">
        <v>-24347.39</v>
      </c>
      <c r="F179" s="98">
        <v>37509.66</v>
      </c>
      <c r="G179" s="98">
        <v>-236283.15</v>
      </c>
      <c r="H179" s="98">
        <v>-718183.49</v>
      </c>
      <c r="I179" s="98">
        <v>-337447.39</v>
      </c>
      <c r="J179" s="98">
        <v>-888141.85</v>
      </c>
      <c r="K179" s="98">
        <v>-15212.45999999994</v>
      </c>
      <c r="L179" s="99">
        <f>IF(ISNA(VLOOKUP(A179,'[3]OEB Adjusted Financials'!$I$6:$J$188,2,FALSE)),"",VLOOKUP(A179,'[3]OEB Adjusted Financials'!$I$6:$J$188,2,FALSE))</f>
        <v>-349163.3300000001</v>
      </c>
      <c r="M179" s="100">
        <f>IF(ISNA(VLOOKUP($A179,'[4]2010 TB'!$A$4:$E$210,5,FALSE)),"",VLOOKUP($A179,'[4]2010 TB'!$A$4:$E$210,5,FALSE))</f>
        <v>-349163.3300000001</v>
      </c>
      <c r="N179" s="100">
        <f>IF(ISNA(VLOOKUP($A179,'[5]2011 TB Summary'!$A$4:$J$212,10,FALSE)),"",VLOOKUP($A179,'[5]2011 TB Summary'!$A$4:$J$212,10,FALSE))</f>
        <v>-349163.3300000001</v>
      </c>
      <c r="P179" s="113"/>
      <c r="Q179" s="113"/>
    </row>
    <row r="180" spans="1:17" s="101" customFormat="1" ht="15.75">
      <c r="A180" s="96">
        <v>2294</v>
      </c>
      <c r="B180" s="97" t="s">
        <v>409</v>
      </c>
      <c r="C180" s="97" t="s">
        <v>233</v>
      </c>
      <c r="D180" s="97" t="s">
        <v>386</v>
      </c>
      <c r="E180" s="98">
        <v>3284263.07</v>
      </c>
      <c r="F180" s="98">
        <v>-1266014.32</v>
      </c>
      <c r="G180" s="98">
        <v>-2908963.1</v>
      </c>
      <c r="H180" s="98">
        <v>133416.18</v>
      </c>
      <c r="I180" s="98">
        <v>362998.68</v>
      </c>
      <c r="J180" s="98">
        <v>2025538.57</v>
      </c>
      <c r="K180" s="98">
        <v>3892797.62</v>
      </c>
      <c r="L180" s="99">
        <f>IF(ISNA(VLOOKUP(A180,'[3]OEB Adjusted Financials'!$I$6:$J$188,2,FALSE)),"",VLOOKUP(A180,'[3]OEB Adjusted Financials'!$I$6:$J$188,2,FALSE))</f>
        <v>2686660.6500000004</v>
      </c>
      <c r="M180" s="100">
        <f>IF(ISNA(VLOOKUP($A180,'[4]2010 TB'!$A$4:$E$210,5,FALSE)),"",VLOOKUP($A180,'[4]2010 TB'!$A$4:$E$210,5,FALSE))</f>
        <v>2686660.6500000004</v>
      </c>
      <c r="N180" s="100">
        <f>IF(ISNA(VLOOKUP($A180,'[5]2011 TB Summary'!$A$4:$J$212,10,FALSE)),"",VLOOKUP($A180,'[5]2011 TB Summary'!$A$4:$J$212,10,FALSE))</f>
        <v>2686660.6500000004</v>
      </c>
      <c r="P180" s="113"/>
      <c r="Q180" s="113"/>
    </row>
    <row r="181" spans="1:17" s="101" customFormat="1" ht="15.75">
      <c r="A181" s="96">
        <v>2296</v>
      </c>
      <c r="B181" s="97" t="s">
        <v>410</v>
      </c>
      <c r="C181" s="97" t="s">
        <v>233</v>
      </c>
      <c r="D181" s="97"/>
      <c r="E181" s="98" t="s">
        <v>217</v>
      </c>
      <c r="F181" s="98" t="s">
        <v>217</v>
      </c>
      <c r="G181" s="98" t="s">
        <v>217</v>
      </c>
      <c r="H181" s="98"/>
      <c r="I181" s="98"/>
      <c r="J181" s="98"/>
      <c r="K181" s="98"/>
      <c r="L181" s="99">
        <f>IF(ISNA(VLOOKUP(A181,'[3]OEB Adjusted Financials'!$I$6:$J$188,2,FALSE)),"",VLOOKUP(A181,'[3]OEB Adjusted Financials'!$I$6:$J$188,2,FALSE))</f>
      </c>
      <c r="M181" s="100">
        <f>IF(ISNA(VLOOKUP($A181,'[4]2010 TB'!$A$4:$E$210,5,FALSE)),"",VLOOKUP($A181,'[4]2010 TB'!$A$4:$E$210,5,FALSE))</f>
      </c>
      <c r="N181" s="100">
        <f>IF(ISNA(VLOOKUP($A181,'[5]2011 TB Summary'!$A$4:$J$212,10,FALSE)),"",VLOOKUP($A181,'[5]2011 TB Summary'!$A$4:$J$212,10,FALSE))</f>
      </c>
      <c r="P181" s="113"/>
      <c r="Q181" s="113"/>
    </row>
    <row r="182" spans="1:17" s="101" customFormat="1" ht="15.75">
      <c r="A182" s="96">
        <v>2305</v>
      </c>
      <c r="B182" s="97" t="s">
        <v>411</v>
      </c>
      <c r="C182" s="97" t="s">
        <v>231</v>
      </c>
      <c r="D182" s="97"/>
      <c r="E182" s="98" t="s">
        <v>217</v>
      </c>
      <c r="F182" s="98" t="s">
        <v>217</v>
      </c>
      <c r="G182" s="98" t="s">
        <v>217</v>
      </c>
      <c r="H182" s="98"/>
      <c r="I182" s="98"/>
      <c r="J182" s="98"/>
      <c r="K182" s="98"/>
      <c r="L182" s="99">
        <f>IF(ISNA(VLOOKUP(A182,'[3]OEB Adjusted Financials'!$I$6:$J$188,2,FALSE)),"",VLOOKUP(A182,'[3]OEB Adjusted Financials'!$I$6:$J$188,2,FALSE))</f>
      </c>
      <c r="M182" s="100">
        <f>IF(ISNA(VLOOKUP($A182,'[4]2010 TB'!$A$4:$E$210,5,FALSE)),"",VLOOKUP($A182,'[4]2010 TB'!$A$4:$E$210,5,FALSE))</f>
      </c>
      <c r="N182" s="100">
        <f>IF(ISNA(VLOOKUP($A182,'[5]2011 TB Summary'!$A$4:$J$212,10,FALSE)),"",VLOOKUP($A182,'[5]2011 TB Summary'!$A$4:$J$212,10,FALSE))</f>
      </c>
      <c r="P182" s="113"/>
      <c r="Q182" s="113"/>
    </row>
    <row r="183" spans="1:17" s="101" customFormat="1" ht="15.75">
      <c r="A183" s="96">
        <v>2306</v>
      </c>
      <c r="B183" s="97" t="s">
        <v>412</v>
      </c>
      <c r="C183" s="97" t="s">
        <v>231</v>
      </c>
      <c r="D183" s="97" t="s">
        <v>413</v>
      </c>
      <c r="E183" s="98">
        <v>-11185864</v>
      </c>
      <c r="F183" s="98">
        <v>-11536648</v>
      </c>
      <c r="G183" s="98">
        <v>-11890252</v>
      </c>
      <c r="H183" s="98">
        <v>-15120256.71</v>
      </c>
      <c r="I183" s="98">
        <v>-15364144.15</v>
      </c>
      <c r="J183" s="98">
        <v>-15692615.149999999</v>
      </c>
      <c r="K183" s="98">
        <v>-15989831.15</v>
      </c>
      <c r="L183" s="99">
        <f>IF(ISNA(VLOOKUP(A183,'[3]OEB Adjusted Financials'!$I$6:$J$188,2,FALSE)),"",VLOOKUP(A183,'[3]OEB Adjusted Financials'!$I$6:$J$188,2,FALSE))</f>
        <v>-16079772.36</v>
      </c>
      <c r="M183" s="100">
        <f>IF(ISNA(VLOOKUP($A183,'[4]2010 TB'!$A$4:$E$210,5,FALSE)),"",VLOOKUP($A183,'[4]2010 TB'!$A$4:$E$210,5,FALSE))</f>
        <v>-16079772.36</v>
      </c>
      <c r="N183" s="100">
        <f>IF(ISNA(VLOOKUP($A183,'[5]2011 TB Summary'!$A$4:$J$212,10,FALSE)),"",VLOOKUP($A183,'[5]2011 TB Summary'!$A$4:$J$212,10,FALSE))</f>
        <v>-16079772.36</v>
      </c>
      <c r="P183" s="113"/>
      <c r="Q183" s="113"/>
    </row>
    <row r="184" spans="1:17" s="101" customFormat="1" ht="15.75">
      <c r="A184" s="96">
        <v>2308</v>
      </c>
      <c r="B184" s="97" t="s">
        <v>414</v>
      </c>
      <c r="C184" s="97" t="s">
        <v>231</v>
      </c>
      <c r="D184" s="97"/>
      <c r="E184" s="98" t="s">
        <v>217</v>
      </c>
      <c r="F184" s="98" t="s">
        <v>217</v>
      </c>
      <c r="G184" s="98" t="s">
        <v>217</v>
      </c>
      <c r="H184" s="98"/>
      <c r="I184" s="98"/>
      <c r="J184" s="98"/>
      <c r="K184" s="98"/>
      <c r="L184" s="99">
        <f>IF(ISNA(VLOOKUP(A184,'[3]OEB Adjusted Financials'!$I$6:$J$188,2,FALSE)),"",VLOOKUP(A184,'[3]OEB Adjusted Financials'!$I$6:$J$188,2,FALSE))</f>
      </c>
      <c r="M184" s="100">
        <f>IF(ISNA(VLOOKUP($A184,'[4]2010 TB'!$A$4:$E$210,5,FALSE)),"",VLOOKUP($A184,'[4]2010 TB'!$A$4:$E$210,5,FALSE))</f>
      </c>
      <c r="N184" s="100">
        <f>IF(ISNA(VLOOKUP($A184,'[5]2011 TB Summary'!$A$4:$J$212,10,FALSE)),"",VLOOKUP($A184,'[5]2011 TB Summary'!$A$4:$J$212,10,FALSE))</f>
      </c>
      <c r="P184" s="113"/>
      <c r="Q184" s="113"/>
    </row>
    <row r="185" spans="1:17" s="101" customFormat="1" ht="15.75">
      <c r="A185" s="96">
        <v>2310</v>
      </c>
      <c r="B185" s="97" t="s">
        <v>415</v>
      </c>
      <c r="C185" s="97" t="s">
        <v>231</v>
      </c>
      <c r="D185" s="97" t="s">
        <v>386</v>
      </c>
      <c r="E185" s="98" t="s">
        <v>217</v>
      </c>
      <c r="F185" s="98" t="s">
        <v>217</v>
      </c>
      <c r="G185" s="98" t="s">
        <v>217</v>
      </c>
      <c r="H185" s="98"/>
      <c r="I185" s="98"/>
      <c r="J185" s="98">
        <v>0</v>
      </c>
      <c r="K185" s="98"/>
      <c r="L185" s="99">
        <f>IF(ISNA(VLOOKUP(A185,'[3]OEB Adjusted Financials'!$I$6:$J$188,2,FALSE)),"",VLOOKUP(A185,'[3]OEB Adjusted Financials'!$I$6:$J$188,2,FALSE))</f>
        <v>-69410.25</v>
      </c>
      <c r="M185" s="100">
        <f>IF(ISNA(VLOOKUP($A185,'[4]2010 TB'!$A$4:$E$210,5,FALSE)),"",VLOOKUP($A185,'[4]2010 TB'!$A$4:$E$210,5,FALSE))</f>
        <v>-69410.25</v>
      </c>
      <c r="N185" s="100">
        <f>IF(ISNA(VLOOKUP($A185,'[5]2011 TB Summary'!$A$4:$J$212,10,FALSE)),"",VLOOKUP($A185,'[5]2011 TB Summary'!$A$4:$J$212,10,FALSE))</f>
        <v>-69410.25</v>
      </c>
      <c r="P185" s="113"/>
      <c r="Q185" s="113"/>
    </row>
    <row r="186" spans="1:17" s="101" customFormat="1" ht="15.75">
      <c r="A186" s="96">
        <v>2315</v>
      </c>
      <c r="B186" s="97" t="s">
        <v>416</v>
      </c>
      <c r="C186" s="97" t="s">
        <v>231</v>
      </c>
      <c r="D186" s="97"/>
      <c r="E186" s="98" t="s">
        <v>217</v>
      </c>
      <c r="F186" s="98" t="s">
        <v>217</v>
      </c>
      <c r="G186" s="98" t="s">
        <v>217</v>
      </c>
      <c r="H186" s="98"/>
      <c r="I186" s="98"/>
      <c r="J186" s="98"/>
      <c r="K186" s="98"/>
      <c r="L186" s="99">
        <f>IF(ISNA(VLOOKUP(A186,'[3]OEB Adjusted Financials'!$I$6:$J$188,2,FALSE)),"",VLOOKUP(A186,'[3]OEB Adjusted Financials'!$I$6:$J$188,2,FALSE))</f>
      </c>
      <c r="M186" s="100">
        <f>IF(ISNA(VLOOKUP($A186,'[4]2010 TB'!$A$4:$E$210,5,FALSE)),"",VLOOKUP($A186,'[4]2010 TB'!$A$4:$E$210,5,FALSE))</f>
      </c>
      <c r="N186" s="100">
        <f>IF(ISNA(VLOOKUP($A186,'[5]2011 TB Summary'!$A$4:$J$212,10,FALSE)),"",VLOOKUP($A186,'[5]2011 TB Summary'!$A$4:$J$212,10,FALSE))</f>
      </c>
      <c r="P186" s="113"/>
      <c r="Q186" s="113"/>
    </row>
    <row r="187" spans="1:17" s="101" customFormat="1" ht="15.75">
      <c r="A187" s="96">
        <v>2320</v>
      </c>
      <c r="B187" s="97" t="s">
        <v>417</v>
      </c>
      <c r="C187" s="97" t="s">
        <v>231</v>
      </c>
      <c r="D187" s="97" t="s">
        <v>386</v>
      </c>
      <c r="E187" s="98" t="s">
        <v>217</v>
      </c>
      <c r="F187" s="98" t="s">
        <v>217</v>
      </c>
      <c r="G187" s="98" t="s">
        <v>217</v>
      </c>
      <c r="H187" s="98"/>
      <c r="I187" s="98">
        <v>-2840437.68</v>
      </c>
      <c r="J187" s="98">
        <v>-2840437.68</v>
      </c>
      <c r="K187" s="98"/>
      <c r="L187" s="99">
        <f>IF(ISNA(VLOOKUP(A187,'[3]OEB Adjusted Financials'!$I$6:$J$188,2,FALSE)),"",VLOOKUP(A187,'[3]OEB Adjusted Financials'!$I$6:$J$188,2,FALSE))</f>
        <v>-154178.74</v>
      </c>
      <c r="M187" s="100">
        <f>IF(ISNA(VLOOKUP($A187,'[4]2010 TB'!$A$4:$E$210,5,FALSE)),"",VLOOKUP($A187,'[4]2010 TB'!$A$4:$E$210,5,FALSE))</f>
        <v>-154178.74</v>
      </c>
      <c r="N187" s="100">
        <f>IF(ISNA(VLOOKUP($A187,'[5]2011 TB Summary'!$A$4:$J$212,10,FALSE)),"",VLOOKUP($A187,'[5]2011 TB Summary'!$A$4:$J$212,10,FALSE))</f>
        <v>-154178.74</v>
      </c>
      <c r="P187" s="113"/>
      <c r="Q187" s="113"/>
    </row>
    <row r="188" spans="1:17" s="101" customFormat="1" ht="15.75">
      <c r="A188" s="96">
        <v>2325</v>
      </c>
      <c r="B188" s="97" t="s">
        <v>418</v>
      </c>
      <c r="C188" s="97" t="s">
        <v>231</v>
      </c>
      <c r="D188" s="97"/>
      <c r="E188" s="98" t="s">
        <v>217</v>
      </c>
      <c r="F188" s="98" t="s">
        <v>217</v>
      </c>
      <c r="G188" s="98" t="s">
        <v>217</v>
      </c>
      <c r="H188" s="98"/>
      <c r="I188" s="98"/>
      <c r="J188" s="98"/>
      <c r="K188" s="98"/>
      <c r="L188" s="99">
        <f>IF(ISNA(VLOOKUP(A188,'[3]OEB Adjusted Financials'!$I$6:$J$188,2,FALSE)),"",VLOOKUP(A188,'[3]OEB Adjusted Financials'!$I$6:$J$188,2,FALSE))</f>
      </c>
      <c r="M188" s="100">
        <f>IF(ISNA(VLOOKUP($A188,'[4]2010 TB'!$A$4:$E$210,5,FALSE)),"",VLOOKUP($A188,'[4]2010 TB'!$A$4:$E$210,5,FALSE))</f>
      </c>
      <c r="N188" s="100">
        <f>IF(ISNA(VLOOKUP($A188,'[5]2011 TB Summary'!$A$4:$J$212,10,FALSE)),"",VLOOKUP($A188,'[5]2011 TB Summary'!$A$4:$J$212,10,FALSE))</f>
      </c>
      <c r="P188" s="113"/>
      <c r="Q188" s="113"/>
    </row>
    <row r="189" spans="1:17" s="101" customFormat="1" ht="15.75">
      <c r="A189" s="96">
        <v>2330</v>
      </c>
      <c r="B189" s="97" t="s">
        <v>419</v>
      </c>
      <c r="C189" s="97" t="s">
        <v>231</v>
      </c>
      <c r="D189" s="97"/>
      <c r="E189" s="98" t="s">
        <v>217</v>
      </c>
      <c r="F189" s="98" t="s">
        <v>217</v>
      </c>
      <c r="G189" s="98" t="s">
        <v>217</v>
      </c>
      <c r="H189" s="98"/>
      <c r="I189" s="98"/>
      <c r="J189" s="98"/>
      <c r="K189" s="98"/>
      <c r="L189" s="99">
        <f>IF(ISNA(VLOOKUP(A189,'[3]OEB Adjusted Financials'!$I$6:$J$188,2,FALSE)),"",VLOOKUP(A189,'[3]OEB Adjusted Financials'!$I$6:$J$188,2,FALSE))</f>
      </c>
      <c r="M189" s="100">
        <f>IF(ISNA(VLOOKUP($A189,'[4]2010 TB'!$A$4:$E$210,5,FALSE)),"",VLOOKUP($A189,'[4]2010 TB'!$A$4:$E$210,5,FALSE))</f>
      </c>
      <c r="N189" s="100">
        <f>IF(ISNA(VLOOKUP($A189,'[5]2011 TB Summary'!$A$4:$J$212,10,FALSE)),"",VLOOKUP($A189,'[5]2011 TB Summary'!$A$4:$J$212,10,FALSE))</f>
      </c>
      <c r="P189" s="113"/>
      <c r="Q189" s="113"/>
    </row>
    <row r="190" spans="1:17" s="101" customFormat="1" ht="15.75">
      <c r="A190" s="96">
        <v>2335</v>
      </c>
      <c r="B190" s="97" t="s">
        <v>420</v>
      </c>
      <c r="C190" s="97" t="s">
        <v>231</v>
      </c>
      <c r="D190" s="97"/>
      <c r="E190" s="98">
        <v>-5137515.31</v>
      </c>
      <c r="F190" s="98">
        <v>-6692299.39</v>
      </c>
      <c r="G190" s="98">
        <v>-680897.73</v>
      </c>
      <c r="H190" s="98">
        <v>0</v>
      </c>
      <c r="I190" s="98"/>
      <c r="J190" s="98">
        <v>0</v>
      </c>
      <c r="K190" s="98"/>
      <c r="L190" s="99">
        <f>IF(ISNA(VLOOKUP(A190,'[3]OEB Adjusted Financials'!$I$6:$J$188,2,FALSE)),"",VLOOKUP(A190,'[3]OEB Adjusted Financials'!$I$6:$J$188,2,FALSE))</f>
      </c>
      <c r="M190" s="100">
        <f>IF(ISNA(VLOOKUP($A190,'[4]2010 TB'!$A$4:$E$210,5,FALSE)),"",VLOOKUP($A190,'[4]2010 TB'!$A$4:$E$210,5,FALSE))</f>
      </c>
      <c r="N190" s="100">
        <f>IF(ISNA(VLOOKUP($A190,'[5]2011 TB Summary'!$A$4:$J$212,10,FALSE)),"",VLOOKUP($A190,'[5]2011 TB Summary'!$A$4:$J$212,10,FALSE))</f>
      </c>
      <c r="P190" s="113"/>
      <c r="Q190" s="113"/>
    </row>
    <row r="191" spans="1:17" s="101" customFormat="1" ht="15.75">
      <c r="A191" s="96">
        <v>2340</v>
      </c>
      <c r="B191" s="97" t="s">
        <v>421</v>
      </c>
      <c r="C191" s="97" t="s">
        <v>231</v>
      </c>
      <c r="D191" s="97"/>
      <c r="E191" s="98" t="s">
        <v>217</v>
      </c>
      <c r="F191" s="98" t="s">
        <v>217</v>
      </c>
      <c r="G191" s="98" t="s">
        <v>217</v>
      </c>
      <c r="H191" s="98"/>
      <c r="I191" s="98"/>
      <c r="J191" s="98">
        <v>0</v>
      </c>
      <c r="K191" s="98"/>
      <c r="L191" s="99">
        <f>IF(ISNA(VLOOKUP(A191,'[3]OEB Adjusted Financials'!$I$6:$J$188,2,FALSE)),"",VLOOKUP(A191,'[3]OEB Adjusted Financials'!$I$6:$J$188,2,FALSE))</f>
      </c>
      <c r="M191" s="100">
        <f>IF(ISNA(VLOOKUP($A191,'[4]2010 TB'!$A$4:$E$210,5,FALSE)),"",VLOOKUP($A191,'[4]2010 TB'!$A$4:$E$210,5,FALSE))</f>
      </c>
      <c r="N191" s="100">
        <f>IF(ISNA(VLOOKUP($A191,'[5]2011 TB Summary'!$A$4:$J$212,10,FALSE)),"",VLOOKUP($A191,'[5]2011 TB Summary'!$A$4:$J$212,10,FALSE))</f>
      </c>
      <c r="P191" s="113"/>
      <c r="Q191" s="113"/>
    </row>
    <row r="192" spans="1:17" s="101" customFormat="1" ht="15.75">
      <c r="A192" s="96">
        <v>2345</v>
      </c>
      <c r="B192" s="97" t="s">
        <v>422</v>
      </c>
      <c r="C192" s="97" t="s">
        <v>231</v>
      </c>
      <c r="D192" s="97"/>
      <c r="E192" s="98" t="s">
        <v>217</v>
      </c>
      <c r="F192" s="98" t="s">
        <v>217</v>
      </c>
      <c r="G192" s="98" t="s">
        <v>217</v>
      </c>
      <c r="H192" s="98"/>
      <c r="I192" s="98"/>
      <c r="J192" s="98"/>
      <c r="K192" s="98"/>
      <c r="L192" s="99">
        <f>IF(ISNA(VLOOKUP(A192,'[3]OEB Adjusted Financials'!$I$6:$J$188,2,FALSE)),"",VLOOKUP(A192,'[3]OEB Adjusted Financials'!$I$6:$J$188,2,FALSE))</f>
      </c>
      <c r="M192" s="100">
        <f>IF(ISNA(VLOOKUP($A192,'[4]2010 TB'!$A$4:$E$210,5,FALSE)),"",VLOOKUP($A192,'[4]2010 TB'!$A$4:$E$210,5,FALSE))</f>
      </c>
      <c r="N192" s="100">
        <f>IF(ISNA(VLOOKUP($A192,'[5]2011 TB Summary'!$A$4:$J$212,10,FALSE)),"",VLOOKUP($A192,'[5]2011 TB Summary'!$A$4:$J$212,10,FALSE))</f>
      </c>
      <c r="P192" s="113"/>
      <c r="Q192" s="113"/>
    </row>
    <row r="193" spans="1:17" s="101" customFormat="1" ht="15.75">
      <c r="A193" s="96">
        <v>2348</v>
      </c>
      <c r="B193" s="97" t="s">
        <v>423</v>
      </c>
      <c r="C193" s="97" t="s">
        <v>231</v>
      </c>
      <c r="D193" s="97"/>
      <c r="E193" s="98" t="s">
        <v>217</v>
      </c>
      <c r="F193" s="98" t="s">
        <v>217</v>
      </c>
      <c r="G193" s="98" t="s">
        <v>217</v>
      </c>
      <c r="H193" s="98"/>
      <c r="I193" s="98"/>
      <c r="J193" s="98"/>
      <c r="K193" s="98"/>
      <c r="L193" s="99">
        <f>IF(ISNA(VLOOKUP(A193,'[3]OEB Adjusted Financials'!$I$6:$J$188,2,FALSE)),"",VLOOKUP(A193,'[3]OEB Adjusted Financials'!$I$6:$J$188,2,FALSE))</f>
      </c>
      <c r="M193" s="100">
        <f>IF(ISNA(VLOOKUP($A193,'[4]2010 TB'!$A$4:$E$210,5,FALSE)),"",VLOOKUP($A193,'[4]2010 TB'!$A$4:$E$210,5,FALSE))</f>
      </c>
      <c r="N193" s="100">
        <f>IF(ISNA(VLOOKUP($A193,'[5]2011 TB Summary'!$A$4:$J$212,10,FALSE)),"",VLOOKUP($A193,'[5]2011 TB Summary'!$A$4:$J$212,10,FALSE))</f>
      </c>
      <c r="P193" s="113"/>
      <c r="Q193" s="113"/>
    </row>
    <row r="194" spans="1:17" s="101" customFormat="1" ht="15.75">
      <c r="A194" s="96">
        <v>2350</v>
      </c>
      <c r="B194" s="97" t="s">
        <v>424</v>
      </c>
      <c r="C194" s="97" t="s">
        <v>231</v>
      </c>
      <c r="D194" s="97" t="s">
        <v>425</v>
      </c>
      <c r="E194" s="98" t="s">
        <v>217</v>
      </c>
      <c r="F194" s="98" t="s">
        <v>217</v>
      </c>
      <c r="G194" s="98" t="s">
        <v>217</v>
      </c>
      <c r="H194" s="98">
        <v>0</v>
      </c>
      <c r="I194" s="98"/>
      <c r="J194" s="98">
        <v>4706551.09</v>
      </c>
      <c r="K194" s="98">
        <v>5137119.09</v>
      </c>
      <c r="L194" s="99">
        <f>IF(ISNA(VLOOKUP(A194,'[3]OEB Adjusted Financials'!$I$6:$J$188,2,FALSE)),"",VLOOKUP(A194,'[3]OEB Adjusted Financials'!$I$6:$J$188,2,FALSE))</f>
        <v>9920344.09</v>
      </c>
      <c r="M194" s="100">
        <f>IF(ISNA(VLOOKUP($A194,'[4]2010 TB'!$A$4:$E$210,5,FALSE)),"",VLOOKUP($A194,'[4]2010 TB'!$A$4:$E$210,5,FALSE))</f>
        <v>9920344.09</v>
      </c>
      <c r="N194" s="100">
        <f>IF(ISNA(VLOOKUP($A194,'[5]2011 TB Summary'!$A$4:$J$212,10,FALSE)),"",VLOOKUP($A194,'[5]2011 TB Summary'!$A$4:$J$212,10,FALSE))</f>
        <v>9920344.09</v>
      </c>
      <c r="P194" s="113"/>
      <c r="Q194" s="113"/>
    </row>
    <row r="195" spans="1:17" s="101" customFormat="1" ht="15.75">
      <c r="A195" s="96">
        <v>2405</v>
      </c>
      <c r="B195" s="97" t="s">
        <v>426</v>
      </c>
      <c r="C195" s="97" t="s">
        <v>235</v>
      </c>
      <c r="D195" s="97" t="s">
        <v>289</v>
      </c>
      <c r="E195" s="98" t="s">
        <v>217</v>
      </c>
      <c r="F195" s="98" t="s">
        <v>217</v>
      </c>
      <c r="G195" s="98" t="s">
        <v>217</v>
      </c>
      <c r="H195" s="98"/>
      <c r="I195" s="98">
        <v>-911382.23</v>
      </c>
      <c r="J195" s="98">
        <v>-459858.01</v>
      </c>
      <c r="K195" s="98">
        <v>-30606.01</v>
      </c>
      <c r="L195" s="99">
        <f>IF(ISNA(VLOOKUP(A195,'[3]OEB Adjusted Financials'!$I$6:$J$188,2,FALSE)),"",VLOOKUP(A195,'[3]OEB Adjusted Financials'!$I$6:$J$188,2,FALSE))</f>
        <v>170836.11</v>
      </c>
      <c r="M195" s="100">
        <f>IF(ISNA(VLOOKUP($A195,'[4]2010 TB'!$A$4:$E$210,5,FALSE)),"",VLOOKUP($A195,'[4]2010 TB'!$A$4:$E$210,5,FALSE))</f>
        <v>170836.11</v>
      </c>
      <c r="N195" s="100">
        <f>IF(ISNA(VLOOKUP($A195,'[5]2011 TB Summary'!$A$4:$J$212,10,FALSE)),"",VLOOKUP($A195,'[5]2011 TB Summary'!$A$4:$J$212,10,FALSE))</f>
        <v>170836.11</v>
      </c>
      <c r="P195" s="113"/>
      <c r="Q195" s="113"/>
    </row>
    <row r="196" spans="1:17" s="101" customFormat="1" ht="15.75">
      <c r="A196" s="96">
        <v>2410</v>
      </c>
      <c r="B196" s="97" t="s">
        <v>427</v>
      </c>
      <c r="C196" s="97" t="s">
        <v>235</v>
      </c>
      <c r="D196" s="97"/>
      <c r="E196" s="98" t="s">
        <v>217</v>
      </c>
      <c r="F196" s="98" t="s">
        <v>217</v>
      </c>
      <c r="G196" s="98" t="s">
        <v>217</v>
      </c>
      <c r="H196" s="98"/>
      <c r="I196" s="98"/>
      <c r="J196" s="98"/>
      <c r="K196" s="98"/>
      <c r="L196" s="99">
        <f>IF(ISNA(VLOOKUP(A196,'[3]OEB Adjusted Financials'!$I$6:$J$188,2,FALSE)),"",VLOOKUP(A196,'[3]OEB Adjusted Financials'!$I$6:$J$188,2,FALSE))</f>
      </c>
      <c r="M196" s="100">
        <f>IF(ISNA(VLOOKUP($A196,'[4]2010 TB'!$A$4:$E$210,5,FALSE)),"",VLOOKUP($A196,'[4]2010 TB'!$A$4:$E$210,5,FALSE))</f>
      </c>
      <c r="N196" s="100">
        <f>IF(ISNA(VLOOKUP($A196,'[5]2011 TB Summary'!$A$4:$J$212,10,FALSE)),"",VLOOKUP($A196,'[5]2011 TB Summary'!$A$4:$J$212,10,FALSE))</f>
      </c>
      <c r="P196" s="113"/>
      <c r="Q196" s="113"/>
    </row>
    <row r="197" spans="1:17" s="101" customFormat="1" ht="15.75">
      <c r="A197" s="96">
        <v>2415</v>
      </c>
      <c r="B197" s="97" t="s">
        <v>428</v>
      </c>
      <c r="C197" s="97" t="s">
        <v>235</v>
      </c>
      <c r="D197" s="97"/>
      <c r="E197" s="98" t="s">
        <v>217</v>
      </c>
      <c r="F197" s="98" t="s">
        <v>217</v>
      </c>
      <c r="G197" s="98" t="s">
        <v>217</v>
      </c>
      <c r="H197" s="98"/>
      <c r="I197" s="98"/>
      <c r="J197" s="98"/>
      <c r="K197" s="98"/>
      <c r="L197" s="99">
        <f>IF(ISNA(VLOOKUP(A197,'[3]OEB Adjusted Financials'!$I$6:$J$188,2,FALSE)),"",VLOOKUP(A197,'[3]OEB Adjusted Financials'!$I$6:$J$188,2,FALSE))</f>
      </c>
      <c r="M197" s="100">
        <f>IF(ISNA(VLOOKUP($A197,'[4]2010 TB'!$A$4:$E$210,5,FALSE)),"",VLOOKUP($A197,'[4]2010 TB'!$A$4:$E$210,5,FALSE))</f>
      </c>
      <c r="N197" s="100">
        <f>IF(ISNA(VLOOKUP($A197,'[5]2011 TB Summary'!$A$4:$J$212,10,FALSE)),"",VLOOKUP($A197,'[5]2011 TB Summary'!$A$4:$J$212,10,FALSE))</f>
      </c>
      <c r="P197" s="113"/>
      <c r="Q197" s="113"/>
    </row>
    <row r="198" spans="1:17" s="101" customFormat="1" ht="15.75">
      <c r="A198" s="96">
        <v>2425</v>
      </c>
      <c r="B198" s="97" t="s">
        <v>429</v>
      </c>
      <c r="C198" s="97" t="s">
        <v>235</v>
      </c>
      <c r="D198" s="97" t="s">
        <v>386</v>
      </c>
      <c r="E198" s="98" t="s">
        <v>217</v>
      </c>
      <c r="F198" s="98" t="s">
        <v>217</v>
      </c>
      <c r="G198" s="98" t="s">
        <v>217</v>
      </c>
      <c r="H198" s="98">
        <v>-28800</v>
      </c>
      <c r="I198" s="98">
        <v>-84180</v>
      </c>
      <c r="J198" s="98">
        <v>-18395.74</v>
      </c>
      <c r="K198" s="98">
        <v>-6857.219999999999</v>
      </c>
      <c r="L198" s="99">
        <f>IF(ISNA(VLOOKUP(A198,'[3]OEB Adjusted Financials'!$I$6:$J$188,2,FALSE)),"",VLOOKUP(A198,'[3]OEB Adjusted Financials'!$I$6:$J$188,2,FALSE))</f>
        <v>-3428.6899999999987</v>
      </c>
      <c r="M198" s="100">
        <f>IF(ISNA(VLOOKUP($A198,'[4]2010 TB'!$A$4:$E$210,5,FALSE)),"",VLOOKUP($A198,'[4]2010 TB'!$A$4:$E$210,5,FALSE))</f>
        <v>-3428.6899999999987</v>
      </c>
      <c r="N198" s="100">
        <f>IF(ISNA(VLOOKUP($A198,'[5]2011 TB Summary'!$A$4:$J$212,10,FALSE)),"",VLOOKUP($A198,'[5]2011 TB Summary'!$A$4:$J$212,10,FALSE))</f>
        <v>-3428.6899999999987</v>
      </c>
      <c r="P198" s="113"/>
      <c r="Q198" s="113"/>
    </row>
    <row r="199" spans="1:17" s="101" customFormat="1" ht="15.75">
      <c r="A199" s="96">
        <v>2435</v>
      </c>
      <c r="B199" s="97" t="s">
        <v>430</v>
      </c>
      <c r="C199" s="97" t="s">
        <v>235</v>
      </c>
      <c r="D199" s="97"/>
      <c r="E199" s="98" t="s">
        <v>217</v>
      </c>
      <c r="F199" s="98" t="s">
        <v>217</v>
      </c>
      <c r="G199" s="98" t="s">
        <v>217</v>
      </c>
      <c r="H199" s="98"/>
      <c r="I199" s="98"/>
      <c r="J199" s="98"/>
      <c r="K199" s="98"/>
      <c r="L199" s="99">
        <f>IF(ISNA(VLOOKUP(A199,'[3]OEB Adjusted Financials'!$I$6:$J$188,2,FALSE)),"",VLOOKUP(A199,'[3]OEB Adjusted Financials'!$I$6:$J$188,2,FALSE))</f>
      </c>
      <c r="M199" s="100">
        <f>IF(ISNA(VLOOKUP($A199,'[4]2010 TB'!$A$4:$E$210,5,FALSE)),"",VLOOKUP($A199,'[4]2010 TB'!$A$4:$E$210,5,FALSE))</f>
      </c>
      <c r="N199" s="100">
        <f>IF(ISNA(VLOOKUP($A199,'[5]2011 TB Summary'!$A$4:$J$212,10,FALSE)),"",VLOOKUP($A199,'[5]2011 TB Summary'!$A$4:$J$212,10,FALSE))</f>
      </c>
      <c r="P199" s="113"/>
      <c r="Q199" s="113"/>
    </row>
    <row r="200" spans="1:17" s="101" customFormat="1" ht="15.75">
      <c r="A200" s="96">
        <v>2505</v>
      </c>
      <c r="B200" s="97" t="s">
        <v>431</v>
      </c>
      <c r="C200" s="97" t="s">
        <v>432</v>
      </c>
      <c r="D200" s="97"/>
      <c r="E200" s="98">
        <v>-3297925</v>
      </c>
      <c r="F200" s="98">
        <v>-3305312</v>
      </c>
      <c r="G200" s="98" t="s">
        <v>217</v>
      </c>
      <c r="H200" s="98"/>
      <c r="I200" s="98"/>
      <c r="J200" s="98">
        <v>0</v>
      </c>
      <c r="K200" s="98"/>
      <c r="L200" s="99">
        <f>IF(ISNA(VLOOKUP(A200,'[3]OEB Adjusted Financials'!$I$6:$J$188,2,FALSE)),"",VLOOKUP(A200,'[3]OEB Adjusted Financials'!$I$6:$J$188,2,FALSE))</f>
      </c>
      <c r="M200" s="100">
        <f>IF(ISNA(VLOOKUP($A200,'[4]2010 TB'!$A$4:$E$210,5,FALSE)),"",VLOOKUP($A200,'[4]2010 TB'!$A$4:$E$210,5,FALSE))</f>
      </c>
      <c r="N200" s="100">
        <f>IF(ISNA(VLOOKUP($A200,'[5]2011 TB Summary'!$A$4:$J$212,10,FALSE)),"",VLOOKUP($A200,'[5]2011 TB Summary'!$A$4:$J$212,10,FALSE))</f>
      </c>
      <c r="P200" s="113"/>
      <c r="Q200" s="113"/>
    </row>
    <row r="201" spans="1:17" s="101" customFormat="1" ht="15.75">
      <c r="A201" s="96">
        <v>2510</v>
      </c>
      <c r="B201" s="97" t="s">
        <v>433</v>
      </c>
      <c r="C201" s="97" t="s">
        <v>432</v>
      </c>
      <c r="D201" s="97"/>
      <c r="E201" s="98" t="s">
        <v>217</v>
      </c>
      <c r="F201" s="98" t="s">
        <v>217</v>
      </c>
      <c r="G201" s="98" t="s">
        <v>217</v>
      </c>
      <c r="H201" s="98"/>
      <c r="I201" s="98"/>
      <c r="J201" s="98"/>
      <c r="K201" s="98"/>
      <c r="L201" s="99">
        <f>IF(ISNA(VLOOKUP(A201,'[3]OEB Adjusted Financials'!$I$6:$J$188,2,FALSE)),"",VLOOKUP(A201,'[3]OEB Adjusted Financials'!$I$6:$J$188,2,FALSE))</f>
      </c>
      <c r="M201" s="100">
        <f>IF(ISNA(VLOOKUP($A201,'[4]2010 TB'!$A$4:$E$210,5,FALSE)),"",VLOOKUP($A201,'[4]2010 TB'!$A$4:$E$210,5,FALSE))</f>
      </c>
      <c r="N201" s="100">
        <f>IF(ISNA(VLOOKUP($A201,'[5]2011 TB Summary'!$A$4:$J$212,10,FALSE)),"",VLOOKUP($A201,'[5]2011 TB Summary'!$A$4:$J$212,10,FALSE))</f>
      </c>
      <c r="P201" s="113"/>
      <c r="Q201" s="113"/>
    </row>
    <row r="202" spans="1:17" s="101" customFormat="1" ht="15.75">
      <c r="A202" s="96">
        <v>2515</v>
      </c>
      <c r="B202" s="97" t="s">
        <v>434</v>
      </c>
      <c r="C202" s="97" t="s">
        <v>432</v>
      </c>
      <c r="D202" s="97"/>
      <c r="E202" s="98" t="s">
        <v>217</v>
      </c>
      <c r="F202" s="98" t="s">
        <v>217</v>
      </c>
      <c r="G202" s="98" t="s">
        <v>217</v>
      </c>
      <c r="H202" s="98"/>
      <c r="I202" s="98"/>
      <c r="J202" s="98"/>
      <c r="K202" s="98"/>
      <c r="L202" s="99">
        <f>IF(ISNA(VLOOKUP(A202,'[3]OEB Adjusted Financials'!$I$6:$J$188,2,FALSE)),"",VLOOKUP(A202,'[3]OEB Adjusted Financials'!$I$6:$J$188,2,FALSE))</f>
      </c>
      <c r="M202" s="100">
        <f>IF(ISNA(VLOOKUP($A202,'[4]2010 TB'!$A$4:$E$210,5,FALSE)),"",VLOOKUP($A202,'[4]2010 TB'!$A$4:$E$210,5,FALSE))</f>
      </c>
      <c r="N202" s="100">
        <f>IF(ISNA(VLOOKUP($A202,'[5]2011 TB Summary'!$A$4:$J$212,10,FALSE)),"",VLOOKUP($A202,'[5]2011 TB Summary'!$A$4:$J$212,10,FALSE))</f>
      </c>
      <c r="P202" s="113"/>
      <c r="Q202" s="113"/>
    </row>
    <row r="203" spans="1:17" s="101" customFormat="1" ht="15.75">
      <c r="A203" s="96">
        <v>2520</v>
      </c>
      <c r="B203" s="97" t="s">
        <v>435</v>
      </c>
      <c r="C203" s="97" t="s">
        <v>432</v>
      </c>
      <c r="D203" s="97"/>
      <c r="E203" s="98" t="s">
        <v>217</v>
      </c>
      <c r="F203" s="98" t="s">
        <v>217</v>
      </c>
      <c r="G203" s="98" t="s">
        <v>217</v>
      </c>
      <c r="H203" s="98"/>
      <c r="I203" s="98"/>
      <c r="J203" s="98">
        <v>0</v>
      </c>
      <c r="K203" s="98"/>
      <c r="L203" s="99">
        <f>IF(ISNA(VLOOKUP(A203,'[3]OEB Adjusted Financials'!$I$6:$J$188,2,FALSE)),"",VLOOKUP(A203,'[3]OEB Adjusted Financials'!$I$6:$J$188,2,FALSE))</f>
      </c>
      <c r="M203" s="100">
        <f>IF(ISNA(VLOOKUP($A203,'[4]2010 TB'!$A$4:$E$210,5,FALSE)),"",VLOOKUP($A203,'[4]2010 TB'!$A$4:$E$210,5,FALSE))</f>
      </c>
      <c r="N203" s="100">
        <f>IF(ISNA(VLOOKUP($A203,'[5]2011 TB Summary'!$A$4:$J$212,10,FALSE)),"",VLOOKUP($A203,'[5]2011 TB Summary'!$A$4:$J$212,10,FALSE))</f>
      </c>
      <c r="P203" s="113"/>
      <c r="Q203" s="113"/>
    </row>
    <row r="204" spans="1:17" s="101" customFormat="1" ht="15.75">
      <c r="A204" s="96">
        <v>2525</v>
      </c>
      <c r="B204" s="97" t="s">
        <v>436</v>
      </c>
      <c r="C204" s="97" t="s">
        <v>432</v>
      </c>
      <c r="D204" s="97"/>
      <c r="E204" s="98" t="s">
        <v>217</v>
      </c>
      <c r="F204" s="98" t="s">
        <v>217</v>
      </c>
      <c r="G204" s="98" t="s">
        <v>217</v>
      </c>
      <c r="H204" s="98"/>
      <c r="I204" s="98"/>
      <c r="J204" s="98"/>
      <c r="K204" s="98"/>
      <c r="L204" s="99">
        <f>IF(ISNA(VLOOKUP(A204,'[3]OEB Adjusted Financials'!$I$6:$J$188,2,FALSE)),"",VLOOKUP(A204,'[3]OEB Adjusted Financials'!$I$6:$J$188,2,FALSE))</f>
      </c>
      <c r="M204" s="100">
        <f>IF(ISNA(VLOOKUP($A204,'[4]2010 TB'!$A$4:$E$210,5,FALSE)),"",VLOOKUP($A204,'[4]2010 TB'!$A$4:$E$210,5,FALSE))</f>
      </c>
      <c r="N204" s="100">
        <f>IF(ISNA(VLOOKUP($A204,'[5]2011 TB Summary'!$A$4:$J$212,10,FALSE)),"",VLOOKUP($A204,'[5]2011 TB Summary'!$A$4:$J$212,10,FALSE))</f>
      </c>
      <c r="P204" s="113"/>
      <c r="Q204" s="113"/>
    </row>
    <row r="205" spans="1:17" s="101" customFormat="1" ht="15.75">
      <c r="A205" s="96">
        <v>2530</v>
      </c>
      <c r="B205" s="97" t="s">
        <v>437</v>
      </c>
      <c r="C205" s="97" t="s">
        <v>432</v>
      </c>
      <c r="D205" s="97"/>
      <c r="E205" s="98" t="s">
        <v>217</v>
      </c>
      <c r="F205" s="98" t="s">
        <v>217</v>
      </c>
      <c r="G205" s="98" t="s">
        <v>217</v>
      </c>
      <c r="H205" s="98"/>
      <c r="I205" s="98"/>
      <c r="J205" s="98"/>
      <c r="K205" s="98"/>
      <c r="L205" s="99">
        <f>IF(ISNA(VLOOKUP(A205,'[3]OEB Adjusted Financials'!$I$6:$J$188,2,FALSE)),"",VLOOKUP(A205,'[3]OEB Adjusted Financials'!$I$6:$J$188,2,FALSE))</f>
      </c>
      <c r="M205" s="100">
        <f>IF(ISNA(VLOOKUP($A205,'[4]2010 TB'!$A$4:$E$210,5,FALSE)),"",VLOOKUP($A205,'[4]2010 TB'!$A$4:$E$210,5,FALSE))</f>
      </c>
      <c r="N205" s="100">
        <f>IF(ISNA(VLOOKUP($A205,'[5]2011 TB Summary'!$A$4:$J$212,10,FALSE)),"",VLOOKUP($A205,'[5]2011 TB Summary'!$A$4:$J$212,10,FALSE))</f>
      </c>
      <c r="P205" s="113"/>
      <c r="Q205" s="113"/>
    </row>
    <row r="206" spans="1:17" s="101" customFormat="1" ht="15.75">
      <c r="A206" s="96">
        <v>2550</v>
      </c>
      <c r="B206" s="97" t="s">
        <v>438</v>
      </c>
      <c r="C206" s="97" t="s">
        <v>432</v>
      </c>
      <c r="D206" s="97"/>
      <c r="E206" s="98">
        <v>-116000000</v>
      </c>
      <c r="F206" s="98">
        <v>-116000000</v>
      </c>
      <c r="G206" s="98">
        <v>-116000000</v>
      </c>
      <c r="H206" s="98">
        <v>-116000000</v>
      </c>
      <c r="I206" s="98">
        <v>-116000000</v>
      </c>
      <c r="J206" s="98">
        <v>-116000000</v>
      </c>
      <c r="K206" s="98"/>
      <c r="L206" s="99">
        <f>IF(ISNA(VLOOKUP(A206,'[3]OEB Adjusted Financials'!$I$6:$J$188,2,FALSE)),"",VLOOKUP(A206,'[3]OEB Adjusted Financials'!$I$6:$J$188,2,FALSE))</f>
      </c>
      <c r="M206" s="100">
        <f>IF(ISNA(VLOOKUP($A206,'[4]2010 TB'!$A$4:$E$210,5,FALSE)),"",VLOOKUP($A206,'[4]2010 TB'!$A$4:$E$210,5,FALSE))</f>
      </c>
      <c r="N206" s="100">
        <f>IF(ISNA(VLOOKUP($A206,'[5]2011 TB Summary'!$A$4:$J$212,10,FALSE)),"",VLOOKUP($A206,'[5]2011 TB Summary'!$A$4:$J$212,10,FALSE))</f>
      </c>
      <c r="P206" s="113"/>
      <c r="Q206" s="113"/>
    </row>
    <row r="207" spans="1:17" s="101" customFormat="1" ht="15.75">
      <c r="A207" s="96">
        <v>3005</v>
      </c>
      <c r="B207" s="97" t="s">
        <v>439</v>
      </c>
      <c r="C207" s="97" t="s">
        <v>237</v>
      </c>
      <c r="D207" s="97" t="s">
        <v>440</v>
      </c>
      <c r="E207" s="98">
        <v>-91133030</v>
      </c>
      <c r="F207" s="98">
        <v>-91133030</v>
      </c>
      <c r="G207" s="98">
        <v>-91133030</v>
      </c>
      <c r="H207" s="98">
        <v>-123592754.29</v>
      </c>
      <c r="I207" s="98">
        <v>-123592754.29</v>
      </c>
      <c r="J207" s="98">
        <v>-123592754.28999999</v>
      </c>
      <c r="K207" s="98">
        <v>-123592754.29</v>
      </c>
      <c r="L207" s="99">
        <f>IF(ISNA(VLOOKUP(A207,'[3]OEB Adjusted Financials'!$I$6:$J$188,2,FALSE)),"",VLOOKUP(A207,'[3]OEB Adjusted Financials'!$I$6:$J$188,2,FALSE))</f>
        <v>-123592754.28999999</v>
      </c>
      <c r="M207" s="100">
        <f>IF(ISNA(VLOOKUP($A207,'[4]2010 TB'!$A$4:$E$210,5,FALSE)),"",VLOOKUP($A207,'[4]2010 TB'!$A$4:$E$210,5,FALSE))</f>
        <v>-123592754.28999999</v>
      </c>
      <c r="N207" s="100">
        <f>IF(ISNA(VLOOKUP($A207,'[5]2011 TB Summary'!$A$4:$J$212,10,FALSE)),"",VLOOKUP($A207,'[5]2011 TB Summary'!$A$4:$J$212,10,FALSE))</f>
        <v>-123592754.28999999</v>
      </c>
      <c r="P207" s="113"/>
      <c r="Q207" s="113"/>
    </row>
    <row r="208" spans="1:17" s="101" customFormat="1" ht="15.75">
      <c r="A208" s="96">
        <v>3008</v>
      </c>
      <c r="B208" s="97" t="s">
        <v>441</v>
      </c>
      <c r="C208" s="97" t="s">
        <v>237</v>
      </c>
      <c r="D208" s="97"/>
      <c r="E208" s="98" t="s">
        <v>217</v>
      </c>
      <c r="F208" s="98" t="s">
        <v>217</v>
      </c>
      <c r="G208" s="98" t="s">
        <v>217</v>
      </c>
      <c r="H208" s="98"/>
      <c r="I208" s="98"/>
      <c r="J208" s="98"/>
      <c r="K208" s="98"/>
      <c r="L208" s="99">
        <f>IF(ISNA(VLOOKUP(A208,'[3]OEB Adjusted Financials'!$I$6:$J$188,2,FALSE)),"",VLOOKUP(A208,'[3]OEB Adjusted Financials'!$I$6:$J$188,2,FALSE))</f>
      </c>
      <c r="M208" s="100">
        <f>IF(ISNA(VLOOKUP($A208,'[4]2010 TB'!$A$4:$E$210,5,FALSE)),"",VLOOKUP($A208,'[4]2010 TB'!$A$4:$E$210,5,FALSE))</f>
      </c>
      <c r="N208" s="100">
        <f>IF(ISNA(VLOOKUP($A208,'[5]2011 TB Summary'!$A$4:$J$212,10,FALSE)),"",VLOOKUP($A208,'[5]2011 TB Summary'!$A$4:$J$212,10,FALSE))</f>
      </c>
      <c r="P208" s="113"/>
      <c r="Q208" s="113"/>
    </row>
    <row r="209" spans="1:17" s="101" customFormat="1" ht="15.75">
      <c r="A209" s="96">
        <v>3010</v>
      </c>
      <c r="B209" s="97" t="s">
        <v>442</v>
      </c>
      <c r="C209" s="97" t="s">
        <v>237</v>
      </c>
      <c r="D209" s="97" t="s">
        <v>442</v>
      </c>
      <c r="E209" s="98" t="s">
        <v>217</v>
      </c>
      <c r="F209" s="98" t="s">
        <v>217</v>
      </c>
      <c r="G209" s="98" t="s">
        <v>217</v>
      </c>
      <c r="H209" s="98">
        <v>-15218009</v>
      </c>
      <c r="I209" s="98">
        <v>-15218009</v>
      </c>
      <c r="J209" s="98">
        <v>-15218009</v>
      </c>
      <c r="K209" s="98">
        <v>-15218009</v>
      </c>
      <c r="L209" s="99">
        <f>IF(ISNA(VLOOKUP(A209,'[3]OEB Adjusted Financials'!$I$6:$J$188,2,FALSE)),"",VLOOKUP(A209,'[3]OEB Adjusted Financials'!$I$6:$J$188,2,FALSE))</f>
        <v>-15218009</v>
      </c>
      <c r="M209" s="100">
        <f>IF(ISNA(VLOOKUP($A209,'[4]2010 TB'!$A$4:$E$210,5,FALSE)),"",VLOOKUP($A209,'[4]2010 TB'!$A$4:$E$210,5,FALSE))</f>
        <v>-15218009</v>
      </c>
      <c r="N209" s="100">
        <f>IF(ISNA(VLOOKUP($A209,'[5]2011 TB Summary'!$A$4:$J$212,10,FALSE)),"",VLOOKUP($A209,'[5]2011 TB Summary'!$A$4:$J$212,10,FALSE))</f>
        <v>-15218009</v>
      </c>
      <c r="P209" s="113"/>
      <c r="Q209" s="113"/>
    </row>
    <row r="210" spans="1:17" s="101" customFormat="1" ht="15.75">
      <c r="A210" s="96">
        <v>3020</v>
      </c>
      <c r="B210" s="97" t="s">
        <v>443</v>
      </c>
      <c r="C210" s="97" t="s">
        <v>237</v>
      </c>
      <c r="D210" s="97"/>
      <c r="E210" s="98" t="s">
        <v>217</v>
      </c>
      <c r="F210" s="98" t="s">
        <v>217</v>
      </c>
      <c r="G210" s="98" t="s">
        <v>217</v>
      </c>
      <c r="H210" s="98"/>
      <c r="I210" s="98"/>
      <c r="J210" s="98"/>
      <c r="K210" s="98"/>
      <c r="L210" s="99">
        <f>IF(ISNA(VLOOKUP(A210,'[3]OEB Adjusted Financials'!$I$6:$J$188,2,FALSE)),"",VLOOKUP(A210,'[3]OEB Adjusted Financials'!$I$6:$J$188,2,FALSE))</f>
      </c>
      <c r="M210" s="100">
        <f>IF(ISNA(VLOOKUP($A210,'[4]2010 TB'!$A$4:$E$210,5,FALSE)),"",VLOOKUP($A210,'[4]2010 TB'!$A$4:$E$210,5,FALSE))</f>
      </c>
      <c r="N210" s="100">
        <f>IF(ISNA(VLOOKUP($A210,'[5]2011 TB Summary'!$A$4:$J$212,10,FALSE)),"",VLOOKUP($A210,'[5]2011 TB Summary'!$A$4:$J$212,10,FALSE))</f>
      </c>
      <c r="P210" s="113"/>
      <c r="Q210" s="113"/>
    </row>
    <row r="211" spans="1:17" s="101" customFormat="1" ht="15.75">
      <c r="A211" s="96">
        <v>3022</v>
      </c>
      <c r="B211" s="97" t="s">
        <v>444</v>
      </c>
      <c r="C211" s="97" t="s">
        <v>237</v>
      </c>
      <c r="D211" s="97"/>
      <c r="E211" s="98" t="s">
        <v>217</v>
      </c>
      <c r="F211" s="98" t="s">
        <v>217</v>
      </c>
      <c r="G211" s="98" t="s">
        <v>217</v>
      </c>
      <c r="H211" s="98"/>
      <c r="I211" s="98"/>
      <c r="J211" s="98"/>
      <c r="K211" s="98"/>
      <c r="L211" s="99">
        <f>IF(ISNA(VLOOKUP(A211,'[3]OEB Adjusted Financials'!$I$6:$J$188,2,FALSE)),"",VLOOKUP(A211,'[3]OEB Adjusted Financials'!$I$6:$J$188,2,FALSE))</f>
      </c>
      <c r="M211" s="100">
        <f>IF(ISNA(VLOOKUP($A211,'[4]2010 TB'!$A$4:$E$210,5,FALSE)),"",VLOOKUP($A211,'[4]2010 TB'!$A$4:$E$210,5,FALSE))</f>
      </c>
      <c r="N211" s="100">
        <f>IF(ISNA(VLOOKUP($A211,'[5]2011 TB Summary'!$A$4:$J$212,10,FALSE)),"",VLOOKUP($A211,'[5]2011 TB Summary'!$A$4:$J$212,10,FALSE))</f>
      </c>
      <c r="P211" s="113"/>
      <c r="Q211" s="113"/>
    </row>
    <row r="212" spans="1:17" s="101" customFormat="1" ht="15.75">
      <c r="A212" s="96">
        <v>3026</v>
      </c>
      <c r="B212" s="97" t="s">
        <v>445</v>
      </c>
      <c r="C212" s="97" t="s">
        <v>237</v>
      </c>
      <c r="D212" s="97"/>
      <c r="E212" s="98" t="s">
        <v>217</v>
      </c>
      <c r="F212" s="98" t="s">
        <v>217</v>
      </c>
      <c r="G212" s="98" t="s">
        <v>217</v>
      </c>
      <c r="H212" s="98"/>
      <c r="I212" s="98"/>
      <c r="J212" s="98"/>
      <c r="K212" s="98"/>
      <c r="L212" s="99">
        <f>IF(ISNA(VLOOKUP(A212,'[3]OEB Adjusted Financials'!$I$6:$J$188,2,FALSE)),"",VLOOKUP(A212,'[3]OEB Adjusted Financials'!$I$6:$J$188,2,FALSE))</f>
      </c>
      <c r="M212" s="100">
        <f>IF(ISNA(VLOOKUP($A212,'[4]2010 TB'!$A$4:$E$210,5,FALSE)),"",VLOOKUP($A212,'[4]2010 TB'!$A$4:$E$210,5,FALSE))</f>
      </c>
      <c r="N212" s="100">
        <f>IF(ISNA(VLOOKUP($A212,'[5]2011 TB Summary'!$A$4:$J$212,10,FALSE)),"",VLOOKUP($A212,'[5]2011 TB Summary'!$A$4:$J$212,10,FALSE))</f>
      </c>
      <c r="P212" s="113"/>
      <c r="Q212" s="113"/>
    </row>
    <row r="213" spans="1:17" s="101" customFormat="1" ht="15.75">
      <c r="A213" s="96">
        <v>3030</v>
      </c>
      <c r="B213" s="97" t="s">
        <v>446</v>
      </c>
      <c r="C213" s="97" t="s">
        <v>237</v>
      </c>
      <c r="D213" s="97" t="s">
        <v>386</v>
      </c>
      <c r="E213" s="98">
        <v>-72249.8</v>
      </c>
      <c r="F213" s="98">
        <v>-72249.8</v>
      </c>
      <c r="G213" s="98">
        <v>-72249.8</v>
      </c>
      <c r="H213" s="98">
        <v>-72249.8</v>
      </c>
      <c r="I213" s="98">
        <v>-72249.8</v>
      </c>
      <c r="J213" s="98">
        <v>-72249.8</v>
      </c>
      <c r="K213" s="98"/>
      <c r="L213" s="99">
        <f>IF(ISNA(VLOOKUP(A213,'[3]OEB Adjusted Financials'!$I$6:$J$188,2,FALSE)),"",VLOOKUP(A213,'[3]OEB Adjusted Financials'!$I$6:$J$188,2,FALSE))</f>
      </c>
      <c r="M213" s="100">
        <f>IF(ISNA(VLOOKUP($A213,'[4]2010 TB'!$A$4:$E$210,5,FALSE)),"",VLOOKUP($A213,'[4]2010 TB'!$A$4:$E$210,5,FALSE))</f>
      </c>
      <c r="N213" s="100">
        <f>IF(ISNA(VLOOKUP($A213,'[5]2011 TB Summary'!$A$4:$J$212,10,FALSE)),"",VLOOKUP($A213,'[5]2011 TB Summary'!$A$4:$J$212,10,FALSE))</f>
      </c>
      <c r="P213" s="113"/>
      <c r="Q213" s="113"/>
    </row>
    <row r="214" spans="1:17" s="101" customFormat="1" ht="15.75">
      <c r="A214" s="96">
        <v>3035</v>
      </c>
      <c r="B214" s="97" t="s">
        <v>447</v>
      </c>
      <c r="C214" s="97" t="s">
        <v>237</v>
      </c>
      <c r="D214" s="97"/>
      <c r="E214" s="98" t="s">
        <v>217</v>
      </c>
      <c r="F214" s="98" t="s">
        <v>217</v>
      </c>
      <c r="G214" s="98" t="s">
        <v>217</v>
      </c>
      <c r="H214" s="98"/>
      <c r="I214" s="98"/>
      <c r="J214" s="98"/>
      <c r="K214" s="98"/>
      <c r="L214" s="99">
        <f>IF(ISNA(VLOOKUP(A214,'[3]OEB Adjusted Financials'!$I$6:$J$188,2,FALSE)),"",VLOOKUP(A214,'[3]OEB Adjusted Financials'!$I$6:$J$188,2,FALSE))</f>
      </c>
      <c r="M214" s="100">
        <f>IF(ISNA(VLOOKUP($A214,'[4]2010 TB'!$A$4:$E$210,5,FALSE)),"",VLOOKUP($A214,'[4]2010 TB'!$A$4:$E$210,5,FALSE))</f>
      </c>
      <c r="N214" s="100">
        <f>IF(ISNA(VLOOKUP($A214,'[5]2011 TB Summary'!$A$4:$J$212,10,FALSE)),"",VLOOKUP($A214,'[5]2011 TB Summary'!$A$4:$J$212,10,FALSE))</f>
      </c>
      <c r="P214" s="113"/>
      <c r="Q214" s="113"/>
    </row>
    <row r="215" spans="1:17" s="101" customFormat="1" ht="15.75">
      <c r="A215" s="96">
        <v>3040</v>
      </c>
      <c r="B215" s="97" t="s">
        <v>448</v>
      </c>
      <c r="C215" s="97" t="s">
        <v>237</v>
      </c>
      <c r="D215" s="97"/>
      <c r="E215" s="98" t="s">
        <v>217</v>
      </c>
      <c r="F215" s="98" t="s">
        <v>217</v>
      </c>
      <c r="G215" s="98" t="s">
        <v>217</v>
      </c>
      <c r="H215" s="98"/>
      <c r="I215" s="98"/>
      <c r="J215" s="98"/>
      <c r="K215" s="98"/>
      <c r="L215" s="99">
        <f>IF(ISNA(VLOOKUP(A215,'[3]OEB Adjusted Financials'!$I$6:$J$188,2,FALSE)),"",VLOOKUP(A215,'[3]OEB Adjusted Financials'!$I$6:$J$188,2,FALSE))</f>
      </c>
      <c r="M215" s="100">
        <f>IF(ISNA(VLOOKUP($A215,'[4]2010 TB'!$A$4:$E$210,5,FALSE)),"",VLOOKUP($A215,'[4]2010 TB'!$A$4:$E$210,5,FALSE))</f>
      </c>
      <c r="N215" s="100">
        <f>IF(ISNA(VLOOKUP($A215,'[5]2011 TB Summary'!$A$4:$J$212,10,FALSE)),"",VLOOKUP($A215,'[5]2011 TB Summary'!$A$4:$J$212,10,FALSE))</f>
      </c>
      <c r="P215" s="113"/>
      <c r="Q215" s="113"/>
    </row>
    <row r="216" spans="1:17" s="101" customFormat="1" ht="15.75">
      <c r="A216" s="96">
        <v>3045</v>
      </c>
      <c r="B216" s="97" t="s">
        <v>449</v>
      </c>
      <c r="C216" s="97" t="s">
        <v>237</v>
      </c>
      <c r="D216" s="97" t="s">
        <v>450</v>
      </c>
      <c r="E216" s="98">
        <v>-14279134.93</v>
      </c>
      <c r="F216" s="98">
        <v>-21935780.3</v>
      </c>
      <c r="G216" s="98">
        <v>-29769686.44</v>
      </c>
      <c r="H216" s="98">
        <v>-51403288.36</v>
      </c>
      <c r="I216" s="98">
        <v>-55759160.72</v>
      </c>
      <c r="J216" s="98">
        <v>-75005413.69</v>
      </c>
      <c r="K216" s="98">
        <v>-86973758.45</v>
      </c>
      <c r="L216" s="99">
        <f>IF(ISNA(VLOOKUP(A216,'[3]OEB Adjusted Financials'!$I$6:$J$188,2,FALSE)),"",VLOOKUP(A216,'[3]OEB Adjusted Financials'!$I$6:$J$188,2,FALSE))</f>
        <v>-100341911.81999959</v>
      </c>
      <c r="M216" s="100">
        <f>IF(ISNA(VLOOKUP($A216,'[4]2010 TB'!$A$4:$E$210,5,FALSE)),"",VLOOKUP($A216,'[4]2010 TB'!$A$4:$E$210,5,FALSE))</f>
        <v>-109803750.1399996</v>
      </c>
      <c r="N216" s="100">
        <f>IF(ISNA(VLOOKUP($A216,'[5]2011 TB Summary'!$A$4:$J$212,10,FALSE)),"",VLOOKUP($A216,'[5]2011 TB Summary'!$A$4:$J$212,10,FALSE))</f>
        <v>-127095957.3199996</v>
      </c>
      <c r="P216" s="113"/>
      <c r="Q216" s="113"/>
    </row>
    <row r="217" spans="1:17" s="101" customFormat="1" ht="15.75">
      <c r="A217" s="96">
        <v>3046</v>
      </c>
      <c r="B217" s="97" t="s">
        <v>451</v>
      </c>
      <c r="C217" s="97" t="s">
        <v>237</v>
      </c>
      <c r="D217" s="97" t="s">
        <v>450</v>
      </c>
      <c r="E217" s="98">
        <v>-9669190.440000001</v>
      </c>
      <c r="F217" s="98">
        <v>-8822030.54</v>
      </c>
      <c r="G217" s="98">
        <v>-9543686.15</v>
      </c>
      <c r="H217" s="98">
        <v>-9501769.18</v>
      </c>
      <c r="I217" s="98">
        <v>-16561489.069999944</v>
      </c>
      <c r="J217" s="114">
        <v>-14141752.432448043</v>
      </c>
      <c r="K217" s="114">
        <v>-14914502.070000023</v>
      </c>
      <c r="L217" s="114">
        <f>SUM(L223:L442)</f>
        <v>-11452370.130000016</v>
      </c>
      <c r="M217" s="114">
        <f>SUM(M223:M442)</f>
        <v>-15156109.110000052</v>
      </c>
      <c r="N217" s="114">
        <f>SUM(N223:N442)</f>
        <v>-18974348.60393448</v>
      </c>
      <c r="P217" s="113"/>
      <c r="Q217" s="113"/>
    </row>
    <row r="218" spans="1:17" s="101" customFormat="1" ht="15.75">
      <c r="A218" s="96">
        <v>3047</v>
      </c>
      <c r="B218" s="97" t="s">
        <v>452</v>
      </c>
      <c r="C218" s="97" t="s">
        <v>237</v>
      </c>
      <c r="D218" s="97"/>
      <c r="E218" s="98" t="s">
        <v>217</v>
      </c>
      <c r="F218" s="98" t="s">
        <v>217</v>
      </c>
      <c r="G218" s="98" t="s">
        <v>217</v>
      </c>
      <c r="H218" s="98"/>
      <c r="I218" s="98"/>
      <c r="J218" s="98"/>
      <c r="K218" s="98"/>
      <c r="L218" s="99">
        <f>IF(ISNA(VLOOKUP(A218,'[3]OEB Adjusted Financials'!$I$6:$J$188,2,FALSE)),"",VLOOKUP(A218,'[3]OEB Adjusted Financials'!$I$6:$J$188,2,FALSE))</f>
      </c>
      <c r="M218" s="100">
        <f>IF(ISNA(VLOOKUP($A218,'[4]2010 TB'!$A$4:$E$210,5,FALSE)),"",VLOOKUP($A218,'[4]2010 TB'!$A$4:$E$210,5,FALSE))</f>
      </c>
      <c r="N218" s="100">
        <f>IF(ISNA(VLOOKUP($A218,'[5]2011 TB Summary'!$A$4:$J$212,10,FALSE)),"",VLOOKUP($A218,'[5]2011 TB Summary'!$A$4:$J$212,10,FALSE))</f>
      </c>
      <c r="P218" s="113"/>
      <c r="Q218" s="113"/>
    </row>
    <row r="219" spans="1:17" s="101" customFormat="1" ht="15.75">
      <c r="A219" s="96">
        <v>3048</v>
      </c>
      <c r="B219" s="97" t="s">
        <v>453</v>
      </c>
      <c r="C219" s="97" t="s">
        <v>237</v>
      </c>
      <c r="D219" s="97"/>
      <c r="E219" s="98" t="s">
        <v>217</v>
      </c>
      <c r="F219" s="98" t="s">
        <v>217</v>
      </c>
      <c r="G219" s="98" t="s">
        <v>217</v>
      </c>
      <c r="H219" s="98"/>
      <c r="I219" s="98"/>
      <c r="J219" s="98"/>
      <c r="K219" s="98"/>
      <c r="L219" s="99">
        <f>IF(ISNA(VLOOKUP(A219,'[3]OEB Adjusted Financials'!$I$6:$J$188,2,FALSE)),"",VLOOKUP(A219,'[3]OEB Adjusted Financials'!$I$6:$J$188,2,FALSE))</f>
      </c>
      <c r="M219" s="100">
        <f>IF(ISNA(VLOOKUP($A219,'[4]2010 TB'!$A$4:$E$210,5,FALSE)),"",VLOOKUP($A219,'[4]2010 TB'!$A$4:$E$210,5,FALSE))</f>
      </c>
      <c r="N219" s="100">
        <f>IF(ISNA(VLOOKUP($A219,'[5]2011 TB Summary'!$A$4:$J$212,10,FALSE)),"",VLOOKUP($A219,'[5]2011 TB Summary'!$A$4:$J$212,10,FALSE))</f>
      </c>
      <c r="P219" s="113"/>
      <c r="Q219" s="113"/>
    </row>
    <row r="220" spans="1:17" s="101" customFormat="1" ht="15.75">
      <c r="A220" s="96">
        <v>3049</v>
      </c>
      <c r="B220" s="97" t="s">
        <v>454</v>
      </c>
      <c r="C220" s="97" t="s">
        <v>237</v>
      </c>
      <c r="D220" s="97" t="s">
        <v>450</v>
      </c>
      <c r="E220" s="98">
        <v>1917803.54</v>
      </c>
      <c r="F220" s="98">
        <v>4167803.54</v>
      </c>
      <c r="G220" s="98">
        <v>6317803.54</v>
      </c>
      <c r="H220" s="98">
        <v>41317392.54</v>
      </c>
      <c r="I220" s="98">
        <v>47747392.54</v>
      </c>
      <c r="J220" s="98">
        <v>58198392.54</v>
      </c>
      <c r="K220" s="98">
        <v>67045392.54</v>
      </c>
      <c r="L220" s="99">
        <f>IF(ISNA(VLOOKUP(A220,'[3]OEB Adjusted Financials'!$I$6:$J$188,2,FALSE)),"",VLOOKUP(A220,'[3]OEB Adjusted Financials'!$I$6:$J$188,2,FALSE))</f>
        <v>76108392.54</v>
      </c>
      <c r="M220" s="100">
        <f>IF(ISNA(VLOOKUP($A220,'[4]2010 TB'!$A$4:$E$210,5,FALSE)),"",VLOOKUP($A220,'[4]2010 TB'!$A$4:$E$210,5,FALSE))</f>
        <v>76108392.54</v>
      </c>
      <c r="N220" s="100">
        <f>IF(ISNA(VLOOKUP($A220,'[5]2011 TB Summary'!$A$4:$J$212,10,FALSE)),"",VLOOKUP($A220,'[5]2011 TB Summary'!$A$4:$J$212,10,FALSE))</f>
        <v>76108392.54</v>
      </c>
      <c r="P220" s="113"/>
      <c r="Q220" s="113"/>
    </row>
    <row r="221" spans="1:17" s="101" customFormat="1" ht="15.75">
      <c r="A221" s="96">
        <v>3055</v>
      </c>
      <c r="B221" s="97" t="s">
        <v>455</v>
      </c>
      <c r="C221" s="97" t="s">
        <v>237</v>
      </c>
      <c r="D221" s="97"/>
      <c r="E221" s="98" t="s">
        <v>217</v>
      </c>
      <c r="F221" s="98" t="s">
        <v>217</v>
      </c>
      <c r="G221" s="98" t="s">
        <v>217</v>
      </c>
      <c r="H221" s="98"/>
      <c r="I221" s="98"/>
      <c r="J221" s="98"/>
      <c r="K221" s="98"/>
      <c r="L221" s="99">
        <f>IF(ISNA(VLOOKUP(A221,'[3]OEB Adjusted Financials'!$I$6:$J$188,2,FALSE)),"",VLOOKUP(A221,'[3]OEB Adjusted Financials'!$I$6:$J$188,2,FALSE))</f>
      </c>
      <c r="M221" s="100">
        <f>IF(ISNA(VLOOKUP($A221,'[4]2010 TB'!$A$4:$E$210,5,FALSE)),"",VLOOKUP($A221,'[4]2010 TB'!$A$4:$E$210,5,FALSE))</f>
      </c>
      <c r="N221" s="100">
        <f>IF(ISNA(VLOOKUP($A221,'[5]2011 TB Summary'!$A$4:$J$212,10,FALSE)),"",VLOOKUP($A221,'[5]2011 TB Summary'!$A$4:$J$212,10,FALSE))</f>
      </c>
      <c r="P221" s="113"/>
      <c r="Q221" s="113"/>
    </row>
    <row r="222" spans="1:17" s="101" customFormat="1" ht="15.75">
      <c r="A222" s="96">
        <v>3065</v>
      </c>
      <c r="B222" s="97" t="s">
        <v>456</v>
      </c>
      <c r="C222" s="97" t="s">
        <v>237</v>
      </c>
      <c r="D222" s="97"/>
      <c r="E222" s="98" t="s">
        <v>217</v>
      </c>
      <c r="F222" s="98" t="s">
        <v>217</v>
      </c>
      <c r="G222" s="98" t="s">
        <v>217</v>
      </c>
      <c r="H222" s="98"/>
      <c r="I222" s="98"/>
      <c r="J222" s="98"/>
      <c r="K222" s="98"/>
      <c r="L222" s="99">
        <f>IF(ISNA(VLOOKUP(A222,'[3]OEB Adjusted Financials'!$I$6:$J$188,2,FALSE)),"",VLOOKUP(A222,'[3]OEB Adjusted Financials'!$I$6:$J$188,2,FALSE))</f>
      </c>
      <c r="M222" s="100">
        <f>IF(ISNA(VLOOKUP($A222,'[4]2010 TB'!$A$4:$E$210,5,FALSE)),"",VLOOKUP($A222,'[4]2010 TB'!$A$4:$E$210,5,FALSE))</f>
      </c>
      <c r="N222" s="100">
        <f>IF(ISNA(VLOOKUP($A222,'[5]2011 TB Summary'!$A$4:$J$212,10,FALSE)),"",VLOOKUP($A222,'[5]2011 TB Summary'!$A$4:$J$212,10,FALSE))</f>
      </c>
      <c r="P222" s="113"/>
      <c r="Q222" s="113"/>
    </row>
    <row r="223" spans="1:17" s="101" customFormat="1" ht="15.75">
      <c r="A223" s="96">
        <v>4006</v>
      </c>
      <c r="B223" s="97" t="s">
        <v>457</v>
      </c>
      <c r="C223" s="97" t="s">
        <v>250</v>
      </c>
      <c r="D223" s="97"/>
      <c r="E223" s="98">
        <v>-71099477</v>
      </c>
      <c r="F223" s="98">
        <v>-43702474</v>
      </c>
      <c r="G223" s="98">
        <v>-47827359</v>
      </c>
      <c r="H223" s="98">
        <v>-78261760.0913507</v>
      </c>
      <c r="I223" s="98">
        <v>-82435455.79</v>
      </c>
      <c r="J223" s="98">
        <v>-84283209.69</v>
      </c>
      <c r="K223" s="98">
        <v>-76607284.09</v>
      </c>
      <c r="L223" s="99">
        <f>IF(ISNA(VLOOKUP(A223,'[3]OEB Adjusted Financials'!$I$6:$J$188,2,FALSE)),"",VLOOKUP(A223,'[3]OEB Adjusted Financials'!$I$6:$J$188,2,FALSE))</f>
        <v>-86676488.36</v>
      </c>
      <c r="M223" s="100">
        <f>IF(ISNA(VLOOKUP($A223,'[4]2010 TB'!$A$4:$E$210,5,FALSE)),"",VLOOKUP($A223,'[4]2010 TB'!$A$4:$E$210,5,FALSE))</f>
        <v>-86676488.36</v>
      </c>
      <c r="N223" s="100">
        <f>IF(ISNA(VLOOKUP($A223,'[5]2011 TB Summary'!$A$4:$J$212,10,FALSE)),"",VLOOKUP($A223,'[5]2011 TB Summary'!$A$4:$J$212,10,FALSE))</f>
        <v>-86676488.36</v>
      </c>
      <c r="P223" s="113"/>
      <c r="Q223" s="113"/>
    </row>
    <row r="224" spans="1:17" s="101" customFormat="1" ht="15.75">
      <c r="A224" s="96">
        <v>4010</v>
      </c>
      <c r="B224" s="97" t="s">
        <v>458</v>
      </c>
      <c r="C224" s="97" t="s">
        <v>250</v>
      </c>
      <c r="D224" s="97"/>
      <c r="E224" s="98">
        <v>-27369141</v>
      </c>
      <c r="F224" s="98">
        <v>-17258391</v>
      </c>
      <c r="G224" s="98">
        <v>-19323216</v>
      </c>
      <c r="H224" s="98">
        <v>-30167562.888734564</v>
      </c>
      <c r="I224" s="98">
        <v>-32658891.99</v>
      </c>
      <c r="J224" s="98">
        <v>0</v>
      </c>
      <c r="K224" s="98">
        <v>0</v>
      </c>
      <c r="L224" s="99">
        <f>IF(ISNA(VLOOKUP(A224,'[3]OEB Adjusted Financials'!$I$6:$J$188,2,FALSE)),"",VLOOKUP(A224,'[3]OEB Adjusted Financials'!$I$6:$J$188,2,FALSE))</f>
      </c>
      <c r="M224" s="100">
        <f>IF(ISNA(VLOOKUP($A224,'[4]2010 TB'!$A$4:$E$210,5,FALSE)),"",VLOOKUP($A224,'[4]2010 TB'!$A$4:$E$210,5,FALSE))</f>
      </c>
      <c r="N224" s="100">
        <f>IF(ISNA(VLOOKUP($A224,'[5]2011 TB Summary'!$A$4:$J$212,10,FALSE)),"",VLOOKUP($A224,'[5]2011 TB Summary'!$A$4:$J$212,10,FALSE))</f>
      </c>
      <c r="P224" s="113"/>
      <c r="Q224" s="113"/>
    </row>
    <row r="225" spans="1:17" s="101" customFormat="1" ht="15.75">
      <c r="A225" s="96">
        <v>4015</v>
      </c>
      <c r="B225" s="97" t="s">
        <v>459</v>
      </c>
      <c r="C225" s="97" t="s">
        <v>250</v>
      </c>
      <c r="D225" s="97"/>
      <c r="E225" s="98">
        <v>-85031423</v>
      </c>
      <c r="F225" s="98">
        <v>-69022687</v>
      </c>
      <c r="G225" s="98">
        <v>-63480716</v>
      </c>
      <c r="H225" s="98">
        <v>-98416685.48479983</v>
      </c>
      <c r="I225" s="98">
        <v>-85305884.09</v>
      </c>
      <c r="J225" s="98">
        <v>0</v>
      </c>
      <c r="K225" s="98">
        <v>0</v>
      </c>
      <c r="L225" s="99">
        <f>IF(ISNA(VLOOKUP(A225,'[3]OEB Adjusted Financials'!$I$6:$J$188,2,FALSE)),"",VLOOKUP(A225,'[3]OEB Adjusted Financials'!$I$6:$J$188,2,FALSE))</f>
      </c>
      <c r="M225" s="100">
        <f>IF(ISNA(VLOOKUP($A225,'[4]2010 TB'!$A$4:$E$210,5,FALSE)),"",VLOOKUP($A225,'[4]2010 TB'!$A$4:$E$210,5,FALSE))</f>
      </c>
      <c r="N225" s="100">
        <f>IF(ISNA(VLOOKUP($A225,'[5]2011 TB Summary'!$A$4:$J$212,10,FALSE)),"",VLOOKUP($A225,'[5]2011 TB Summary'!$A$4:$J$212,10,FALSE))</f>
      </c>
      <c r="P225" s="113"/>
      <c r="Q225" s="113"/>
    </row>
    <row r="226" spans="1:17" s="101" customFormat="1" ht="15.75">
      <c r="A226" s="96">
        <v>4020</v>
      </c>
      <c r="B226" s="97" t="s">
        <v>460</v>
      </c>
      <c r="C226" s="97" t="s">
        <v>250</v>
      </c>
      <c r="D226" s="97"/>
      <c r="E226" s="98">
        <v>-106876756</v>
      </c>
      <c r="F226" s="98">
        <v>-50178500</v>
      </c>
      <c r="G226" s="98">
        <v>-44821457</v>
      </c>
      <c r="H226" s="98">
        <v>-70582517.94620487</v>
      </c>
      <c r="I226" s="98">
        <v>-54834740.6</v>
      </c>
      <c r="J226" s="98">
        <v>-53724681.18</v>
      </c>
      <c r="K226" s="98">
        <v>-48372233.739999995</v>
      </c>
      <c r="L226" s="99">
        <f>IF(ISNA(VLOOKUP(A226,'[3]OEB Adjusted Financials'!$I$6:$J$188,2,FALSE)),"",VLOOKUP(A226,'[3]OEB Adjusted Financials'!$I$6:$J$188,2,FALSE))</f>
        <v>-33387011.14</v>
      </c>
      <c r="M226" s="100">
        <f>IF(ISNA(VLOOKUP($A226,'[4]2010 TB'!$A$4:$E$210,5,FALSE)),"",VLOOKUP($A226,'[4]2010 TB'!$A$4:$E$210,5,FALSE))</f>
        <v>-33387011.14</v>
      </c>
      <c r="N226" s="100">
        <f>IF(ISNA(VLOOKUP($A226,'[5]2011 TB Summary'!$A$4:$J$212,10,FALSE)),"",VLOOKUP($A226,'[5]2011 TB Summary'!$A$4:$J$212,10,FALSE))</f>
        <v>-33387011.14</v>
      </c>
      <c r="P226" s="113"/>
      <c r="Q226" s="113"/>
    </row>
    <row r="227" spans="1:17" s="101" customFormat="1" ht="15.75">
      <c r="A227" s="96">
        <v>4025</v>
      </c>
      <c r="B227" s="97" t="s">
        <v>461</v>
      </c>
      <c r="C227" s="97" t="s">
        <v>250</v>
      </c>
      <c r="D227" s="97"/>
      <c r="E227" s="98">
        <v>-1528950</v>
      </c>
      <c r="F227" s="98">
        <v>-1223673</v>
      </c>
      <c r="G227" s="98">
        <v>-1524977</v>
      </c>
      <c r="H227" s="98">
        <v>-2303502.564694171</v>
      </c>
      <c r="I227" s="98">
        <v>-2598522.03</v>
      </c>
      <c r="J227" s="98">
        <v>-2348841.28</v>
      </c>
      <c r="K227" s="98">
        <v>-813362.16</v>
      </c>
      <c r="L227" s="99">
        <f>IF(ISNA(VLOOKUP(A227,'[3]OEB Adjusted Financials'!$I$6:$J$188,2,FALSE)),"",VLOOKUP(A227,'[3]OEB Adjusted Financials'!$I$6:$J$188,2,FALSE))</f>
        <v>-1696054.5300000003</v>
      </c>
      <c r="M227" s="100">
        <f>IF(ISNA(VLOOKUP($A227,'[4]2010 TB'!$A$4:$E$210,5,FALSE)),"",VLOOKUP($A227,'[4]2010 TB'!$A$4:$E$210,5,FALSE))</f>
        <v>-1696054.5300000003</v>
      </c>
      <c r="N227" s="100">
        <f>IF(ISNA(VLOOKUP($A227,'[5]2011 TB Summary'!$A$4:$J$212,10,FALSE)),"",VLOOKUP($A227,'[5]2011 TB Summary'!$A$4:$J$212,10,FALSE))</f>
        <v>-1696054.5300000003</v>
      </c>
      <c r="P227" s="113"/>
      <c r="Q227" s="113"/>
    </row>
    <row r="228" spans="1:17" s="101" customFormat="1" ht="15.75">
      <c r="A228" s="96">
        <v>4030</v>
      </c>
      <c r="B228" s="97" t="s">
        <v>462</v>
      </c>
      <c r="C228" s="97" t="s">
        <v>250</v>
      </c>
      <c r="D228" s="97"/>
      <c r="E228" s="98">
        <v>-10326</v>
      </c>
      <c r="F228" s="98">
        <v>-10190</v>
      </c>
      <c r="G228" s="98">
        <v>-9600</v>
      </c>
      <c r="H228" s="98">
        <v>-72359.67238388692</v>
      </c>
      <c r="I228" s="98">
        <v>-32185.42</v>
      </c>
      <c r="J228" s="98">
        <v>-31834.43</v>
      </c>
      <c r="K228" s="98">
        <v>-30938.23</v>
      </c>
      <c r="L228" s="99">
        <f>IF(ISNA(VLOOKUP(A228,'[3]OEB Adjusted Financials'!$I$6:$J$188,2,FALSE)),"",VLOOKUP(A228,'[3]OEB Adjusted Financials'!$I$6:$J$188,2,FALSE))</f>
        <v>-31939.68</v>
      </c>
      <c r="M228" s="100">
        <f>IF(ISNA(VLOOKUP($A228,'[4]2010 TB'!$A$4:$E$210,5,FALSE)),"",VLOOKUP($A228,'[4]2010 TB'!$A$4:$E$210,5,FALSE))</f>
        <v>-31939.68</v>
      </c>
      <c r="N228" s="100">
        <f>IF(ISNA(VLOOKUP($A228,'[5]2011 TB Summary'!$A$4:$J$212,10,FALSE)),"",VLOOKUP($A228,'[5]2011 TB Summary'!$A$4:$J$212,10,FALSE))</f>
        <v>-31939.68</v>
      </c>
      <c r="P228" s="113"/>
      <c r="Q228" s="113"/>
    </row>
    <row r="229" spans="1:17" s="101" customFormat="1" ht="15.75">
      <c r="A229" s="96">
        <v>4035</v>
      </c>
      <c r="B229" s="97" t="s">
        <v>463</v>
      </c>
      <c r="C229" s="97" t="s">
        <v>250</v>
      </c>
      <c r="D229" s="97"/>
      <c r="E229" s="98" t="s">
        <v>217</v>
      </c>
      <c r="F229" s="98" t="s">
        <v>217</v>
      </c>
      <c r="G229" s="98" t="s">
        <v>217</v>
      </c>
      <c r="H229" s="98"/>
      <c r="I229" s="98"/>
      <c r="J229" s="98">
        <v>-133428418.7</v>
      </c>
      <c r="K229" s="98">
        <v>-119662721.39999999</v>
      </c>
      <c r="L229" s="99">
        <f>IF(ISNA(VLOOKUP(A229,'[3]OEB Adjusted Financials'!$I$6:$J$188,2,FALSE)),"",VLOOKUP(A229,'[3]OEB Adjusted Financials'!$I$6:$J$188,2,FALSE))</f>
        <v>-134077091.1</v>
      </c>
      <c r="M229" s="100">
        <f>IF(ISNA(VLOOKUP($A229,'[4]2010 TB'!$A$4:$E$210,5,FALSE)),"",VLOOKUP($A229,'[4]2010 TB'!$A$4:$E$210,5,FALSE))</f>
        <v>-134077091.1</v>
      </c>
      <c r="N229" s="100">
        <f>IF(ISNA(VLOOKUP($A229,'[5]2011 TB Summary'!$A$4:$J$212,10,FALSE)),"",VLOOKUP($A229,'[5]2011 TB Summary'!$A$4:$J$212,10,FALSE))</f>
        <v>-134077091.1</v>
      </c>
      <c r="P229" s="113"/>
      <c r="Q229" s="113"/>
    </row>
    <row r="230" spans="1:17" s="101" customFormat="1" ht="15.75">
      <c r="A230" s="96">
        <v>4040</v>
      </c>
      <c r="B230" s="97" t="s">
        <v>464</v>
      </c>
      <c r="C230" s="97" t="s">
        <v>250</v>
      </c>
      <c r="D230" s="97"/>
      <c r="E230" s="98" t="s">
        <v>217</v>
      </c>
      <c r="F230" s="98" t="s">
        <v>217</v>
      </c>
      <c r="G230" s="98" t="s">
        <v>217</v>
      </c>
      <c r="H230" s="98"/>
      <c r="I230" s="98"/>
      <c r="J230" s="98"/>
      <c r="K230" s="98"/>
      <c r="L230" s="99">
        <f>IF(ISNA(VLOOKUP(A230,'[3]OEB Adjusted Financials'!$I$6:$J$188,2,FALSE)),"",VLOOKUP(A230,'[3]OEB Adjusted Financials'!$I$6:$J$188,2,FALSE))</f>
      </c>
      <c r="M230" s="100">
        <f>IF(ISNA(VLOOKUP($A230,'[4]2010 TB'!$A$4:$E$210,5,FALSE)),"",VLOOKUP($A230,'[4]2010 TB'!$A$4:$E$210,5,FALSE))</f>
      </c>
      <c r="N230" s="100">
        <f>IF(ISNA(VLOOKUP($A230,'[5]2011 TB Summary'!$A$4:$J$212,10,FALSE)),"",VLOOKUP($A230,'[5]2011 TB Summary'!$A$4:$J$212,10,FALSE))</f>
      </c>
      <c r="P230" s="113"/>
      <c r="Q230" s="113"/>
    </row>
    <row r="231" spans="1:17" s="101" customFormat="1" ht="15.75">
      <c r="A231" s="96">
        <v>4045</v>
      </c>
      <c r="B231" s="97" t="s">
        <v>465</v>
      </c>
      <c r="C231" s="97" t="s">
        <v>250</v>
      </c>
      <c r="D231" s="97"/>
      <c r="E231" s="98" t="s">
        <v>217</v>
      </c>
      <c r="F231" s="98" t="s">
        <v>217</v>
      </c>
      <c r="G231" s="98" t="s">
        <v>217</v>
      </c>
      <c r="H231" s="98"/>
      <c r="I231" s="98"/>
      <c r="J231" s="98"/>
      <c r="K231" s="98"/>
      <c r="L231" s="99">
        <f>IF(ISNA(VLOOKUP(A231,'[3]OEB Adjusted Financials'!$I$6:$J$188,2,FALSE)),"",VLOOKUP(A231,'[3]OEB Adjusted Financials'!$I$6:$J$188,2,FALSE))</f>
      </c>
      <c r="M231" s="100">
        <f>IF(ISNA(VLOOKUP($A231,'[4]2010 TB'!$A$4:$E$210,5,FALSE)),"",VLOOKUP($A231,'[4]2010 TB'!$A$4:$E$210,5,FALSE))</f>
      </c>
      <c r="N231" s="100">
        <f>IF(ISNA(VLOOKUP($A231,'[5]2011 TB Summary'!$A$4:$J$212,10,FALSE)),"",VLOOKUP($A231,'[5]2011 TB Summary'!$A$4:$J$212,10,FALSE))</f>
      </c>
      <c r="P231" s="113"/>
      <c r="Q231" s="113"/>
    </row>
    <row r="232" spans="1:17" s="101" customFormat="1" ht="15.75">
      <c r="A232" s="96">
        <v>4050</v>
      </c>
      <c r="B232" s="97" t="s">
        <v>466</v>
      </c>
      <c r="C232" s="97" t="s">
        <v>250</v>
      </c>
      <c r="D232" s="97"/>
      <c r="E232" s="98">
        <v>-16503372</v>
      </c>
      <c r="F232" s="98">
        <v>5384584</v>
      </c>
      <c r="G232" s="98">
        <v>-3955526</v>
      </c>
      <c r="H232" s="98">
        <v>-6403246.8826249875</v>
      </c>
      <c r="I232" s="98"/>
      <c r="J232" s="98">
        <v>0</v>
      </c>
      <c r="K232" s="98">
        <v>-240028.76</v>
      </c>
      <c r="L232" s="99">
        <f>IF(ISNA(VLOOKUP(A232,'[3]OEB Adjusted Financials'!$I$6:$J$188,2,FALSE)),"",VLOOKUP(A232,'[3]OEB Adjusted Financials'!$I$6:$J$188,2,FALSE))</f>
        <v>-681.06</v>
      </c>
      <c r="M232" s="100">
        <f>IF(ISNA(VLOOKUP($A232,'[4]2010 TB'!$A$4:$E$210,5,FALSE)),"",VLOOKUP($A232,'[4]2010 TB'!$A$4:$E$210,5,FALSE))</f>
        <v>-681.06</v>
      </c>
      <c r="N232" s="100">
        <f>IF(ISNA(VLOOKUP($A232,'[5]2011 TB Summary'!$A$4:$J$212,10,FALSE)),"",VLOOKUP($A232,'[5]2011 TB Summary'!$A$4:$J$212,10,FALSE))</f>
        <v>-681.06</v>
      </c>
      <c r="P232" s="113"/>
      <c r="Q232" s="113"/>
    </row>
    <row r="233" spans="1:17" s="101" customFormat="1" ht="15.75">
      <c r="A233" s="96">
        <v>4055</v>
      </c>
      <c r="B233" s="97" t="s">
        <v>467</v>
      </c>
      <c r="C233" s="97" t="s">
        <v>250</v>
      </c>
      <c r="D233" s="97"/>
      <c r="E233" s="98">
        <v>-17137458</v>
      </c>
      <c r="F233" s="98">
        <v>-36469746</v>
      </c>
      <c r="G233" s="98">
        <v>-32196249</v>
      </c>
      <c r="H233" s="98">
        <v>-55288644.639206946</v>
      </c>
      <c r="I233" s="98">
        <v>-47440764.99</v>
      </c>
      <c r="J233" s="98">
        <v>-33224772.72</v>
      </c>
      <c r="K233" s="98">
        <v>-48167809.93</v>
      </c>
      <c r="L233" s="99">
        <f>IF(ISNA(VLOOKUP(A233,'[3]OEB Adjusted Financials'!$I$6:$J$188,2,FALSE)),"",VLOOKUP(A233,'[3]OEB Adjusted Financials'!$I$6:$J$188,2,FALSE))</f>
        <v>-29111414.36</v>
      </c>
      <c r="M233" s="100">
        <f>IF(ISNA(VLOOKUP($A233,'[4]2010 TB'!$A$4:$E$210,5,FALSE)),"",VLOOKUP($A233,'[4]2010 TB'!$A$4:$E$210,5,FALSE))</f>
        <v>-29111414.36</v>
      </c>
      <c r="N233" s="100">
        <f>IF(ISNA(VLOOKUP($A233,'[5]2011 TB Summary'!$A$4:$J$212,10,FALSE)),"",VLOOKUP($A233,'[5]2011 TB Summary'!$A$4:$J$212,10,FALSE))</f>
        <v>-29111414.36</v>
      </c>
      <c r="P233" s="113"/>
      <c r="Q233" s="113"/>
    </row>
    <row r="234" spans="1:17" s="101" customFormat="1" ht="15.75">
      <c r="A234" s="96">
        <v>4060</v>
      </c>
      <c r="B234" s="97" t="s">
        <v>468</v>
      </c>
      <c r="C234" s="97" t="s">
        <v>250</v>
      </c>
      <c r="D234" s="97"/>
      <c r="E234" s="98" t="s">
        <v>217</v>
      </c>
      <c r="F234" s="98" t="s">
        <v>217</v>
      </c>
      <c r="G234" s="98" t="s">
        <v>217</v>
      </c>
      <c r="H234" s="98"/>
      <c r="I234" s="98"/>
      <c r="J234" s="98"/>
      <c r="K234" s="98"/>
      <c r="L234" s="99">
        <f>IF(ISNA(VLOOKUP(A234,'[3]OEB Adjusted Financials'!$I$6:$J$188,2,FALSE)),"",VLOOKUP(A234,'[3]OEB Adjusted Financials'!$I$6:$J$188,2,FALSE))</f>
      </c>
      <c r="M234" s="100">
        <f>IF(ISNA(VLOOKUP($A234,'[4]2010 TB'!$A$4:$E$210,5,FALSE)),"",VLOOKUP($A234,'[4]2010 TB'!$A$4:$E$210,5,FALSE))</f>
      </c>
      <c r="N234" s="100">
        <f>IF(ISNA(VLOOKUP($A234,'[5]2011 TB Summary'!$A$4:$J$212,10,FALSE)),"",VLOOKUP($A234,'[5]2011 TB Summary'!$A$4:$J$212,10,FALSE))</f>
      </c>
      <c r="P234" s="113"/>
      <c r="Q234" s="113"/>
    </row>
    <row r="235" spans="1:17" s="101" customFormat="1" ht="15.75">
      <c r="A235" s="96">
        <v>4062</v>
      </c>
      <c r="B235" s="97" t="s">
        <v>469</v>
      </c>
      <c r="C235" s="97" t="s">
        <v>250</v>
      </c>
      <c r="D235" s="97"/>
      <c r="E235" s="98">
        <v>-19123790</v>
      </c>
      <c r="F235" s="98">
        <v>-26917475</v>
      </c>
      <c r="G235" s="98">
        <v>-26738345</v>
      </c>
      <c r="H235" s="98">
        <v>-40046212.83</v>
      </c>
      <c r="I235" s="98">
        <v>-27749277.5</v>
      </c>
      <c r="J235" s="98">
        <v>-27093235.4924481</v>
      </c>
      <c r="K235" s="98">
        <v>-29495969.14</v>
      </c>
      <c r="L235" s="99">
        <f>IF(ISNA(VLOOKUP(A235,'[3]OEB Adjusted Financials'!$I$6:$J$188,2,FALSE)),"",VLOOKUP(A235,'[3]OEB Adjusted Financials'!$I$6:$J$188,2,FALSE))</f>
        <v>-28568553.37</v>
      </c>
      <c r="M235" s="100">
        <f>IF(ISNA(VLOOKUP($A235,'[4]2010 TB'!$A$4:$E$210,5,FALSE)),"",VLOOKUP($A235,'[4]2010 TB'!$A$4:$E$210,5,FALSE))</f>
        <v>-28568553.37</v>
      </c>
      <c r="N235" s="100">
        <f>IF(ISNA(VLOOKUP($A235,'[5]2011 TB Summary'!$A$4:$J$212,10,FALSE)),"",VLOOKUP($A235,'[5]2011 TB Summary'!$A$4:$J$212,10,FALSE))</f>
        <v>-28568553.37</v>
      </c>
      <c r="P235" s="113"/>
      <c r="Q235" s="113"/>
    </row>
    <row r="236" spans="1:17" s="101" customFormat="1" ht="15.75">
      <c r="A236" s="96">
        <v>4064</v>
      </c>
      <c r="B236" s="97" t="s">
        <v>470</v>
      </c>
      <c r="C236" s="97" t="s">
        <v>250</v>
      </c>
      <c r="D236" s="97"/>
      <c r="E236" s="98" t="s">
        <v>217</v>
      </c>
      <c r="F236" s="98" t="s">
        <v>217</v>
      </c>
      <c r="G236" s="98" t="s">
        <v>217</v>
      </c>
      <c r="H236" s="98">
        <v>-304250.59</v>
      </c>
      <c r="I236" s="98"/>
      <c r="J236" s="98"/>
      <c r="K236" s="98"/>
      <c r="L236" s="99">
        <f>IF(ISNA(VLOOKUP(A236,'[3]OEB Adjusted Financials'!$I$6:$J$188,2,FALSE)),"",VLOOKUP(A236,'[3]OEB Adjusted Financials'!$I$6:$J$188,2,FALSE))</f>
      </c>
      <c r="M236" s="100">
        <f>IF(ISNA(VLOOKUP($A236,'[4]2010 TB'!$A$4:$E$210,5,FALSE)),"",VLOOKUP($A236,'[4]2010 TB'!$A$4:$E$210,5,FALSE))</f>
      </c>
      <c r="N236" s="100">
        <f>IF(ISNA(VLOOKUP($A236,'[5]2011 TB Summary'!$A$4:$J$212,10,FALSE)),"",VLOOKUP($A236,'[5]2011 TB Summary'!$A$4:$J$212,10,FALSE))</f>
      </c>
      <c r="P236" s="113"/>
      <c r="Q236" s="113"/>
    </row>
    <row r="237" spans="1:17" s="101" customFormat="1" ht="15.75">
      <c r="A237" s="96">
        <v>4066</v>
      </c>
      <c r="B237" s="97" t="s">
        <v>471</v>
      </c>
      <c r="C237" s="97" t="s">
        <v>250</v>
      </c>
      <c r="D237" s="97"/>
      <c r="E237" s="98">
        <v>-19407075</v>
      </c>
      <c r="F237" s="98">
        <v>-27156275</v>
      </c>
      <c r="G237" s="98">
        <v>-26969545</v>
      </c>
      <c r="H237" s="98">
        <v>-34307460.62</v>
      </c>
      <c r="I237" s="98">
        <v>-33390758.74</v>
      </c>
      <c r="J237" s="98">
        <v>-32024089.28</v>
      </c>
      <c r="K237" s="98">
        <v>-25329696.66</v>
      </c>
      <c r="L237" s="99">
        <f>IF(ISNA(VLOOKUP(A237,'[3]OEB Adjusted Financials'!$I$6:$J$188,2,FALSE)),"",VLOOKUP(A237,'[3]OEB Adjusted Financials'!$I$6:$J$188,2,FALSE))</f>
        <v>-25634368.849999998</v>
      </c>
      <c r="M237" s="100">
        <f>IF(ISNA(VLOOKUP($A237,'[4]2010 TB'!$A$4:$E$210,5,FALSE)),"",VLOOKUP($A237,'[4]2010 TB'!$A$4:$E$210,5,FALSE))</f>
        <v>-25634368.849999998</v>
      </c>
      <c r="N237" s="100">
        <f>IF(ISNA(VLOOKUP($A237,'[5]2011 TB Summary'!$A$4:$J$212,10,FALSE)),"",VLOOKUP($A237,'[5]2011 TB Summary'!$A$4:$J$212,10,FALSE))</f>
        <v>-25634368.849999998</v>
      </c>
      <c r="P237" s="113"/>
      <c r="Q237" s="113"/>
    </row>
    <row r="238" spans="1:17" s="101" customFormat="1" ht="15.75">
      <c r="A238" s="96">
        <v>4068</v>
      </c>
      <c r="B238" s="97" t="s">
        <v>472</v>
      </c>
      <c r="C238" s="97" t="s">
        <v>250</v>
      </c>
      <c r="D238" s="97"/>
      <c r="E238" s="98">
        <v>-16726596</v>
      </c>
      <c r="F238" s="98">
        <v>-23239535</v>
      </c>
      <c r="G238" s="98">
        <v>-23313974</v>
      </c>
      <c r="H238" s="98">
        <v>-29646430.080000006</v>
      </c>
      <c r="I238" s="98">
        <v>-29872235.47</v>
      </c>
      <c r="J238" s="98">
        <v>-28176608.15</v>
      </c>
      <c r="K238" s="98">
        <v>-25142670.15</v>
      </c>
      <c r="L238" s="99">
        <f>IF(ISNA(VLOOKUP(A238,'[3]OEB Adjusted Financials'!$I$6:$J$188,2,FALSE)),"",VLOOKUP(A238,'[3]OEB Adjusted Financials'!$I$6:$J$188,2,FALSE))</f>
        <v>-23276543.369999997</v>
      </c>
      <c r="M238" s="100">
        <f>IF(ISNA(VLOOKUP($A238,'[4]2010 TB'!$A$4:$E$210,5,FALSE)),"",VLOOKUP($A238,'[4]2010 TB'!$A$4:$E$210,5,FALSE))</f>
        <v>-23276543.369999997</v>
      </c>
      <c r="N238" s="100">
        <f>IF(ISNA(VLOOKUP($A238,'[5]2011 TB Summary'!$A$4:$J$212,10,FALSE)),"",VLOOKUP($A238,'[5]2011 TB Summary'!$A$4:$J$212,10,FALSE))</f>
        <v>-23276543.369999997</v>
      </c>
      <c r="P238" s="113"/>
      <c r="Q238" s="113"/>
    </row>
    <row r="239" spans="1:17" s="101" customFormat="1" ht="15.75">
      <c r="A239" s="96">
        <v>4075</v>
      </c>
      <c r="B239" s="97" t="s">
        <v>473</v>
      </c>
      <c r="C239" s="97" t="s">
        <v>250</v>
      </c>
      <c r="D239" s="97"/>
      <c r="E239" s="98"/>
      <c r="F239" s="98"/>
      <c r="G239" s="98"/>
      <c r="H239" s="98"/>
      <c r="I239" s="98"/>
      <c r="J239" s="98">
        <v>-193430.88</v>
      </c>
      <c r="K239" s="98">
        <v>-177941.96</v>
      </c>
      <c r="L239" s="99">
        <f>IF(ISNA(VLOOKUP(A239,'[3]OEB Adjusted Financials'!$I$6:$J$188,2,FALSE)),"",VLOOKUP(A239,'[3]OEB Adjusted Financials'!$I$6:$J$188,2,FALSE))</f>
        <v>-164506.26</v>
      </c>
      <c r="M239" s="100">
        <f>IF(ISNA(VLOOKUP($A239,'[4]2010 TB'!$A$4:$E$210,5,FALSE)),"",VLOOKUP($A239,'[4]2010 TB'!$A$4:$E$210,5,FALSE))</f>
        <v>-164506.26</v>
      </c>
      <c r="N239" s="100">
        <f>IF(ISNA(VLOOKUP($A239,'[5]2011 TB Summary'!$A$4:$J$212,10,FALSE)),"",VLOOKUP($A239,'[5]2011 TB Summary'!$A$4:$J$212,10,FALSE))</f>
        <v>-164506.26</v>
      </c>
      <c r="P239" s="113"/>
      <c r="Q239" s="113"/>
    </row>
    <row r="240" spans="1:17" s="101" customFormat="1" ht="15.75">
      <c r="A240" s="96">
        <v>4080</v>
      </c>
      <c r="B240" s="97" t="s">
        <v>474</v>
      </c>
      <c r="C240" s="97" t="s">
        <v>252</v>
      </c>
      <c r="D240" s="97" t="s">
        <v>475</v>
      </c>
      <c r="E240" s="98">
        <v>-55315946.88</v>
      </c>
      <c r="F240" s="98">
        <v>-57358200.15</v>
      </c>
      <c r="G240" s="98">
        <v>-57036209.33</v>
      </c>
      <c r="H240" s="98">
        <v>-67382743.99</v>
      </c>
      <c r="I240" s="98">
        <v>-82309301.03</v>
      </c>
      <c r="J240" s="98">
        <v>-83962566.20999998</v>
      </c>
      <c r="K240" s="98">
        <v>-86846630.73</v>
      </c>
      <c r="L240" s="99">
        <f>IF(ISNA(VLOOKUP(A240,'[3]OEB Adjusted Financials'!$I$6:$J$188,2,FALSE)),"",VLOOKUP(A240,'[3]OEB Adjusted Financials'!$I$6:$J$188,2,FALSE))</f>
        <v>-84658325.36000003</v>
      </c>
      <c r="M240" s="100">
        <f>IF(ISNA(VLOOKUP($A240,'[4]2010 TB'!$A$4:$E$210,5,FALSE)),"",VLOOKUP($A240,'[4]2010 TB'!$A$4:$E$210,5,FALSE))</f>
        <v>-90834823.5</v>
      </c>
      <c r="N240" s="100">
        <f>IF(ISNA(VLOOKUP($A240,'[5]2011 TB Summary'!$A$4:$J$212,10,FALSE)),"",VLOOKUP($A240,'[5]2011 TB Summary'!$A$4:$J$212,10,FALSE))</f>
        <v>-98806580</v>
      </c>
      <c r="P240" s="113"/>
      <c r="Q240" s="113"/>
    </row>
    <row r="241" spans="1:17" s="101" customFormat="1" ht="15.75">
      <c r="A241" s="96">
        <v>4082</v>
      </c>
      <c r="B241" s="97" t="s">
        <v>476</v>
      </c>
      <c r="C241" s="97" t="s">
        <v>252</v>
      </c>
      <c r="D241" s="97" t="s">
        <v>475</v>
      </c>
      <c r="E241" s="98">
        <v>-9711</v>
      </c>
      <c r="F241" s="98">
        <v>-249956</v>
      </c>
      <c r="G241" s="98">
        <v>-161655.3</v>
      </c>
      <c r="H241" s="98">
        <v>-649813.82</v>
      </c>
      <c r="I241" s="98">
        <v>-349191.33</v>
      </c>
      <c r="J241" s="98">
        <v>-410964.87</v>
      </c>
      <c r="K241" s="98">
        <v>-99381.88</v>
      </c>
      <c r="L241" s="99">
        <f>IF(ISNA(VLOOKUP(A241,'[3]OEB Adjusted Financials'!$I$6:$J$188,2,FALSE)),"",VLOOKUP(A241,'[3]OEB Adjusted Financials'!$I$6:$J$188,2,FALSE))</f>
        <v>-133460.47999999998</v>
      </c>
      <c r="M241" s="100">
        <f>IF(ISNA(VLOOKUP($A241,'[4]2010 TB'!$A$4:$E$210,5,FALSE)),"",VLOOKUP($A241,'[4]2010 TB'!$A$4:$E$210,5,FALSE))</f>
        <v>0</v>
      </c>
      <c r="N241" s="100">
        <f>IF(ISNA(VLOOKUP($A241,'[5]2011 TB Summary'!$A$4:$J$212,10,FALSE)),"",VLOOKUP($A241,'[5]2011 TB Summary'!$A$4:$J$212,10,FALSE))</f>
        <v>0</v>
      </c>
      <c r="P241" s="113"/>
      <c r="Q241" s="113"/>
    </row>
    <row r="242" spans="1:17" s="101" customFormat="1" ht="15.75">
      <c r="A242" s="96">
        <v>4084</v>
      </c>
      <c r="B242" s="97" t="s">
        <v>477</v>
      </c>
      <c r="C242" s="97" t="s">
        <v>252</v>
      </c>
      <c r="D242" s="97" t="s">
        <v>475</v>
      </c>
      <c r="E242" s="98">
        <v>-32971</v>
      </c>
      <c r="F242" s="98">
        <v>-4038</v>
      </c>
      <c r="G242" s="98">
        <v>-2677.75</v>
      </c>
      <c r="H242" s="98">
        <v>-10449.25</v>
      </c>
      <c r="I242" s="98">
        <v>-34265.42</v>
      </c>
      <c r="J242" s="98">
        <v>-24392</v>
      </c>
      <c r="K242" s="98">
        <v>-14717.75</v>
      </c>
      <c r="L242" s="99">
        <f>IF(ISNA(VLOOKUP(A242,'[3]OEB Adjusted Financials'!$I$6:$J$188,2,FALSE)),"",VLOOKUP(A242,'[3]OEB Adjusted Financials'!$I$6:$J$188,2,FALSE))</f>
        <v>0</v>
      </c>
      <c r="M242" s="100">
        <f>IF(ISNA(VLOOKUP($A242,'[4]2010 TB'!$A$4:$E$210,5,FALSE)),"",VLOOKUP($A242,'[4]2010 TB'!$A$4:$E$210,5,FALSE))</f>
        <v>0</v>
      </c>
      <c r="N242" s="100">
        <f>IF(ISNA(VLOOKUP($A242,'[5]2011 TB Summary'!$A$4:$J$212,10,FALSE)),"",VLOOKUP($A242,'[5]2011 TB Summary'!$A$4:$J$212,10,FALSE))</f>
        <v>0</v>
      </c>
      <c r="P242" s="113"/>
      <c r="Q242" s="113"/>
    </row>
    <row r="243" spans="1:17" s="101" customFormat="1" ht="15.75">
      <c r="A243" s="96">
        <v>4090</v>
      </c>
      <c r="B243" s="97" t="s">
        <v>478</v>
      </c>
      <c r="C243" s="97" t="s">
        <v>252</v>
      </c>
      <c r="D243" s="97"/>
      <c r="E243" s="98" t="s">
        <v>217</v>
      </c>
      <c r="F243" s="98" t="s">
        <v>217</v>
      </c>
      <c r="G243" s="98" t="s">
        <v>217</v>
      </c>
      <c r="H243" s="98"/>
      <c r="I243" s="98"/>
      <c r="J243" s="98"/>
      <c r="K243" s="98"/>
      <c r="L243" s="99">
        <f>IF(ISNA(VLOOKUP(A243,'[3]OEB Adjusted Financials'!$I$6:$J$188,2,FALSE)),"",VLOOKUP(A243,'[3]OEB Adjusted Financials'!$I$6:$J$188,2,FALSE))</f>
      </c>
      <c r="M243" s="100">
        <f>IF(ISNA(VLOOKUP($A243,'[4]2010 TB'!$A$4:$E$210,5,FALSE)),"",VLOOKUP($A243,'[4]2010 TB'!$A$4:$E$210,5,FALSE))</f>
      </c>
      <c r="N243" s="100">
        <f>IF(ISNA(VLOOKUP($A243,'[5]2011 TB Summary'!$A$4:$J$212,10,FALSE)),"",VLOOKUP($A243,'[5]2011 TB Summary'!$A$4:$J$212,10,FALSE))</f>
      </c>
      <c r="P243" s="113"/>
      <c r="Q243" s="113"/>
    </row>
    <row r="244" spans="1:17" s="101" customFormat="1" ht="15.75">
      <c r="A244" s="96">
        <v>4105</v>
      </c>
      <c r="B244" s="97" t="s">
        <v>479</v>
      </c>
      <c r="C244" s="97" t="s">
        <v>331</v>
      </c>
      <c r="D244" s="97"/>
      <c r="E244" s="98" t="s">
        <v>217</v>
      </c>
      <c r="F244" s="98" t="s">
        <v>217</v>
      </c>
      <c r="G244" s="98" t="s">
        <v>217</v>
      </c>
      <c r="H244" s="98"/>
      <c r="I244" s="98"/>
      <c r="J244" s="98"/>
      <c r="K244" s="98"/>
      <c r="L244" s="99">
        <f>IF(ISNA(VLOOKUP(A244,'[3]OEB Adjusted Financials'!$I$6:$J$188,2,FALSE)),"",VLOOKUP(A244,'[3]OEB Adjusted Financials'!$I$6:$J$188,2,FALSE))</f>
      </c>
      <c r="M244" s="100">
        <f>IF(ISNA(VLOOKUP($A244,'[4]2010 TB'!$A$4:$E$210,5,FALSE)),"",VLOOKUP($A244,'[4]2010 TB'!$A$4:$E$210,5,FALSE))</f>
      </c>
      <c r="N244" s="100">
        <f>IF(ISNA(VLOOKUP($A244,'[5]2011 TB Summary'!$A$4:$J$212,10,FALSE)),"",VLOOKUP($A244,'[5]2011 TB Summary'!$A$4:$J$212,10,FALSE))</f>
      </c>
      <c r="P244" s="113"/>
      <c r="Q244" s="113"/>
    </row>
    <row r="245" spans="1:17" s="101" customFormat="1" ht="15.75">
      <c r="A245" s="96">
        <v>4110</v>
      </c>
      <c r="B245" s="97" t="s">
        <v>480</v>
      </c>
      <c r="C245" s="97" t="s">
        <v>331</v>
      </c>
      <c r="D245" s="97"/>
      <c r="E245" s="98" t="s">
        <v>217</v>
      </c>
      <c r="F245" s="98" t="s">
        <v>217</v>
      </c>
      <c r="G245" s="98" t="s">
        <v>217</v>
      </c>
      <c r="H245" s="98"/>
      <c r="I245" s="98"/>
      <c r="J245" s="98"/>
      <c r="K245" s="98"/>
      <c r="L245" s="99">
        <f>IF(ISNA(VLOOKUP(A245,'[3]OEB Adjusted Financials'!$I$6:$J$188,2,FALSE)),"",VLOOKUP(A245,'[3]OEB Adjusted Financials'!$I$6:$J$188,2,FALSE))</f>
      </c>
      <c r="M245" s="100">
        <f>IF(ISNA(VLOOKUP($A245,'[4]2010 TB'!$A$4:$E$210,5,FALSE)),"",VLOOKUP($A245,'[4]2010 TB'!$A$4:$E$210,5,FALSE))</f>
      </c>
      <c r="N245" s="100">
        <f>IF(ISNA(VLOOKUP($A245,'[5]2011 TB Summary'!$A$4:$J$212,10,FALSE)),"",VLOOKUP($A245,'[5]2011 TB Summary'!$A$4:$J$212,10,FALSE))</f>
      </c>
      <c r="P245" s="113"/>
      <c r="Q245" s="113"/>
    </row>
    <row r="246" spans="1:17" s="101" customFormat="1" ht="15.75">
      <c r="A246" s="96">
        <v>4205</v>
      </c>
      <c r="B246" s="97" t="s">
        <v>481</v>
      </c>
      <c r="C246" s="97" t="s">
        <v>254</v>
      </c>
      <c r="D246" s="97"/>
      <c r="E246" s="98" t="s">
        <v>217</v>
      </c>
      <c r="F246" s="98" t="s">
        <v>217</v>
      </c>
      <c r="G246" s="98" t="s">
        <v>217</v>
      </c>
      <c r="H246" s="98"/>
      <c r="I246" s="98"/>
      <c r="J246" s="98"/>
      <c r="K246" s="98"/>
      <c r="L246" s="99">
        <f>IF(ISNA(VLOOKUP(A246,'[3]OEB Adjusted Financials'!$I$6:$J$188,2,FALSE)),"",VLOOKUP(A246,'[3]OEB Adjusted Financials'!$I$6:$J$188,2,FALSE))</f>
      </c>
      <c r="M246" s="100">
        <f>IF(ISNA(VLOOKUP($A246,'[4]2010 TB'!$A$4:$E$210,5,FALSE)),"",VLOOKUP($A246,'[4]2010 TB'!$A$4:$E$210,5,FALSE))</f>
      </c>
      <c r="N246" s="100">
        <f>IF(ISNA(VLOOKUP($A246,'[5]2011 TB Summary'!$A$4:$J$212,10,FALSE)),"",VLOOKUP($A246,'[5]2011 TB Summary'!$A$4:$J$212,10,FALSE))</f>
      </c>
      <c r="P246" s="113"/>
      <c r="Q246" s="113"/>
    </row>
    <row r="247" spans="1:17" s="101" customFormat="1" ht="15.75">
      <c r="A247" s="96">
        <v>4210</v>
      </c>
      <c r="B247" s="97" t="s">
        <v>482</v>
      </c>
      <c r="C247" s="97" t="s">
        <v>254</v>
      </c>
      <c r="D247" s="97" t="s">
        <v>483</v>
      </c>
      <c r="E247" s="98">
        <v>-709657.57</v>
      </c>
      <c r="F247" s="98">
        <v>-1224960.21</v>
      </c>
      <c r="G247" s="98">
        <v>-1002654.37</v>
      </c>
      <c r="H247" s="98">
        <v>-915904.55</v>
      </c>
      <c r="I247" s="98">
        <v>-1517102.31</v>
      </c>
      <c r="J247" s="98">
        <v>-1358480.7</v>
      </c>
      <c r="K247" s="98">
        <v>-1325428.24</v>
      </c>
      <c r="L247" s="99">
        <f>IF(ISNA(VLOOKUP(A247,'[3]OEB Adjusted Financials'!$I$6:$J$188,2,FALSE)),"",VLOOKUP(A247,'[3]OEB Adjusted Financials'!$I$6:$J$188,2,FALSE))</f>
        <v>-1414683.74</v>
      </c>
      <c r="M247" s="100">
        <f>IF(ISNA(VLOOKUP($A247,'[4]2010 TB'!$A$4:$E$210,5,FALSE)),"",VLOOKUP($A247,'[4]2010 TB'!$A$4:$E$210,5,FALSE))</f>
        <v>-1361532</v>
      </c>
      <c r="N247" s="100">
        <f>IF(ISNA(VLOOKUP($A247,'[5]2011 TB Summary'!$A$4:$J$212,10,FALSE)),"",VLOOKUP($A247,'[5]2011 TB Summary'!$A$4:$J$212,10,FALSE))</f>
        <v>-1194572</v>
      </c>
      <c r="P247" s="113"/>
      <c r="Q247" s="113"/>
    </row>
    <row r="248" spans="1:17" s="101" customFormat="1" ht="15.75">
      <c r="A248" s="96">
        <v>4215</v>
      </c>
      <c r="B248" s="97" t="s">
        <v>484</v>
      </c>
      <c r="C248" s="97" t="s">
        <v>254</v>
      </c>
      <c r="D248" s="97"/>
      <c r="E248" s="98" t="s">
        <v>217</v>
      </c>
      <c r="F248" s="98" t="s">
        <v>217</v>
      </c>
      <c r="G248" s="98" t="s">
        <v>217</v>
      </c>
      <c r="H248" s="98"/>
      <c r="I248" s="98"/>
      <c r="J248" s="98"/>
      <c r="K248" s="98"/>
      <c r="L248" s="99">
        <f>IF(ISNA(VLOOKUP(A248,'[3]OEB Adjusted Financials'!$I$6:$J$188,2,FALSE)),"",VLOOKUP(A248,'[3]OEB Adjusted Financials'!$I$6:$J$188,2,FALSE))</f>
      </c>
      <c r="M248" s="100">
        <f>IF(ISNA(VLOOKUP($A248,'[4]2010 TB'!$A$4:$E$210,5,FALSE)),"",VLOOKUP($A248,'[4]2010 TB'!$A$4:$E$210,5,FALSE))</f>
      </c>
      <c r="N248" s="100">
        <f>IF(ISNA(VLOOKUP($A248,'[5]2011 TB Summary'!$A$4:$J$212,10,FALSE)),"",VLOOKUP($A248,'[5]2011 TB Summary'!$A$4:$J$212,10,FALSE))</f>
      </c>
      <c r="P248" s="113"/>
      <c r="Q248" s="113"/>
    </row>
    <row r="249" spans="1:17" s="101" customFormat="1" ht="15.75">
      <c r="A249" s="96">
        <v>4220</v>
      </c>
      <c r="B249" s="97" t="s">
        <v>485</v>
      </c>
      <c r="C249" s="97" t="s">
        <v>254</v>
      </c>
      <c r="D249" s="97" t="s">
        <v>483</v>
      </c>
      <c r="E249" s="98" t="s">
        <v>217</v>
      </c>
      <c r="F249" s="98" t="s">
        <v>217</v>
      </c>
      <c r="G249" s="98" t="s">
        <v>217</v>
      </c>
      <c r="H249" s="98"/>
      <c r="I249" s="98"/>
      <c r="J249" s="98">
        <v>-229473</v>
      </c>
      <c r="K249" s="98"/>
      <c r="L249" s="99">
        <f>IF(ISNA(VLOOKUP(A249,'[3]OEB Adjusted Financials'!$I$6:$J$188,2,FALSE)),"",VLOOKUP(A249,'[3]OEB Adjusted Financials'!$I$6:$J$188,2,FALSE))</f>
      </c>
      <c r="M249" s="100">
        <f>IF(ISNA(VLOOKUP($A249,'[4]2010 TB'!$A$4:$E$210,5,FALSE)),"",VLOOKUP($A249,'[4]2010 TB'!$A$4:$E$210,5,FALSE))</f>
      </c>
      <c r="N249" s="100">
        <f>IF(ISNA(VLOOKUP($A249,'[5]2011 TB Summary'!$A$4:$J$212,10,FALSE)),"",VLOOKUP($A249,'[5]2011 TB Summary'!$A$4:$J$212,10,FALSE))</f>
      </c>
      <c r="P249" s="113"/>
      <c r="Q249" s="113"/>
    </row>
    <row r="250" spans="1:17" s="101" customFormat="1" ht="15.75">
      <c r="A250" s="96">
        <v>4225</v>
      </c>
      <c r="B250" s="97" t="s">
        <v>486</v>
      </c>
      <c r="C250" s="97" t="s">
        <v>254</v>
      </c>
      <c r="D250" s="97" t="s">
        <v>483</v>
      </c>
      <c r="E250" s="98">
        <v>-707675.15</v>
      </c>
      <c r="F250" s="98">
        <v>-709624.41</v>
      </c>
      <c r="G250" s="98">
        <v>-513988.15</v>
      </c>
      <c r="H250" s="98">
        <v>-645013.65</v>
      </c>
      <c r="I250" s="98">
        <v>-676299.7</v>
      </c>
      <c r="J250" s="98">
        <v>-790906.87</v>
      </c>
      <c r="K250" s="98">
        <v>-1295685.46</v>
      </c>
      <c r="L250" s="99">
        <f>IF(ISNA(VLOOKUP(A250,'[3]OEB Adjusted Financials'!$I$6:$J$188,2,FALSE)),"",VLOOKUP(A250,'[3]OEB Adjusted Financials'!$I$6:$J$188,2,FALSE))</f>
        <v>-883572.33</v>
      </c>
      <c r="M250" s="100">
        <f>IF(ISNA(VLOOKUP($A250,'[4]2010 TB'!$A$4:$E$210,5,FALSE)),"",VLOOKUP($A250,'[4]2010 TB'!$A$4:$E$210,5,FALSE))</f>
        <v>-850000</v>
      </c>
      <c r="N250" s="100">
        <f>IF(ISNA(VLOOKUP($A250,'[5]2011 TB Summary'!$A$4:$J$212,10,FALSE)),"",VLOOKUP($A250,'[5]2011 TB Summary'!$A$4:$J$212,10,FALSE))</f>
        <v>-850000</v>
      </c>
      <c r="P250" s="113"/>
      <c r="Q250" s="113"/>
    </row>
    <row r="251" spans="1:17" s="101" customFormat="1" ht="15.75">
      <c r="A251" s="96">
        <v>4230</v>
      </c>
      <c r="B251" s="97" t="s">
        <v>487</v>
      </c>
      <c r="C251" s="97" t="s">
        <v>254</v>
      </c>
      <c r="D251" s="97"/>
      <c r="E251" s="98" t="s">
        <v>217</v>
      </c>
      <c r="F251" s="98" t="s">
        <v>217</v>
      </c>
      <c r="G251" s="98" t="s">
        <v>217</v>
      </c>
      <c r="H251" s="98"/>
      <c r="I251" s="98"/>
      <c r="J251" s="98"/>
      <c r="K251" s="98"/>
      <c r="L251" s="99">
        <f>IF(ISNA(VLOOKUP(A251,'[3]OEB Adjusted Financials'!$I$6:$J$188,2,FALSE)),"",VLOOKUP(A251,'[3]OEB Adjusted Financials'!$I$6:$J$188,2,FALSE))</f>
      </c>
      <c r="M251" s="100">
        <f>IF(ISNA(VLOOKUP($A251,'[4]2010 TB'!$A$4:$E$210,5,FALSE)),"",VLOOKUP($A251,'[4]2010 TB'!$A$4:$E$210,5,FALSE))</f>
      </c>
      <c r="N251" s="100">
        <f>IF(ISNA(VLOOKUP($A251,'[5]2011 TB Summary'!$A$4:$J$212,10,FALSE)),"",VLOOKUP($A251,'[5]2011 TB Summary'!$A$4:$J$212,10,FALSE))</f>
      </c>
      <c r="P251" s="113"/>
      <c r="Q251" s="113"/>
    </row>
    <row r="252" spans="1:17" s="101" customFormat="1" ht="15.75">
      <c r="A252" s="96">
        <v>4235</v>
      </c>
      <c r="B252" s="97" t="s">
        <v>488</v>
      </c>
      <c r="C252" s="97" t="s">
        <v>254</v>
      </c>
      <c r="D252" s="97" t="s">
        <v>483</v>
      </c>
      <c r="E252" s="98">
        <v>-550745.62</v>
      </c>
      <c r="F252" s="98">
        <v>-623498.71</v>
      </c>
      <c r="G252" s="98">
        <v>-595254.1</v>
      </c>
      <c r="H252" s="98">
        <v>-628534.6</v>
      </c>
      <c r="I252" s="98">
        <v>-1527885.98</v>
      </c>
      <c r="J252" s="98">
        <v>-1773974.6</v>
      </c>
      <c r="K252" s="98">
        <v>-1220817.8</v>
      </c>
      <c r="L252" s="99">
        <f>IF(ISNA(VLOOKUP(A252,'[3]OEB Adjusted Financials'!$I$6:$J$188,2,FALSE)),"",VLOOKUP(A252,'[3]OEB Adjusted Financials'!$I$6:$J$188,2,FALSE))</f>
        <v>-1679654.76</v>
      </c>
      <c r="M252" s="100">
        <f>IF(ISNA(VLOOKUP($A252,'[4]2010 TB'!$A$4:$E$210,5,FALSE)),"",VLOOKUP($A252,'[4]2010 TB'!$A$4:$E$210,5,FALSE))</f>
        <v>-1546798</v>
      </c>
      <c r="N252" s="100">
        <f>IF(ISNA(VLOOKUP($A252,'[5]2011 TB Summary'!$A$4:$J$212,10,FALSE)),"",VLOOKUP($A252,'[5]2011 TB Summary'!$A$4:$J$212,10,FALSE))</f>
        <v>-1545462</v>
      </c>
      <c r="P252" s="113"/>
      <c r="Q252" s="113"/>
    </row>
    <row r="253" spans="1:17" s="101" customFormat="1" ht="15.75">
      <c r="A253" s="96">
        <v>4240</v>
      </c>
      <c r="B253" s="97" t="s">
        <v>489</v>
      </c>
      <c r="C253" s="97" t="s">
        <v>254</v>
      </c>
      <c r="D253" s="97"/>
      <c r="E253" s="98" t="s">
        <v>217</v>
      </c>
      <c r="F253" s="98" t="s">
        <v>217</v>
      </c>
      <c r="G253" s="98" t="s">
        <v>217</v>
      </c>
      <c r="H253" s="98"/>
      <c r="I253" s="98"/>
      <c r="J253" s="98"/>
      <c r="K253" s="98"/>
      <c r="L253" s="99">
        <f>IF(ISNA(VLOOKUP(A253,'[3]OEB Adjusted Financials'!$I$6:$J$188,2,FALSE)),"",VLOOKUP(A253,'[3]OEB Adjusted Financials'!$I$6:$J$188,2,FALSE))</f>
      </c>
      <c r="M253" s="100">
        <f>IF(ISNA(VLOOKUP($A253,'[4]2010 TB'!$A$4:$E$210,5,FALSE)),"",VLOOKUP($A253,'[4]2010 TB'!$A$4:$E$210,5,FALSE))</f>
      </c>
      <c r="N253" s="100">
        <f>IF(ISNA(VLOOKUP($A253,'[5]2011 TB Summary'!$A$4:$J$212,10,FALSE)),"",VLOOKUP($A253,'[5]2011 TB Summary'!$A$4:$J$212,10,FALSE))</f>
      </c>
      <c r="P253" s="113"/>
      <c r="Q253" s="113"/>
    </row>
    <row r="254" spans="1:17" s="101" customFormat="1" ht="15.75">
      <c r="A254" s="96">
        <v>4245</v>
      </c>
      <c r="B254" s="97" t="s">
        <v>490</v>
      </c>
      <c r="C254" s="97" t="s">
        <v>254</v>
      </c>
      <c r="D254" s="97"/>
      <c r="E254" s="98" t="s">
        <v>217</v>
      </c>
      <c r="F254" s="98" t="s">
        <v>217</v>
      </c>
      <c r="G254" s="98" t="s">
        <v>217</v>
      </c>
      <c r="H254" s="98"/>
      <c r="I254" s="98"/>
      <c r="J254" s="98"/>
      <c r="K254" s="98"/>
      <c r="L254" s="99">
        <f>IF(ISNA(VLOOKUP(A254,'[3]OEB Adjusted Financials'!$I$6:$J$188,2,FALSE)),"",VLOOKUP(A254,'[3]OEB Adjusted Financials'!$I$6:$J$188,2,FALSE))</f>
      </c>
      <c r="M254" s="100">
        <f>IF(ISNA(VLOOKUP($A254,'[4]2010 TB'!$A$4:$E$210,5,FALSE)),"",VLOOKUP($A254,'[4]2010 TB'!$A$4:$E$210,5,FALSE))</f>
      </c>
      <c r="N254" s="100">
        <f>IF(ISNA(VLOOKUP($A254,'[5]2011 TB Summary'!$A$4:$J$212,10,FALSE)),"",VLOOKUP($A254,'[5]2011 TB Summary'!$A$4:$J$212,10,FALSE))</f>
      </c>
      <c r="P254" s="113"/>
      <c r="Q254" s="113"/>
    </row>
    <row r="255" spans="1:17" s="101" customFormat="1" ht="15.75">
      <c r="A255" s="96">
        <v>4305</v>
      </c>
      <c r="B255" s="97" t="s">
        <v>491</v>
      </c>
      <c r="C255" s="97" t="s">
        <v>256</v>
      </c>
      <c r="D255" s="97"/>
      <c r="E255" s="98" t="s">
        <v>217</v>
      </c>
      <c r="F255" s="98" t="s">
        <v>217</v>
      </c>
      <c r="G255" s="98" t="s">
        <v>217</v>
      </c>
      <c r="H255" s="98"/>
      <c r="I255" s="98"/>
      <c r="J255" s="98"/>
      <c r="K255" s="98"/>
      <c r="L255" s="99">
        <f>IF(ISNA(VLOOKUP(A255,'[3]OEB Adjusted Financials'!$I$6:$J$188,2,FALSE)),"",VLOOKUP(A255,'[3]OEB Adjusted Financials'!$I$6:$J$188,2,FALSE))</f>
      </c>
      <c r="M255" s="100">
        <f>IF(ISNA(VLOOKUP($A255,'[4]2010 TB'!$A$4:$E$210,5,FALSE)),"",VLOOKUP($A255,'[4]2010 TB'!$A$4:$E$210,5,FALSE))</f>
      </c>
      <c r="N255" s="100">
        <f>IF(ISNA(VLOOKUP($A255,'[5]2011 TB Summary'!$A$4:$J$212,10,FALSE)),"",VLOOKUP($A255,'[5]2011 TB Summary'!$A$4:$J$212,10,FALSE))</f>
      </c>
      <c r="P255" s="113"/>
      <c r="Q255" s="113"/>
    </row>
    <row r="256" spans="1:17" s="101" customFormat="1" ht="15.75">
      <c r="A256" s="96">
        <v>4310</v>
      </c>
      <c r="B256" s="97" t="s">
        <v>492</v>
      </c>
      <c r="C256" s="97" t="s">
        <v>256</v>
      </c>
      <c r="D256" s="97"/>
      <c r="E256" s="98" t="s">
        <v>217</v>
      </c>
      <c r="F256" s="98" t="s">
        <v>217</v>
      </c>
      <c r="G256" s="98" t="s">
        <v>217</v>
      </c>
      <c r="H256" s="98"/>
      <c r="I256" s="98"/>
      <c r="J256" s="98"/>
      <c r="K256" s="98"/>
      <c r="L256" s="99">
        <f>IF(ISNA(VLOOKUP(A256,'[3]OEB Adjusted Financials'!$I$6:$J$188,2,FALSE)),"",VLOOKUP(A256,'[3]OEB Adjusted Financials'!$I$6:$J$188,2,FALSE))</f>
      </c>
      <c r="M256" s="100">
        <f>IF(ISNA(VLOOKUP($A256,'[4]2010 TB'!$A$4:$E$210,5,FALSE)),"",VLOOKUP($A256,'[4]2010 TB'!$A$4:$E$210,5,FALSE))</f>
      </c>
      <c r="N256" s="100">
        <f>IF(ISNA(VLOOKUP($A256,'[5]2011 TB Summary'!$A$4:$J$212,10,FALSE)),"",VLOOKUP($A256,'[5]2011 TB Summary'!$A$4:$J$212,10,FALSE))</f>
      </c>
      <c r="P256" s="113"/>
      <c r="Q256" s="113"/>
    </row>
    <row r="257" spans="1:17" s="101" customFormat="1" ht="15.75">
      <c r="A257" s="96">
        <v>4315</v>
      </c>
      <c r="B257" s="97" t="s">
        <v>493</v>
      </c>
      <c r="C257" s="97" t="s">
        <v>256</v>
      </c>
      <c r="D257" s="97"/>
      <c r="E257" s="98" t="s">
        <v>217</v>
      </c>
      <c r="F257" s="98" t="s">
        <v>217</v>
      </c>
      <c r="G257" s="98" t="s">
        <v>217</v>
      </c>
      <c r="H257" s="98"/>
      <c r="I257" s="98"/>
      <c r="J257" s="98"/>
      <c r="K257" s="98"/>
      <c r="L257" s="99">
        <f>IF(ISNA(VLOOKUP(A257,'[3]OEB Adjusted Financials'!$I$6:$J$188,2,FALSE)),"",VLOOKUP(A257,'[3]OEB Adjusted Financials'!$I$6:$J$188,2,FALSE))</f>
      </c>
      <c r="M257" s="100">
        <f>IF(ISNA(VLOOKUP($A257,'[4]2010 TB'!$A$4:$E$210,5,FALSE)),"",VLOOKUP($A257,'[4]2010 TB'!$A$4:$E$210,5,FALSE))</f>
      </c>
      <c r="N257" s="100">
        <f>IF(ISNA(VLOOKUP($A257,'[5]2011 TB Summary'!$A$4:$J$212,10,FALSE)),"",VLOOKUP($A257,'[5]2011 TB Summary'!$A$4:$J$212,10,FALSE))</f>
      </c>
      <c r="P257" s="113"/>
      <c r="Q257" s="113"/>
    </row>
    <row r="258" spans="1:17" s="101" customFormat="1" ht="15.75">
      <c r="A258" s="96">
        <v>4320</v>
      </c>
      <c r="B258" s="97" t="s">
        <v>494</v>
      </c>
      <c r="C258" s="97" t="s">
        <v>256</v>
      </c>
      <c r="D258" s="97"/>
      <c r="E258" s="98" t="s">
        <v>217</v>
      </c>
      <c r="F258" s="98" t="s">
        <v>217</v>
      </c>
      <c r="G258" s="98" t="s">
        <v>217</v>
      </c>
      <c r="H258" s="98"/>
      <c r="I258" s="98"/>
      <c r="J258" s="98"/>
      <c r="K258" s="98"/>
      <c r="L258" s="99">
        <f>IF(ISNA(VLOOKUP(A258,'[3]OEB Adjusted Financials'!$I$6:$J$188,2,FALSE)),"",VLOOKUP(A258,'[3]OEB Adjusted Financials'!$I$6:$J$188,2,FALSE))</f>
      </c>
      <c r="M258" s="100">
        <f>IF(ISNA(VLOOKUP($A258,'[4]2010 TB'!$A$4:$E$210,5,FALSE)),"",VLOOKUP($A258,'[4]2010 TB'!$A$4:$E$210,5,FALSE))</f>
      </c>
      <c r="N258" s="100">
        <f>IF(ISNA(VLOOKUP($A258,'[5]2011 TB Summary'!$A$4:$J$212,10,FALSE)),"",VLOOKUP($A258,'[5]2011 TB Summary'!$A$4:$J$212,10,FALSE))</f>
      </c>
      <c r="P258" s="113"/>
      <c r="Q258" s="113"/>
    </row>
    <row r="259" spans="1:17" s="101" customFormat="1" ht="15.75">
      <c r="A259" s="96">
        <v>4325</v>
      </c>
      <c r="B259" s="97" t="s">
        <v>495</v>
      </c>
      <c r="C259" s="97" t="s">
        <v>256</v>
      </c>
      <c r="D259" s="97" t="s">
        <v>483</v>
      </c>
      <c r="E259" s="98">
        <v>-1794.65</v>
      </c>
      <c r="F259" s="98">
        <v>-1797.32</v>
      </c>
      <c r="G259" s="98">
        <v>-1320.21</v>
      </c>
      <c r="H259" s="98">
        <v>-17838.04</v>
      </c>
      <c r="I259" s="98">
        <v>-107921.07</v>
      </c>
      <c r="J259" s="98">
        <v>-158946.5</v>
      </c>
      <c r="K259" s="98">
        <v>-145403.05</v>
      </c>
      <c r="L259" s="99">
        <f>IF(ISNA(VLOOKUP(A259,'[3]OEB Adjusted Financials'!$I$6:$J$188,2,FALSE)),"",VLOOKUP(A259,'[3]OEB Adjusted Financials'!$I$6:$J$188,2,FALSE))</f>
        <v>-21731.949999999997</v>
      </c>
      <c r="M259" s="100">
        <f>IF(ISNA(VLOOKUP($A259,'[4]2010 TB'!$A$4:$E$210,5,FALSE)),"",VLOOKUP($A259,'[4]2010 TB'!$A$4:$E$210,5,FALSE))</f>
        <v>0</v>
      </c>
      <c r="N259" s="100">
        <f>IF(ISNA(VLOOKUP($A259,'[5]2011 TB Summary'!$A$4:$J$212,10,FALSE)),"",VLOOKUP($A259,'[5]2011 TB Summary'!$A$4:$J$212,10,FALSE))</f>
        <v>0</v>
      </c>
      <c r="P259" s="113"/>
      <c r="Q259" s="113"/>
    </row>
    <row r="260" spans="1:17" s="101" customFormat="1" ht="15.75">
      <c r="A260" s="96">
        <v>4330</v>
      </c>
      <c r="B260" s="97" t="s">
        <v>496</v>
      </c>
      <c r="C260" s="97" t="s">
        <v>256</v>
      </c>
      <c r="D260" s="97"/>
      <c r="E260" s="98" t="s">
        <v>217</v>
      </c>
      <c r="F260" s="98" t="s">
        <v>217</v>
      </c>
      <c r="G260" s="98" t="s">
        <v>217</v>
      </c>
      <c r="H260" s="98"/>
      <c r="I260" s="98"/>
      <c r="J260" s="98"/>
      <c r="K260" s="98"/>
      <c r="L260" s="99">
        <f>IF(ISNA(VLOOKUP(A260,'[3]OEB Adjusted Financials'!$I$6:$J$188,2,FALSE)),"",VLOOKUP(A260,'[3]OEB Adjusted Financials'!$I$6:$J$188,2,FALSE))</f>
      </c>
      <c r="M260" s="100">
        <f>IF(ISNA(VLOOKUP($A260,'[4]2010 TB'!$A$4:$E$210,5,FALSE)),"",VLOOKUP($A260,'[4]2010 TB'!$A$4:$E$210,5,FALSE))</f>
      </c>
      <c r="N260" s="100">
        <f>IF(ISNA(VLOOKUP($A260,'[5]2011 TB Summary'!$A$4:$J$212,10,FALSE)),"",VLOOKUP($A260,'[5]2011 TB Summary'!$A$4:$J$212,10,FALSE))</f>
      </c>
      <c r="P260" s="113"/>
      <c r="Q260" s="113"/>
    </row>
    <row r="261" spans="1:17" s="101" customFormat="1" ht="15.75">
      <c r="A261" s="96">
        <v>4335</v>
      </c>
      <c r="B261" s="97" t="s">
        <v>497</v>
      </c>
      <c r="C261" s="97" t="s">
        <v>256</v>
      </c>
      <c r="D261" s="97"/>
      <c r="E261" s="98" t="s">
        <v>217</v>
      </c>
      <c r="F261" s="98" t="s">
        <v>217</v>
      </c>
      <c r="G261" s="98" t="s">
        <v>217</v>
      </c>
      <c r="H261" s="98"/>
      <c r="I261" s="98"/>
      <c r="J261" s="98"/>
      <c r="K261" s="98"/>
      <c r="L261" s="99">
        <f>IF(ISNA(VLOOKUP(A261,'[3]OEB Adjusted Financials'!$I$6:$J$188,2,FALSE)),"",VLOOKUP(A261,'[3]OEB Adjusted Financials'!$I$6:$J$188,2,FALSE))</f>
      </c>
      <c r="M261" s="100">
        <f>IF(ISNA(VLOOKUP($A261,'[4]2010 TB'!$A$4:$E$210,5,FALSE)),"",VLOOKUP($A261,'[4]2010 TB'!$A$4:$E$210,5,FALSE))</f>
      </c>
      <c r="N261" s="100">
        <f>IF(ISNA(VLOOKUP($A261,'[5]2011 TB Summary'!$A$4:$J$212,10,FALSE)),"",VLOOKUP($A261,'[5]2011 TB Summary'!$A$4:$J$212,10,FALSE))</f>
      </c>
      <c r="P261" s="113"/>
      <c r="Q261" s="113"/>
    </row>
    <row r="262" spans="1:17" s="101" customFormat="1" ht="15.75">
      <c r="A262" s="96">
        <v>4340</v>
      </c>
      <c r="B262" s="97" t="s">
        <v>498</v>
      </c>
      <c r="C262" s="97" t="s">
        <v>256</v>
      </c>
      <c r="D262" s="97"/>
      <c r="E262" s="98" t="s">
        <v>217</v>
      </c>
      <c r="F262" s="98" t="s">
        <v>217</v>
      </c>
      <c r="G262" s="98" t="s">
        <v>217</v>
      </c>
      <c r="H262" s="98"/>
      <c r="I262" s="98"/>
      <c r="J262" s="98"/>
      <c r="K262" s="98"/>
      <c r="L262" s="99">
        <f>IF(ISNA(VLOOKUP(A262,'[3]OEB Adjusted Financials'!$I$6:$J$188,2,FALSE)),"",VLOOKUP(A262,'[3]OEB Adjusted Financials'!$I$6:$J$188,2,FALSE))</f>
      </c>
      <c r="M262" s="100">
        <f>IF(ISNA(VLOOKUP($A262,'[4]2010 TB'!$A$4:$E$210,5,FALSE)),"",VLOOKUP($A262,'[4]2010 TB'!$A$4:$E$210,5,FALSE))</f>
      </c>
      <c r="N262" s="100">
        <f>IF(ISNA(VLOOKUP($A262,'[5]2011 TB Summary'!$A$4:$J$212,10,FALSE)),"",VLOOKUP($A262,'[5]2011 TB Summary'!$A$4:$J$212,10,FALSE))</f>
      </c>
      <c r="P262" s="113"/>
      <c r="Q262" s="113"/>
    </row>
    <row r="263" spans="1:17" s="101" customFormat="1" ht="15.75">
      <c r="A263" s="96">
        <v>4345</v>
      </c>
      <c r="B263" s="97" t="s">
        <v>499</v>
      </c>
      <c r="C263" s="97" t="s">
        <v>256</v>
      </c>
      <c r="D263" s="97"/>
      <c r="E263" s="98" t="s">
        <v>217</v>
      </c>
      <c r="F263" s="98" t="s">
        <v>217</v>
      </c>
      <c r="G263" s="98" t="s">
        <v>217</v>
      </c>
      <c r="H263" s="98"/>
      <c r="I263" s="98"/>
      <c r="J263" s="98"/>
      <c r="K263" s="98"/>
      <c r="L263" s="99">
        <f>IF(ISNA(VLOOKUP(A263,'[3]OEB Adjusted Financials'!$I$6:$J$188,2,FALSE)),"",VLOOKUP(A263,'[3]OEB Adjusted Financials'!$I$6:$J$188,2,FALSE))</f>
      </c>
      <c r="M263" s="100">
        <f>IF(ISNA(VLOOKUP($A263,'[4]2010 TB'!$A$4:$E$210,5,FALSE)),"",VLOOKUP($A263,'[4]2010 TB'!$A$4:$E$210,5,FALSE))</f>
      </c>
      <c r="N263" s="100">
        <f>IF(ISNA(VLOOKUP($A263,'[5]2011 TB Summary'!$A$4:$J$212,10,FALSE)),"",VLOOKUP($A263,'[5]2011 TB Summary'!$A$4:$J$212,10,FALSE))</f>
      </c>
      <c r="P263" s="113"/>
      <c r="Q263" s="113"/>
    </row>
    <row r="264" spans="1:17" s="101" customFormat="1" ht="15.75">
      <c r="A264" s="96">
        <v>4350</v>
      </c>
      <c r="B264" s="97" t="s">
        <v>500</v>
      </c>
      <c r="C264" s="97" t="s">
        <v>256</v>
      </c>
      <c r="D264" s="97"/>
      <c r="E264" s="98" t="s">
        <v>217</v>
      </c>
      <c r="F264" s="98" t="s">
        <v>217</v>
      </c>
      <c r="G264" s="98" t="s">
        <v>217</v>
      </c>
      <c r="H264" s="98"/>
      <c r="I264" s="98"/>
      <c r="J264" s="98"/>
      <c r="K264" s="98"/>
      <c r="L264" s="99">
        <f>IF(ISNA(VLOOKUP(A264,'[3]OEB Adjusted Financials'!$I$6:$J$188,2,FALSE)),"",VLOOKUP(A264,'[3]OEB Adjusted Financials'!$I$6:$J$188,2,FALSE))</f>
      </c>
      <c r="M264" s="100">
        <f>IF(ISNA(VLOOKUP($A264,'[4]2010 TB'!$A$4:$E$210,5,FALSE)),"",VLOOKUP($A264,'[4]2010 TB'!$A$4:$E$210,5,FALSE))</f>
      </c>
      <c r="N264" s="100">
        <f>IF(ISNA(VLOOKUP($A264,'[5]2011 TB Summary'!$A$4:$J$212,10,FALSE)),"",VLOOKUP($A264,'[5]2011 TB Summary'!$A$4:$J$212,10,FALSE))</f>
      </c>
      <c r="P264" s="113"/>
      <c r="Q264" s="113"/>
    </row>
    <row r="265" spans="1:17" s="101" customFormat="1" ht="15.75">
      <c r="A265" s="96">
        <v>4355</v>
      </c>
      <c r="B265" s="97" t="s">
        <v>501</v>
      </c>
      <c r="C265" s="97" t="s">
        <v>256</v>
      </c>
      <c r="D265" s="97" t="s">
        <v>502</v>
      </c>
      <c r="E265" s="98">
        <v>-66830.57</v>
      </c>
      <c r="F265" s="98">
        <v>-57971.8</v>
      </c>
      <c r="G265" s="98">
        <v>-308533.21</v>
      </c>
      <c r="H265" s="98">
        <v>-107187.44</v>
      </c>
      <c r="I265" s="98">
        <v>-50143.04</v>
      </c>
      <c r="J265" s="98">
        <v>-383743.24</v>
      </c>
      <c r="K265" s="98">
        <v>-270453.3</v>
      </c>
      <c r="L265" s="99">
        <f>IF(ISNA(VLOOKUP(A265,'[3]OEB Adjusted Financials'!$I$6:$J$188,2,FALSE)),"",VLOOKUP(A265,'[3]OEB Adjusted Financials'!$I$6:$J$188,2,FALSE))</f>
        <v>-91544.31</v>
      </c>
      <c r="M265" s="100">
        <f>IF(ISNA(VLOOKUP($A265,'[4]2010 TB'!$A$4:$E$210,5,FALSE)),"",VLOOKUP($A265,'[4]2010 TB'!$A$4:$E$210,5,FALSE))</f>
        <v>0</v>
      </c>
      <c r="N265" s="100">
        <f>IF(ISNA(VLOOKUP($A265,'[5]2011 TB Summary'!$A$4:$J$212,10,FALSE)),"",VLOOKUP($A265,'[5]2011 TB Summary'!$A$4:$J$212,10,FALSE))</f>
        <v>0</v>
      </c>
      <c r="P265" s="113"/>
      <c r="Q265" s="113"/>
    </row>
    <row r="266" spans="1:17" s="101" customFormat="1" ht="15.75">
      <c r="A266" s="96">
        <v>4360</v>
      </c>
      <c r="B266" s="97" t="s">
        <v>503</v>
      </c>
      <c r="C266" s="97" t="s">
        <v>256</v>
      </c>
      <c r="D266" s="97" t="s">
        <v>502</v>
      </c>
      <c r="E266" s="98">
        <v>69782.7</v>
      </c>
      <c r="F266" s="98" t="s">
        <v>217</v>
      </c>
      <c r="G266" s="98" t="s">
        <v>217</v>
      </c>
      <c r="H266" s="98">
        <v>3405.7</v>
      </c>
      <c r="I266" s="98"/>
      <c r="J266" s="98">
        <v>0</v>
      </c>
      <c r="K266" s="98">
        <v>5000</v>
      </c>
      <c r="L266" s="99">
        <f>IF(ISNA(VLOOKUP(A266,'[3]OEB Adjusted Financials'!$I$6:$J$188,2,FALSE)),"",VLOOKUP(A266,'[3]OEB Adjusted Financials'!$I$6:$J$188,2,FALSE))</f>
      </c>
      <c r="M266" s="100">
        <f>IF(ISNA(VLOOKUP($A266,'[4]2010 TB'!$A$4:$E$210,5,FALSE)),"",VLOOKUP($A266,'[4]2010 TB'!$A$4:$E$210,5,FALSE))</f>
      </c>
      <c r="N266" s="100">
        <f>IF(ISNA(VLOOKUP($A266,'[5]2011 TB Summary'!$A$4:$J$212,10,FALSE)),"",VLOOKUP($A266,'[5]2011 TB Summary'!$A$4:$J$212,10,FALSE))</f>
      </c>
      <c r="P266" s="113"/>
      <c r="Q266" s="113"/>
    </row>
    <row r="267" spans="1:17" s="101" customFormat="1" ht="15.75">
      <c r="A267" s="96">
        <v>4365</v>
      </c>
      <c r="B267" s="97" t="s">
        <v>504</v>
      </c>
      <c r="C267" s="97" t="s">
        <v>256</v>
      </c>
      <c r="D267" s="97"/>
      <c r="E267" s="98" t="s">
        <v>217</v>
      </c>
      <c r="F267" s="98" t="s">
        <v>217</v>
      </c>
      <c r="G267" s="98" t="s">
        <v>217</v>
      </c>
      <c r="H267" s="98"/>
      <c r="I267" s="98"/>
      <c r="J267" s="98"/>
      <c r="K267" s="98"/>
      <c r="L267" s="99">
        <f>IF(ISNA(VLOOKUP(A267,'[3]OEB Adjusted Financials'!$I$6:$J$188,2,FALSE)),"",VLOOKUP(A267,'[3]OEB Adjusted Financials'!$I$6:$J$188,2,FALSE))</f>
      </c>
      <c r="M267" s="100">
        <f>IF(ISNA(VLOOKUP($A267,'[4]2010 TB'!$A$4:$E$210,5,FALSE)),"",VLOOKUP($A267,'[4]2010 TB'!$A$4:$E$210,5,FALSE))</f>
      </c>
      <c r="N267" s="100">
        <f>IF(ISNA(VLOOKUP($A267,'[5]2011 TB Summary'!$A$4:$J$212,10,FALSE)),"",VLOOKUP($A267,'[5]2011 TB Summary'!$A$4:$J$212,10,FALSE))</f>
      </c>
      <c r="P267" s="113"/>
      <c r="Q267" s="113"/>
    </row>
    <row r="268" spans="1:17" s="101" customFormat="1" ht="15.75">
      <c r="A268" s="96">
        <v>4370</v>
      </c>
      <c r="B268" s="97" t="s">
        <v>505</v>
      </c>
      <c r="C268" s="97" t="s">
        <v>256</v>
      </c>
      <c r="D268" s="97"/>
      <c r="E268" s="98" t="s">
        <v>217</v>
      </c>
      <c r="F268" s="98" t="s">
        <v>217</v>
      </c>
      <c r="G268" s="98" t="s">
        <v>217</v>
      </c>
      <c r="H268" s="98"/>
      <c r="I268" s="98"/>
      <c r="J268" s="98"/>
      <c r="K268" s="98"/>
      <c r="L268" s="99">
        <f>IF(ISNA(VLOOKUP(A268,'[3]OEB Adjusted Financials'!$I$6:$J$188,2,FALSE)),"",VLOOKUP(A268,'[3]OEB Adjusted Financials'!$I$6:$J$188,2,FALSE))</f>
      </c>
      <c r="M268" s="100">
        <f>IF(ISNA(VLOOKUP($A268,'[4]2010 TB'!$A$4:$E$210,5,FALSE)),"",VLOOKUP($A268,'[4]2010 TB'!$A$4:$E$210,5,FALSE))</f>
      </c>
      <c r="N268" s="100">
        <f>IF(ISNA(VLOOKUP($A268,'[5]2011 TB Summary'!$A$4:$J$212,10,FALSE)),"",VLOOKUP($A268,'[5]2011 TB Summary'!$A$4:$J$212,10,FALSE))</f>
      </c>
      <c r="P268" s="113"/>
      <c r="Q268" s="113"/>
    </row>
    <row r="269" spans="1:17" s="101" customFormat="1" ht="15.75">
      <c r="A269" s="96">
        <v>4375</v>
      </c>
      <c r="B269" s="97" t="s">
        <v>506</v>
      </c>
      <c r="C269" s="97" t="s">
        <v>256</v>
      </c>
      <c r="D269" s="97" t="s">
        <v>483</v>
      </c>
      <c r="E269" s="98" t="s">
        <v>217</v>
      </c>
      <c r="F269" s="98" t="s">
        <v>217</v>
      </c>
      <c r="G269" s="98" t="s">
        <v>217</v>
      </c>
      <c r="H269" s="98"/>
      <c r="I269" s="98"/>
      <c r="J269" s="98"/>
      <c r="K269" s="98">
        <v>-214609.92</v>
      </c>
      <c r="L269" s="99">
        <f>IF(ISNA(VLOOKUP(A269,'[3]OEB Adjusted Financials'!$I$6:$J$188,2,FALSE)),"",VLOOKUP(A269,'[3]OEB Adjusted Financials'!$I$6:$J$188,2,FALSE))</f>
        <v>-2363.69</v>
      </c>
      <c r="M269" s="100">
        <f>IF(ISNA(VLOOKUP($A269,'[4]2010 TB'!$A$4:$E$210,5,FALSE)),"",VLOOKUP($A269,'[4]2010 TB'!$A$4:$E$210,5,FALSE))</f>
        <v>0</v>
      </c>
      <c r="N269" s="100">
        <f>IF(ISNA(VLOOKUP($A269,'[5]2011 TB Summary'!$A$4:$J$212,10,FALSE)),"",VLOOKUP($A269,'[5]2011 TB Summary'!$A$4:$J$212,10,FALSE))</f>
        <v>0</v>
      </c>
      <c r="P269" s="113"/>
      <c r="Q269" s="113"/>
    </row>
    <row r="270" spans="1:17" s="101" customFormat="1" ht="15.75">
      <c r="A270" s="96">
        <v>4380</v>
      </c>
      <c r="B270" s="97" t="s">
        <v>507</v>
      </c>
      <c r="C270" s="97" t="s">
        <v>256</v>
      </c>
      <c r="D270" s="97" t="s">
        <v>508</v>
      </c>
      <c r="E270" s="98" t="s">
        <v>217</v>
      </c>
      <c r="F270" s="98" t="s">
        <v>217</v>
      </c>
      <c r="G270" s="98" t="s">
        <v>217</v>
      </c>
      <c r="H270" s="98"/>
      <c r="I270" s="98">
        <v>693951.47</v>
      </c>
      <c r="J270" s="98"/>
      <c r="K270" s="98"/>
      <c r="L270" s="99">
        <f>IF(ISNA(VLOOKUP(A270,'[3]OEB Adjusted Financials'!$I$6:$J$188,2,FALSE)),"",VLOOKUP(A270,'[3]OEB Adjusted Financials'!$I$6:$J$188,2,FALSE))</f>
      </c>
      <c r="M270" s="100">
        <f>IF(ISNA(VLOOKUP($A270,'[4]2010 TB'!$A$4:$E$210,5,FALSE)),"",VLOOKUP($A270,'[4]2010 TB'!$A$4:$E$210,5,FALSE))</f>
      </c>
      <c r="N270" s="100">
        <f>IF(ISNA(VLOOKUP($A270,'[5]2011 TB Summary'!$A$4:$J$212,10,FALSE)),"",VLOOKUP($A270,'[5]2011 TB Summary'!$A$4:$J$212,10,FALSE))</f>
      </c>
      <c r="P270" s="113"/>
      <c r="Q270" s="113"/>
    </row>
    <row r="271" spans="1:17" s="101" customFormat="1" ht="15.75">
      <c r="A271" s="96">
        <v>4385</v>
      </c>
      <c r="B271" s="97" t="s">
        <v>509</v>
      </c>
      <c r="C271" s="97" t="s">
        <v>256</v>
      </c>
      <c r="D271" s="97"/>
      <c r="E271" s="98" t="s">
        <v>217</v>
      </c>
      <c r="F271" s="98" t="s">
        <v>217</v>
      </c>
      <c r="G271" s="98" t="s">
        <v>217</v>
      </c>
      <c r="H271" s="98"/>
      <c r="I271" s="98"/>
      <c r="J271" s="98"/>
      <c r="K271" s="98"/>
      <c r="L271" s="99">
        <f>IF(ISNA(VLOOKUP(A271,'[3]OEB Adjusted Financials'!$I$6:$J$188,2,FALSE)),"",VLOOKUP(A271,'[3]OEB Adjusted Financials'!$I$6:$J$188,2,FALSE))</f>
      </c>
      <c r="M271" s="100">
        <f>IF(ISNA(VLOOKUP($A271,'[4]2010 TB'!$A$4:$E$210,5,FALSE)),"",VLOOKUP($A271,'[4]2010 TB'!$A$4:$E$210,5,FALSE))</f>
      </c>
      <c r="N271" s="100">
        <f>IF(ISNA(VLOOKUP($A271,'[5]2011 TB Summary'!$A$4:$J$212,10,FALSE)),"",VLOOKUP($A271,'[5]2011 TB Summary'!$A$4:$J$212,10,FALSE))</f>
      </c>
      <c r="P271" s="113"/>
      <c r="Q271" s="113"/>
    </row>
    <row r="272" spans="1:17" s="101" customFormat="1" ht="15.75">
      <c r="A272" s="96">
        <v>4390</v>
      </c>
      <c r="B272" s="97" t="s">
        <v>510</v>
      </c>
      <c r="C272" s="97" t="s">
        <v>256</v>
      </c>
      <c r="D272" s="97" t="s">
        <v>483</v>
      </c>
      <c r="E272" s="98">
        <v>-160755.92</v>
      </c>
      <c r="F272" s="98">
        <v>-542110.62</v>
      </c>
      <c r="G272" s="98">
        <v>-666866.04</v>
      </c>
      <c r="H272" s="98">
        <v>-1087850.82</v>
      </c>
      <c r="I272" s="98">
        <v>-1716430.15</v>
      </c>
      <c r="J272" s="98">
        <v>-1188474.51</v>
      </c>
      <c r="K272" s="98">
        <v>-2028050.71</v>
      </c>
      <c r="L272" s="99">
        <f>IF(ISNA(VLOOKUP(A272,'[3]OEB Adjusted Financials'!$I$6:$J$188,2,FALSE)),"",VLOOKUP(A272,'[3]OEB Adjusted Financials'!$I$6:$J$188,2,FALSE))</f>
        <v>-1252049.4300000004</v>
      </c>
      <c r="M272" s="100">
        <f>IF(ISNA(VLOOKUP($A272,'[4]2010 TB'!$A$4:$E$210,5,FALSE)),"",VLOOKUP($A272,'[4]2010 TB'!$A$4:$E$210,5,FALSE))</f>
        <v>-1261665</v>
      </c>
      <c r="N272" s="100">
        <f>IF(ISNA(VLOOKUP($A272,'[5]2011 TB Summary'!$A$4:$J$212,10,FALSE)),"",VLOOKUP($A272,'[5]2011 TB Summary'!$A$4:$J$212,10,FALSE))</f>
        <v>-1308935.2890625</v>
      </c>
      <c r="P272" s="113"/>
      <c r="Q272" s="113"/>
    </row>
    <row r="273" spans="1:17" s="101" customFormat="1" ht="15.75">
      <c r="A273" s="96">
        <v>4395</v>
      </c>
      <c r="B273" s="97" t="s">
        <v>511</v>
      </c>
      <c r="C273" s="97" t="s">
        <v>256</v>
      </c>
      <c r="D273" s="97"/>
      <c r="E273" s="98" t="s">
        <v>217</v>
      </c>
      <c r="F273" s="98" t="s">
        <v>217</v>
      </c>
      <c r="G273" s="98" t="s">
        <v>217</v>
      </c>
      <c r="H273" s="98"/>
      <c r="I273" s="98"/>
      <c r="J273" s="98"/>
      <c r="K273" s="98"/>
      <c r="L273" s="99">
        <f>IF(ISNA(VLOOKUP(A273,'[3]OEB Adjusted Financials'!$I$6:$J$188,2,FALSE)),"",VLOOKUP(A273,'[3]OEB Adjusted Financials'!$I$6:$J$188,2,FALSE))</f>
      </c>
      <c r="M273" s="100">
        <f>IF(ISNA(VLOOKUP($A273,'[4]2010 TB'!$A$4:$E$210,5,FALSE)),"",VLOOKUP($A273,'[4]2010 TB'!$A$4:$E$210,5,FALSE))</f>
      </c>
      <c r="N273" s="100">
        <f>IF(ISNA(VLOOKUP($A273,'[5]2011 TB Summary'!$A$4:$J$212,10,FALSE)),"",VLOOKUP($A273,'[5]2011 TB Summary'!$A$4:$J$212,10,FALSE))</f>
      </c>
      <c r="P273" s="113"/>
      <c r="Q273" s="113"/>
    </row>
    <row r="274" spans="1:17" s="101" customFormat="1" ht="15.75">
      <c r="A274" s="96">
        <v>4398</v>
      </c>
      <c r="B274" s="97" t="s">
        <v>512</v>
      </c>
      <c r="C274" s="97" t="s">
        <v>256</v>
      </c>
      <c r="D274" s="97"/>
      <c r="E274" s="98" t="s">
        <v>217</v>
      </c>
      <c r="F274" s="98" t="s">
        <v>217</v>
      </c>
      <c r="G274" s="98" t="s">
        <v>217</v>
      </c>
      <c r="H274" s="98"/>
      <c r="I274" s="98"/>
      <c r="J274" s="98"/>
      <c r="K274" s="98"/>
      <c r="L274" s="99">
        <f>IF(ISNA(VLOOKUP(A274,'[3]OEB Adjusted Financials'!$I$6:$J$188,2,FALSE)),"",VLOOKUP(A274,'[3]OEB Adjusted Financials'!$I$6:$J$188,2,FALSE))</f>
      </c>
      <c r="M274" s="100">
        <f>IF(ISNA(VLOOKUP($A274,'[4]2010 TB'!$A$4:$E$210,5,FALSE)),"",VLOOKUP($A274,'[4]2010 TB'!$A$4:$E$210,5,FALSE))</f>
      </c>
      <c r="N274" s="100">
        <f>IF(ISNA(VLOOKUP($A274,'[5]2011 TB Summary'!$A$4:$J$212,10,FALSE)),"",VLOOKUP($A274,'[5]2011 TB Summary'!$A$4:$J$212,10,FALSE))</f>
      </c>
      <c r="P274" s="113"/>
      <c r="Q274" s="113"/>
    </row>
    <row r="275" spans="1:17" s="101" customFormat="1" ht="15.75">
      <c r="A275" s="96">
        <v>4405</v>
      </c>
      <c r="B275" s="97" t="s">
        <v>513</v>
      </c>
      <c r="C275" s="97" t="s">
        <v>258</v>
      </c>
      <c r="D275" s="97" t="s">
        <v>514</v>
      </c>
      <c r="E275" s="98">
        <v>-1181453.61</v>
      </c>
      <c r="F275" s="98">
        <v>-1198931.15</v>
      </c>
      <c r="G275" s="98">
        <v>-1066993.14</v>
      </c>
      <c r="H275" s="98">
        <v>-621658.89</v>
      </c>
      <c r="I275" s="98">
        <v>-1110139.69</v>
      </c>
      <c r="J275" s="98">
        <v>-403365.06</v>
      </c>
      <c r="K275" s="98">
        <v>-145866.07</v>
      </c>
      <c r="L275" s="99">
        <f>IF(ISNA(VLOOKUP(A275,'[3]OEB Adjusted Financials'!$I$6:$J$188,2,FALSE)),"",VLOOKUP(A275,'[3]OEB Adjusted Financials'!$I$6:$J$188,2,FALSE))</f>
        <v>-13465.009999999998</v>
      </c>
      <c r="M275" s="100">
        <f>IF(ISNA(VLOOKUP($A275,'[4]2010 TB'!$A$4:$E$210,5,FALSE)),"",VLOOKUP($A275,'[4]2010 TB'!$A$4:$E$210,5,FALSE))</f>
        <v>0</v>
      </c>
      <c r="N275" s="100">
        <f>IF(ISNA(VLOOKUP($A275,'[5]2011 TB Summary'!$A$4:$J$212,10,FALSE)),"",VLOOKUP($A275,'[5]2011 TB Summary'!$A$4:$J$212,10,FALSE))</f>
        <v>0</v>
      </c>
      <c r="P275" s="113"/>
      <c r="Q275" s="113"/>
    </row>
    <row r="276" spans="1:17" s="101" customFormat="1" ht="15.75">
      <c r="A276" s="96">
        <v>4415</v>
      </c>
      <c r="B276" s="97" t="s">
        <v>515</v>
      </c>
      <c r="C276" s="97" t="s">
        <v>258</v>
      </c>
      <c r="D276" s="97"/>
      <c r="E276" s="98" t="s">
        <v>217</v>
      </c>
      <c r="F276" s="98" t="s">
        <v>217</v>
      </c>
      <c r="G276" s="98" t="s">
        <v>217</v>
      </c>
      <c r="H276" s="98"/>
      <c r="I276" s="98"/>
      <c r="J276" s="98"/>
      <c r="K276" s="98"/>
      <c r="L276" s="99">
        <f>IF(ISNA(VLOOKUP(A276,'[3]OEB Adjusted Financials'!$I$6:$J$188,2,FALSE)),"",VLOOKUP(A276,'[3]OEB Adjusted Financials'!$I$6:$J$188,2,FALSE))</f>
      </c>
      <c r="M276" s="100">
        <f>IF(ISNA(VLOOKUP($A276,'[4]2010 TB'!$A$4:$E$210,5,FALSE)),"",VLOOKUP($A276,'[4]2010 TB'!$A$4:$E$210,5,FALSE))</f>
      </c>
      <c r="N276" s="100">
        <f>IF(ISNA(VLOOKUP($A276,'[5]2011 TB Summary'!$A$4:$J$212,10,FALSE)),"",VLOOKUP($A276,'[5]2011 TB Summary'!$A$4:$J$212,10,FALSE))</f>
      </c>
      <c r="P276" s="113"/>
      <c r="Q276" s="113"/>
    </row>
    <row r="277" spans="1:17" s="101" customFormat="1" ht="15.75">
      <c r="A277" s="96">
        <v>4505</v>
      </c>
      <c r="B277" s="97" t="s">
        <v>516</v>
      </c>
      <c r="C277" s="97" t="s">
        <v>331</v>
      </c>
      <c r="D277" s="97"/>
      <c r="E277" s="98" t="s">
        <v>217</v>
      </c>
      <c r="F277" s="98" t="s">
        <v>217</v>
      </c>
      <c r="G277" s="98" t="s">
        <v>217</v>
      </c>
      <c r="H277" s="98"/>
      <c r="I277" s="98"/>
      <c r="J277" s="98"/>
      <c r="K277" s="98"/>
      <c r="L277" s="99">
        <f>IF(ISNA(VLOOKUP(A277,'[3]OEB Adjusted Financials'!$I$6:$J$188,2,FALSE)),"",VLOOKUP(A277,'[3]OEB Adjusted Financials'!$I$6:$J$188,2,FALSE))</f>
      </c>
      <c r="M277" s="100">
        <f>IF(ISNA(VLOOKUP($A277,'[4]2010 TB'!$A$4:$E$210,5,FALSE)),"",VLOOKUP($A277,'[4]2010 TB'!$A$4:$E$210,5,FALSE))</f>
      </c>
      <c r="N277" s="100">
        <f>IF(ISNA(VLOOKUP($A277,'[5]2011 TB Summary'!$A$4:$J$212,10,FALSE)),"",VLOOKUP($A277,'[5]2011 TB Summary'!$A$4:$J$212,10,FALSE))</f>
      </c>
      <c r="P277" s="113"/>
      <c r="Q277" s="113"/>
    </row>
    <row r="278" spans="1:17" s="101" customFormat="1" ht="15.75">
      <c r="A278" s="96">
        <v>4510</v>
      </c>
      <c r="B278" s="97" t="s">
        <v>517</v>
      </c>
      <c r="C278" s="97" t="s">
        <v>331</v>
      </c>
      <c r="D278" s="97"/>
      <c r="E278" s="98" t="s">
        <v>217</v>
      </c>
      <c r="F278" s="98" t="s">
        <v>217</v>
      </c>
      <c r="G278" s="98" t="s">
        <v>217</v>
      </c>
      <c r="H278" s="98"/>
      <c r="I278" s="98"/>
      <c r="J278" s="98"/>
      <c r="K278" s="98"/>
      <c r="L278" s="99">
        <f>IF(ISNA(VLOOKUP(A278,'[3]OEB Adjusted Financials'!$I$6:$J$188,2,FALSE)),"",VLOOKUP(A278,'[3]OEB Adjusted Financials'!$I$6:$J$188,2,FALSE))</f>
      </c>
      <c r="M278" s="100">
        <f>IF(ISNA(VLOOKUP($A278,'[4]2010 TB'!$A$4:$E$210,5,FALSE)),"",VLOOKUP($A278,'[4]2010 TB'!$A$4:$E$210,5,FALSE))</f>
      </c>
      <c r="N278" s="100">
        <f>IF(ISNA(VLOOKUP($A278,'[5]2011 TB Summary'!$A$4:$J$212,10,FALSE)),"",VLOOKUP($A278,'[5]2011 TB Summary'!$A$4:$J$212,10,FALSE))</f>
      </c>
      <c r="P278" s="113"/>
      <c r="Q278" s="113"/>
    </row>
    <row r="279" spans="1:17" s="101" customFormat="1" ht="15.75">
      <c r="A279" s="96">
        <v>4515</v>
      </c>
      <c r="B279" s="97" t="s">
        <v>518</v>
      </c>
      <c r="C279" s="97" t="s">
        <v>331</v>
      </c>
      <c r="D279" s="97"/>
      <c r="E279" s="98" t="s">
        <v>217</v>
      </c>
      <c r="F279" s="98" t="s">
        <v>217</v>
      </c>
      <c r="G279" s="98" t="s">
        <v>217</v>
      </c>
      <c r="H279" s="98"/>
      <c r="I279" s="98"/>
      <c r="J279" s="98"/>
      <c r="K279" s="98"/>
      <c r="L279" s="99">
        <f>IF(ISNA(VLOOKUP(A279,'[3]OEB Adjusted Financials'!$I$6:$J$188,2,FALSE)),"",VLOOKUP(A279,'[3]OEB Adjusted Financials'!$I$6:$J$188,2,FALSE))</f>
      </c>
      <c r="M279" s="100">
        <f>IF(ISNA(VLOOKUP($A279,'[4]2010 TB'!$A$4:$E$210,5,FALSE)),"",VLOOKUP($A279,'[4]2010 TB'!$A$4:$E$210,5,FALSE))</f>
      </c>
      <c r="N279" s="100">
        <f>IF(ISNA(VLOOKUP($A279,'[5]2011 TB Summary'!$A$4:$J$212,10,FALSE)),"",VLOOKUP($A279,'[5]2011 TB Summary'!$A$4:$J$212,10,FALSE))</f>
      </c>
      <c r="P279" s="113"/>
      <c r="Q279" s="113"/>
    </row>
    <row r="280" spans="1:17" s="101" customFormat="1" ht="15.75">
      <c r="A280" s="96">
        <v>4520</v>
      </c>
      <c r="B280" s="97" t="s">
        <v>519</v>
      </c>
      <c r="C280" s="97" t="s">
        <v>331</v>
      </c>
      <c r="D280" s="97"/>
      <c r="E280" s="98" t="s">
        <v>217</v>
      </c>
      <c r="F280" s="98" t="s">
        <v>217</v>
      </c>
      <c r="G280" s="98" t="s">
        <v>217</v>
      </c>
      <c r="H280" s="98"/>
      <c r="I280" s="98"/>
      <c r="J280" s="98"/>
      <c r="K280" s="98"/>
      <c r="L280" s="99">
        <f>IF(ISNA(VLOOKUP(A280,'[3]OEB Adjusted Financials'!$I$6:$J$188,2,FALSE)),"",VLOOKUP(A280,'[3]OEB Adjusted Financials'!$I$6:$J$188,2,FALSE))</f>
      </c>
      <c r="M280" s="100">
        <f>IF(ISNA(VLOOKUP($A280,'[4]2010 TB'!$A$4:$E$210,5,FALSE)),"",VLOOKUP($A280,'[4]2010 TB'!$A$4:$E$210,5,FALSE))</f>
      </c>
      <c r="N280" s="100">
        <f>IF(ISNA(VLOOKUP($A280,'[5]2011 TB Summary'!$A$4:$J$212,10,FALSE)),"",VLOOKUP($A280,'[5]2011 TB Summary'!$A$4:$J$212,10,FALSE))</f>
      </c>
      <c r="P280" s="113"/>
      <c r="Q280" s="113"/>
    </row>
    <row r="281" spans="1:17" s="101" customFormat="1" ht="15.75">
      <c r="A281" s="96">
        <v>4525</v>
      </c>
      <c r="B281" s="97" t="s">
        <v>520</v>
      </c>
      <c r="C281" s="97" t="s">
        <v>331</v>
      </c>
      <c r="D281" s="97"/>
      <c r="E281" s="98" t="s">
        <v>217</v>
      </c>
      <c r="F281" s="98" t="s">
        <v>217</v>
      </c>
      <c r="G281" s="98" t="s">
        <v>217</v>
      </c>
      <c r="H281" s="98"/>
      <c r="I281" s="98"/>
      <c r="J281" s="98"/>
      <c r="K281" s="98"/>
      <c r="L281" s="99">
        <f>IF(ISNA(VLOOKUP(A281,'[3]OEB Adjusted Financials'!$I$6:$J$188,2,FALSE)),"",VLOOKUP(A281,'[3]OEB Adjusted Financials'!$I$6:$J$188,2,FALSE))</f>
      </c>
      <c r="M281" s="100">
        <f>IF(ISNA(VLOOKUP($A281,'[4]2010 TB'!$A$4:$E$210,5,FALSE)),"",VLOOKUP($A281,'[4]2010 TB'!$A$4:$E$210,5,FALSE))</f>
      </c>
      <c r="N281" s="100">
        <f>IF(ISNA(VLOOKUP($A281,'[5]2011 TB Summary'!$A$4:$J$212,10,FALSE)),"",VLOOKUP($A281,'[5]2011 TB Summary'!$A$4:$J$212,10,FALSE))</f>
      </c>
      <c r="P281" s="113"/>
      <c r="Q281" s="113"/>
    </row>
    <row r="282" spans="1:17" s="101" customFormat="1" ht="15.75">
      <c r="A282" s="96">
        <v>4530</v>
      </c>
      <c r="B282" s="97" t="s">
        <v>521</v>
      </c>
      <c r="C282" s="97" t="s">
        <v>331</v>
      </c>
      <c r="D282" s="97"/>
      <c r="E282" s="98" t="s">
        <v>217</v>
      </c>
      <c r="F282" s="98" t="s">
        <v>217</v>
      </c>
      <c r="G282" s="98" t="s">
        <v>217</v>
      </c>
      <c r="H282" s="98"/>
      <c r="I282" s="98"/>
      <c r="J282" s="98"/>
      <c r="K282" s="98"/>
      <c r="L282" s="99">
        <f>IF(ISNA(VLOOKUP(A282,'[3]OEB Adjusted Financials'!$I$6:$J$188,2,FALSE)),"",VLOOKUP(A282,'[3]OEB Adjusted Financials'!$I$6:$J$188,2,FALSE))</f>
      </c>
      <c r="M282" s="100">
        <f>IF(ISNA(VLOOKUP($A282,'[4]2010 TB'!$A$4:$E$210,5,FALSE)),"",VLOOKUP($A282,'[4]2010 TB'!$A$4:$E$210,5,FALSE))</f>
      </c>
      <c r="N282" s="100">
        <f>IF(ISNA(VLOOKUP($A282,'[5]2011 TB Summary'!$A$4:$J$212,10,FALSE)),"",VLOOKUP($A282,'[5]2011 TB Summary'!$A$4:$J$212,10,FALSE))</f>
      </c>
      <c r="P282" s="113"/>
      <c r="Q282" s="113"/>
    </row>
    <row r="283" spans="1:17" s="101" customFormat="1" ht="15.75">
      <c r="A283" s="96">
        <v>4535</v>
      </c>
      <c r="B283" s="97" t="s">
        <v>522</v>
      </c>
      <c r="C283" s="97" t="s">
        <v>331</v>
      </c>
      <c r="D283" s="97"/>
      <c r="E283" s="98" t="s">
        <v>217</v>
      </c>
      <c r="F283" s="98" t="s">
        <v>217</v>
      </c>
      <c r="G283" s="98" t="s">
        <v>217</v>
      </c>
      <c r="H283" s="98"/>
      <c r="I283" s="98"/>
      <c r="J283" s="98"/>
      <c r="K283" s="98"/>
      <c r="L283" s="99">
        <f>IF(ISNA(VLOOKUP(A283,'[3]OEB Adjusted Financials'!$I$6:$J$188,2,FALSE)),"",VLOOKUP(A283,'[3]OEB Adjusted Financials'!$I$6:$J$188,2,FALSE))</f>
      </c>
      <c r="M283" s="100">
        <f>IF(ISNA(VLOOKUP($A283,'[4]2010 TB'!$A$4:$E$210,5,FALSE)),"",VLOOKUP($A283,'[4]2010 TB'!$A$4:$E$210,5,FALSE))</f>
      </c>
      <c r="N283" s="100">
        <f>IF(ISNA(VLOOKUP($A283,'[5]2011 TB Summary'!$A$4:$J$212,10,FALSE)),"",VLOOKUP($A283,'[5]2011 TB Summary'!$A$4:$J$212,10,FALSE))</f>
      </c>
      <c r="P283" s="113"/>
      <c r="Q283" s="113"/>
    </row>
    <row r="284" spans="1:17" s="101" customFormat="1" ht="15.75">
      <c r="A284" s="96">
        <v>4540</v>
      </c>
      <c r="B284" s="97" t="s">
        <v>523</v>
      </c>
      <c r="C284" s="97" t="s">
        <v>331</v>
      </c>
      <c r="D284" s="97"/>
      <c r="E284" s="98" t="s">
        <v>217</v>
      </c>
      <c r="F284" s="98" t="s">
        <v>217</v>
      </c>
      <c r="G284" s="98" t="s">
        <v>217</v>
      </c>
      <c r="H284" s="98"/>
      <c r="I284" s="98"/>
      <c r="J284" s="98"/>
      <c r="K284" s="98"/>
      <c r="L284" s="99">
        <f>IF(ISNA(VLOOKUP(A284,'[3]OEB Adjusted Financials'!$I$6:$J$188,2,FALSE)),"",VLOOKUP(A284,'[3]OEB Adjusted Financials'!$I$6:$J$188,2,FALSE))</f>
      </c>
      <c r="M284" s="100">
        <f>IF(ISNA(VLOOKUP($A284,'[4]2010 TB'!$A$4:$E$210,5,FALSE)),"",VLOOKUP($A284,'[4]2010 TB'!$A$4:$E$210,5,FALSE))</f>
      </c>
      <c r="N284" s="100">
        <f>IF(ISNA(VLOOKUP($A284,'[5]2011 TB Summary'!$A$4:$J$212,10,FALSE)),"",VLOOKUP($A284,'[5]2011 TB Summary'!$A$4:$J$212,10,FALSE))</f>
      </c>
      <c r="P284" s="113"/>
      <c r="Q284" s="113"/>
    </row>
    <row r="285" spans="1:17" s="101" customFormat="1" ht="15.75">
      <c r="A285" s="96">
        <v>4545</v>
      </c>
      <c r="B285" s="97" t="s">
        <v>524</v>
      </c>
      <c r="C285" s="97" t="s">
        <v>331</v>
      </c>
      <c r="D285" s="97"/>
      <c r="E285" s="98" t="s">
        <v>217</v>
      </c>
      <c r="F285" s="98" t="s">
        <v>217</v>
      </c>
      <c r="G285" s="98" t="s">
        <v>217</v>
      </c>
      <c r="H285" s="98"/>
      <c r="I285" s="98"/>
      <c r="J285" s="98"/>
      <c r="K285" s="98"/>
      <c r="L285" s="99">
        <f>IF(ISNA(VLOOKUP(A285,'[3]OEB Adjusted Financials'!$I$6:$J$188,2,FALSE)),"",VLOOKUP(A285,'[3]OEB Adjusted Financials'!$I$6:$J$188,2,FALSE))</f>
      </c>
      <c r="M285" s="100">
        <f>IF(ISNA(VLOOKUP($A285,'[4]2010 TB'!$A$4:$E$210,5,FALSE)),"",VLOOKUP($A285,'[4]2010 TB'!$A$4:$E$210,5,FALSE))</f>
      </c>
      <c r="N285" s="100">
        <f>IF(ISNA(VLOOKUP($A285,'[5]2011 TB Summary'!$A$4:$J$212,10,FALSE)),"",VLOOKUP($A285,'[5]2011 TB Summary'!$A$4:$J$212,10,FALSE))</f>
      </c>
      <c r="P285" s="113"/>
      <c r="Q285" s="113"/>
    </row>
    <row r="286" spans="1:17" s="101" customFormat="1" ht="15.75">
      <c r="A286" s="96">
        <v>4550</v>
      </c>
      <c r="B286" s="97" t="s">
        <v>525</v>
      </c>
      <c r="C286" s="97" t="s">
        <v>331</v>
      </c>
      <c r="D286" s="97"/>
      <c r="E286" s="98" t="s">
        <v>217</v>
      </c>
      <c r="F286" s="98" t="s">
        <v>217</v>
      </c>
      <c r="G286" s="98" t="s">
        <v>217</v>
      </c>
      <c r="H286" s="98"/>
      <c r="I286" s="98"/>
      <c r="J286" s="98"/>
      <c r="K286" s="98"/>
      <c r="L286" s="99">
        <f>IF(ISNA(VLOOKUP(A286,'[3]OEB Adjusted Financials'!$I$6:$J$188,2,FALSE)),"",VLOOKUP(A286,'[3]OEB Adjusted Financials'!$I$6:$J$188,2,FALSE))</f>
      </c>
      <c r="M286" s="100">
        <f>IF(ISNA(VLOOKUP($A286,'[4]2010 TB'!$A$4:$E$210,5,FALSE)),"",VLOOKUP($A286,'[4]2010 TB'!$A$4:$E$210,5,FALSE))</f>
      </c>
      <c r="N286" s="100">
        <f>IF(ISNA(VLOOKUP($A286,'[5]2011 TB Summary'!$A$4:$J$212,10,FALSE)),"",VLOOKUP($A286,'[5]2011 TB Summary'!$A$4:$J$212,10,FALSE))</f>
      </c>
      <c r="P286" s="113"/>
      <c r="Q286" s="113"/>
    </row>
    <row r="287" spans="1:17" s="101" customFormat="1" ht="15.75">
      <c r="A287" s="96">
        <v>4555</v>
      </c>
      <c r="B287" s="97" t="s">
        <v>526</v>
      </c>
      <c r="C287" s="97" t="s">
        <v>331</v>
      </c>
      <c r="D287" s="97"/>
      <c r="E287" s="98" t="s">
        <v>217</v>
      </c>
      <c r="F287" s="98" t="s">
        <v>217</v>
      </c>
      <c r="G287" s="98" t="s">
        <v>217</v>
      </c>
      <c r="H287" s="98"/>
      <c r="I287" s="98"/>
      <c r="J287" s="98"/>
      <c r="K287" s="98"/>
      <c r="L287" s="99">
        <f>IF(ISNA(VLOOKUP(A287,'[3]OEB Adjusted Financials'!$I$6:$J$188,2,FALSE)),"",VLOOKUP(A287,'[3]OEB Adjusted Financials'!$I$6:$J$188,2,FALSE))</f>
      </c>
      <c r="M287" s="100">
        <f>IF(ISNA(VLOOKUP($A287,'[4]2010 TB'!$A$4:$E$210,5,FALSE)),"",VLOOKUP($A287,'[4]2010 TB'!$A$4:$E$210,5,FALSE))</f>
      </c>
      <c r="N287" s="100">
        <f>IF(ISNA(VLOOKUP($A287,'[5]2011 TB Summary'!$A$4:$J$212,10,FALSE)),"",VLOOKUP($A287,'[5]2011 TB Summary'!$A$4:$J$212,10,FALSE))</f>
      </c>
      <c r="P287" s="113"/>
      <c r="Q287" s="113"/>
    </row>
    <row r="288" spans="1:17" s="101" customFormat="1" ht="15.75">
      <c r="A288" s="96">
        <v>4560</v>
      </c>
      <c r="B288" s="97" t="s">
        <v>527</v>
      </c>
      <c r="C288" s="97" t="s">
        <v>331</v>
      </c>
      <c r="D288" s="97"/>
      <c r="E288" s="98" t="s">
        <v>217</v>
      </c>
      <c r="F288" s="98" t="s">
        <v>217</v>
      </c>
      <c r="G288" s="98" t="s">
        <v>217</v>
      </c>
      <c r="H288" s="98"/>
      <c r="I288" s="98"/>
      <c r="J288" s="98"/>
      <c r="K288" s="98"/>
      <c r="L288" s="99">
        <f>IF(ISNA(VLOOKUP(A288,'[3]OEB Adjusted Financials'!$I$6:$J$188,2,FALSE)),"",VLOOKUP(A288,'[3]OEB Adjusted Financials'!$I$6:$J$188,2,FALSE))</f>
      </c>
      <c r="M288" s="100">
        <f>IF(ISNA(VLOOKUP($A288,'[4]2010 TB'!$A$4:$E$210,5,FALSE)),"",VLOOKUP($A288,'[4]2010 TB'!$A$4:$E$210,5,FALSE))</f>
      </c>
      <c r="N288" s="100">
        <f>IF(ISNA(VLOOKUP($A288,'[5]2011 TB Summary'!$A$4:$J$212,10,FALSE)),"",VLOOKUP($A288,'[5]2011 TB Summary'!$A$4:$J$212,10,FALSE))</f>
      </c>
      <c r="P288" s="113"/>
      <c r="Q288" s="113"/>
    </row>
    <row r="289" spans="1:17" s="101" customFormat="1" ht="15.75">
      <c r="A289" s="96">
        <v>4565</v>
      </c>
      <c r="B289" s="97" t="s">
        <v>528</v>
      </c>
      <c r="C289" s="97" t="s">
        <v>331</v>
      </c>
      <c r="D289" s="97"/>
      <c r="E289" s="98" t="s">
        <v>217</v>
      </c>
      <c r="F289" s="98" t="s">
        <v>217</v>
      </c>
      <c r="G289" s="98" t="s">
        <v>217</v>
      </c>
      <c r="H289" s="98"/>
      <c r="I289" s="98"/>
      <c r="J289" s="98"/>
      <c r="K289" s="98"/>
      <c r="L289" s="99">
        <f>IF(ISNA(VLOOKUP(A289,'[3]OEB Adjusted Financials'!$I$6:$J$188,2,FALSE)),"",VLOOKUP(A289,'[3]OEB Adjusted Financials'!$I$6:$J$188,2,FALSE))</f>
      </c>
      <c r="M289" s="100">
        <f>IF(ISNA(VLOOKUP($A289,'[4]2010 TB'!$A$4:$E$210,5,FALSE)),"",VLOOKUP($A289,'[4]2010 TB'!$A$4:$E$210,5,FALSE))</f>
      </c>
      <c r="N289" s="100">
        <f>IF(ISNA(VLOOKUP($A289,'[5]2011 TB Summary'!$A$4:$J$212,10,FALSE)),"",VLOOKUP($A289,'[5]2011 TB Summary'!$A$4:$J$212,10,FALSE))</f>
      </c>
      <c r="P289" s="113"/>
      <c r="Q289" s="113"/>
    </row>
    <row r="290" spans="1:17" s="101" customFormat="1" ht="15.75">
      <c r="A290" s="96">
        <v>4605</v>
      </c>
      <c r="B290" s="97" t="s">
        <v>529</v>
      </c>
      <c r="C290" s="97" t="s">
        <v>331</v>
      </c>
      <c r="D290" s="97"/>
      <c r="E290" s="98" t="s">
        <v>217</v>
      </c>
      <c r="F290" s="98" t="s">
        <v>217</v>
      </c>
      <c r="G290" s="98" t="s">
        <v>217</v>
      </c>
      <c r="H290" s="98"/>
      <c r="I290" s="98"/>
      <c r="J290" s="98"/>
      <c r="K290" s="98"/>
      <c r="L290" s="99">
        <f>IF(ISNA(VLOOKUP(A290,'[3]OEB Adjusted Financials'!$I$6:$J$188,2,FALSE)),"",VLOOKUP(A290,'[3]OEB Adjusted Financials'!$I$6:$J$188,2,FALSE))</f>
      </c>
      <c r="M290" s="100">
        <f>IF(ISNA(VLOOKUP($A290,'[4]2010 TB'!$A$4:$E$210,5,FALSE)),"",VLOOKUP($A290,'[4]2010 TB'!$A$4:$E$210,5,FALSE))</f>
      </c>
      <c r="N290" s="100">
        <f>IF(ISNA(VLOOKUP($A290,'[5]2011 TB Summary'!$A$4:$J$212,10,FALSE)),"",VLOOKUP($A290,'[5]2011 TB Summary'!$A$4:$J$212,10,FALSE))</f>
      </c>
      <c r="P290" s="113"/>
      <c r="Q290" s="113"/>
    </row>
    <row r="291" spans="1:17" s="101" customFormat="1" ht="15.75">
      <c r="A291" s="96">
        <v>4610</v>
      </c>
      <c r="B291" s="97" t="s">
        <v>530</v>
      </c>
      <c r="C291" s="97" t="s">
        <v>331</v>
      </c>
      <c r="D291" s="97"/>
      <c r="E291" s="98" t="s">
        <v>217</v>
      </c>
      <c r="F291" s="98" t="s">
        <v>217</v>
      </c>
      <c r="G291" s="98" t="s">
        <v>217</v>
      </c>
      <c r="H291" s="98"/>
      <c r="I291" s="98"/>
      <c r="J291" s="98"/>
      <c r="K291" s="98"/>
      <c r="L291" s="99">
        <f>IF(ISNA(VLOOKUP(A291,'[3]OEB Adjusted Financials'!$I$6:$J$188,2,FALSE)),"",VLOOKUP(A291,'[3]OEB Adjusted Financials'!$I$6:$J$188,2,FALSE))</f>
      </c>
      <c r="M291" s="100">
        <f>IF(ISNA(VLOOKUP($A291,'[4]2010 TB'!$A$4:$E$210,5,FALSE)),"",VLOOKUP($A291,'[4]2010 TB'!$A$4:$E$210,5,FALSE))</f>
      </c>
      <c r="N291" s="100">
        <f>IF(ISNA(VLOOKUP($A291,'[5]2011 TB Summary'!$A$4:$J$212,10,FALSE)),"",VLOOKUP($A291,'[5]2011 TB Summary'!$A$4:$J$212,10,FALSE))</f>
      </c>
      <c r="P291" s="113"/>
      <c r="Q291" s="113"/>
    </row>
    <row r="292" spans="1:17" s="101" customFormat="1" ht="15.75">
      <c r="A292" s="96">
        <v>4615</v>
      </c>
      <c r="B292" s="97" t="s">
        <v>531</v>
      </c>
      <c r="C292" s="97" t="s">
        <v>331</v>
      </c>
      <c r="D292" s="97"/>
      <c r="E292" s="98" t="s">
        <v>217</v>
      </c>
      <c r="F292" s="98" t="s">
        <v>217</v>
      </c>
      <c r="G292" s="98" t="s">
        <v>217</v>
      </c>
      <c r="H292" s="98"/>
      <c r="I292" s="98"/>
      <c r="J292" s="98"/>
      <c r="K292" s="98"/>
      <c r="L292" s="99">
        <f>IF(ISNA(VLOOKUP(A292,'[3]OEB Adjusted Financials'!$I$6:$J$188,2,FALSE)),"",VLOOKUP(A292,'[3]OEB Adjusted Financials'!$I$6:$J$188,2,FALSE))</f>
        <v>0</v>
      </c>
      <c r="M292" s="100">
        <f>IF(ISNA(VLOOKUP($A292,'[4]2010 TB'!$A$4:$E$210,5,FALSE)),"",VLOOKUP($A292,'[4]2010 TB'!$A$4:$E$210,5,FALSE))</f>
        <v>0</v>
      </c>
      <c r="N292" s="100">
        <f>IF(ISNA(VLOOKUP($A292,'[5]2011 TB Summary'!$A$4:$J$212,10,FALSE)),"",VLOOKUP($A292,'[5]2011 TB Summary'!$A$4:$J$212,10,FALSE))</f>
        <v>0</v>
      </c>
      <c r="P292" s="113"/>
      <c r="Q292" s="113"/>
    </row>
    <row r="293" spans="1:17" s="101" customFormat="1" ht="15.75">
      <c r="A293" s="96">
        <v>4620</v>
      </c>
      <c r="B293" s="97" t="s">
        <v>532</v>
      </c>
      <c r="C293" s="97" t="s">
        <v>331</v>
      </c>
      <c r="D293" s="97"/>
      <c r="E293" s="98" t="s">
        <v>217</v>
      </c>
      <c r="F293" s="98" t="s">
        <v>217</v>
      </c>
      <c r="G293" s="98" t="s">
        <v>217</v>
      </c>
      <c r="H293" s="98"/>
      <c r="I293" s="98"/>
      <c r="J293" s="98"/>
      <c r="K293" s="98"/>
      <c r="L293" s="99">
        <f>IF(ISNA(VLOOKUP(A293,'[3]OEB Adjusted Financials'!$I$6:$J$188,2,FALSE)),"",VLOOKUP(A293,'[3]OEB Adjusted Financials'!$I$6:$J$188,2,FALSE))</f>
      </c>
      <c r="M293" s="100">
        <f>IF(ISNA(VLOOKUP($A293,'[4]2010 TB'!$A$4:$E$210,5,FALSE)),"",VLOOKUP($A293,'[4]2010 TB'!$A$4:$E$210,5,FALSE))</f>
      </c>
      <c r="N293" s="100">
        <f>IF(ISNA(VLOOKUP($A293,'[5]2011 TB Summary'!$A$4:$J$212,10,FALSE)),"",VLOOKUP($A293,'[5]2011 TB Summary'!$A$4:$J$212,10,FALSE))</f>
      </c>
      <c r="P293" s="113"/>
      <c r="Q293" s="113"/>
    </row>
    <row r="294" spans="1:17" s="101" customFormat="1" ht="15.75">
      <c r="A294" s="96">
        <v>4625</v>
      </c>
      <c r="B294" s="97" t="s">
        <v>533</v>
      </c>
      <c r="C294" s="97" t="s">
        <v>331</v>
      </c>
      <c r="D294" s="97"/>
      <c r="E294" s="98" t="s">
        <v>217</v>
      </c>
      <c r="F294" s="98" t="s">
        <v>217</v>
      </c>
      <c r="G294" s="98" t="s">
        <v>217</v>
      </c>
      <c r="H294" s="98"/>
      <c r="I294" s="98"/>
      <c r="J294" s="98"/>
      <c r="K294" s="98"/>
      <c r="L294" s="99">
        <f>IF(ISNA(VLOOKUP(A294,'[3]OEB Adjusted Financials'!$I$6:$J$188,2,FALSE)),"",VLOOKUP(A294,'[3]OEB Adjusted Financials'!$I$6:$J$188,2,FALSE))</f>
      </c>
      <c r="M294" s="100">
        <f>IF(ISNA(VLOOKUP($A294,'[4]2010 TB'!$A$4:$E$210,5,FALSE)),"",VLOOKUP($A294,'[4]2010 TB'!$A$4:$E$210,5,FALSE))</f>
      </c>
      <c r="N294" s="100">
        <f>IF(ISNA(VLOOKUP($A294,'[5]2011 TB Summary'!$A$4:$J$212,10,FALSE)),"",VLOOKUP($A294,'[5]2011 TB Summary'!$A$4:$J$212,10,FALSE))</f>
      </c>
      <c r="P294" s="113"/>
      <c r="Q294" s="113"/>
    </row>
    <row r="295" spans="1:17" s="101" customFormat="1" ht="15.75">
      <c r="A295" s="96">
        <v>4630</v>
      </c>
      <c r="B295" s="97" t="s">
        <v>534</v>
      </c>
      <c r="C295" s="97" t="s">
        <v>331</v>
      </c>
      <c r="D295" s="97"/>
      <c r="E295" s="98" t="s">
        <v>217</v>
      </c>
      <c r="F295" s="98" t="s">
        <v>217</v>
      </c>
      <c r="G295" s="98" t="s">
        <v>217</v>
      </c>
      <c r="H295" s="98"/>
      <c r="I295" s="98"/>
      <c r="J295" s="98"/>
      <c r="K295" s="98"/>
      <c r="L295" s="99">
        <f>IF(ISNA(VLOOKUP(A295,'[3]OEB Adjusted Financials'!$I$6:$J$188,2,FALSE)),"",VLOOKUP(A295,'[3]OEB Adjusted Financials'!$I$6:$J$188,2,FALSE))</f>
      </c>
      <c r="M295" s="100">
        <f>IF(ISNA(VLOOKUP($A295,'[4]2010 TB'!$A$4:$E$210,5,FALSE)),"",VLOOKUP($A295,'[4]2010 TB'!$A$4:$E$210,5,FALSE))</f>
      </c>
      <c r="N295" s="100">
        <f>IF(ISNA(VLOOKUP($A295,'[5]2011 TB Summary'!$A$4:$J$212,10,FALSE)),"",VLOOKUP($A295,'[5]2011 TB Summary'!$A$4:$J$212,10,FALSE))</f>
      </c>
      <c r="P295" s="113"/>
      <c r="Q295" s="113"/>
    </row>
    <row r="296" spans="1:17" s="101" customFormat="1" ht="15.75">
      <c r="A296" s="96">
        <v>4635</v>
      </c>
      <c r="B296" s="97" t="s">
        <v>535</v>
      </c>
      <c r="C296" s="97" t="s">
        <v>331</v>
      </c>
      <c r="D296" s="97"/>
      <c r="E296" s="98" t="s">
        <v>217</v>
      </c>
      <c r="F296" s="98" t="s">
        <v>217</v>
      </c>
      <c r="G296" s="98" t="s">
        <v>217</v>
      </c>
      <c r="H296" s="98"/>
      <c r="I296" s="98"/>
      <c r="J296" s="98"/>
      <c r="K296" s="98"/>
      <c r="L296" s="99">
        <f>IF(ISNA(VLOOKUP(A296,'[3]OEB Adjusted Financials'!$I$6:$J$188,2,FALSE)),"",VLOOKUP(A296,'[3]OEB Adjusted Financials'!$I$6:$J$188,2,FALSE))</f>
        <v>0</v>
      </c>
      <c r="M296" s="100">
        <f>IF(ISNA(VLOOKUP($A296,'[4]2010 TB'!$A$4:$E$210,5,FALSE)),"",VLOOKUP($A296,'[4]2010 TB'!$A$4:$E$210,5,FALSE))</f>
        <v>0</v>
      </c>
      <c r="N296" s="100">
        <f>IF(ISNA(VLOOKUP($A296,'[5]2011 TB Summary'!$A$4:$J$212,10,FALSE)),"",VLOOKUP($A296,'[5]2011 TB Summary'!$A$4:$J$212,10,FALSE))</f>
        <v>0</v>
      </c>
      <c r="P296" s="113"/>
      <c r="Q296" s="113"/>
    </row>
    <row r="297" spans="1:17" s="101" customFormat="1" ht="15.75">
      <c r="A297" s="96">
        <v>4640</v>
      </c>
      <c r="B297" s="97" t="s">
        <v>536</v>
      </c>
      <c r="C297" s="97" t="s">
        <v>331</v>
      </c>
      <c r="D297" s="97"/>
      <c r="E297" s="98" t="s">
        <v>217</v>
      </c>
      <c r="F297" s="98" t="s">
        <v>217</v>
      </c>
      <c r="G297" s="98" t="s">
        <v>217</v>
      </c>
      <c r="H297" s="98"/>
      <c r="I297" s="98"/>
      <c r="J297" s="98"/>
      <c r="K297" s="98"/>
      <c r="L297" s="99">
        <f>IF(ISNA(VLOOKUP(A297,'[3]OEB Adjusted Financials'!$I$6:$J$188,2,FALSE)),"",VLOOKUP(A297,'[3]OEB Adjusted Financials'!$I$6:$J$188,2,FALSE))</f>
      </c>
      <c r="M297" s="100">
        <f>IF(ISNA(VLOOKUP($A297,'[4]2010 TB'!$A$4:$E$210,5,FALSE)),"",VLOOKUP($A297,'[4]2010 TB'!$A$4:$E$210,5,FALSE))</f>
      </c>
      <c r="N297" s="100">
        <f>IF(ISNA(VLOOKUP($A297,'[5]2011 TB Summary'!$A$4:$J$212,10,FALSE)),"",VLOOKUP($A297,'[5]2011 TB Summary'!$A$4:$J$212,10,FALSE))</f>
      </c>
      <c r="P297" s="113"/>
      <c r="Q297" s="113"/>
    </row>
    <row r="298" spans="1:17" s="101" customFormat="1" ht="15.75">
      <c r="A298" s="96">
        <v>4705</v>
      </c>
      <c r="B298" s="97" t="s">
        <v>537</v>
      </c>
      <c r="C298" s="97" t="s">
        <v>269</v>
      </c>
      <c r="D298" s="97"/>
      <c r="E298" s="98">
        <v>325556903</v>
      </c>
      <c r="F298" s="98">
        <v>212481077</v>
      </c>
      <c r="G298" s="98">
        <v>213139100</v>
      </c>
      <c r="H298" s="98">
        <v>341496280.17</v>
      </c>
      <c r="I298" s="98">
        <v>305306444.91</v>
      </c>
      <c r="J298" s="98">
        <v>307041758</v>
      </c>
      <c r="K298" s="98">
        <v>278581657.36</v>
      </c>
      <c r="L298" s="99">
        <f>IF(ISNA(VLOOKUP(A298,'[3]OEB Adjusted Financials'!$I$6:$J$188,2,FALSE)),"",VLOOKUP(A298,'[3]OEB Adjusted Financials'!$I$6:$J$188,2,FALSE))</f>
        <v>213392186.39000002</v>
      </c>
      <c r="M298" s="100">
        <f>IF(ISNA(VLOOKUP($A298,'[4]2010 TB'!$A$4:$E$210,5,FALSE)),"",VLOOKUP($A298,'[4]2010 TB'!$A$4:$E$210,5,FALSE))</f>
        <v>213392186.39000002</v>
      </c>
      <c r="N298" s="100">
        <f>IF(ISNA(VLOOKUP($A298,'[5]2011 TB Summary'!$A$4:$J$212,10,FALSE)),"",VLOOKUP($A298,'[5]2011 TB Summary'!$A$4:$J$212,10,FALSE))</f>
        <v>213392186.39000002</v>
      </c>
      <c r="P298" s="113"/>
      <c r="Q298" s="113"/>
    </row>
    <row r="299" spans="1:17" s="101" customFormat="1" ht="15.75">
      <c r="A299" s="96">
        <v>4708</v>
      </c>
      <c r="B299" s="97" t="s">
        <v>538</v>
      </c>
      <c r="C299" s="97" t="s">
        <v>269</v>
      </c>
      <c r="D299" s="97"/>
      <c r="E299" s="98">
        <v>16065402</v>
      </c>
      <c r="F299" s="98">
        <v>22563967</v>
      </c>
      <c r="G299" s="98">
        <v>22428777</v>
      </c>
      <c r="H299" s="98">
        <v>34285349.42</v>
      </c>
      <c r="I299" s="98">
        <v>22258762.96</v>
      </c>
      <c r="J299" s="98">
        <v>27093235.49</v>
      </c>
      <c r="K299" s="98">
        <v>29495969.14</v>
      </c>
      <c r="L299" s="99">
        <f>IF(ISNA(VLOOKUP(A299,'[3]OEB Adjusted Financials'!$I$6:$J$188,2,FALSE)),"",VLOOKUP(A299,'[3]OEB Adjusted Financials'!$I$6:$J$188,2,FALSE))</f>
        <v>28568553.37</v>
      </c>
      <c r="M299" s="100">
        <f>IF(ISNA(VLOOKUP($A299,'[4]2010 TB'!$A$4:$E$210,5,FALSE)),"",VLOOKUP($A299,'[4]2010 TB'!$A$4:$E$210,5,FALSE))</f>
        <v>28568553.37</v>
      </c>
      <c r="N299" s="100">
        <f>IF(ISNA(VLOOKUP($A299,'[5]2011 TB Summary'!$A$4:$J$212,10,FALSE)),"",VLOOKUP($A299,'[5]2011 TB Summary'!$A$4:$J$212,10,FALSE))</f>
        <v>28568553.37</v>
      </c>
      <c r="P299" s="113"/>
      <c r="Q299" s="113"/>
    </row>
    <row r="300" spans="1:17" s="101" customFormat="1" ht="15.75">
      <c r="A300" s="96">
        <v>4710</v>
      </c>
      <c r="B300" s="97" t="s">
        <v>539</v>
      </c>
      <c r="C300" s="97" t="s">
        <v>269</v>
      </c>
      <c r="D300" s="97"/>
      <c r="E300" s="98" t="s">
        <v>217</v>
      </c>
      <c r="F300" s="98" t="s">
        <v>217</v>
      </c>
      <c r="G300" s="98" t="s">
        <v>217</v>
      </c>
      <c r="H300" s="98"/>
      <c r="I300" s="98"/>
      <c r="J300" s="98">
        <v>0</v>
      </c>
      <c r="K300" s="98">
        <v>15312720.95</v>
      </c>
      <c r="L300" s="99">
        <f>IF(ISNA(VLOOKUP(A300,'[3]OEB Adjusted Financials'!$I$6:$J$188,2,FALSE)),"",VLOOKUP(A300,'[3]OEB Adjusted Financials'!$I$6:$J$188,2,FALSE))</f>
        <v>71588493.84</v>
      </c>
      <c r="M300" s="100">
        <f>IF(ISNA(VLOOKUP($A300,'[4]2010 TB'!$A$4:$E$210,5,FALSE)),"",VLOOKUP($A300,'[4]2010 TB'!$A$4:$E$210,5,FALSE))</f>
        <v>71588493.84</v>
      </c>
      <c r="N300" s="100">
        <f>IF(ISNA(VLOOKUP($A300,'[5]2011 TB Summary'!$A$4:$J$212,10,FALSE)),"",VLOOKUP($A300,'[5]2011 TB Summary'!$A$4:$J$212,10,FALSE))</f>
        <v>71588493.84</v>
      </c>
      <c r="P300" s="113"/>
      <c r="Q300" s="113"/>
    </row>
    <row r="301" spans="1:17" s="101" customFormat="1" ht="15.75">
      <c r="A301" s="96">
        <v>4712</v>
      </c>
      <c r="B301" s="97" t="s">
        <v>540</v>
      </c>
      <c r="C301" s="97" t="s">
        <v>269</v>
      </c>
      <c r="D301" s="97"/>
      <c r="E301" s="98" t="s">
        <v>217</v>
      </c>
      <c r="F301" s="98" t="s">
        <v>217</v>
      </c>
      <c r="G301" s="98" t="s">
        <v>217</v>
      </c>
      <c r="H301" s="98">
        <v>304250.59</v>
      </c>
      <c r="I301" s="98"/>
      <c r="J301" s="98"/>
      <c r="K301" s="98">
        <v>0</v>
      </c>
      <c r="L301" s="99">
        <f>IF(ISNA(VLOOKUP(A301,'[3]OEB Adjusted Financials'!$I$6:$J$188,2,FALSE)),"",VLOOKUP(A301,'[3]OEB Adjusted Financials'!$I$6:$J$188,2,FALSE))</f>
      </c>
      <c r="M301" s="100">
        <f>IF(ISNA(VLOOKUP($A301,'[4]2010 TB'!$A$4:$E$210,5,FALSE)),"",VLOOKUP($A301,'[4]2010 TB'!$A$4:$E$210,5,FALSE))</f>
      </c>
      <c r="N301" s="100">
        <f>IF(ISNA(VLOOKUP($A301,'[5]2011 TB Summary'!$A$4:$J$212,10,FALSE)),"",VLOOKUP($A301,'[5]2011 TB Summary'!$A$4:$J$212,10,FALSE))</f>
      </c>
      <c r="P301" s="113"/>
      <c r="Q301" s="113"/>
    </row>
    <row r="302" spans="1:17" s="101" customFormat="1" ht="15.75">
      <c r="A302" s="96">
        <v>4714</v>
      </c>
      <c r="B302" s="97" t="s">
        <v>541</v>
      </c>
      <c r="C302" s="97" t="s">
        <v>269</v>
      </c>
      <c r="D302" s="97"/>
      <c r="E302" s="98">
        <v>19407075</v>
      </c>
      <c r="F302" s="98">
        <v>27156275</v>
      </c>
      <c r="G302" s="98">
        <v>26969545</v>
      </c>
      <c r="H302" s="98">
        <v>34307460.620000005</v>
      </c>
      <c r="I302" s="98">
        <v>33390758.74</v>
      </c>
      <c r="J302" s="98">
        <v>32024089.28000001</v>
      </c>
      <c r="K302" s="98">
        <v>25329696.66</v>
      </c>
      <c r="L302" s="99">
        <f>IF(ISNA(VLOOKUP(A302,'[3]OEB Adjusted Financials'!$I$6:$J$188,2,FALSE)),"",VLOOKUP(A302,'[3]OEB Adjusted Financials'!$I$6:$J$188,2,FALSE))</f>
        <v>25634368.85</v>
      </c>
      <c r="M302" s="100">
        <f>IF(ISNA(VLOOKUP($A302,'[4]2010 TB'!$A$4:$E$210,5,FALSE)),"",VLOOKUP($A302,'[4]2010 TB'!$A$4:$E$210,5,FALSE))</f>
        <v>25634368.85</v>
      </c>
      <c r="N302" s="100">
        <f>IF(ISNA(VLOOKUP($A302,'[5]2011 TB Summary'!$A$4:$J$212,10,FALSE)),"",VLOOKUP($A302,'[5]2011 TB Summary'!$A$4:$J$212,10,FALSE))</f>
        <v>25634368.85</v>
      </c>
      <c r="P302" s="113"/>
      <c r="Q302" s="113"/>
    </row>
    <row r="303" spans="1:17" s="101" customFormat="1" ht="15.75">
      <c r="A303" s="96">
        <v>4715</v>
      </c>
      <c r="B303" s="97" t="s">
        <v>542</v>
      </c>
      <c r="C303" s="97" t="s">
        <v>269</v>
      </c>
      <c r="D303" s="97"/>
      <c r="E303" s="98" t="s">
        <v>217</v>
      </c>
      <c r="F303" s="98" t="s">
        <v>217</v>
      </c>
      <c r="G303" s="98" t="s">
        <v>217</v>
      </c>
      <c r="H303" s="98"/>
      <c r="I303" s="98"/>
      <c r="J303" s="98"/>
      <c r="K303" s="98"/>
      <c r="L303" s="99">
        <f>IF(ISNA(VLOOKUP(A303,'[3]OEB Adjusted Financials'!$I$6:$J$188,2,FALSE)),"",VLOOKUP(A303,'[3]OEB Adjusted Financials'!$I$6:$J$188,2,FALSE))</f>
      </c>
      <c r="M303" s="100">
        <f>IF(ISNA(VLOOKUP($A303,'[4]2010 TB'!$A$4:$E$210,5,FALSE)),"",VLOOKUP($A303,'[4]2010 TB'!$A$4:$E$210,5,FALSE))</f>
      </c>
      <c r="N303" s="100">
        <f>IF(ISNA(VLOOKUP($A303,'[5]2011 TB Summary'!$A$4:$J$212,10,FALSE)),"",VLOOKUP($A303,'[5]2011 TB Summary'!$A$4:$J$212,10,FALSE))</f>
      </c>
      <c r="P303" s="113"/>
      <c r="Q303" s="113"/>
    </row>
    <row r="304" spans="1:17" s="101" customFormat="1" ht="15.75">
      <c r="A304" s="96">
        <v>4716</v>
      </c>
      <c r="B304" s="97" t="s">
        <v>543</v>
      </c>
      <c r="C304" s="97" t="s">
        <v>269</v>
      </c>
      <c r="D304" s="97"/>
      <c r="E304" s="98">
        <v>16726596</v>
      </c>
      <c r="F304" s="98">
        <v>23239534</v>
      </c>
      <c r="G304" s="98">
        <v>23313974</v>
      </c>
      <c r="H304" s="98">
        <v>29646430.08</v>
      </c>
      <c r="I304" s="98">
        <v>29872235.47</v>
      </c>
      <c r="J304" s="98">
        <v>28176608.15</v>
      </c>
      <c r="K304" s="98">
        <v>25142670.15</v>
      </c>
      <c r="L304" s="99">
        <f>IF(ISNA(VLOOKUP(A304,'[3]OEB Adjusted Financials'!$I$6:$J$188,2,FALSE)),"",VLOOKUP(A304,'[3]OEB Adjusted Financials'!$I$6:$J$188,2,FALSE))</f>
        <v>23276543.37</v>
      </c>
      <c r="M304" s="100">
        <f>IF(ISNA(VLOOKUP($A304,'[4]2010 TB'!$A$4:$E$210,5,FALSE)),"",VLOOKUP($A304,'[4]2010 TB'!$A$4:$E$210,5,FALSE))</f>
        <v>23276543.37</v>
      </c>
      <c r="N304" s="100">
        <f>IF(ISNA(VLOOKUP($A304,'[5]2011 TB Summary'!$A$4:$J$212,10,FALSE)),"",VLOOKUP($A304,'[5]2011 TB Summary'!$A$4:$J$212,10,FALSE))</f>
        <v>23276543.37</v>
      </c>
      <c r="P304" s="113"/>
      <c r="Q304" s="113"/>
    </row>
    <row r="305" spans="1:17" s="101" customFormat="1" ht="15.75">
      <c r="A305" s="96">
        <v>4720</v>
      </c>
      <c r="B305" s="97" t="s">
        <v>275</v>
      </c>
      <c r="C305" s="97" t="s">
        <v>269</v>
      </c>
      <c r="D305" s="97"/>
      <c r="E305" s="98" t="s">
        <v>217</v>
      </c>
      <c r="F305" s="98" t="s">
        <v>217</v>
      </c>
      <c r="G305" s="98" t="s">
        <v>217</v>
      </c>
      <c r="H305" s="98"/>
      <c r="I305" s="98"/>
      <c r="J305" s="98"/>
      <c r="K305" s="98"/>
      <c r="L305" s="99">
        <f>IF(ISNA(VLOOKUP(A305,'[3]OEB Adjusted Financials'!$I$6:$J$188,2,FALSE)),"",VLOOKUP(A305,'[3]OEB Adjusted Financials'!$I$6:$J$188,2,FALSE))</f>
      </c>
      <c r="M305" s="100">
        <f>IF(ISNA(VLOOKUP($A305,'[4]2010 TB'!$A$4:$E$210,5,FALSE)),"",VLOOKUP($A305,'[4]2010 TB'!$A$4:$E$210,5,FALSE))</f>
        <v>0</v>
      </c>
      <c r="N305" s="100">
        <f>IF(ISNA(VLOOKUP($A305,'[5]2011 TB Summary'!$A$4:$J$212,10,FALSE)),"",VLOOKUP($A305,'[5]2011 TB Summary'!$A$4:$J$212,10,FALSE))</f>
        <v>0</v>
      </c>
      <c r="P305" s="113"/>
      <c r="Q305" s="113"/>
    </row>
    <row r="306" spans="1:17" s="101" customFormat="1" ht="15.75">
      <c r="A306" s="96">
        <v>4725</v>
      </c>
      <c r="B306" s="97" t="s">
        <v>544</v>
      </c>
      <c r="C306" s="97" t="s">
        <v>269</v>
      </c>
      <c r="D306" s="97"/>
      <c r="E306" s="98" t="s">
        <v>217</v>
      </c>
      <c r="F306" s="98" t="s">
        <v>217</v>
      </c>
      <c r="G306" s="98" t="s">
        <v>217</v>
      </c>
      <c r="H306" s="98"/>
      <c r="I306" s="98"/>
      <c r="J306" s="98"/>
      <c r="K306" s="98"/>
      <c r="L306" s="99">
        <f>IF(ISNA(VLOOKUP(A306,'[3]OEB Adjusted Financials'!$I$6:$J$188,2,FALSE)),"",VLOOKUP(A306,'[3]OEB Adjusted Financials'!$I$6:$J$188,2,FALSE))</f>
      </c>
      <c r="M306" s="100">
        <f>IF(ISNA(VLOOKUP($A306,'[4]2010 TB'!$A$4:$E$210,5,FALSE)),"",VLOOKUP($A306,'[4]2010 TB'!$A$4:$E$210,5,FALSE))</f>
      </c>
      <c r="N306" s="100">
        <f>IF(ISNA(VLOOKUP($A306,'[5]2011 TB Summary'!$A$4:$J$212,10,FALSE)),"",VLOOKUP($A306,'[5]2011 TB Summary'!$A$4:$J$212,10,FALSE))</f>
      </c>
      <c r="P306" s="113"/>
      <c r="Q306" s="113"/>
    </row>
    <row r="307" spans="1:17" s="101" customFormat="1" ht="15.75">
      <c r="A307" s="96">
        <v>4730</v>
      </c>
      <c r="B307" s="97" t="s">
        <v>545</v>
      </c>
      <c r="C307" s="97" t="s">
        <v>269</v>
      </c>
      <c r="D307" s="97"/>
      <c r="E307" s="98">
        <v>3058388</v>
      </c>
      <c r="F307" s="98">
        <v>4353509</v>
      </c>
      <c r="G307" s="98">
        <v>4309568</v>
      </c>
      <c r="H307" s="98">
        <v>5760863.409999999</v>
      </c>
      <c r="I307" s="98">
        <v>5490514.54</v>
      </c>
      <c r="J307" s="98"/>
      <c r="K307" s="98"/>
      <c r="L307" s="99">
        <f>IF(ISNA(VLOOKUP(A307,'[3]OEB Adjusted Financials'!$I$6:$J$188,2,FALSE)),"",VLOOKUP(A307,'[3]OEB Adjusted Financials'!$I$6:$J$188,2,FALSE))</f>
      </c>
      <c r="M307" s="100">
        <f>IF(ISNA(VLOOKUP($A307,'[4]2010 TB'!$A$4:$E$210,5,FALSE)),"",VLOOKUP($A307,'[4]2010 TB'!$A$4:$E$210,5,FALSE))</f>
      </c>
      <c r="N307" s="100">
        <f>IF(ISNA(VLOOKUP($A307,'[5]2011 TB Summary'!$A$4:$J$212,10,FALSE)),"",VLOOKUP($A307,'[5]2011 TB Summary'!$A$4:$J$212,10,FALSE))</f>
      </c>
      <c r="P307" s="113"/>
      <c r="Q307" s="113"/>
    </row>
    <row r="308" spans="1:17" s="101" customFormat="1" ht="15.75">
      <c r="A308" s="96">
        <v>4750</v>
      </c>
      <c r="B308" s="97" t="s">
        <v>546</v>
      </c>
      <c r="C308" s="97" t="s">
        <v>269</v>
      </c>
      <c r="D308" s="97"/>
      <c r="E308" s="98"/>
      <c r="F308" s="98"/>
      <c r="G308" s="98"/>
      <c r="H308" s="98"/>
      <c r="I308" s="98"/>
      <c r="J308" s="98">
        <v>193430.88</v>
      </c>
      <c r="K308" s="98">
        <v>177941.96</v>
      </c>
      <c r="L308" s="99">
        <f>IF(ISNA(VLOOKUP(A308,'[3]OEB Adjusted Financials'!$I$6:$J$188,2,FALSE)),"",VLOOKUP(A308,'[3]OEB Adjusted Financials'!$I$6:$J$188,2,FALSE))</f>
        <v>164506.26</v>
      </c>
      <c r="M308" s="100">
        <f>IF(ISNA(VLOOKUP($A308,'[4]2010 TB'!$A$4:$E$210,5,FALSE)),"",VLOOKUP($A308,'[4]2010 TB'!$A$4:$E$210,5,FALSE))</f>
        <v>164506.26</v>
      </c>
      <c r="N308" s="100">
        <f>IF(ISNA(VLOOKUP($A308,'[5]2011 TB Summary'!$A$4:$J$212,10,FALSE)),"",VLOOKUP($A308,'[5]2011 TB Summary'!$A$4:$J$212,10,FALSE))</f>
        <v>164506.26</v>
      </c>
      <c r="P308" s="113"/>
      <c r="Q308" s="113"/>
    </row>
    <row r="309" spans="1:17" s="101" customFormat="1" ht="15.75">
      <c r="A309" s="96">
        <v>4805</v>
      </c>
      <c r="B309" s="97" t="s">
        <v>516</v>
      </c>
      <c r="C309" s="97" t="s">
        <v>331</v>
      </c>
      <c r="D309" s="97"/>
      <c r="E309" s="98" t="s">
        <v>217</v>
      </c>
      <c r="F309" s="98" t="s">
        <v>217</v>
      </c>
      <c r="G309" s="98" t="s">
        <v>217</v>
      </c>
      <c r="H309" s="98"/>
      <c r="I309" s="98"/>
      <c r="J309" s="98"/>
      <c r="K309" s="98"/>
      <c r="L309" s="99">
        <f>IF(ISNA(VLOOKUP(A309,'[3]OEB Adjusted Financials'!$I$6:$J$188,2,FALSE)),"",VLOOKUP(A309,'[3]OEB Adjusted Financials'!$I$6:$J$188,2,FALSE))</f>
      </c>
      <c r="M309" s="100">
        <f>IF(ISNA(VLOOKUP($A309,'[4]2010 TB'!$A$4:$E$210,5,FALSE)),"",VLOOKUP($A309,'[4]2010 TB'!$A$4:$E$210,5,FALSE))</f>
      </c>
      <c r="N309" s="100">
        <f>IF(ISNA(VLOOKUP($A309,'[5]2011 TB Summary'!$A$4:$J$212,10,FALSE)),"",VLOOKUP($A309,'[5]2011 TB Summary'!$A$4:$J$212,10,FALSE))</f>
      </c>
      <c r="P309" s="113"/>
      <c r="Q309" s="113"/>
    </row>
    <row r="310" spans="1:17" s="101" customFormat="1" ht="15.75">
      <c r="A310" s="96">
        <v>4810</v>
      </c>
      <c r="B310" s="97" t="s">
        <v>547</v>
      </c>
      <c r="C310" s="97" t="s">
        <v>331</v>
      </c>
      <c r="D310" s="97"/>
      <c r="E310" s="98" t="s">
        <v>217</v>
      </c>
      <c r="F310" s="98" t="s">
        <v>217</v>
      </c>
      <c r="G310" s="98" t="s">
        <v>217</v>
      </c>
      <c r="H310" s="98"/>
      <c r="I310" s="98"/>
      <c r="J310" s="98"/>
      <c r="K310" s="98"/>
      <c r="L310" s="99">
        <f>IF(ISNA(VLOOKUP(A310,'[3]OEB Adjusted Financials'!$I$6:$J$188,2,FALSE)),"",VLOOKUP(A310,'[3]OEB Adjusted Financials'!$I$6:$J$188,2,FALSE))</f>
      </c>
      <c r="M310" s="100">
        <f>IF(ISNA(VLOOKUP($A310,'[4]2010 TB'!$A$4:$E$210,5,FALSE)),"",VLOOKUP($A310,'[4]2010 TB'!$A$4:$E$210,5,FALSE))</f>
      </c>
      <c r="N310" s="100">
        <f>IF(ISNA(VLOOKUP($A310,'[5]2011 TB Summary'!$A$4:$J$212,10,FALSE)),"",VLOOKUP($A310,'[5]2011 TB Summary'!$A$4:$J$212,10,FALSE))</f>
      </c>
      <c r="P310" s="113"/>
      <c r="Q310" s="113"/>
    </row>
    <row r="311" spans="1:17" s="101" customFormat="1" ht="15.75">
      <c r="A311" s="96">
        <v>4815</v>
      </c>
      <c r="B311" s="97" t="s">
        <v>548</v>
      </c>
      <c r="C311" s="97" t="s">
        <v>331</v>
      </c>
      <c r="D311" s="97"/>
      <c r="E311" s="98" t="s">
        <v>217</v>
      </c>
      <c r="F311" s="98" t="s">
        <v>217</v>
      </c>
      <c r="G311" s="98" t="s">
        <v>217</v>
      </c>
      <c r="H311" s="98"/>
      <c r="I311" s="98"/>
      <c r="J311" s="98"/>
      <c r="K311" s="98"/>
      <c r="L311" s="99">
        <f>IF(ISNA(VLOOKUP(A311,'[3]OEB Adjusted Financials'!$I$6:$J$188,2,FALSE)),"",VLOOKUP(A311,'[3]OEB Adjusted Financials'!$I$6:$J$188,2,FALSE))</f>
      </c>
      <c r="M311" s="100">
        <f>IF(ISNA(VLOOKUP($A311,'[4]2010 TB'!$A$4:$E$210,5,FALSE)),"",VLOOKUP($A311,'[4]2010 TB'!$A$4:$E$210,5,FALSE))</f>
      </c>
      <c r="N311" s="100">
        <f>IF(ISNA(VLOOKUP($A311,'[5]2011 TB Summary'!$A$4:$J$212,10,FALSE)),"",VLOOKUP($A311,'[5]2011 TB Summary'!$A$4:$J$212,10,FALSE))</f>
      </c>
      <c r="P311" s="113"/>
      <c r="Q311" s="113"/>
    </row>
    <row r="312" spans="1:17" s="101" customFormat="1" ht="15.75">
      <c r="A312" s="96">
        <v>4820</v>
      </c>
      <c r="B312" s="97" t="s">
        <v>549</v>
      </c>
      <c r="C312" s="97" t="s">
        <v>331</v>
      </c>
      <c r="D312" s="97"/>
      <c r="E312" s="98" t="s">
        <v>217</v>
      </c>
      <c r="F312" s="98" t="s">
        <v>217</v>
      </c>
      <c r="G312" s="98" t="s">
        <v>217</v>
      </c>
      <c r="H312" s="98"/>
      <c r="I312" s="98"/>
      <c r="J312" s="98"/>
      <c r="K312" s="98"/>
      <c r="L312" s="99">
        <f>IF(ISNA(VLOOKUP(A312,'[3]OEB Adjusted Financials'!$I$6:$J$188,2,FALSE)),"",VLOOKUP(A312,'[3]OEB Adjusted Financials'!$I$6:$J$188,2,FALSE))</f>
      </c>
      <c r="M312" s="100">
        <f>IF(ISNA(VLOOKUP($A312,'[4]2010 TB'!$A$4:$E$210,5,FALSE)),"",VLOOKUP($A312,'[4]2010 TB'!$A$4:$E$210,5,FALSE))</f>
      </c>
      <c r="N312" s="100">
        <f>IF(ISNA(VLOOKUP($A312,'[5]2011 TB Summary'!$A$4:$J$212,10,FALSE)),"",VLOOKUP($A312,'[5]2011 TB Summary'!$A$4:$J$212,10,FALSE))</f>
      </c>
      <c r="P312" s="113"/>
      <c r="Q312" s="113"/>
    </row>
    <row r="313" spans="1:17" s="101" customFormat="1" ht="15.75">
      <c r="A313" s="96">
        <v>4825</v>
      </c>
      <c r="B313" s="97" t="s">
        <v>550</v>
      </c>
      <c r="C313" s="97" t="s">
        <v>331</v>
      </c>
      <c r="D313" s="97"/>
      <c r="E313" s="98" t="s">
        <v>217</v>
      </c>
      <c r="F313" s="98" t="s">
        <v>217</v>
      </c>
      <c r="G313" s="98" t="s">
        <v>217</v>
      </c>
      <c r="H313" s="98"/>
      <c r="I313" s="98"/>
      <c r="J313" s="98"/>
      <c r="K313" s="98"/>
      <c r="L313" s="99">
        <f>IF(ISNA(VLOOKUP(A313,'[3]OEB Adjusted Financials'!$I$6:$J$188,2,FALSE)),"",VLOOKUP(A313,'[3]OEB Adjusted Financials'!$I$6:$J$188,2,FALSE))</f>
      </c>
      <c r="M313" s="100">
        <f>IF(ISNA(VLOOKUP($A313,'[4]2010 TB'!$A$4:$E$210,5,FALSE)),"",VLOOKUP($A313,'[4]2010 TB'!$A$4:$E$210,5,FALSE))</f>
      </c>
      <c r="N313" s="100">
        <f>IF(ISNA(VLOOKUP($A313,'[5]2011 TB Summary'!$A$4:$J$212,10,FALSE)),"",VLOOKUP($A313,'[5]2011 TB Summary'!$A$4:$J$212,10,FALSE))</f>
      </c>
      <c r="P313" s="113"/>
      <c r="Q313" s="113"/>
    </row>
    <row r="314" spans="1:17" s="101" customFormat="1" ht="15.75">
      <c r="A314" s="96">
        <v>4830</v>
      </c>
      <c r="B314" s="97" t="s">
        <v>551</v>
      </c>
      <c r="C314" s="97" t="s">
        <v>331</v>
      </c>
      <c r="D314" s="97"/>
      <c r="E314" s="98" t="s">
        <v>217</v>
      </c>
      <c r="F314" s="98" t="s">
        <v>217</v>
      </c>
      <c r="G314" s="98" t="s">
        <v>217</v>
      </c>
      <c r="H314" s="98"/>
      <c r="I314" s="98"/>
      <c r="J314" s="98"/>
      <c r="K314" s="98"/>
      <c r="L314" s="99">
        <f>IF(ISNA(VLOOKUP(A314,'[3]OEB Adjusted Financials'!$I$6:$J$188,2,FALSE)),"",VLOOKUP(A314,'[3]OEB Adjusted Financials'!$I$6:$J$188,2,FALSE))</f>
      </c>
      <c r="M314" s="100">
        <f>IF(ISNA(VLOOKUP($A314,'[4]2010 TB'!$A$4:$E$210,5,FALSE)),"",VLOOKUP($A314,'[4]2010 TB'!$A$4:$E$210,5,FALSE))</f>
        <v>0</v>
      </c>
      <c r="N314" s="100">
        <f>IF(ISNA(VLOOKUP($A314,'[5]2011 TB Summary'!$A$4:$J$212,10,FALSE)),"",VLOOKUP($A314,'[5]2011 TB Summary'!$A$4:$J$212,10,FALSE))</f>
        <v>0</v>
      </c>
      <c r="P314" s="113"/>
      <c r="Q314" s="113"/>
    </row>
    <row r="315" spans="1:17" s="101" customFormat="1" ht="15.75">
      <c r="A315" s="96">
        <v>4835</v>
      </c>
      <c r="B315" s="97" t="s">
        <v>552</v>
      </c>
      <c r="C315" s="97" t="s">
        <v>331</v>
      </c>
      <c r="D315" s="97"/>
      <c r="E315" s="98" t="s">
        <v>217</v>
      </c>
      <c r="F315" s="98" t="s">
        <v>217</v>
      </c>
      <c r="G315" s="98" t="s">
        <v>217</v>
      </c>
      <c r="H315" s="98"/>
      <c r="I315" s="98"/>
      <c r="J315" s="98"/>
      <c r="K315" s="98"/>
      <c r="L315" s="99">
        <f>IF(ISNA(VLOOKUP(A315,'[3]OEB Adjusted Financials'!$I$6:$J$188,2,FALSE)),"",VLOOKUP(A315,'[3]OEB Adjusted Financials'!$I$6:$J$188,2,FALSE))</f>
      </c>
      <c r="M315" s="100">
        <f>IF(ISNA(VLOOKUP($A315,'[4]2010 TB'!$A$4:$E$210,5,FALSE)),"",VLOOKUP($A315,'[4]2010 TB'!$A$4:$E$210,5,FALSE))</f>
      </c>
      <c r="N315" s="100">
        <f>IF(ISNA(VLOOKUP($A315,'[5]2011 TB Summary'!$A$4:$J$212,10,FALSE)),"",VLOOKUP($A315,'[5]2011 TB Summary'!$A$4:$J$212,10,FALSE))</f>
      </c>
      <c r="P315" s="113"/>
      <c r="Q315" s="113"/>
    </row>
    <row r="316" spans="1:17" s="101" customFormat="1" ht="15.75">
      <c r="A316" s="96">
        <v>4840</v>
      </c>
      <c r="B316" s="97" t="s">
        <v>553</v>
      </c>
      <c r="C316" s="97" t="s">
        <v>331</v>
      </c>
      <c r="D316" s="97"/>
      <c r="E316" s="98" t="s">
        <v>217</v>
      </c>
      <c r="F316" s="98" t="s">
        <v>217</v>
      </c>
      <c r="G316" s="98" t="s">
        <v>217</v>
      </c>
      <c r="H316" s="98"/>
      <c r="I316" s="98"/>
      <c r="J316" s="98"/>
      <c r="K316" s="98"/>
      <c r="L316" s="99">
        <f>IF(ISNA(VLOOKUP(A316,'[3]OEB Adjusted Financials'!$I$6:$J$188,2,FALSE)),"",VLOOKUP(A316,'[3]OEB Adjusted Financials'!$I$6:$J$188,2,FALSE))</f>
      </c>
      <c r="M316" s="100">
        <f>IF(ISNA(VLOOKUP($A316,'[4]2010 TB'!$A$4:$E$210,5,FALSE)),"",VLOOKUP($A316,'[4]2010 TB'!$A$4:$E$210,5,FALSE))</f>
      </c>
      <c r="N316" s="100">
        <f>IF(ISNA(VLOOKUP($A316,'[5]2011 TB Summary'!$A$4:$J$212,10,FALSE)),"",VLOOKUP($A316,'[5]2011 TB Summary'!$A$4:$J$212,10,FALSE))</f>
      </c>
      <c r="P316" s="113"/>
      <c r="Q316" s="113"/>
    </row>
    <row r="317" spans="1:17" s="101" customFormat="1" ht="15.75">
      <c r="A317" s="96">
        <v>4845</v>
      </c>
      <c r="B317" s="97" t="s">
        <v>554</v>
      </c>
      <c r="C317" s="97" t="s">
        <v>331</v>
      </c>
      <c r="D317" s="97"/>
      <c r="E317" s="98" t="s">
        <v>217</v>
      </c>
      <c r="F317" s="98" t="s">
        <v>217</v>
      </c>
      <c r="G317" s="98" t="s">
        <v>217</v>
      </c>
      <c r="H317" s="98"/>
      <c r="I317" s="98"/>
      <c r="J317" s="98"/>
      <c r="K317" s="98"/>
      <c r="L317" s="99">
        <f>IF(ISNA(VLOOKUP(A317,'[3]OEB Adjusted Financials'!$I$6:$J$188,2,FALSE)),"",VLOOKUP(A317,'[3]OEB Adjusted Financials'!$I$6:$J$188,2,FALSE))</f>
      </c>
      <c r="M317" s="100">
        <f>IF(ISNA(VLOOKUP($A317,'[4]2010 TB'!$A$4:$E$210,5,FALSE)),"",VLOOKUP($A317,'[4]2010 TB'!$A$4:$E$210,5,FALSE))</f>
      </c>
      <c r="N317" s="100">
        <f>IF(ISNA(VLOOKUP($A317,'[5]2011 TB Summary'!$A$4:$J$212,10,FALSE)),"",VLOOKUP($A317,'[5]2011 TB Summary'!$A$4:$J$212,10,FALSE))</f>
      </c>
      <c r="P317" s="113"/>
      <c r="Q317" s="113"/>
    </row>
    <row r="318" spans="1:17" s="101" customFormat="1" ht="15.75">
      <c r="A318" s="96">
        <v>4850</v>
      </c>
      <c r="B318" s="97" t="s">
        <v>527</v>
      </c>
      <c r="C318" s="97" t="s">
        <v>331</v>
      </c>
      <c r="D318" s="97"/>
      <c r="E318" s="98" t="s">
        <v>217</v>
      </c>
      <c r="F318" s="98" t="s">
        <v>217</v>
      </c>
      <c r="G318" s="98" t="s">
        <v>217</v>
      </c>
      <c r="H318" s="98"/>
      <c r="I318" s="98"/>
      <c r="J318" s="98"/>
      <c r="K318" s="98"/>
      <c r="L318" s="99">
        <f>IF(ISNA(VLOOKUP(A318,'[3]OEB Adjusted Financials'!$I$6:$J$188,2,FALSE)),"",VLOOKUP(A318,'[3]OEB Adjusted Financials'!$I$6:$J$188,2,FALSE))</f>
      </c>
      <c r="M318" s="100">
        <f>IF(ISNA(VLOOKUP($A318,'[4]2010 TB'!$A$4:$E$210,5,FALSE)),"",VLOOKUP($A318,'[4]2010 TB'!$A$4:$E$210,5,FALSE))</f>
      </c>
      <c r="N318" s="100">
        <f>IF(ISNA(VLOOKUP($A318,'[5]2011 TB Summary'!$A$4:$J$212,10,FALSE)),"",VLOOKUP($A318,'[5]2011 TB Summary'!$A$4:$J$212,10,FALSE))</f>
      </c>
      <c r="P318" s="113"/>
      <c r="Q318" s="113"/>
    </row>
    <row r="319" spans="1:17" s="101" customFormat="1" ht="15.75">
      <c r="A319" s="96">
        <v>4905</v>
      </c>
      <c r="B319" s="97" t="s">
        <v>529</v>
      </c>
      <c r="C319" s="97" t="s">
        <v>331</v>
      </c>
      <c r="D319" s="97"/>
      <c r="E319" s="98" t="s">
        <v>217</v>
      </c>
      <c r="F319" s="98" t="s">
        <v>217</v>
      </c>
      <c r="G319" s="98" t="s">
        <v>217</v>
      </c>
      <c r="H319" s="98"/>
      <c r="I319" s="98"/>
      <c r="J319" s="98"/>
      <c r="K319" s="98"/>
      <c r="L319" s="99">
        <f>IF(ISNA(VLOOKUP(A319,'[3]OEB Adjusted Financials'!$I$6:$J$188,2,FALSE)),"",VLOOKUP(A319,'[3]OEB Adjusted Financials'!$I$6:$J$188,2,FALSE))</f>
      </c>
      <c r="M319" s="100">
        <f>IF(ISNA(VLOOKUP($A319,'[4]2010 TB'!$A$4:$E$210,5,FALSE)),"",VLOOKUP($A319,'[4]2010 TB'!$A$4:$E$210,5,FALSE))</f>
      </c>
      <c r="N319" s="100">
        <f>IF(ISNA(VLOOKUP($A319,'[5]2011 TB Summary'!$A$4:$J$212,10,FALSE)),"",VLOOKUP($A319,'[5]2011 TB Summary'!$A$4:$J$212,10,FALSE))</f>
      </c>
      <c r="P319" s="113"/>
      <c r="Q319" s="113"/>
    </row>
    <row r="320" spans="1:17" s="101" customFormat="1" ht="15.75">
      <c r="A320" s="96">
        <v>4910</v>
      </c>
      <c r="B320" s="97" t="s">
        <v>555</v>
      </c>
      <c r="C320" s="97" t="s">
        <v>331</v>
      </c>
      <c r="D320" s="97"/>
      <c r="E320" s="98" t="s">
        <v>217</v>
      </c>
      <c r="F320" s="98" t="s">
        <v>217</v>
      </c>
      <c r="G320" s="98" t="s">
        <v>217</v>
      </c>
      <c r="H320" s="98"/>
      <c r="I320" s="98"/>
      <c r="J320" s="98"/>
      <c r="K320" s="98"/>
      <c r="L320" s="99">
        <f>IF(ISNA(VLOOKUP(A320,'[3]OEB Adjusted Financials'!$I$6:$J$188,2,FALSE)),"",VLOOKUP(A320,'[3]OEB Adjusted Financials'!$I$6:$J$188,2,FALSE))</f>
      </c>
      <c r="M320" s="100">
        <f>IF(ISNA(VLOOKUP($A320,'[4]2010 TB'!$A$4:$E$210,5,FALSE)),"",VLOOKUP($A320,'[4]2010 TB'!$A$4:$E$210,5,FALSE))</f>
      </c>
      <c r="N320" s="100">
        <f>IF(ISNA(VLOOKUP($A320,'[5]2011 TB Summary'!$A$4:$J$212,10,FALSE)),"",VLOOKUP($A320,'[5]2011 TB Summary'!$A$4:$J$212,10,FALSE))</f>
      </c>
      <c r="P320" s="113"/>
      <c r="Q320" s="113"/>
    </row>
    <row r="321" spans="1:17" s="101" customFormat="1" ht="15.75">
      <c r="A321" s="96">
        <v>4916</v>
      </c>
      <c r="B321" s="97" t="s">
        <v>556</v>
      </c>
      <c r="C321" s="97" t="s">
        <v>331</v>
      </c>
      <c r="D321" s="97"/>
      <c r="E321" s="98" t="s">
        <v>217</v>
      </c>
      <c r="F321" s="98" t="s">
        <v>217</v>
      </c>
      <c r="G321" s="98" t="s">
        <v>217</v>
      </c>
      <c r="H321" s="98"/>
      <c r="I321" s="98"/>
      <c r="J321" s="98"/>
      <c r="K321" s="98"/>
      <c r="L321" s="99">
        <f>IF(ISNA(VLOOKUP(A321,'[3]OEB Adjusted Financials'!$I$6:$J$188,2,FALSE)),"",VLOOKUP(A321,'[3]OEB Adjusted Financials'!$I$6:$J$188,2,FALSE))</f>
      </c>
      <c r="M321" s="100">
        <f>IF(ISNA(VLOOKUP($A321,'[4]2010 TB'!$A$4:$E$210,5,FALSE)),"",VLOOKUP($A321,'[4]2010 TB'!$A$4:$E$210,5,FALSE))</f>
      </c>
      <c r="N321" s="100">
        <f>IF(ISNA(VLOOKUP($A321,'[5]2011 TB Summary'!$A$4:$J$212,10,FALSE)),"",VLOOKUP($A321,'[5]2011 TB Summary'!$A$4:$J$212,10,FALSE))</f>
      </c>
      <c r="P321" s="113"/>
      <c r="Q321" s="113"/>
    </row>
    <row r="322" spans="1:17" s="101" customFormat="1" ht="15.75">
      <c r="A322" s="96">
        <v>4930</v>
      </c>
      <c r="B322" s="97" t="s">
        <v>557</v>
      </c>
      <c r="C322" s="97" t="s">
        <v>331</v>
      </c>
      <c r="D322" s="97"/>
      <c r="E322" s="98" t="s">
        <v>217</v>
      </c>
      <c r="F322" s="98" t="s">
        <v>217</v>
      </c>
      <c r="G322" s="98" t="s">
        <v>217</v>
      </c>
      <c r="H322" s="98"/>
      <c r="I322" s="98"/>
      <c r="J322" s="98"/>
      <c r="K322" s="98"/>
      <c r="L322" s="99">
        <f>IF(ISNA(VLOOKUP(A322,'[3]OEB Adjusted Financials'!$I$6:$J$188,2,FALSE)),"",VLOOKUP(A322,'[3]OEB Adjusted Financials'!$I$6:$J$188,2,FALSE))</f>
      </c>
      <c r="M322" s="100">
        <f>IF(ISNA(VLOOKUP($A322,'[4]2010 TB'!$A$4:$E$210,5,FALSE)),"",VLOOKUP($A322,'[4]2010 TB'!$A$4:$E$210,5,FALSE))</f>
      </c>
      <c r="N322" s="100">
        <f>IF(ISNA(VLOOKUP($A322,'[5]2011 TB Summary'!$A$4:$J$212,10,FALSE)),"",VLOOKUP($A322,'[5]2011 TB Summary'!$A$4:$J$212,10,FALSE))</f>
      </c>
      <c r="P322" s="113"/>
      <c r="Q322" s="113"/>
    </row>
    <row r="323" spans="1:17" s="101" customFormat="1" ht="15.75">
      <c r="A323" s="96">
        <v>4935</v>
      </c>
      <c r="B323" s="97" t="s">
        <v>558</v>
      </c>
      <c r="C323" s="97" t="s">
        <v>331</v>
      </c>
      <c r="D323" s="97"/>
      <c r="E323" s="98" t="s">
        <v>217</v>
      </c>
      <c r="F323" s="98" t="s">
        <v>217</v>
      </c>
      <c r="G323" s="98" t="s">
        <v>217</v>
      </c>
      <c r="H323" s="98"/>
      <c r="I323" s="98"/>
      <c r="J323" s="98"/>
      <c r="K323" s="98"/>
      <c r="L323" s="99">
        <f>IF(ISNA(VLOOKUP(A323,'[3]OEB Adjusted Financials'!$I$6:$J$188,2,FALSE)),"",VLOOKUP(A323,'[3]OEB Adjusted Financials'!$I$6:$J$188,2,FALSE))</f>
      </c>
      <c r="M323" s="100">
        <f>IF(ISNA(VLOOKUP($A323,'[4]2010 TB'!$A$4:$E$210,5,FALSE)),"",VLOOKUP($A323,'[4]2010 TB'!$A$4:$E$210,5,FALSE))</f>
      </c>
      <c r="N323" s="100">
        <f>IF(ISNA(VLOOKUP($A323,'[5]2011 TB Summary'!$A$4:$J$212,10,FALSE)),"",VLOOKUP($A323,'[5]2011 TB Summary'!$A$4:$J$212,10,FALSE))</f>
      </c>
      <c r="P323" s="113"/>
      <c r="Q323" s="113"/>
    </row>
    <row r="324" spans="1:17" s="101" customFormat="1" ht="15.75">
      <c r="A324" s="96">
        <v>4940</v>
      </c>
      <c r="B324" s="97" t="s">
        <v>559</v>
      </c>
      <c r="C324" s="97" t="s">
        <v>331</v>
      </c>
      <c r="D324" s="97"/>
      <c r="E324" s="98" t="s">
        <v>217</v>
      </c>
      <c r="F324" s="98" t="s">
        <v>217</v>
      </c>
      <c r="G324" s="98" t="s">
        <v>217</v>
      </c>
      <c r="H324" s="98"/>
      <c r="I324" s="98"/>
      <c r="J324" s="98"/>
      <c r="K324" s="98"/>
      <c r="L324" s="99">
        <f>IF(ISNA(VLOOKUP(A324,'[3]OEB Adjusted Financials'!$I$6:$J$188,2,FALSE)),"",VLOOKUP(A324,'[3]OEB Adjusted Financials'!$I$6:$J$188,2,FALSE))</f>
      </c>
      <c r="M324" s="100">
        <f>IF(ISNA(VLOOKUP($A324,'[4]2010 TB'!$A$4:$E$210,5,FALSE)),"",VLOOKUP($A324,'[4]2010 TB'!$A$4:$E$210,5,FALSE))</f>
      </c>
      <c r="N324" s="100">
        <f>IF(ISNA(VLOOKUP($A324,'[5]2011 TB Summary'!$A$4:$J$212,10,FALSE)),"",VLOOKUP($A324,'[5]2011 TB Summary'!$A$4:$J$212,10,FALSE))</f>
      </c>
      <c r="P324" s="113"/>
      <c r="Q324" s="113"/>
    </row>
    <row r="325" spans="1:17" s="101" customFormat="1" ht="15.75">
      <c r="A325" s="96">
        <v>4945</v>
      </c>
      <c r="B325" s="97" t="s">
        <v>560</v>
      </c>
      <c r="C325" s="97" t="s">
        <v>331</v>
      </c>
      <c r="D325" s="97"/>
      <c r="E325" s="98" t="s">
        <v>217</v>
      </c>
      <c r="F325" s="98" t="s">
        <v>217</v>
      </c>
      <c r="G325" s="98" t="s">
        <v>217</v>
      </c>
      <c r="H325" s="98"/>
      <c r="I325" s="98"/>
      <c r="J325" s="98"/>
      <c r="K325" s="98"/>
      <c r="L325" s="99">
        <f>IF(ISNA(VLOOKUP(A325,'[3]OEB Adjusted Financials'!$I$6:$J$188,2,FALSE)),"",VLOOKUP(A325,'[3]OEB Adjusted Financials'!$I$6:$J$188,2,FALSE))</f>
      </c>
      <c r="M325" s="100">
        <f>IF(ISNA(VLOOKUP($A325,'[4]2010 TB'!$A$4:$E$210,5,FALSE)),"",VLOOKUP($A325,'[4]2010 TB'!$A$4:$E$210,5,FALSE))</f>
      </c>
      <c r="N325" s="100">
        <f>IF(ISNA(VLOOKUP($A325,'[5]2011 TB Summary'!$A$4:$J$212,10,FALSE)),"",VLOOKUP($A325,'[5]2011 TB Summary'!$A$4:$J$212,10,FALSE))</f>
      </c>
      <c r="P325" s="113"/>
      <c r="Q325" s="113"/>
    </row>
    <row r="326" spans="1:17" s="101" customFormat="1" ht="15.75">
      <c r="A326" s="96">
        <v>4950</v>
      </c>
      <c r="B326" s="97" t="s">
        <v>561</v>
      </c>
      <c r="C326" s="97" t="s">
        <v>331</v>
      </c>
      <c r="D326" s="97"/>
      <c r="E326" s="98" t="s">
        <v>217</v>
      </c>
      <c r="F326" s="98" t="s">
        <v>217</v>
      </c>
      <c r="G326" s="98" t="s">
        <v>217</v>
      </c>
      <c r="H326" s="98"/>
      <c r="I326" s="98"/>
      <c r="J326" s="98"/>
      <c r="K326" s="98"/>
      <c r="L326" s="99">
        <f>IF(ISNA(VLOOKUP(A326,'[3]OEB Adjusted Financials'!$I$6:$J$188,2,FALSE)),"",VLOOKUP(A326,'[3]OEB Adjusted Financials'!$I$6:$J$188,2,FALSE))</f>
      </c>
      <c r="M326" s="100">
        <f>IF(ISNA(VLOOKUP($A326,'[4]2010 TB'!$A$4:$E$210,5,FALSE)),"",VLOOKUP($A326,'[4]2010 TB'!$A$4:$E$210,5,FALSE))</f>
      </c>
      <c r="N326" s="100">
        <f>IF(ISNA(VLOOKUP($A326,'[5]2011 TB Summary'!$A$4:$J$212,10,FALSE)),"",VLOOKUP($A326,'[5]2011 TB Summary'!$A$4:$J$212,10,FALSE))</f>
      </c>
      <c r="P326" s="113"/>
      <c r="Q326" s="113"/>
    </row>
    <row r="327" spans="1:17" s="101" customFormat="1" ht="15.75">
      <c r="A327" s="96">
        <v>4960</v>
      </c>
      <c r="B327" s="97" t="s">
        <v>562</v>
      </c>
      <c r="C327" s="97" t="s">
        <v>331</v>
      </c>
      <c r="D327" s="97"/>
      <c r="E327" s="98" t="s">
        <v>217</v>
      </c>
      <c r="F327" s="98" t="s">
        <v>217</v>
      </c>
      <c r="G327" s="98" t="s">
        <v>217</v>
      </c>
      <c r="H327" s="98"/>
      <c r="I327" s="98"/>
      <c r="J327" s="98"/>
      <c r="K327" s="98"/>
      <c r="L327" s="99">
        <f>IF(ISNA(VLOOKUP(A327,'[3]OEB Adjusted Financials'!$I$6:$J$188,2,FALSE)),"",VLOOKUP(A327,'[3]OEB Adjusted Financials'!$I$6:$J$188,2,FALSE))</f>
      </c>
      <c r="M327" s="100">
        <f>IF(ISNA(VLOOKUP($A327,'[4]2010 TB'!$A$4:$E$210,5,FALSE)),"",VLOOKUP($A327,'[4]2010 TB'!$A$4:$E$210,5,FALSE))</f>
      </c>
      <c r="N327" s="100">
        <f>IF(ISNA(VLOOKUP($A327,'[5]2011 TB Summary'!$A$4:$J$212,10,FALSE)),"",VLOOKUP($A327,'[5]2011 TB Summary'!$A$4:$J$212,10,FALSE))</f>
      </c>
      <c r="P327" s="113"/>
      <c r="Q327" s="113"/>
    </row>
    <row r="328" spans="1:17" s="101" customFormat="1" ht="15.75">
      <c r="A328" s="96">
        <v>4965</v>
      </c>
      <c r="B328" s="97" t="s">
        <v>563</v>
      </c>
      <c r="C328" s="97" t="s">
        <v>331</v>
      </c>
      <c r="D328" s="97"/>
      <c r="E328" s="98" t="s">
        <v>217</v>
      </c>
      <c r="F328" s="98" t="s">
        <v>217</v>
      </c>
      <c r="G328" s="98" t="s">
        <v>217</v>
      </c>
      <c r="H328" s="98"/>
      <c r="I328" s="98"/>
      <c r="J328" s="98"/>
      <c r="K328" s="98"/>
      <c r="L328" s="99">
        <f>IF(ISNA(VLOOKUP(A328,'[3]OEB Adjusted Financials'!$I$6:$J$188,2,FALSE)),"",VLOOKUP(A328,'[3]OEB Adjusted Financials'!$I$6:$J$188,2,FALSE))</f>
      </c>
      <c r="M328" s="100">
        <f>IF(ISNA(VLOOKUP($A328,'[4]2010 TB'!$A$4:$E$210,5,FALSE)),"",VLOOKUP($A328,'[4]2010 TB'!$A$4:$E$210,5,FALSE))</f>
      </c>
      <c r="N328" s="100">
        <f>IF(ISNA(VLOOKUP($A328,'[5]2011 TB Summary'!$A$4:$J$212,10,FALSE)),"",VLOOKUP($A328,'[5]2011 TB Summary'!$A$4:$J$212,10,FALSE))</f>
      </c>
      <c r="P328" s="113"/>
      <c r="Q328" s="113"/>
    </row>
    <row r="329" spans="1:17" s="101" customFormat="1" ht="15.75">
      <c r="A329" s="96">
        <v>5005</v>
      </c>
      <c r="B329" s="97" t="s">
        <v>516</v>
      </c>
      <c r="C329" s="97" t="s">
        <v>273</v>
      </c>
      <c r="D329" s="97" t="s">
        <v>508</v>
      </c>
      <c r="E329" s="98">
        <v>81703.88</v>
      </c>
      <c r="F329" s="98">
        <v>19940.04</v>
      </c>
      <c r="G329" s="98">
        <v>2067.76</v>
      </c>
      <c r="H329" s="98">
        <v>1125.66</v>
      </c>
      <c r="I329" s="98">
        <v>1929.83</v>
      </c>
      <c r="J329" s="98">
        <v>18240.41</v>
      </c>
      <c r="K329" s="98">
        <v>825300.8200000004</v>
      </c>
      <c r="L329" s="99">
        <f>IF(ISNA(VLOOKUP(A329,'[3]OEB Adjusted Financials'!$I$6:$J$188,2,FALSE)),"",VLOOKUP(A329,'[3]OEB Adjusted Financials'!$I$6:$J$188,2,FALSE))</f>
        <v>2048737.6899999997</v>
      </c>
      <c r="M329" s="100">
        <f>IF(ISNA(VLOOKUP($A329,'[4]2010 TB'!$A$4:$E$210,5,FALSE)),"",VLOOKUP($A329,'[4]2010 TB'!$A$4:$E$210,5,FALSE))</f>
        <v>1932396.8500000006</v>
      </c>
      <c r="N329" s="100">
        <f>IF(ISNA(VLOOKUP($A329,'[5]2011 TB Summary'!$A$4:$J$212,10,FALSE)),"",VLOOKUP($A329,'[5]2011 TB Summary'!$A$4:$J$212,10,FALSE))</f>
        <v>3166403.7066955566</v>
      </c>
      <c r="P329" s="113"/>
      <c r="Q329" s="113"/>
    </row>
    <row r="330" spans="1:17" s="101" customFormat="1" ht="15.75">
      <c r="A330" s="96">
        <v>5010</v>
      </c>
      <c r="B330" s="97" t="s">
        <v>547</v>
      </c>
      <c r="C330" s="97" t="s">
        <v>273</v>
      </c>
      <c r="D330" s="97" t="s">
        <v>508</v>
      </c>
      <c r="E330" s="98">
        <v>1349755.47</v>
      </c>
      <c r="F330" s="98">
        <v>1433815.87</v>
      </c>
      <c r="G330" s="98">
        <v>1462783.52</v>
      </c>
      <c r="H330" s="98">
        <v>1522737.5</v>
      </c>
      <c r="I330" s="98">
        <v>1791195.6</v>
      </c>
      <c r="J330" s="98">
        <v>1902096.52</v>
      </c>
      <c r="K330" s="98">
        <v>2062475.97</v>
      </c>
      <c r="L330" s="99">
        <f>IF(ISNA(VLOOKUP(A330,'[3]OEB Adjusted Financials'!$I$6:$J$188,2,FALSE)),"",VLOOKUP(A330,'[3]OEB Adjusted Financials'!$I$6:$J$188,2,FALSE))</f>
        <v>2261059.3000000003</v>
      </c>
      <c r="M330" s="100">
        <f>IF(ISNA(VLOOKUP($A330,'[4]2010 TB'!$A$4:$E$210,5,FALSE)),"",VLOOKUP($A330,'[4]2010 TB'!$A$4:$E$210,5,FALSE))</f>
        <v>2159712.0500000007</v>
      </c>
      <c r="N330" s="100">
        <f>IF(ISNA(VLOOKUP($A330,'[5]2011 TB Summary'!$A$4:$J$212,10,FALSE)),"",VLOOKUP($A330,'[5]2011 TB Summary'!$A$4:$J$212,10,FALSE))</f>
        <v>2413976.9206695557</v>
      </c>
      <c r="P330" s="113"/>
      <c r="Q330" s="113"/>
    </row>
    <row r="331" spans="1:17" s="101" customFormat="1" ht="15.75">
      <c r="A331" s="96">
        <v>5012</v>
      </c>
      <c r="B331" s="97" t="s">
        <v>564</v>
      </c>
      <c r="C331" s="97" t="s">
        <v>273</v>
      </c>
      <c r="D331" s="97" t="s">
        <v>508</v>
      </c>
      <c r="E331" s="98">
        <v>17751.52</v>
      </c>
      <c r="F331" s="98">
        <v>19644</v>
      </c>
      <c r="G331" s="98">
        <v>18578.79</v>
      </c>
      <c r="H331" s="98">
        <v>94619.72</v>
      </c>
      <c r="I331" s="98">
        <v>155010.93</v>
      </c>
      <c r="J331" s="98">
        <v>227297.06</v>
      </c>
      <c r="K331" s="98">
        <v>515186.63999999996</v>
      </c>
      <c r="L331" s="99">
        <f>IF(ISNA(VLOOKUP(A331,'[3]OEB Adjusted Financials'!$I$6:$J$188,2,FALSE)),"",VLOOKUP(A331,'[3]OEB Adjusted Financials'!$I$6:$J$188,2,FALSE))</f>
        <v>17446.69</v>
      </c>
      <c r="M331" s="100">
        <f>IF(ISNA(VLOOKUP($A331,'[4]2010 TB'!$A$4:$E$210,5,FALSE)),"",VLOOKUP($A331,'[4]2010 TB'!$A$4:$E$210,5,FALSE))</f>
        <v>415039</v>
      </c>
      <c r="N331" s="100">
        <f>IF(ISNA(VLOOKUP($A331,'[5]2011 TB Summary'!$A$4:$J$212,10,FALSE)),"",VLOOKUP($A331,'[5]2011 TB Summary'!$A$4:$J$212,10,FALSE))</f>
        <v>540097</v>
      </c>
      <c r="P331" s="113"/>
      <c r="Q331" s="113"/>
    </row>
    <row r="332" spans="1:17" s="101" customFormat="1" ht="15.75">
      <c r="A332" s="96">
        <v>5014</v>
      </c>
      <c r="B332" s="97" t="s">
        <v>565</v>
      </c>
      <c r="C332" s="97" t="s">
        <v>273</v>
      </c>
      <c r="D332" s="97" t="s">
        <v>508</v>
      </c>
      <c r="E332" s="98" t="s">
        <v>217</v>
      </c>
      <c r="F332" s="98" t="s">
        <v>217</v>
      </c>
      <c r="G332" s="98" t="s">
        <v>217</v>
      </c>
      <c r="H332" s="98"/>
      <c r="I332" s="98">
        <v>676.57</v>
      </c>
      <c r="J332" s="98">
        <v>0</v>
      </c>
      <c r="K332" s="98"/>
      <c r="L332" s="99">
        <f>IF(ISNA(VLOOKUP(A332,'[3]OEB Adjusted Financials'!$I$6:$J$188,2,FALSE)),"",VLOOKUP(A332,'[3]OEB Adjusted Financials'!$I$6:$J$188,2,FALSE))</f>
      </c>
      <c r="M332" s="100">
        <f>IF(ISNA(VLOOKUP($A332,'[4]2010 TB'!$A$4:$E$210,5,FALSE)),"",VLOOKUP($A332,'[4]2010 TB'!$A$4:$E$210,5,FALSE))</f>
      </c>
      <c r="N332" s="100">
        <f>IF(ISNA(VLOOKUP($A332,'[5]2011 TB Summary'!$A$4:$J$212,10,FALSE)),"",VLOOKUP($A332,'[5]2011 TB Summary'!$A$4:$J$212,10,FALSE))</f>
      </c>
      <c r="P332" s="113"/>
      <c r="Q332" s="113"/>
    </row>
    <row r="333" spans="1:17" s="101" customFormat="1" ht="15.75">
      <c r="A333" s="96">
        <v>5015</v>
      </c>
      <c r="B333" s="97" t="s">
        <v>566</v>
      </c>
      <c r="C333" s="97" t="s">
        <v>273</v>
      </c>
      <c r="D333" s="97" t="s">
        <v>508</v>
      </c>
      <c r="E333" s="98">
        <v>176359.45</v>
      </c>
      <c r="F333" s="98">
        <v>293762.5</v>
      </c>
      <c r="G333" s="98">
        <v>257318.88</v>
      </c>
      <c r="H333" s="98">
        <v>50466.21</v>
      </c>
      <c r="I333" s="98">
        <v>58917.66</v>
      </c>
      <c r="J333" s="98">
        <v>1521.24</v>
      </c>
      <c r="K333" s="98">
        <v>433.72</v>
      </c>
      <c r="L333" s="99">
        <f>IF(ISNA(VLOOKUP(A333,'[3]OEB Adjusted Financials'!$I$6:$J$188,2,FALSE)),"",VLOOKUP(A333,'[3]OEB Adjusted Financials'!$I$6:$J$188,2,FALSE))</f>
      </c>
      <c r="M333" s="100">
        <f>IF(ISNA(VLOOKUP($A333,'[4]2010 TB'!$A$4:$E$210,5,FALSE)),"",VLOOKUP($A333,'[4]2010 TB'!$A$4:$E$210,5,FALSE))</f>
        <v>0</v>
      </c>
      <c r="N333" s="100">
        <f>IF(ISNA(VLOOKUP($A333,'[5]2011 TB Summary'!$A$4:$J$212,10,FALSE)),"",VLOOKUP($A333,'[5]2011 TB Summary'!$A$4:$J$212,10,FALSE))</f>
        <v>0</v>
      </c>
      <c r="P333" s="113"/>
      <c r="Q333" s="113"/>
    </row>
    <row r="334" spans="1:17" s="101" customFormat="1" ht="15.75">
      <c r="A334" s="96">
        <v>5016</v>
      </c>
      <c r="B334" s="97" t="s">
        <v>567</v>
      </c>
      <c r="C334" s="97" t="s">
        <v>273</v>
      </c>
      <c r="D334" s="97" t="s">
        <v>508</v>
      </c>
      <c r="E334" s="98" t="s">
        <v>217</v>
      </c>
      <c r="F334" s="98" t="s">
        <v>217</v>
      </c>
      <c r="G334" s="98">
        <v>44004.83</v>
      </c>
      <c r="H334" s="98">
        <v>16305.96</v>
      </c>
      <c r="I334" s="98">
        <v>54012.64</v>
      </c>
      <c r="J334" s="98">
        <v>37117.71</v>
      </c>
      <c r="K334" s="98">
        <v>48793.18</v>
      </c>
      <c r="L334" s="99">
        <f>IF(ISNA(VLOOKUP(A334,'[3]OEB Adjusted Financials'!$I$6:$J$188,2,FALSE)),"",VLOOKUP(A334,'[3]OEB Adjusted Financials'!$I$6:$J$188,2,FALSE))</f>
        <v>29770.090000000037</v>
      </c>
      <c r="M334" s="100">
        <f>IF(ISNA(VLOOKUP($A334,'[4]2010 TB'!$A$4:$E$210,5,FALSE)),"",VLOOKUP($A334,'[4]2010 TB'!$A$4:$E$210,5,FALSE))</f>
        <v>6157.080000000004</v>
      </c>
      <c r="N334" s="100">
        <f>IF(ISNA(VLOOKUP($A334,'[5]2011 TB Summary'!$A$4:$J$212,10,FALSE)),"",VLOOKUP($A334,'[5]2011 TB Summary'!$A$4:$J$212,10,FALSE))</f>
        <v>246808.9921875</v>
      </c>
      <c r="P334" s="113"/>
      <c r="Q334" s="113"/>
    </row>
    <row r="335" spans="1:17" s="101" customFormat="1" ht="15.75">
      <c r="A335" s="96">
        <v>5017</v>
      </c>
      <c r="B335" s="97" t="s">
        <v>568</v>
      </c>
      <c r="C335" s="97" t="s">
        <v>273</v>
      </c>
      <c r="D335" s="97" t="s">
        <v>508</v>
      </c>
      <c r="E335" s="98">
        <v>3996</v>
      </c>
      <c r="F335" s="98">
        <v>4860</v>
      </c>
      <c r="G335" s="98">
        <v>239.99</v>
      </c>
      <c r="H335" s="98">
        <v>197164.11</v>
      </c>
      <c r="I335" s="98">
        <v>208579.47</v>
      </c>
      <c r="J335" s="98">
        <v>209876.96</v>
      </c>
      <c r="K335" s="98">
        <v>241964.77</v>
      </c>
      <c r="L335" s="99">
        <f>IF(ISNA(VLOOKUP(A335,'[3]OEB Adjusted Financials'!$I$6:$J$188,2,FALSE)),"",VLOOKUP(A335,'[3]OEB Adjusted Financials'!$I$6:$J$188,2,FALSE))</f>
        <v>305875.37</v>
      </c>
      <c r="M335" s="100">
        <f>IF(ISNA(VLOOKUP($A335,'[4]2010 TB'!$A$4:$E$210,5,FALSE)),"",VLOOKUP($A335,'[4]2010 TB'!$A$4:$E$210,5,FALSE))</f>
        <v>296389.56</v>
      </c>
      <c r="N335" s="100">
        <f>IF(ISNA(VLOOKUP($A335,'[5]2011 TB Summary'!$A$4:$J$212,10,FALSE)),"",VLOOKUP($A335,'[5]2011 TB Summary'!$A$4:$J$212,10,FALSE))</f>
        <v>280739.68981933594</v>
      </c>
      <c r="P335" s="113"/>
      <c r="Q335" s="113"/>
    </row>
    <row r="336" spans="1:17" s="101" customFormat="1" ht="15.75">
      <c r="A336" s="96">
        <v>5020</v>
      </c>
      <c r="B336" s="97" t="s">
        <v>569</v>
      </c>
      <c r="C336" s="97" t="s">
        <v>273</v>
      </c>
      <c r="D336" s="97" t="s">
        <v>508</v>
      </c>
      <c r="E336" s="98">
        <v>1044765.54</v>
      </c>
      <c r="F336" s="98">
        <v>563791.63</v>
      </c>
      <c r="G336" s="98">
        <v>420368.24</v>
      </c>
      <c r="H336" s="98">
        <v>266544.92</v>
      </c>
      <c r="I336" s="98">
        <v>224250.7</v>
      </c>
      <c r="J336" s="98">
        <v>223947.09</v>
      </c>
      <c r="K336" s="98">
        <v>858966.66</v>
      </c>
      <c r="L336" s="99">
        <f>IF(ISNA(VLOOKUP(A336,'[3]OEB Adjusted Financials'!$I$6:$J$188,2,FALSE)),"",VLOOKUP(A336,'[3]OEB Adjusted Financials'!$I$6:$J$188,2,FALSE))</f>
        <v>2086103.1600000001</v>
      </c>
      <c r="M336" s="100">
        <f>IF(ISNA(VLOOKUP($A336,'[4]2010 TB'!$A$4:$E$210,5,FALSE)),"",VLOOKUP($A336,'[4]2010 TB'!$A$4:$E$210,5,FALSE))</f>
        <v>590976.8599999993</v>
      </c>
      <c r="N336" s="100">
        <f>IF(ISNA(VLOOKUP($A336,'[5]2011 TB Summary'!$A$4:$J$212,10,FALSE)),"",VLOOKUP($A336,'[5]2011 TB Summary'!$A$4:$J$212,10,FALSE))</f>
        <v>677072.927947998</v>
      </c>
      <c r="P336" s="113"/>
      <c r="Q336" s="113"/>
    </row>
    <row r="337" spans="1:17" s="101" customFormat="1" ht="15.75">
      <c r="A337" s="96">
        <v>5025</v>
      </c>
      <c r="B337" s="97" t="s">
        <v>570</v>
      </c>
      <c r="C337" s="97" t="s">
        <v>273</v>
      </c>
      <c r="D337" s="97" t="s">
        <v>508</v>
      </c>
      <c r="E337" s="98">
        <v>547031.46</v>
      </c>
      <c r="F337" s="98">
        <v>840540.04</v>
      </c>
      <c r="G337" s="98">
        <v>216048.53</v>
      </c>
      <c r="H337" s="98">
        <v>133478.12</v>
      </c>
      <c r="I337" s="98">
        <v>193391.57</v>
      </c>
      <c r="J337" s="98">
        <v>233934.99</v>
      </c>
      <c r="K337" s="98">
        <v>463962.4400000001</v>
      </c>
      <c r="L337" s="99">
        <f>IF(ISNA(VLOOKUP(A337,'[3]OEB Adjusted Financials'!$I$6:$J$188,2,FALSE)),"",VLOOKUP(A337,'[3]OEB Adjusted Financials'!$I$6:$J$188,2,FALSE))</f>
        <v>322404.95</v>
      </c>
      <c r="M337" s="100">
        <f>IF(ISNA(VLOOKUP($A337,'[4]2010 TB'!$A$4:$E$210,5,FALSE)),"",VLOOKUP($A337,'[4]2010 TB'!$A$4:$E$210,5,FALSE))</f>
        <v>356441</v>
      </c>
      <c r="N337" s="100">
        <f>IF(ISNA(VLOOKUP($A337,'[5]2011 TB Summary'!$A$4:$J$212,10,FALSE)),"",VLOOKUP($A337,'[5]2011 TB Summary'!$A$4:$J$212,10,FALSE))</f>
        <v>562390.1116790771</v>
      </c>
      <c r="P337" s="113"/>
      <c r="Q337" s="113"/>
    </row>
    <row r="338" spans="1:17" s="101" customFormat="1" ht="15.75">
      <c r="A338" s="96">
        <v>5030</v>
      </c>
      <c r="B338" s="97" t="s">
        <v>571</v>
      </c>
      <c r="C338" s="97" t="s">
        <v>273</v>
      </c>
      <c r="D338" s="97" t="s">
        <v>508</v>
      </c>
      <c r="E338" s="98" t="s">
        <v>217</v>
      </c>
      <c r="F338" s="98" t="s">
        <v>217</v>
      </c>
      <c r="G338" s="98" t="s">
        <v>217</v>
      </c>
      <c r="H338" s="98"/>
      <c r="I338" s="98">
        <v>12124.37</v>
      </c>
      <c r="J338" s="98"/>
      <c r="K338" s="98"/>
      <c r="L338" s="99">
        <f>IF(ISNA(VLOOKUP(A338,'[3]OEB Adjusted Financials'!$I$6:$J$188,2,FALSE)),"",VLOOKUP(A338,'[3]OEB Adjusted Financials'!$I$6:$J$188,2,FALSE))</f>
      </c>
      <c r="M338" s="100">
        <f>IF(ISNA(VLOOKUP($A338,'[4]2010 TB'!$A$4:$E$210,5,FALSE)),"",VLOOKUP($A338,'[4]2010 TB'!$A$4:$E$210,5,FALSE))</f>
      </c>
      <c r="N338" s="100">
        <f>IF(ISNA(VLOOKUP($A338,'[5]2011 TB Summary'!$A$4:$J$212,10,FALSE)),"",VLOOKUP($A338,'[5]2011 TB Summary'!$A$4:$J$212,10,FALSE))</f>
      </c>
      <c r="P338" s="113"/>
      <c r="Q338" s="113"/>
    </row>
    <row r="339" spans="1:17" s="101" customFormat="1" ht="15.75">
      <c r="A339" s="96">
        <v>5035</v>
      </c>
      <c r="B339" s="97" t="s">
        <v>572</v>
      </c>
      <c r="C339" s="97" t="s">
        <v>273</v>
      </c>
      <c r="D339" s="97" t="s">
        <v>508</v>
      </c>
      <c r="E339" s="98">
        <v>163683.92</v>
      </c>
      <c r="F339" s="98">
        <v>14878.28</v>
      </c>
      <c r="G339" s="98">
        <v>7546.4</v>
      </c>
      <c r="H339" s="98">
        <v>8015.25</v>
      </c>
      <c r="I339" s="98">
        <v>5205.8</v>
      </c>
      <c r="J339" s="98">
        <v>195.9</v>
      </c>
      <c r="K339" s="98">
        <v>233.23</v>
      </c>
      <c r="L339" s="99">
        <f>IF(ISNA(VLOOKUP(A339,'[3]OEB Adjusted Financials'!$I$6:$J$188,2,FALSE)),"",VLOOKUP(A339,'[3]OEB Adjusted Financials'!$I$6:$J$188,2,FALSE))</f>
      </c>
      <c r="M339" s="100">
        <f>IF(ISNA(VLOOKUP($A339,'[4]2010 TB'!$A$4:$E$210,5,FALSE)),"",VLOOKUP($A339,'[4]2010 TB'!$A$4:$E$210,5,FALSE))</f>
        <v>0.14000000000010004</v>
      </c>
      <c r="N339" s="100">
        <f>IF(ISNA(VLOOKUP($A339,'[5]2011 TB Summary'!$A$4:$J$212,10,FALSE)),"",VLOOKUP($A339,'[5]2011 TB Summary'!$A$4:$J$212,10,FALSE))</f>
        <v>0</v>
      </c>
      <c r="P339" s="113"/>
      <c r="Q339" s="113"/>
    </row>
    <row r="340" spans="1:17" s="101" customFormat="1" ht="15.75">
      <c r="A340" s="96">
        <v>5040</v>
      </c>
      <c r="B340" s="97" t="s">
        <v>573</v>
      </c>
      <c r="C340" s="97" t="s">
        <v>273</v>
      </c>
      <c r="D340" s="97" t="s">
        <v>508</v>
      </c>
      <c r="E340" s="98">
        <v>525803.46</v>
      </c>
      <c r="F340" s="98">
        <v>549185.62</v>
      </c>
      <c r="G340" s="98">
        <v>518083.54</v>
      </c>
      <c r="H340" s="98">
        <v>499239.23</v>
      </c>
      <c r="I340" s="98">
        <v>601619.95</v>
      </c>
      <c r="J340" s="98">
        <v>668950.62</v>
      </c>
      <c r="K340" s="98">
        <v>745279.8800000001</v>
      </c>
      <c r="L340" s="99">
        <f>IF(ISNA(VLOOKUP(A340,'[3]OEB Adjusted Financials'!$I$6:$J$188,2,FALSE)),"",VLOOKUP(A340,'[3]OEB Adjusted Financials'!$I$6:$J$188,2,FALSE))</f>
        <v>633907.4500000001</v>
      </c>
      <c r="M340" s="100">
        <f>IF(ISNA(VLOOKUP($A340,'[4]2010 TB'!$A$4:$E$210,5,FALSE)),"",VLOOKUP($A340,'[4]2010 TB'!$A$4:$E$210,5,FALSE))</f>
        <v>275800.17000000016</v>
      </c>
      <c r="N340" s="100">
        <f>IF(ISNA(VLOOKUP($A340,'[5]2011 TB Summary'!$A$4:$J$212,10,FALSE)),"",VLOOKUP($A340,'[5]2011 TB Summary'!$A$4:$J$212,10,FALSE))</f>
        <v>312081.015625</v>
      </c>
      <c r="P340" s="113"/>
      <c r="Q340" s="113"/>
    </row>
    <row r="341" spans="1:17" s="101" customFormat="1" ht="15.75">
      <c r="A341" s="96">
        <v>5045</v>
      </c>
      <c r="B341" s="97" t="s">
        <v>574</v>
      </c>
      <c r="C341" s="97" t="s">
        <v>273</v>
      </c>
      <c r="D341" s="97" t="s">
        <v>508</v>
      </c>
      <c r="E341" s="98">
        <v>785736.25</v>
      </c>
      <c r="F341" s="98">
        <v>833010</v>
      </c>
      <c r="G341" s="98">
        <v>138941.77</v>
      </c>
      <c r="H341" s="98">
        <v>209405.23</v>
      </c>
      <c r="I341" s="98">
        <v>202506.86</v>
      </c>
      <c r="J341" s="98">
        <v>174662.37</v>
      </c>
      <c r="K341" s="98">
        <v>460663.57</v>
      </c>
      <c r="L341" s="99">
        <f>IF(ISNA(VLOOKUP(A341,'[3]OEB Adjusted Financials'!$I$6:$J$188,2,FALSE)),"",VLOOKUP(A341,'[3]OEB Adjusted Financials'!$I$6:$J$188,2,FALSE))</f>
        <v>867144.26</v>
      </c>
      <c r="M341" s="100">
        <f>IF(ISNA(VLOOKUP($A341,'[4]2010 TB'!$A$4:$E$210,5,FALSE)),"",VLOOKUP($A341,'[4]2010 TB'!$A$4:$E$210,5,FALSE))</f>
        <v>953546.08</v>
      </c>
      <c r="N341" s="100">
        <f>IF(ISNA(VLOOKUP($A341,'[5]2011 TB Summary'!$A$4:$J$212,10,FALSE)),"",VLOOKUP($A341,'[5]2011 TB Summary'!$A$4:$J$212,10,FALSE))</f>
        <v>898854.4375</v>
      </c>
      <c r="P341" s="113"/>
      <c r="Q341" s="113"/>
    </row>
    <row r="342" spans="1:17" s="101" customFormat="1" ht="15.75">
      <c r="A342" s="96">
        <v>5050</v>
      </c>
      <c r="B342" s="97" t="s">
        <v>575</v>
      </c>
      <c r="C342" s="97" t="s">
        <v>273</v>
      </c>
      <c r="D342" s="97" t="s">
        <v>508</v>
      </c>
      <c r="E342" s="98" t="s">
        <v>217</v>
      </c>
      <c r="F342" s="98" t="s">
        <v>217</v>
      </c>
      <c r="G342" s="98" t="s">
        <v>217</v>
      </c>
      <c r="H342" s="98"/>
      <c r="I342" s="98"/>
      <c r="J342" s="98"/>
      <c r="K342" s="98"/>
      <c r="L342" s="99">
        <f>IF(ISNA(VLOOKUP(A342,'[3]OEB Adjusted Financials'!$I$6:$J$188,2,FALSE)),"",VLOOKUP(A342,'[3]OEB Adjusted Financials'!$I$6:$J$188,2,FALSE))</f>
        <v>133.06</v>
      </c>
      <c r="M342" s="100">
        <f>IF(ISNA(VLOOKUP($A342,'[4]2010 TB'!$A$4:$E$210,5,FALSE)),"",VLOOKUP($A342,'[4]2010 TB'!$A$4:$E$210,5,FALSE))</f>
        <v>0</v>
      </c>
      <c r="N342" s="100">
        <f>IF(ISNA(VLOOKUP($A342,'[5]2011 TB Summary'!$A$4:$J$212,10,FALSE)),"",VLOOKUP($A342,'[5]2011 TB Summary'!$A$4:$J$212,10,FALSE))</f>
        <v>0</v>
      </c>
      <c r="P342" s="113"/>
      <c r="Q342" s="113"/>
    </row>
    <row r="343" spans="1:17" s="101" customFormat="1" ht="15.75">
      <c r="A343" s="96">
        <v>5055</v>
      </c>
      <c r="B343" s="97" t="s">
        <v>576</v>
      </c>
      <c r="C343" s="97" t="s">
        <v>273</v>
      </c>
      <c r="D343" s="97" t="s">
        <v>508</v>
      </c>
      <c r="E343" s="98">
        <v>72281.42</v>
      </c>
      <c r="F343" s="98" t="s">
        <v>217</v>
      </c>
      <c r="G343" s="98">
        <v>4060.17</v>
      </c>
      <c r="H343" s="98">
        <v>6957</v>
      </c>
      <c r="I343" s="98">
        <v>7685.02</v>
      </c>
      <c r="J343" s="98">
        <v>4657.15</v>
      </c>
      <c r="K343" s="98">
        <v>6294.42</v>
      </c>
      <c r="L343" s="99">
        <f>IF(ISNA(VLOOKUP(A343,'[3]OEB Adjusted Financials'!$I$6:$J$188,2,FALSE)),"",VLOOKUP(A343,'[3]OEB Adjusted Financials'!$I$6:$J$188,2,FALSE))</f>
        <v>14765.090000000002</v>
      </c>
      <c r="M343" s="100">
        <f>IF(ISNA(VLOOKUP($A343,'[4]2010 TB'!$A$4:$E$210,5,FALSE)),"",VLOOKUP($A343,'[4]2010 TB'!$A$4:$E$210,5,FALSE))</f>
        <v>20821.61</v>
      </c>
      <c r="N343" s="100">
        <f>IF(ISNA(VLOOKUP($A343,'[5]2011 TB Summary'!$A$4:$J$212,10,FALSE)),"",VLOOKUP($A343,'[5]2011 TB Summary'!$A$4:$J$212,10,FALSE))</f>
        <v>24263.455402374268</v>
      </c>
      <c r="P343" s="113"/>
      <c r="Q343" s="113"/>
    </row>
    <row r="344" spans="1:17" s="101" customFormat="1" ht="15.75">
      <c r="A344" s="96">
        <v>5060</v>
      </c>
      <c r="B344" s="97" t="s">
        <v>577</v>
      </c>
      <c r="C344" s="97" t="s">
        <v>273</v>
      </c>
      <c r="D344" s="97" t="s">
        <v>508</v>
      </c>
      <c r="E344" s="98" t="s">
        <v>217</v>
      </c>
      <c r="F344" s="98" t="s">
        <v>217</v>
      </c>
      <c r="G344" s="98" t="s">
        <v>217</v>
      </c>
      <c r="H344" s="98"/>
      <c r="I344" s="98"/>
      <c r="J344" s="98"/>
      <c r="K344" s="98"/>
      <c r="L344" s="99">
        <f>IF(ISNA(VLOOKUP(A344,'[3]OEB Adjusted Financials'!$I$6:$J$188,2,FALSE)),"",VLOOKUP(A344,'[3]OEB Adjusted Financials'!$I$6:$J$188,2,FALSE))</f>
      </c>
      <c r="M344" s="100">
        <f>IF(ISNA(VLOOKUP($A344,'[4]2010 TB'!$A$4:$E$210,5,FALSE)),"",VLOOKUP($A344,'[4]2010 TB'!$A$4:$E$210,5,FALSE))</f>
      </c>
      <c r="N344" s="100">
        <f>IF(ISNA(VLOOKUP($A344,'[5]2011 TB Summary'!$A$4:$J$212,10,FALSE)),"",VLOOKUP($A344,'[5]2011 TB Summary'!$A$4:$J$212,10,FALSE))</f>
      </c>
      <c r="P344" s="113"/>
      <c r="Q344" s="113"/>
    </row>
    <row r="345" spans="1:17" s="101" customFormat="1" ht="15.75">
      <c r="A345" s="96">
        <v>5065</v>
      </c>
      <c r="B345" s="97" t="s">
        <v>578</v>
      </c>
      <c r="C345" s="97" t="s">
        <v>273</v>
      </c>
      <c r="D345" s="97" t="s">
        <v>508</v>
      </c>
      <c r="E345" s="98">
        <v>1084689.89</v>
      </c>
      <c r="F345" s="98">
        <v>873481.49</v>
      </c>
      <c r="G345" s="98">
        <v>679293.33</v>
      </c>
      <c r="H345" s="98">
        <v>1079102.97</v>
      </c>
      <c r="I345" s="98">
        <v>1141595.09</v>
      </c>
      <c r="J345" s="98">
        <v>1263492.49</v>
      </c>
      <c r="K345" s="98">
        <v>2782354.6400000015</v>
      </c>
      <c r="L345" s="99">
        <f>IF(ISNA(VLOOKUP(A345,'[3]OEB Adjusted Financials'!$I$6:$J$188,2,FALSE)),"",VLOOKUP(A345,'[3]OEB Adjusted Financials'!$I$6:$J$188,2,FALSE))</f>
        <v>3487991.2700000005</v>
      </c>
      <c r="M345" s="100">
        <f>IF(ISNA(VLOOKUP($A345,'[4]2010 TB'!$A$4:$E$210,5,FALSE)),"",VLOOKUP($A345,'[4]2010 TB'!$A$4:$E$210,5,FALSE))</f>
        <v>3814690.7199999983</v>
      </c>
      <c r="N345" s="100">
        <f>IF(ISNA(VLOOKUP($A345,'[5]2011 TB Summary'!$A$4:$J$212,10,FALSE)),"",VLOOKUP($A345,'[5]2011 TB Summary'!$A$4:$J$212,10,FALSE))</f>
        <v>6246805.260787964</v>
      </c>
      <c r="P345" s="113"/>
      <c r="Q345" s="113"/>
    </row>
    <row r="346" spans="1:17" s="101" customFormat="1" ht="15.75">
      <c r="A346" s="96">
        <v>5070</v>
      </c>
      <c r="B346" s="97" t="s">
        <v>579</v>
      </c>
      <c r="C346" s="97" t="s">
        <v>273</v>
      </c>
      <c r="D346" s="97" t="s">
        <v>508</v>
      </c>
      <c r="E346" s="98">
        <v>1167333.56</v>
      </c>
      <c r="F346" s="98">
        <v>947333.04</v>
      </c>
      <c r="G346" s="98">
        <v>1015539.25</v>
      </c>
      <c r="H346" s="98">
        <v>966666.95</v>
      </c>
      <c r="I346" s="98">
        <v>1421418.27</v>
      </c>
      <c r="J346" s="98">
        <v>1579670.02</v>
      </c>
      <c r="K346" s="98">
        <v>1410123.7699999998</v>
      </c>
      <c r="L346" s="99">
        <f>IF(ISNA(VLOOKUP(A346,'[3]OEB Adjusted Financials'!$I$6:$J$188,2,FALSE)),"",VLOOKUP(A346,'[3]OEB Adjusted Financials'!$I$6:$J$188,2,FALSE))</f>
        <v>763145.92</v>
      </c>
      <c r="M346" s="100">
        <f>IF(ISNA(VLOOKUP($A346,'[4]2010 TB'!$A$4:$E$210,5,FALSE)),"",VLOOKUP($A346,'[4]2010 TB'!$A$4:$E$210,5,FALSE))</f>
        <v>1011277.6000000001</v>
      </c>
      <c r="N346" s="100">
        <f>IF(ISNA(VLOOKUP($A346,'[5]2011 TB Summary'!$A$4:$J$212,10,FALSE)),"",VLOOKUP($A346,'[5]2011 TB Summary'!$A$4:$J$212,10,FALSE))</f>
        <v>1144306</v>
      </c>
      <c r="P346" s="113"/>
      <c r="Q346" s="113"/>
    </row>
    <row r="347" spans="1:17" s="101" customFormat="1" ht="15.75">
      <c r="A347" s="96">
        <v>5075</v>
      </c>
      <c r="B347" s="97" t="s">
        <v>580</v>
      </c>
      <c r="C347" s="97" t="s">
        <v>273</v>
      </c>
      <c r="D347" s="97" t="s">
        <v>508</v>
      </c>
      <c r="E347" s="98">
        <v>28773.6</v>
      </c>
      <c r="F347" s="98">
        <v>52793.38</v>
      </c>
      <c r="G347" s="98">
        <v>66916.53</v>
      </c>
      <c r="H347" s="98">
        <v>87255.53</v>
      </c>
      <c r="I347" s="98">
        <v>139215.2</v>
      </c>
      <c r="J347" s="98">
        <v>154540.47</v>
      </c>
      <c r="K347" s="98">
        <v>242723.58000000007</v>
      </c>
      <c r="L347" s="99">
        <f>IF(ISNA(VLOOKUP(A347,'[3]OEB Adjusted Financials'!$I$6:$J$188,2,FALSE)),"",VLOOKUP(A347,'[3]OEB Adjusted Financials'!$I$6:$J$188,2,FALSE))</f>
        <v>339211.66000000003</v>
      </c>
      <c r="M347" s="100">
        <f>IF(ISNA(VLOOKUP($A347,'[4]2010 TB'!$A$4:$E$210,5,FALSE)),"",VLOOKUP($A347,'[4]2010 TB'!$A$4:$E$210,5,FALSE))</f>
        <v>295116.04</v>
      </c>
      <c r="N347" s="100">
        <f>IF(ISNA(VLOOKUP($A347,'[5]2011 TB Summary'!$A$4:$J$212,10,FALSE)),"",VLOOKUP($A347,'[5]2011 TB Summary'!$A$4:$J$212,10,FALSE))</f>
        <v>510538.98026275635</v>
      </c>
      <c r="P347" s="113"/>
      <c r="Q347" s="113"/>
    </row>
    <row r="348" spans="1:17" s="101" customFormat="1" ht="15.75">
      <c r="A348" s="96">
        <v>5085</v>
      </c>
      <c r="B348" s="97" t="s">
        <v>581</v>
      </c>
      <c r="C348" s="97" t="s">
        <v>273</v>
      </c>
      <c r="D348" s="97" t="s">
        <v>508</v>
      </c>
      <c r="E348" s="98" t="s">
        <v>217</v>
      </c>
      <c r="F348" s="98" t="s">
        <v>217</v>
      </c>
      <c r="G348" s="98">
        <v>32757.09</v>
      </c>
      <c r="H348" s="98">
        <v>248957.06</v>
      </c>
      <c r="I348" s="98">
        <v>451369.97</v>
      </c>
      <c r="J348" s="98">
        <v>500389.21</v>
      </c>
      <c r="K348" s="98">
        <v>752743.5199999998</v>
      </c>
      <c r="L348" s="99">
        <f>IF(ISNA(VLOOKUP(A348,'[3]OEB Adjusted Financials'!$I$6:$J$188,2,FALSE)),"",VLOOKUP(A348,'[3]OEB Adjusted Financials'!$I$6:$J$188,2,FALSE))</f>
        <v>1012610.0399999999</v>
      </c>
      <c r="M348" s="100">
        <f>IF(ISNA(VLOOKUP($A348,'[4]2010 TB'!$A$4:$E$210,5,FALSE)),"",VLOOKUP($A348,'[4]2010 TB'!$A$4:$E$210,5,FALSE))</f>
        <v>1539351.72</v>
      </c>
      <c r="N348" s="100">
        <f>IF(ISNA(VLOOKUP($A348,'[5]2011 TB Summary'!$A$4:$J$212,10,FALSE)),"",VLOOKUP($A348,'[5]2011 TB Summary'!$A$4:$J$212,10,FALSE))</f>
        <v>1527544.004272461</v>
      </c>
      <c r="P348" s="113"/>
      <c r="Q348" s="113"/>
    </row>
    <row r="349" spans="1:17" s="101" customFormat="1" ht="15.75">
      <c r="A349" s="96">
        <v>5090</v>
      </c>
      <c r="B349" s="97" t="s">
        <v>582</v>
      </c>
      <c r="C349" s="97" t="s">
        <v>273</v>
      </c>
      <c r="D349" s="97" t="s">
        <v>508</v>
      </c>
      <c r="E349" s="98" t="s">
        <v>217</v>
      </c>
      <c r="F349" s="98" t="s">
        <v>217</v>
      </c>
      <c r="G349" s="98" t="s">
        <v>217</v>
      </c>
      <c r="H349" s="98"/>
      <c r="I349" s="98"/>
      <c r="J349" s="98"/>
      <c r="K349" s="98"/>
      <c r="L349" s="99">
        <f>IF(ISNA(VLOOKUP(A349,'[3]OEB Adjusted Financials'!$I$6:$J$188,2,FALSE)),"",VLOOKUP(A349,'[3]OEB Adjusted Financials'!$I$6:$J$188,2,FALSE))</f>
      </c>
      <c r="M349" s="100">
        <f>IF(ISNA(VLOOKUP($A349,'[4]2010 TB'!$A$4:$E$210,5,FALSE)),"",VLOOKUP($A349,'[4]2010 TB'!$A$4:$E$210,5,FALSE))</f>
      </c>
      <c r="N349" s="100">
        <f>IF(ISNA(VLOOKUP($A349,'[5]2011 TB Summary'!$A$4:$J$212,10,FALSE)),"",VLOOKUP($A349,'[5]2011 TB Summary'!$A$4:$J$212,10,FALSE))</f>
      </c>
      <c r="P349" s="113"/>
      <c r="Q349" s="113"/>
    </row>
    <row r="350" spans="1:17" s="101" customFormat="1" ht="15.75">
      <c r="A350" s="96">
        <v>5095</v>
      </c>
      <c r="B350" s="97" t="s">
        <v>583</v>
      </c>
      <c r="C350" s="97" t="s">
        <v>273</v>
      </c>
      <c r="D350" s="97" t="s">
        <v>508</v>
      </c>
      <c r="E350" s="98">
        <v>30704</v>
      </c>
      <c r="F350" s="98">
        <v>31906.5</v>
      </c>
      <c r="G350" s="98" t="s">
        <v>217</v>
      </c>
      <c r="H350" s="98"/>
      <c r="I350" s="98"/>
      <c r="J350" s="98">
        <v>0</v>
      </c>
      <c r="K350" s="98"/>
      <c r="L350" s="99">
        <f>IF(ISNA(VLOOKUP(A350,'[3]OEB Adjusted Financials'!$I$6:$J$188,2,FALSE)),"",VLOOKUP(A350,'[3]OEB Adjusted Financials'!$I$6:$J$188,2,FALSE))</f>
      </c>
      <c r="M350" s="100">
        <f>IF(ISNA(VLOOKUP($A350,'[4]2010 TB'!$A$4:$E$210,5,FALSE)),"",VLOOKUP($A350,'[4]2010 TB'!$A$4:$E$210,5,FALSE))</f>
      </c>
      <c r="N350" s="100">
        <f>IF(ISNA(VLOOKUP($A350,'[5]2011 TB Summary'!$A$4:$J$212,10,FALSE)),"",VLOOKUP($A350,'[5]2011 TB Summary'!$A$4:$J$212,10,FALSE))</f>
      </c>
      <c r="P350" s="113"/>
      <c r="Q350" s="113"/>
    </row>
    <row r="351" spans="1:17" s="101" customFormat="1" ht="15.75">
      <c r="A351" s="96">
        <v>5096</v>
      </c>
      <c r="B351" s="97" t="s">
        <v>584</v>
      </c>
      <c r="C351" s="97" t="s">
        <v>273</v>
      </c>
      <c r="D351" s="97" t="s">
        <v>508</v>
      </c>
      <c r="E351" s="98">
        <v>94739.8</v>
      </c>
      <c r="F351" s="98">
        <v>168661.95</v>
      </c>
      <c r="G351" s="98">
        <v>132293.44</v>
      </c>
      <c r="H351" s="98">
        <v>131098.1</v>
      </c>
      <c r="I351" s="98">
        <v>261684.63</v>
      </c>
      <c r="J351" s="98">
        <v>219814.07</v>
      </c>
      <c r="K351" s="98">
        <v>244106.81</v>
      </c>
      <c r="L351" s="99">
        <f>IF(ISNA(VLOOKUP(A351,'[3]OEB Adjusted Financials'!$I$6:$J$188,2,FALSE)),"",VLOOKUP(A351,'[3]OEB Adjusted Financials'!$I$6:$J$188,2,FALSE))</f>
        <v>226646</v>
      </c>
      <c r="M351" s="100">
        <f>IF(ISNA(VLOOKUP($A351,'[4]2010 TB'!$A$4:$E$210,5,FALSE)),"",VLOOKUP($A351,'[4]2010 TB'!$A$4:$E$210,5,FALSE))</f>
        <v>250000.08000000002</v>
      </c>
      <c r="N351" s="100">
        <f>IF(ISNA(VLOOKUP($A351,'[5]2011 TB Summary'!$A$4:$J$212,10,FALSE)),"",VLOOKUP($A351,'[5]2011 TB Summary'!$A$4:$J$212,10,FALSE))</f>
        <v>250000</v>
      </c>
      <c r="P351" s="113"/>
      <c r="Q351" s="113"/>
    </row>
    <row r="352" spans="1:17" s="101" customFormat="1" ht="15.75">
      <c r="A352" s="96">
        <v>5105</v>
      </c>
      <c r="B352" s="97" t="s">
        <v>529</v>
      </c>
      <c r="C352" s="97" t="s">
        <v>273</v>
      </c>
      <c r="D352" s="97" t="s">
        <v>508</v>
      </c>
      <c r="E352" s="98" t="s">
        <v>217</v>
      </c>
      <c r="F352" s="98" t="s">
        <v>217</v>
      </c>
      <c r="G352" s="98">
        <v>53975.89</v>
      </c>
      <c r="H352" s="98">
        <v>121065.55</v>
      </c>
      <c r="I352" s="98">
        <v>106332.41</v>
      </c>
      <c r="J352" s="98">
        <v>132788.99</v>
      </c>
      <c r="K352" s="98">
        <v>322985.17000000004</v>
      </c>
      <c r="L352" s="99">
        <f>IF(ISNA(VLOOKUP(A352,'[3]OEB Adjusted Financials'!$I$6:$J$188,2,FALSE)),"",VLOOKUP(A352,'[3]OEB Adjusted Financials'!$I$6:$J$188,2,FALSE))</f>
        <v>144546.38000000003</v>
      </c>
      <c r="M352" s="100">
        <f>IF(ISNA(VLOOKUP($A352,'[4]2010 TB'!$A$4:$E$210,5,FALSE)),"",VLOOKUP($A352,'[4]2010 TB'!$A$4:$E$210,5,FALSE))</f>
        <v>0</v>
      </c>
      <c r="N352" s="100">
        <f>IF(ISNA(VLOOKUP($A352,'[5]2011 TB Summary'!$A$4:$J$212,10,FALSE)),"",VLOOKUP($A352,'[5]2011 TB Summary'!$A$4:$J$212,10,FALSE))</f>
        <v>194570.21295166016</v>
      </c>
      <c r="P352" s="113"/>
      <c r="Q352" s="113"/>
    </row>
    <row r="353" spans="1:17" s="101" customFormat="1" ht="15.75">
      <c r="A353" s="96">
        <v>5110</v>
      </c>
      <c r="B353" s="97" t="s">
        <v>585</v>
      </c>
      <c r="C353" s="97" t="s">
        <v>273</v>
      </c>
      <c r="D353" s="97" t="s">
        <v>508</v>
      </c>
      <c r="E353" s="98">
        <v>13409.19</v>
      </c>
      <c r="F353" s="98">
        <v>36354.4</v>
      </c>
      <c r="G353" s="98">
        <v>461941.13</v>
      </c>
      <c r="H353" s="98">
        <v>107083.31</v>
      </c>
      <c r="I353" s="98">
        <v>63556.18</v>
      </c>
      <c r="J353" s="98">
        <v>40821.72</v>
      </c>
      <c r="K353" s="98">
        <v>68412.68</v>
      </c>
      <c r="L353" s="99">
        <f>IF(ISNA(VLOOKUP(A353,'[3]OEB Adjusted Financials'!$I$6:$J$188,2,FALSE)),"",VLOOKUP(A353,'[3]OEB Adjusted Financials'!$I$6:$J$188,2,FALSE))</f>
        <v>241273.66999999998</v>
      </c>
      <c r="M353" s="100">
        <f>IF(ISNA(VLOOKUP($A353,'[4]2010 TB'!$A$4:$E$210,5,FALSE)),"",VLOOKUP($A353,'[4]2010 TB'!$A$4:$E$210,5,FALSE))</f>
        <v>360640.88</v>
      </c>
      <c r="N353" s="100">
        <f>IF(ISNA(VLOOKUP($A353,'[5]2011 TB Summary'!$A$4:$J$212,10,FALSE)),"",VLOOKUP($A353,'[5]2011 TB Summary'!$A$4:$J$212,10,FALSE))</f>
        <v>160858.38418579102</v>
      </c>
      <c r="P353" s="113"/>
      <c r="Q353" s="113"/>
    </row>
    <row r="354" spans="1:17" s="101" customFormat="1" ht="15.75">
      <c r="A354" s="96">
        <v>5112</v>
      </c>
      <c r="B354" s="97" t="s">
        <v>556</v>
      </c>
      <c r="C354" s="97" t="s">
        <v>273</v>
      </c>
      <c r="D354" s="97" t="s">
        <v>508</v>
      </c>
      <c r="E354" s="98">
        <v>44545.95</v>
      </c>
      <c r="F354" s="98" t="s">
        <v>217</v>
      </c>
      <c r="G354" s="98" t="s">
        <v>217</v>
      </c>
      <c r="H354" s="98"/>
      <c r="I354" s="98"/>
      <c r="J354" s="98"/>
      <c r="K354" s="98"/>
      <c r="L354" s="99">
        <f>IF(ISNA(VLOOKUP(A354,'[3]OEB Adjusted Financials'!$I$6:$J$188,2,FALSE)),"",VLOOKUP(A354,'[3]OEB Adjusted Financials'!$I$6:$J$188,2,FALSE))</f>
      </c>
      <c r="M354" s="100">
        <f>IF(ISNA(VLOOKUP($A354,'[4]2010 TB'!$A$4:$E$210,5,FALSE)),"",VLOOKUP($A354,'[4]2010 TB'!$A$4:$E$210,5,FALSE))</f>
      </c>
      <c r="N354" s="100">
        <f>IF(ISNA(VLOOKUP($A354,'[5]2011 TB Summary'!$A$4:$J$212,10,FALSE)),"",VLOOKUP($A354,'[5]2011 TB Summary'!$A$4:$J$212,10,FALSE))</f>
      </c>
      <c r="P354" s="113"/>
      <c r="Q354" s="113"/>
    </row>
    <row r="355" spans="1:17" s="101" customFormat="1" ht="15.75">
      <c r="A355" s="96">
        <v>5114</v>
      </c>
      <c r="B355" s="97" t="s">
        <v>586</v>
      </c>
      <c r="C355" s="97" t="s">
        <v>273</v>
      </c>
      <c r="D355" s="97" t="s">
        <v>508</v>
      </c>
      <c r="E355" s="98">
        <v>350975.2</v>
      </c>
      <c r="F355" s="98">
        <v>406818.29</v>
      </c>
      <c r="G355" s="98">
        <v>394293.66</v>
      </c>
      <c r="H355" s="98">
        <v>224774.65</v>
      </c>
      <c r="I355" s="98">
        <v>310343.85</v>
      </c>
      <c r="J355" s="98">
        <v>289545.21</v>
      </c>
      <c r="K355" s="98">
        <v>412473.28</v>
      </c>
      <c r="L355" s="99">
        <f>IF(ISNA(VLOOKUP(A355,'[3]OEB Adjusted Financials'!$I$6:$J$188,2,FALSE)),"",VLOOKUP(A355,'[3]OEB Adjusted Financials'!$I$6:$J$188,2,FALSE))</f>
        <v>375439.23999999993</v>
      </c>
      <c r="M355" s="100">
        <f>IF(ISNA(VLOOKUP($A355,'[4]2010 TB'!$A$4:$E$210,5,FALSE)),"",VLOOKUP($A355,'[4]2010 TB'!$A$4:$E$210,5,FALSE))</f>
        <v>497193.91000000003</v>
      </c>
      <c r="N355" s="100">
        <f>IF(ISNA(VLOOKUP($A355,'[5]2011 TB Summary'!$A$4:$J$212,10,FALSE)),"",VLOOKUP($A355,'[5]2011 TB Summary'!$A$4:$J$212,10,FALSE))</f>
        <v>612987.4544677734</v>
      </c>
      <c r="P355" s="113"/>
      <c r="Q355" s="113"/>
    </row>
    <row r="356" spans="1:17" s="101" customFormat="1" ht="15.75">
      <c r="A356" s="96">
        <v>5120</v>
      </c>
      <c r="B356" s="97" t="s">
        <v>587</v>
      </c>
      <c r="C356" s="97" t="s">
        <v>273</v>
      </c>
      <c r="D356" s="97" t="s">
        <v>508</v>
      </c>
      <c r="E356" s="98">
        <v>218272.77</v>
      </c>
      <c r="F356" s="98">
        <v>421764</v>
      </c>
      <c r="G356" s="98">
        <v>481020.87</v>
      </c>
      <c r="H356" s="98">
        <v>618828.99</v>
      </c>
      <c r="I356" s="98">
        <v>419000.31</v>
      </c>
      <c r="J356" s="98">
        <v>269469.35</v>
      </c>
      <c r="K356" s="98">
        <v>243849.81</v>
      </c>
      <c r="L356" s="99">
        <f>IF(ISNA(VLOOKUP(A356,'[3]OEB Adjusted Financials'!$I$6:$J$188,2,FALSE)),"",VLOOKUP(A356,'[3]OEB Adjusted Financials'!$I$6:$J$188,2,FALSE))</f>
        <v>132846.83000000002</v>
      </c>
      <c r="M356" s="100">
        <f>IF(ISNA(VLOOKUP($A356,'[4]2010 TB'!$A$4:$E$210,5,FALSE)),"",VLOOKUP($A356,'[4]2010 TB'!$A$4:$E$210,5,FALSE))</f>
        <v>164727.62</v>
      </c>
      <c r="N356" s="100">
        <f>IF(ISNA(VLOOKUP($A356,'[5]2011 TB Summary'!$A$4:$J$212,10,FALSE)),"",VLOOKUP($A356,'[5]2011 TB Summary'!$A$4:$J$212,10,FALSE))</f>
        <v>330646.4505004883</v>
      </c>
      <c r="P356" s="113"/>
      <c r="Q356" s="113"/>
    </row>
    <row r="357" spans="1:17" s="101" customFormat="1" ht="15.75">
      <c r="A357" s="96">
        <v>5125</v>
      </c>
      <c r="B357" s="97" t="s">
        <v>558</v>
      </c>
      <c r="C357" s="97" t="s">
        <v>273</v>
      </c>
      <c r="D357" s="97" t="s">
        <v>508</v>
      </c>
      <c r="E357" s="98">
        <v>46627.34</v>
      </c>
      <c r="F357" s="98">
        <v>420799.8</v>
      </c>
      <c r="G357" s="98">
        <v>361544.38</v>
      </c>
      <c r="H357" s="98">
        <v>844608.73</v>
      </c>
      <c r="I357" s="98">
        <v>920813.44</v>
      </c>
      <c r="J357" s="98">
        <v>893019.23</v>
      </c>
      <c r="K357" s="98">
        <v>1113239.1400000004</v>
      </c>
      <c r="L357" s="99">
        <f>IF(ISNA(VLOOKUP(A357,'[3]OEB Adjusted Financials'!$I$6:$J$188,2,FALSE)),"",VLOOKUP(A357,'[3]OEB Adjusted Financials'!$I$6:$J$188,2,FALSE))</f>
        <v>1048377.4700000001</v>
      </c>
      <c r="M357" s="100">
        <f>IF(ISNA(VLOOKUP($A357,'[4]2010 TB'!$A$4:$E$210,5,FALSE)),"",VLOOKUP($A357,'[4]2010 TB'!$A$4:$E$210,5,FALSE))</f>
        <v>1033334.4099999999</v>
      </c>
      <c r="N357" s="100">
        <f>IF(ISNA(VLOOKUP($A357,'[5]2011 TB Summary'!$A$4:$J$212,10,FALSE)),"",VLOOKUP($A357,'[5]2011 TB Summary'!$A$4:$J$212,10,FALSE))</f>
        <v>1237839.98828125</v>
      </c>
      <c r="P357" s="113"/>
      <c r="Q357" s="113"/>
    </row>
    <row r="358" spans="1:17" s="101" customFormat="1" ht="15.75">
      <c r="A358" s="96">
        <v>5130</v>
      </c>
      <c r="B358" s="97" t="s">
        <v>588</v>
      </c>
      <c r="C358" s="97" t="s">
        <v>273</v>
      </c>
      <c r="D358" s="97" t="s">
        <v>508</v>
      </c>
      <c r="E358" s="98">
        <v>143963.77</v>
      </c>
      <c r="F358" s="98">
        <v>142356.67</v>
      </c>
      <c r="G358" s="98">
        <v>185184.53</v>
      </c>
      <c r="H358" s="98">
        <v>238537.62</v>
      </c>
      <c r="I358" s="98">
        <v>176570.6</v>
      </c>
      <c r="J358" s="98">
        <v>126255.8</v>
      </c>
      <c r="K358" s="98">
        <v>209620.74</v>
      </c>
      <c r="L358" s="99">
        <f>IF(ISNA(VLOOKUP(A358,'[3]OEB Adjusted Financials'!$I$6:$J$188,2,FALSE)),"",VLOOKUP(A358,'[3]OEB Adjusted Financials'!$I$6:$J$188,2,FALSE))</f>
        <v>68025.67</v>
      </c>
      <c r="M358" s="100">
        <f>IF(ISNA(VLOOKUP($A358,'[4]2010 TB'!$A$4:$E$210,5,FALSE)),"",VLOOKUP($A358,'[4]2010 TB'!$A$4:$E$210,5,FALSE))</f>
        <v>261367.46999999997</v>
      </c>
      <c r="N358" s="100">
        <f>IF(ISNA(VLOOKUP($A358,'[5]2011 TB Summary'!$A$4:$J$212,10,FALSE)),"",VLOOKUP($A358,'[5]2011 TB Summary'!$A$4:$J$212,10,FALSE))</f>
        <v>116750.04455566406</v>
      </c>
      <c r="P358" s="113"/>
      <c r="Q358" s="113"/>
    </row>
    <row r="359" spans="1:17" s="101" customFormat="1" ht="15.75">
      <c r="A359" s="96">
        <v>5135</v>
      </c>
      <c r="B359" s="97" t="s">
        <v>589</v>
      </c>
      <c r="C359" s="97" t="s">
        <v>273</v>
      </c>
      <c r="D359" s="97" t="s">
        <v>508</v>
      </c>
      <c r="E359" s="98">
        <v>554177.42</v>
      </c>
      <c r="F359" s="98">
        <v>470625.89</v>
      </c>
      <c r="G359" s="98">
        <v>738342.98</v>
      </c>
      <c r="H359" s="98">
        <v>1462106.23</v>
      </c>
      <c r="I359" s="98">
        <v>1956181.91</v>
      </c>
      <c r="J359" s="98">
        <v>1817959.29</v>
      </c>
      <c r="K359" s="98">
        <v>2442787.48</v>
      </c>
      <c r="L359" s="99">
        <f>IF(ISNA(VLOOKUP(A359,'[3]OEB Adjusted Financials'!$I$6:$J$188,2,FALSE)),"",VLOOKUP(A359,'[3]OEB Adjusted Financials'!$I$6:$J$188,2,FALSE))</f>
        <v>1116019.71</v>
      </c>
      <c r="M359" s="100">
        <f>IF(ISNA(VLOOKUP($A359,'[4]2010 TB'!$A$4:$E$210,5,FALSE)),"",VLOOKUP($A359,'[4]2010 TB'!$A$4:$E$210,5,FALSE))</f>
        <v>1089308.9900000002</v>
      </c>
      <c r="N359" s="100">
        <f>IF(ISNA(VLOOKUP($A359,'[5]2011 TB Summary'!$A$4:$J$212,10,FALSE)),"",VLOOKUP($A359,'[5]2011 TB Summary'!$A$4:$J$212,10,FALSE))</f>
        <v>1328186.3779296875</v>
      </c>
      <c r="P359" s="113"/>
      <c r="Q359" s="113"/>
    </row>
    <row r="360" spans="1:17" s="101" customFormat="1" ht="15.75">
      <c r="A360" s="96">
        <v>5145</v>
      </c>
      <c r="B360" s="97" t="s">
        <v>590</v>
      </c>
      <c r="C360" s="97" t="s">
        <v>273</v>
      </c>
      <c r="D360" s="97" t="s">
        <v>508</v>
      </c>
      <c r="E360" s="98">
        <v>35052.32</v>
      </c>
      <c r="F360" s="98">
        <v>179412.3</v>
      </c>
      <c r="G360" s="98">
        <v>181036.18</v>
      </c>
      <c r="H360" s="98">
        <v>171340.16</v>
      </c>
      <c r="I360" s="98">
        <v>107994.84</v>
      </c>
      <c r="J360" s="98">
        <v>141188.91</v>
      </c>
      <c r="K360" s="98">
        <v>153226.08</v>
      </c>
      <c r="L360" s="99">
        <f>IF(ISNA(VLOOKUP(A360,'[3]OEB Adjusted Financials'!$I$6:$J$188,2,FALSE)),"",VLOOKUP(A360,'[3]OEB Adjusted Financials'!$I$6:$J$188,2,FALSE))</f>
        <v>110915.84999999999</v>
      </c>
      <c r="M360" s="100">
        <f>IF(ISNA(VLOOKUP($A360,'[4]2010 TB'!$A$4:$E$210,5,FALSE)),"",VLOOKUP($A360,'[4]2010 TB'!$A$4:$E$210,5,FALSE))</f>
        <v>87425.23999999999</v>
      </c>
      <c r="N360" s="100">
        <f>IF(ISNA(VLOOKUP($A360,'[5]2011 TB Summary'!$A$4:$J$212,10,FALSE)),"",VLOOKUP($A360,'[5]2011 TB Summary'!$A$4:$J$212,10,FALSE))</f>
        <v>106967.76123046875</v>
      </c>
      <c r="P360" s="113"/>
      <c r="Q360" s="113"/>
    </row>
    <row r="361" spans="1:17" s="101" customFormat="1" ht="15.75">
      <c r="A361" s="96">
        <v>5150</v>
      </c>
      <c r="B361" s="97" t="s">
        <v>591</v>
      </c>
      <c r="C361" s="97" t="s">
        <v>273</v>
      </c>
      <c r="D361" s="97" t="s">
        <v>508</v>
      </c>
      <c r="E361" s="98">
        <v>98547.99</v>
      </c>
      <c r="F361" s="98">
        <v>286254.67</v>
      </c>
      <c r="G361" s="98">
        <v>427169.45</v>
      </c>
      <c r="H361" s="98">
        <v>426759.71</v>
      </c>
      <c r="I361" s="98">
        <v>352677.42</v>
      </c>
      <c r="J361" s="98">
        <v>239357.73</v>
      </c>
      <c r="K361" s="98">
        <v>499266.63</v>
      </c>
      <c r="L361" s="99">
        <f>IF(ISNA(VLOOKUP(A361,'[3]OEB Adjusted Financials'!$I$6:$J$188,2,FALSE)),"",VLOOKUP(A361,'[3]OEB Adjusted Financials'!$I$6:$J$188,2,FALSE))</f>
        <v>381874.77999999985</v>
      </c>
      <c r="M361" s="100">
        <f>IF(ISNA(VLOOKUP($A361,'[4]2010 TB'!$A$4:$E$210,5,FALSE)),"",VLOOKUP($A361,'[4]2010 TB'!$A$4:$E$210,5,FALSE))</f>
        <v>645738.13</v>
      </c>
      <c r="N361" s="100">
        <f>IF(ISNA(VLOOKUP($A361,'[5]2011 TB Summary'!$A$4:$J$212,10,FALSE)),"",VLOOKUP($A361,'[5]2011 TB Summary'!$A$4:$J$212,10,FALSE))</f>
        <v>690522.8529510498</v>
      </c>
      <c r="P361" s="113"/>
      <c r="Q361" s="113"/>
    </row>
    <row r="362" spans="1:17" s="101" customFormat="1" ht="15.75">
      <c r="A362" s="96">
        <v>5155</v>
      </c>
      <c r="B362" s="97" t="s">
        <v>592</v>
      </c>
      <c r="C362" s="97" t="s">
        <v>273</v>
      </c>
      <c r="D362" s="97" t="s">
        <v>508</v>
      </c>
      <c r="E362" s="98">
        <v>7327.38</v>
      </c>
      <c r="F362" s="98">
        <v>70334.22</v>
      </c>
      <c r="G362" s="98">
        <v>107920.33</v>
      </c>
      <c r="H362" s="98">
        <v>247390.55</v>
      </c>
      <c r="I362" s="98">
        <v>234721.22</v>
      </c>
      <c r="J362" s="98">
        <v>204283.73</v>
      </c>
      <c r="K362" s="98">
        <v>250730.92</v>
      </c>
      <c r="L362" s="99">
        <f>IF(ISNA(VLOOKUP(A362,'[3]OEB Adjusted Financials'!$I$6:$J$188,2,FALSE)),"",VLOOKUP(A362,'[3]OEB Adjusted Financials'!$I$6:$J$188,2,FALSE))</f>
        <v>121661.31</v>
      </c>
      <c r="M362" s="100">
        <f>IF(ISNA(VLOOKUP($A362,'[4]2010 TB'!$A$4:$E$210,5,FALSE)),"",VLOOKUP($A362,'[4]2010 TB'!$A$4:$E$210,5,FALSE))</f>
        <v>78517.04000000001</v>
      </c>
      <c r="N362" s="100">
        <f>IF(ISNA(VLOOKUP($A362,'[5]2011 TB Summary'!$A$4:$J$212,10,FALSE)),"",VLOOKUP($A362,'[5]2011 TB Summary'!$A$4:$J$212,10,FALSE))</f>
        <v>41216.49836730957</v>
      </c>
      <c r="P362" s="113"/>
      <c r="Q362" s="113"/>
    </row>
    <row r="363" spans="1:17" s="101" customFormat="1" ht="15.75">
      <c r="A363" s="96">
        <v>5160</v>
      </c>
      <c r="B363" s="97" t="s">
        <v>593</v>
      </c>
      <c r="C363" s="97" t="s">
        <v>273</v>
      </c>
      <c r="D363" s="97" t="s">
        <v>508</v>
      </c>
      <c r="E363" s="98">
        <v>127325.4</v>
      </c>
      <c r="F363" s="98">
        <v>135416.65</v>
      </c>
      <c r="G363" s="98">
        <v>249806.63</v>
      </c>
      <c r="H363" s="98">
        <v>574353.79</v>
      </c>
      <c r="I363" s="98">
        <v>421384.31</v>
      </c>
      <c r="J363" s="98">
        <v>512297.83</v>
      </c>
      <c r="K363" s="98">
        <v>387326.49</v>
      </c>
      <c r="L363" s="99">
        <f>IF(ISNA(VLOOKUP(A363,'[3]OEB Adjusted Financials'!$I$6:$J$188,2,FALSE)),"",VLOOKUP(A363,'[3]OEB Adjusted Financials'!$I$6:$J$188,2,FALSE))</f>
        <v>52625.27999999999</v>
      </c>
      <c r="M363" s="100">
        <f>IF(ISNA(VLOOKUP($A363,'[4]2010 TB'!$A$4:$E$210,5,FALSE)),"",VLOOKUP($A363,'[4]2010 TB'!$A$4:$E$210,5,FALSE))</f>
        <v>130889.1</v>
      </c>
      <c r="N363" s="100">
        <f>IF(ISNA(VLOOKUP($A363,'[5]2011 TB Summary'!$A$4:$J$212,10,FALSE)),"",VLOOKUP($A363,'[5]2011 TB Summary'!$A$4:$J$212,10,FALSE))</f>
        <v>171467.77783203125</v>
      </c>
      <c r="P363" s="113"/>
      <c r="Q363" s="113"/>
    </row>
    <row r="364" spans="1:17" s="101" customFormat="1" ht="15.75">
      <c r="A364" s="96">
        <v>5165</v>
      </c>
      <c r="B364" s="97" t="s">
        <v>594</v>
      </c>
      <c r="C364" s="97" t="s">
        <v>273</v>
      </c>
      <c r="D364" s="97" t="s">
        <v>508</v>
      </c>
      <c r="E364" s="98" t="s">
        <v>217</v>
      </c>
      <c r="F364" s="98" t="s">
        <v>217</v>
      </c>
      <c r="G364" s="98" t="s">
        <v>217</v>
      </c>
      <c r="H364" s="98"/>
      <c r="I364" s="98"/>
      <c r="J364" s="98"/>
      <c r="K364" s="98"/>
      <c r="L364" s="99">
        <f>IF(ISNA(VLOOKUP(A364,'[3]OEB Adjusted Financials'!$I$6:$J$188,2,FALSE)),"",VLOOKUP(A364,'[3]OEB Adjusted Financials'!$I$6:$J$188,2,FALSE))</f>
      </c>
      <c r="M364" s="100">
        <f>IF(ISNA(VLOOKUP($A364,'[4]2010 TB'!$A$4:$E$210,5,FALSE)),"",VLOOKUP($A364,'[4]2010 TB'!$A$4:$E$210,5,FALSE))</f>
      </c>
      <c r="N364" s="100">
        <f>IF(ISNA(VLOOKUP($A364,'[5]2011 TB Summary'!$A$4:$J$212,10,FALSE)),"",VLOOKUP($A364,'[5]2011 TB Summary'!$A$4:$J$212,10,FALSE))</f>
      </c>
      <c r="P364" s="113"/>
      <c r="Q364" s="113"/>
    </row>
    <row r="365" spans="1:17" s="101" customFormat="1" ht="15.75">
      <c r="A365" s="96">
        <v>5170</v>
      </c>
      <c r="B365" s="97" t="s">
        <v>595</v>
      </c>
      <c r="C365" s="97" t="s">
        <v>273</v>
      </c>
      <c r="D365" s="97" t="s">
        <v>508</v>
      </c>
      <c r="E365" s="98" t="s">
        <v>217</v>
      </c>
      <c r="F365" s="98" t="s">
        <v>217</v>
      </c>
      <c r="G365" s="98" t="s">
        <v>217</v>
      </c>
      <c r="H365" s="98"/>
      <c r="I365" s="98"/>
      <c r="J365" s="98"/>
      <c r="K365" s="98"/>
      <c r="L365" s="99">
        <f>IF(ISNA(VLOOKUP(A365,'[3]OEB Adjusted Financials'!$I$6:$J$188,2,FALSE)),"",VLOOKUP(A365,'[3]OEB Adjusted Financials'!$I$6:$J$188,2,FALSE))</f>
      </c>
      <c r="M365" s="100">
        <f>IF(ISNA(VLOOKUP($A365,'[4]2010 TB'!$A$4:$E$210,5,FALSE)),"",VLOOKUP($A365,'[4]2010 TB'!$A$4:$E$210,5,FALSE))</f>
      </c>
      <c r="N365" s="100">
        <f>IF(ISNA(VLOOKUP($A365,'[5]2011 TB Summary'!$A$4:$J$212,10,FALSE)),"",VLOOKUP($A365,'[5]2011 TB Summary'!$A$4:$J$212,10,FALSE))</f>
      </c>
      <c r="P365" s="113"/>
      <c r="Q365" s="113"/>
    </row>
    <row r="366" spans="1:17" s="101" customFormat="1" ht="15.75">
      <c r="A366" s="96">
        <v>5172</v>
      </c>
      <c r="B366" s="97" t="s">
        <v>596</v>
      </c>
      <c r="C366" s="97" t="s">
        <v>273</v>
      </c>
      <c r="D366" s="97" t="s">
        <v>508</v>
      </c>
      <c r="E366" s="98" t="s">
        <v>217</v>
      </c>
      <c r="F366" s="98" t="s">
        <v>217</v>
      </c>
      <c r="G366" s="98" t="s">
        <v>217</v>
      </c>
      <c r="H366" s="98"/>
      <c r="I366" s="98"/>
      <c r="J366" s="98"/>
      <c r="K366" s="98"/>
      <c r="L366" s="99">
        <f>IF(ISNA(VLOOKUP(A366,'[3]OEB Adjusted Financials'!$I$6:$J$188,2,FALSE)),"",VLOOKUP(A366,'[3]OEB Adjusted Financials'!$I$6:$J$188,2,FALSE))</f>
      </c>
      <c r="M366" s="100">
        <f>IF(ISNA(VLOOKUP($A366,'[4]2010 TB'!$A$4:$E$210,5,FALSE)),"",VLOOKUP($A366,'[4]2010 TB'!$A$4:$E$210,5,FALSE))</f>
      </c>
      <c r="N366" s="100">
        <f>IF(ISNA(VLOOKUP($A366,'[5]2011 TB Summary'!$A$4:$J$212,10,FALSE)),"",VLOOKUP($A366,'[5]2011 TB Summary'!$A$4:$J$212,10,FALSE))</f>
      </c>
      <c r="P366" s="113"/>
      <c r="Q366" s="113"/>
    </row>
    <row r="367" spans="1:17" s="101" customFormat="1" ht="15.75">
      <c r="A367" s="96">
        <v>5175</v>
      </c>
      <c r="B367" s="97" t="s">
        <v>597</v>
      </c>
      <c r="C367" s="97" t="s">
        <v>273</v>
      </c>
      <c r="D367" s="97" t="s">
        <v>508</v>
      </c>
      <c r="E367" s="98">
        <v>39764.04</v>
      </c>
      <c r="F367" s="98">
        <v>51813.79</v>
      </c>
      <c r="G367" s="98">
        <v>105522.97</v>
      </c>
      <c r="H367" s="98">
        <v>138356.04</v>
      </c>
      <c r="I367" s="98">
        <v>335780.09</v>
      </c>
      <c r="J367" s="98">
        <v>491483.97</v>
      </c>
      <c r="K367" s="98">
        <v>293310.55</v>
      </c>
      <c r="L367" s="99">
        <f>IF(ISNA(VLOOKUP(A367,'[3]OEB Adjusted Financials'!$I$6:$J$188,2,FALSE)),"",VLOOKUP(A367,'[3]OEB Adjusted Financials'!$I$6:$J$188,2,FALSE))</f>
        <v>89029.16</v>
      </c>
      <c r="M367" s="100">
        <f>IF(ISNA(VLOOKUP($A367,'[4]2010 TB'!$A$4:$E$210,5,FALSE)),"",VLOOKUP($A367,'[4]2010 TB'!$A$4:$E$210,5,FALSE))</f>
        <v>229934.83</v>
      </c>
      <c r="N367" s="100">
        <f>IF(ISNA(VLOOKUP($A367,'[5]2011 TB Summary'!$A$4:$J$212,10,FALSE)),"",VLOOKUP($A367,'[5]2011 TB Summary'!$A$4:$J$212,10,FALSE))</f>
        <v>300193.5849609375</v>
      </c>
      <c r="P367" s="113"/>
      <c r="Q367" s="113"/>
    </row>
    <row r="368" spans="1:17" s="101" customFormat="1" ht="15.75">
      <c r="A368" s="96">
        <v>5178</v>
      </c>
      <c r="B368" s="97" t="s">
        <v>598</v>
      </c>
      <c r="C368" s="97" t="s">
        <v>273</v>
      </c>
      <c r="D368" s="97" t="s">
        <v>508</v>
      </c>
      <c r="E368" s="98" t="s">
        <v>217</v>
      </c>
      <c r="F368" s="98" t="s">
        <v>217</v>
      </c>
      <c r="G368" s="98" t="s">
        <v>217</v>
      </c>
      <c r="H368" s="98"/>
      <c r="I368" s="98"/>
      <c r="J368" s="98"/>
      <c r="K368" s="98"/>
      <c r="L368" s="99">
        <f>IF(ISNA(VLOOKUP(A368,'[3]OEB Adjusted Financials'!$I$6:$J$188,2,FALSE)),"",VLOOKUP(A368,'[3]OEB Adjusted Financials'!$I$6:$J$188,2,FALSE))</f>
      </c>
      <c r="M368" s="100">
        <f>IF(ISNA(VLOOKUP($A368,'[4]2010 TB'!$A$4:$E$210,5,FALSE)),"",VLOOKUP($A368,'[4]2010 TB'!$A$4:$E$210,5,FALSE))</f>
      </c>
      <c r="N368" s="100">
        <f>IF(ISNA(VLOOKUP($A368,'[5]2011 TB Summary'!$A$4:$J$212,10,FALSE)),"",VLOOKUP($A368,'[5]2011 TB Summary'!$A$4:$J$212,10,FALSE))</f>
      </c>
      <c r="P368" s="113"/>
      <c r="Q368" s="113"/>
    </row>
    <row r="369" spans="1:17" s="101" customFormat="1" ht="15.75">
      <c r="A369" s="96">
        <v>5185</v>
      </c>
      <c r="B369" s="97" t="s">
        <v>599</v>
      </c>
      <c r="C369" s="97" t="s">
        <v>273</v>
      </c>
      <c r="D369" s="97" t="s">
        <v>508</v>
      </c>
      <c r="E369" s="98" t="s">
        <v>217</v>
      </c>
      <c r="F369" s="98" t="s">
        <v>217</v>
      </c>
      <c r="G369" s="98" t="s">
        <v>217</v>
      </c>
      <c r="H369" s="98"/>
      <c r="I369" s="98"/>
      <c r="J369" s="98"/>
      <c r="K369" s="98"/>
      <c r="L369" s="99">
        <f>IF(ISNA(VLOOKUP(A369,'[3]OEB Adjusted Financials'!$I$6:$J$188,2,FALSE)),"",VLOOKUP(A369,'[3]OEB Adjusted Financials'!$I$6:$J$188,2,FALSE))</f>
      </c>
      <c r="M369" s="100">
        <f>IF(ISNA(VLOOKUP($A369,'[4]2010 TB'!$A$4:$E$210,5,FALSE)),"",VLOOKUP($A369,'[4]2010 TB'!$A$4:$E$210,5,FALSE))</f>
      </c>
      <c r="N369" s="100">
        <f>IF(ISNA(VLOOKUP($A369,'[5]2011 TB Summary'!$A$4:$J$212,10,FALSE)),"",VLOOKUP($A369,'[5]2011 TB Summary'!$A$4:$J$212,10,FALSE))</f>
      </c>
      <c r="P369" s="113"/>
      <c r="Q369" s="113"/>
    </row>
    <row r="370" spans="1:17" s="101" customFormat="1" ht="15.75">
      <c r="A370" s="96">
        <v>5186</v>
      </c>
      <c r="B370" s="97" t="s">
        <v>600</v>
      </c>
      <c r="C370" s="97" t="s">
        <v>273</v>
      </c>
      <c r="D370" s="97" t="s">
        <v>508</v>
      </c>
      <c r="E370" s="98" t="s">
        <v>217</v>
      </c>
      <c r="F370" s="98" t="s">
        <v>217</v>
      </c>
      <c r="G370" s="98" t="s">
        <v>217</v>
      </c>
      <c r="H370" s="98"/>
      <c r="I370" s="98"/>
      <c r="J370" s="98"/>
      <c r="K370" s="98"/>
      <c r="L370" s="99">
        <f>IF(ISNA(VLOOKUP(A370,'[3]OEB Adjusted Financials'!$I$6:$J$188,2,FALSE)),"",VLOOKUP(A370,'[3]OEB Adjusted Financials'!$I$6:$J$188,2,FALSE))</f>
      </c>
      <c r="M370" s="100">
        <f>IF(ISNA(VLOOKUP($A370,'[4]2010 TB'!$A$4:$E$210,5,FALSE)),"",VLOOKUP($A370,'[4]2010 TB'!$A$4:$E$210,5,FALSE))</f>
      </c>
      <c r="N370" s="100">
        <f>IF(ISNA(VLOOKUP($A370,'[5]2011 TB Summary'!$A$4:$J$212,10,FALSE)),"",VLOOKUP($A370,'[5]2011 TB Summary'!$A$4:$J$212,10,FALSE))</f>
      </c>
      <c r="P370" s="113"/>
      <c r="Q370" s="113"/>
    </row>
    <row r="371" spans="1:17" s="101" customFormat="1" ht="15.75">
      <c r="A371" s="96">
        <v>5190</v>
      </c>
      <c r="B371" s="97" t="s">
        <v>601</v>
      </c>
      <c r="C371" s="97" t="s">
        <v>273</v>
      </c>
      <c r="D371" s="97" t="s">
        <v>508</v>
      </c>
      <c r="E371" s="98" t="s">
        <v>217</v>
      </c>
      <c r="F371" s="98" t="s">
        <v>217</v>
      </c>
      <c r="G371" s="98" t="s">
        <v>217</v>
      </c>
      <c r="H371" s="98"/>
      <c r="I371" s="98"/>
      <c r="J371" s="98"/>
      <c r="K371" s="98"/>
      <c r="L371" s="99">
        <f>IF(ISNA(VLOOKUP(A371,'[3]OEB Adjusted Financials'!$I$6:$J$188,2,FALSE)),"",VLOOKUP(A371,'[3]OEB Adjusted Financials'!$I$6:$J$188,2,FALSE))</f>
      </c>
      <c r="M371" s="100">
        <f>IF(ISNA(VLOOKUP($A371,'[4]2010 TB'!$A$4:$E$210,5,FALSE)),"",VLOOKUP($A371,'[4]2010 TB'!$A$4:$E$210,5,FALSE))</f>
      </c>
      <c r="N371" s="100">
        <f>IF(ISNA(VLOOKUP($A371,'[5]2011 TB Summary'!$A$4:$J$212,10,FALSE)),"",VLOOKUP($A371,'[5]2011 TB Summary'!$A$4:$J$212,10,FALSE))</f>
      </c>
      <c r="P371" s="113"/>
      <c r="Q371" s="113"/>
    </row>
    <row r="372" spans="1:17" s="101" customFormat="1" ht="15.75">
      <c r="A372" s="96">
        <v>5192</v>
      </c>
      <c r="B372" s="97" t="s">
        <v>602</v>
      </c>
      <c r="C372" s="97" t="s">
        <v>273</v>
      </c>
      <c r="D372" s="97" t="s">
        <v>508</v>
      </c>
      <c r="E372" s="98" t="s">
        <v>217</v>
      </c>
      <c r="F372" s="98" t="s">
        <v>217</v>
      </c>
      <c r="G372" s="98" t="s">
        <v>217</v>
      </c>
      <c r="H372" s="98"/>
      <c r="I372" s="98"/>
      <c r="J372" s="98"/>
      <c r="K372" s="98"/>
      <c r="L372" s="99">
        <f>IF(ISNA(VLOOKUP(A372,'[3]OEB Adjusted Financials'!$I$6:$J$188,2,FALSE)),"",VLOOKUP(A372,'[3]OEB Adjusted Financials'!$I$6:$J$188,2,FALSE))</f>
      </c>
      <c r="M372" s="100">
        <f>IF(ISNA(VLOOKUP($A372,'[4]2010 TB'!$A$4:$E$210,5,FALSE)),"",VLOOKUP($A372,'[4]2010 TB'!$A$4:$E$210,5,FALSE))</f>
      </c>
      <c r="N372" s="100">
        <f>IF(ISNA(VLOOKUP($A372,'[5]2011 TB Summary'!$A$4:$J$212,10,FALSE)),"",VLOOKUP($A372,'[5]2011 TB Summary'!$A$4:$J$212,10,FALSE))</f>
      </c>
      <c r="P372" s="113"/>
      <c r="Q372" s="113"/>
    </row>
    <row r="373" spans="1:17" s="101" customFormat="1" ht="15.75">
      <c r="A373" s="96">
        <v>5195</v>
      </c>
      <c r="B373" s="97" t="s">
        <v>603</v>
      </c>
      <c r="C373" s="97" t="s">
        <v>273</v>
      </c>
      <c r="D373" s="97" t="s">
        <v>508</v>
      </c>
      <c r="E373" s="98" t="s">
        <v>217</v>
      </c>
      <c r="F373" s="98" t="s">
        <v>217</v>
      </c>
      <c r="G373" s="98" t="s">
        <v>217</v>
      </c>
      <c r="H373" s="98"/>
      <c r="I373" s="98"/>
      <c r="J373" s="98"/>
      <c r="K373" s="98">
        <v>0</v>
      </c>
      <c r="L373" s="99">
        <f>IF(ISNA(VLOOKUP(A373,'[3]OEB Adjusted Financials'!$I$6:$J$188,2,FALSE)),"",VLOOKUP(A373,'[3]OEB Adjusted Financials'!$I$6:$J$188,2,FALSE))</f>
      </c>
      <c r="M373" s="100">
        <f>IF(ISNA(VLOOKUP($A373,'[4]2010 TB'!$A$4:$E$210,5,FALSE)),"",VLOOKUP($A373,'[4]2010 TB'!$A$4:$E$210,5,FALSE))</f>
      </c>
      <c r="N373" s="100">
        <f>IF(ISNA(VLOOKUP($A373,'[5]2011 TB Summary'!$A$4:$J$212,10,FALSE)),"",VLOOKUP($A373,'[5]2011 TB Summary'!$A$4:$J$212,10,FALSE))</f>
      </c>
      <c r="P373" s="113"/>
      <c r="Q373" s="113"/>
    </row>
    <row r="374" spans="1:17" s="101" customFormat="1" ht="15.75">
      <c r="A374" s="96">
        <v>5205</v>
      </c>
      <c r="B374" s="97" t="s">
        <v>604</v>
      </c>
      <c r="C374" s="97" t="s">
        <v>275</v>
      </c>
      <c r="D374" s="97" t="s">
        <v>508</v>
      </c>
      <c r="E374" s="98" t="s">
        <v>217</v>
      </c>
      <c r="F374" s="98" t="s">
        <v>217</v>
      </c>
      <c r="G374" s="98" t="s">
        <v>217</v>
      </c>
      <c r="H374" s="98"/>
      <c r="I374" s="98"/>
      <c r="J374" s="98"/>
      <c r="K374" s="98"/>
      <c r="L374" s="99">
        <f>IF(ISNA(VLOOKUP(A374,'[3]OEB Adjusted Financials'!$I$6:$J$188,2,FALSE)),"",VLOOKUP(A374,'[3]OEB Adjusted Financials'!$I$6:$J$188,2,FALSE))</f>
      </c>
      <c r="M374" s="100">
        <f>IF(ISNA(VLOOKUP($A374,'[4]2010 TB'!$A$4:$E$210,5,FALSE)),"",VLOOKUP($A374,'[4]2010 TB'!$A$4:$E$210,5,FALSE))</f>
      </c>
      <c r="N374" s="100">
        <f>IF(ISNA(VLOOKUP($A374,'[5]2011 TB Summary'!$A$4:$J$212,10,FALSE)),"",VLOOKUP($A374,'[5]2011 TB Summary'!$A$4:$J$212,10,FALSE))</f>
      </c>
      <c r="P374" s="113"/>
      <c r="Q374" s="113"/>
    </row>
    <row r="375" spans="1:17" s="101" customFormat="1" ht="15.75">
      <c r="A375" s="96">
        <v>5210</v>
      </c>
      <c r="B375" s="97" t="s">
        <v>605</v>
      </c>
      <c r="C375" s="97" t="s">
        <v>275</v>
      </c>
      <c r="D375" s="97" t="s">
        <v>508</v>
      </c>
      <c r="E375" s="98" t="s">
        <v>217</v>
      </c>
      <c r="F375" s="98" t="s">
        <v>217</v>
      </c>
      <c r="G375" s="98" t="s">
        <v>217</v>
      </c>
      <c r="H375" s="98"/>
      <c r="I375" s="98"/>
      <c r="J375" s="98"/>
      <c r="K375" s="98"/>
      <c r="L375" s="99">
        <f>IF(ISNA(VLOOKUP(A375,'[3]OEB Adjusted Financials'!$I$6:$J$188,2,FALSE)),"",VLOOKUP(A375,'[3]OEB Adjusted Financials'!$I$6:$J$188,2,FALSE))</f>
      </c>
      <c r="M375" s="100">
        <f>IF(ISNA(VLOOKUP($A375,'[4]2010 TB'!$A$4:$E$210,5,FALSE)),"",VLOOKUP($A375,'[4]2010 TB'!$A$4:$E$210,5,FALSE))</f>
      </c>
      <c r="N375" s="100">
        <f>IF(ISNA(VLOOKUP($A375,'[5]2011 TB Summary'!$A$4:$J$212,10,FALSE)),"",VLOOKUP($A375,'[5]2011 TB Summary'!$A$4:$J$212,10,FALSE))</f>
      </c>
      <c r="P375" s="113"/>
      <c r="Q375" s="113"/>
    </row>
    <row r="376" spans="1:17" s="101" customFormat="1" ht="15.75">
      <c r="A376" s="96">
        <v>5215</v>
      </c>
      <c r="B376" s="97" t="s">
        <v>606</v>
      </c>
      <c r="C376" s="97" t="s">
        <v>275</v>
      </c>
      <c r="D376" s="97" t="s">
        <v>508</v>
      </c>
      <c r="E376" s="98" t="s">
        <v>217</v>
      </c>
      <c r="F376" s="98" t="s">
        <v>217</v>
      </c>
      <c r="G376" s="98" t="s">
        <v>217</v>
      </c>
      <c r="H376" s="98"/>
      <c r="I376" s="98"/>
      <c r="J376" s="98"/>
      <c r="K376" s="98"/>
      <c r="L376" s="99">
        <f>IF(ISNA(VLOOKUP(A376,'[3]OEB Adjusted Financials'!$I$6:$J$188,2,FALSE)),"",VLOOKUP(A376,'[3]OEB Adjusted Financials'!$I$6:$J$188,2,FALSE))</f>
      </c>
      <c r="M376" s="100">
        <f>IF(ISNA(VLOOKUP($A376,'[4]2010 TB'!$A$4:$E$210,5,FALSE)),"",VLOOKUP($A376,'[4]2010 TB'!$A$4:$E$210,5,FALSE))</f>
      </c>
      <c r="N376" s="100">
        <f>IF(ISNA(VLOOKUP($A376,'[5]2011 TB Summary'!$A$4:$J$212,10,FALSE)),"",VLOOKUP($A376,'[5]2011 TB Summary'!$A$4:$J$212,10,FALSE))</f>
      </c>
      <c r="P376" s="113"/>
      <c r="Q376" s="113"/>
    </row>
    <row r="377" spans="1:17" s="101" customFormat="1" ht="15.75">
      <c r="A377" s="96">
        <v>5305</v>
      </c>
      <c r="B377" s="97" t="s">
        <v>607</v>
      </c>
      <c r="C377" s="97" t="s">
        <v>277</v>
      </c>
      <c r="D377" s="97" t="s">
        <v>508</v>
      </c>
      <c r="E377" s="98" t="s">
        <v>243</v>
      </c>
      <c r="F377" s="98" t="s">
        <v>243</v>
      </c>
      <c r="G377" s="98" t="s">
        <v>217</v>
      </c>
      <c r="H377" s="98">
        <v>0</v>
      </c>
      <c r="I377" s="98"/>
      <c r="J377" s="98">
        <v>0</v>
      </c>
      <c r="K377" s="98"/>
      <c r="L377" s="99">
        <f>IF(ISNA(VLOOKUP(A377,'[3]OEB Adjusted Financials'!$I$6:$J$188,2,FALSE)),"",VLOOKUP(A377,'[3]OEB Adjusted Financials'!$I$6:$J$188,2,FALSE))</f>
      </c>
      <c r="M377" s="100">
        <f>IF(ISNA(VLOOKUP($A377,'[4]2010 TB'!$A$4:$E$210,5,FALSE)),"",VLOOKUP($A377,'[4]2010 TB'!$A$4:$E$210,5,FALSE))</f>
      </c>
      <c r="N377" s="100">
        <f>IF(ISNA(VLOOKUP($A377,'[5]2011 TB Summary'!$A$4:$J$212,10,FALSE)),"",VLOOKUP($A377,'[5]2011 TB Summary'!$A$4:$J$212,10,FALSE))</f>
      </c>
      <c r="P377" s="113"/>
      <c r="Q377" s="113"/>
    </row>
    <row r="378" spans="1:17" s="101" customFormat="1" ht="15.75">
      <c r="A378" s="96">
        <v>5310</v>
      </c>
      <c r="B378" s="97" t="s">
        <v>608</v>
      </c>
      <c r="C378" s="97" t="s">
        <v>277</v>
      </c>
      <c r="D378" s="97" t="s">
        <v>508</v>
      </c>
      <c r="E378" s="98" t="s">
        <v>243</v>
      </c>
      <c r="F378" s="98" t="s">
        <v>243</v>
      </c>
      <c r="G378" s="98">
        <v>785.61</v>
      </c>
      <c r="H378" s="98">
        <v>0</v>
      </c>
      <c r="I378" s="98"/>
      <c r="J378" s="98">
        <v>0</v>
      </c>
      <c r="K378" s="98">
        <v>3792</v>
      </c>
      <c r="L378" s="99">
        <f>IF(ISNA(VLOOKUP(A378,'[3]OEB Adjusted Financials'!$I$6:$J$188,2,FALSE)),"",VLOOKUP(A378,'[3]OEB Adjusted Financials'!$I$6:$J$188,2,FALSE))</f>
        <v>0</v>
      </c>
      <c r="M378" s="100">
        <f>IF(ISNA(VLOOKUP($A378,'[4]2010 TB'!$A$4:$E$210,5,FALSE)),"",VLOOKUP($A378,'[4]2010 TB'!$A$4:$E$210,5,FALSE))</f>
        <v>0</v>
      </c>
      <c r="N378" s="100">
        <f>IF(ISNA(VLOOKUP($A378,'[5]2011 TB Summary'!$A$4:$J$212,10,FALSE)),"",VLOOKUP($A378,'[5]2011 TB Summary'!$A$4:$J$212,10,FALSE))</f>
        <v>0</v>
      </c>
      <c r="P378" s="113"/>
      <c r="Q378" s="113"/>
    </row>
    <row r="379" spans="1:17" s="101" customFormat="1" ht="15.75">
      <c r="A379" s="96">
        <v>5315</v>
      </c>
      <c r="B379" s="97" t="s">
        <v>609</v>
      </c>
      <c r="C379" s="97" t="s">
        <v>277</v>
      </c>
      <c r="D379" s="97" t="s">
        <v>508</v>
      </c>
      <c r="E379" s="98" t="s">
        <v>243</v>
      </c>
      <c r="F379" s="98">
        <v>253994</v>
      </c>
      <c r="G379" s="98">
        <v>164333.05</v>
      </c>
      <c r="H379" s="98">
        <v>660263.07</v>
      </c>
      <c r="I379" s="98">
        <v>383456.75</v>
      </c>
      <c r="J379" s="98">
        <v>435356.87</v>
      </c>
      <c r="K379" s="98"/>
      <c r="L379" s="99">
        <f>IF(ISNA(VLOOKUP(A379,'[3]OEB Adjusted Financials'!$I$6:$J$188,2,FALSE)),"",VLOOKUP(A379,'[3]OEB Adjusted Financials'!$I$6:$J$188,2,FALSE))</f>
        <v>36388.17</v>
      </c>
      <c r="M379" s="100">
        <f>IF(ISNA(VLOOKUP($A379,'[4]2010 TB'!$A$4:$E$210,5,FALSE)),"",VLOOKUP($A379,'[4]2010 TB'!$A$4:$E$210,5,FALSE))</f>
        <v>0</v>
      </c>
      <c r="N379" s="100">
        <f>IF(ISNA(VLOOKUP($A379,'[5]2011 TB Summary'!$A$4:$J$212,10,FALSE)),"",VLOOKUP($A379,'[5]2011 TB Summary'!$A$4:$J$212,10,FALSE))</f>
        <v>0</v>
      </c>
      <c r="P379" s="113"/>
      <c r="Q379" s="113"/>
    </row>
    <row r="380" spans="1:17" s="101" customFormat="1" ht="15.75">
      <c r="A380" s="96">
        <v>5320</v>
      </c>
      <c r="B380" s="97" t="s">
        <v>610</v>
      </c>
      <c r="C380" s="97" t="s">
        <v>277</v>
      </c>
      <c r="D380" s="97" t="s">
        <v>508</v>
      </c>
      <c r="E380" s="98">
        <v>84.49</v>
      </c>
      <c r="F380" s="98">
        <v>90915.06</v>
      </c>
      <c r="G380" s="98">
        <v>67343.65</v>
      </c>
      <c r="H380" s="98">
        <v>82611.02</v>
      </c>
      <c r="I380" s="98">
        <v>110996.08</v>
      </c>
      <c r="J380" s="98">
        <v>129346.99</v>
      </c>
      <c r="K380" s="98">
        <v>128769.77</v>
      </c>
      <c r="L380" s="99">
        <f>IF(ISNA(VLOOKUP(A380,'[3]OEB Adjusted Financials'!$I$6:$J$188,2,FALSE)),"",VLOOKUP(A380,'[3]OEB Adjusted Financials'!$I$6:$J$188,2,FALSE))</f>
        <v>255677.53</v>
      </c>
      <c r="M380" s="100">
        <f>IF(ISNA(VLOOKUP($A380,'[4]2010 TB'!$A$4:$E$210,5,FALSE)),"",VLOOKUP($A380,'[4]2010 TB'!$A$4:$E$210,5,FALSE))</f>
        <v>0</v>
      </c>
      <c r="N380" s="100">
        <f>IF(ISNA(VLOOKUP($A380,'[5]2011 TB Summary'!$A$4:$J$212,10,FALSE)),"",VLOOKUP($A380,'[5]2011 TB Summary'!$A$4:$J$212,10,FALSE))</f>
        <v>107210.7159614563</v>
      </c>
      <c r="P380" s="113"/>
      <c r="Q380" s="113"/>
    </row>
    <row r="381" spans="1:17" s="101" customFormat="1" ht="15.75">
      <c r="A381" s="96">
        <v>5325</v>
      </c>
      <c r="B381" s="97" t="s">
        <v>611</v>
      </c>
      <c r="C381" s="97" t="s">
        <v>277</v>
      </c>
      <c r="D381" s="97" t="s">
        <v>508</v>
      </c>
      <c r="E381" s="98" t="s">
        <v>217</v>
      </c>
      <c r="F381" s="98" t="s">
        <v>243</v>
      </c>
      <c r="G381" s="98" t="s">
        <v>217</v>
      </c>
      <c r="H381" s="98"/>
      <c r="I381" s="98"/>
      <c r="J381" s="98">
        <v>0</v>
      </c>
      <c r="K381" s="98"/>
      <c r="L381" s="99">
        <f>IF(ISNA(VLOOKUP(A381,'[3]OEB Adjusted Financials'!$I$6:$J$188,2,FALSE)),"",VLOOKUP(A381,'[3]OEB Adjusted Financials'!$I$6:$J$188,2,FALSE))</f>
      </c>
      <c r="M381" s="100">
        <f>IF(ISNA(VLOOKUP($A381,'[4]2010 TB'!$A$4:$E$210,5,FALSE)),"",VLOOKUP($A381,'[4]2010 TB'!$A$4:$E$210,5,FALSE))</f>
      </c>
      <c r="N381" s="100">
        <f>IF(ISNA(VLOOKUP($A381,'[5]2011 TB Summary'!$A$4:$J$212,10,FALSE)),"",VLOOKUP($A381,'[5]2011 TB Summary'!$A$4:$J$212,10,FALSE))</f>
      </c>
      <c r="P381" s="113"/>
      <c r="Q381" s="113"/>
    </row>
    <row r="382" spans="1:17" s="101" customFormat="1" ht="15.75">
      <c r="A382" s="96">
        <v>5330</v>
      </c>
      <c r="B382" s="97" t="s">
        <v>612</v>
      </c>
      <c r="C382" s="97" t="s">
        <v>277</v>
      </c>
      <c r="D382" s="97" t="s">
        <v>508</v>
      </c>
      <c r="E382" s="98" t="s">
        <v>217</v>
      </c>
      <c r="F382" s="98" t="s">
        <v>217</v>
      </c>
      <c r="G382" s="98" t="s">
        <v>217</v>
      </c>
      <c r="H382" s="98"/>
      <c r="I382" s="98"/>
      <c r="J382" s="98"/>
      <c r="K382" s="98">
        <v>4840</v>
      </c>
      <c r="L382" s="99">
        <f>IF(ISNA(VLOOKUP(A382,'[3]OEB Adjusted Financials'!$I$6:$J$188,2,FALSE)),"",VLOOKUP(A382,'[3]OEB Adjusted Financials'!$I$6:$J$188,2,FALSE))</f>
        <v>0</v>
      </c>
      <c r="M382" s="100">
        <f>IF(ISNA(VLOOKUP($A382,'[4]2010 TB'!$A$4:$E$210,5,FALSE)),"",VLOOKUP($A382,'[4]2010 TB'!$A$4:$E$210,5,FALSE))</f>
        <v>105000</v>
      </c>
      <c r="N382" s="100">
        <f>IF(ISNA(VLOOKUP($A382,'[5]2011 TB Summary'!$A$4:$J$212,10,FALSE)),"",VLOOKUP($A382,'[5]2011 TB Summary'!$A$4:$J$212,10,FALSE))</f>
        <v>0</v>
      </c>
      <c r="P382" s="113"/>
      <c r="Q382" s="113"/>
    </row>
    <row r="383" spans="1:17" s="101" customFormat="1" ht="15.75">
      <c r="A383" s="96">
        <v>5335</v>
      </c>
      <c r="B383" s="97" t="s">
        <v>613</v>
      </c>
      <c r="C383" s="97" t="s">
        <v>277</v>
      </c>
      <c r="D383" s="97" t="s">
        <v>508</v>
      </c>
      <c r="E383" s="98">
        <v>1121859.61</v>
      </c>
      <c r="F383" s="98">
        <v>2856940.57</v>
      </c>
      <c r="G383" s="98">
        <v>-1030450.84</v>
      </c>
      <c r="H383" s="98">
        <v>994221.6</v>
      </c>
      <c r="I383" s="98">
        <v>716147.5</v>
      </c>
      <c r="J383" s="98">
        <v>1362550.47</v>
      </c>
      <c r="K383" s="98">
        <v>1027875.66</v>
      </c>
      <c r="L383" s="99">
        <f>IF(ISNA(VLOOKUP(A383,'[3]OEB Adjusted Financials'!$I$6:$J$188,2,FALSE)),"",VLOOKUP(A383,'[3]OEB Adjusted Financials'!$I$6:$J$188,2,FALSE))</f>
        <v>1310334.95</v>
      </c>
      <c r="M383" s="100">
        <f>IF(ISNA(VLOOKUP($A383,'[4]2010 TB'!$A$4:$E$210,5,FALSE)),"",VLOOKUP($A383,'[4]2010 TB'!$A$4:$E$210,5,FALSE))</f>
        <v>970000</v>
      </c>
      <c r="N383" s="100">
        <f>IF(ISNA(VLOOKUP($A383,'[5]2011 TB Summary'!$A$4:$J$212,10,FALSE)),"",VLOOKUP($A383,'[5]2011 TB Summary'!$A$4:$J$212,10,FALSE))</f>
        <v>1350000</v>
      </c>
      <c r="P383" s="113"/>
      <c r="Q383" s="113"/>
    </row>
    <row r="384" spans="1:17" s="101" customFormat="1" ht="15.75">
      <c r="A384" s="96">
        <v>5340</v>
      </c>
      <c r="B384" s="97" t="s">
        <v>614</v>
      </c>
      <c r="C384" s="97" t="s">
        <v>277</v>
      </c>
      <c r="D384" s="97" t="s">
        <v>508</v>
      </c>
      <c r="E384" s="98">
        <v>5072686</v>
      </c>
      <c r="F384" s="98">
        <v>5430639</v>
      </c>
      <c r="G384" s="98">
        <v>5235276</v>
      </c>
      <c r="H384" s="98">
        <v>5966780</v>
      </c>
      <c r="I384" s="98">
        <v>6588000</v>
      </c>
      <c r="J384" s="98">
        <v>6588000</v>
      </c>
      <c r="K384" s="98">
        <v>6333884.26</v>
      </c>
      <c r="L384" s="99">
        <f>IF(ISNA(VLOOKUP(A384,'[3]OEB Adjusted Financials'!$I$6:$J$188,2,FALSE)),"",VLOOKUP(A384,'[3]OEB Adjusted Financials'!$I$6:$J$188,2,FALSE))</f>
        <v>6710000.04</v>
      </c>
      <c r="M384" s="100">
        <f>IF(ISNA(VLOOKUP($A384,'[4]2010 TB'!$A$4:$E$210,5,FALSE)),"",VLOOKUP($A384,'[4]2010 TB'!$A$4:$E$210,5,FALSE))</f>
        <v>6710000.04</v>
      </c>
      <c r="N384" s="100">
        <f>IF(ISNA(VLOOKUP($A384,'[5]2011 TB Summary'!$A$4:$J$212,10,FALSE)),"",VLOOKUP($A384,'[5]2011 TB Summary'!$A$4:$J$212,10,FALSE))</f>
        <v>7080650</v>
      </c>
      <c r="P384" s="113"/>
      <c r="Q384" s="113"/>
    </row>
    <row r="385" spans="1:17" s="101" customFormat="1" ht="15.75">
      <c r="A385" s="96">
        <v>5405</v>
      </c>
      <c r="B385" s="97" t="s">
        <v>607</v>
      </c>
      <c r="C385" s="97" t="s">
        <v>279</v>
      </c>
      <c r="D385" s="97" t="s">
        <v>508</v>
      </c>
      <c r="E385" s="98">
        <v>37948.19</v>
      </c>
      <c r="F385" s="98">
        <v>3780.3</v>
      </c>
      <c r="G385" s="98">
        <v>270.83</v>
      </c>
      <c r="H385" s="98">
        <v>434.63</v>
      </c>
      <c r="I385" s="98">
        <v>1201.51</v>
      </c>
      <c r="J385" s="98">
        <v>184.76</v>
      </c>
      <c r="K385" s="98">
        <v>150.49</v>
      </c>
      <c r="L385" s="99">
        <f>IF(ISNA(VLOOKUP(A385,'[3]OEB Adjusted Financials'!$I$6:$J$188,2,FALSE)),"",VLOOKUP(A385,'[3]OEB Adjusted Financials'!$I$6:$J$188,2,FALSE))</f>
        <v>56.68</v>
      </c>
      <c r="M385" s="100">
        <f>IF(ISNA(VLOOKUP($A385,'[4]2010 TB'!$A$4:$E$210,5,FALSE)),"",VLOOKUP($A385,'[4]2010 TB'!$A$4:$E$210,5,FALSE))</f>
        <v>27645.55</v>
      </c>
      <c r="N385" s="100">
        <f>IF(ISNA(VLOOKUP($A385,'[5]2011 TB Summary'!$A$4:$J$212,10,FALSE)),"",VLOOKUP($A385,'[5]2011 TB Summary'!$A$4:$J$212,10,FALSE))</f>
        <v>0</v>
      </c>
      <c r="P385" s="113"/>
      <c r="Q385" s="113"/>
    </row>
    <row r="386" spans="1:17" s="101" customFormat="1" ht="15.75">
      <c r="A386" s="96">
        <v>5410</v>
      </c>
      <c r="B386" s="97" t="s">
        <v>615</v>
      </c>
      <c r="C386" s="97" t="s">
        <v>279</v>
      </c>
      <c r="D386" s="97" t="s">
        <v>508</v>
      </c>
      <c r="E386" s="98">
        <v>46807.4</v>
      </c>
      <c r="F386" s="98">
        <v>64576.16</v>
      </c>
      <c r="G386" s="98">
        <v>154791.74</v>
      </c>
      <c r="H386" s="98">
        <v>92410.88</v>
      </c>
      <c r="I386" s="98">
        <v>170215.92</v>
      </c>
      <c r="J386" s="98">
        <v>184487.18</v>
      </c>
      <c r="K386" s="98">
        <v>142091.85</v>
      </c>
      <c r="L386" s="99">
        <f>IF(ISNA(VLOOKUP(A386,'[3]OEB Adjusted Financials'!$I$6:$J$188,2,FALSE)),"",VLOOKUP(A386,'[3]OEB Adjusted Financials'!$I$6:$J$188,2,FALSE))</f>
        <v>307112.39</v>
      </c>
      <c r="M386" s="100">
        <f>IF(ISNA(VLOOKUP($A386,'[4]2010 TB'!$A$4:$E$210,5,FALSE)),"",VLOOKUP($A386,'[4]2010 TB'!$A$4:$E$210,5,FALSE))</f>
        <v>35000</v>
      </c>
      <c r="N386" s="100">
        <f>IF(ISNA(VLOOKUP($A386,'[5]2011 TB Summary'!$A$4:$J$212,10,FALSE)),"",VLOOKUP($A386,'[5]2011 TB Summary'!$A$4:$J$212,10,FALSE))</f>
        <v>0</v>
      </c>
      <c r="P386" s="113"/>
      <c r="Q386" s="113"/>
    </row>
    <row r="387" spans="1:17" s="101" customFormat="1" ht="15.75">
      <c r="A387" s="96">
        <v>5415</v>
      </c>
      <c r="B387" s="97" t="s">
        <v>616</v>
      </c>
      <c r="C387" s="97" t="s">
        <v>279</v>
      </c>
      <c r="D387" s="97" t="s">
        <v>508</v>
      </c>
      <c r="E387" s="98" t="s">
        <v>217</v>
      </c>
      <c r="F387" s="98" t="s">
        <v>243</v>
      </c>
      <c r="G387" s="98">
        <v>6104.5</v>
      </c>
      <c r="H387" s="98">
        <v>336267.64</v>
      </c>
      <c r="I387" s="98">
        <v>1645979.9</v>
      </c>
      <c r="J387" s="98">
        <v>1008310.44</v>
      </c>
      <c r="K387" s="98">
        <v>0</v>
      </c>
      <c r="L387" s="99">
        <f>IF(ISNA(VLOOKUP(A387,'[3]OEB Adjusted Financials'!$I$6:$J$188,2,FALSE)),"",VLOOKUP(A387,'[3]OEB Adjusted Financials'!$I$6:$J$188,2,FALSE))</f>
        <v>18310.62</v>
      </c>
      <c r="M387" s="100">
        <f>IF(ISNA(VLOOKUP($A387,'[4]2010 TB'!$A$4:$E$210,5,FALSE)),"",VLOOKUP($A387,'[4]2010 TB'!$A$4:$E$210,5,FALSE))</f>
        <v>12852.999999999884</v>
      </c>
      <c r="N387" s="100">
        <f>IF(ISNA(VLOOKUP($A387,'[5]2011 TB Summary'!$A$4:$J$212,10,FALSE)),"",VLOOKUP($A387,'[5]2011 TB Summary'!$A$4:$J$212,10,FALSE))</f>
        <v>0</v>
      </c>
      <c r="P387" s="113"/>
      <c r="Q387" s="113"/>
    </row>
    <row r="388" spans="1:17" s="101" customFormat="1" ht="15.75">
      <c r="A388" s="96">
        <v>5420</v>
      </c>
      <c r="B388" s="97" t="s">
        <v>617</v>
      </c>
      <c r="C388" s="97" t="s">
        <v>279</v>
      </c>
      <c r="D388" s="97" t="s">
        <v>508</v>
      </c>
      <c r="E388" s="98">
        <v>16023.5</v>
      </c>
      <c r="F388" s="98">
        <v>12329</v>
      </c>
      <c r="G388" s="98">
        <v>15275.31</v>
      </c>
      <c r="H388" s="98">
        <v>12840</v>
      </c>
      <c r="I388" s="98">
        <v>16067.57</v>
      </c>
      <c r="J388" s="98">
        <v>19545</v>
      </c>
      <c r="K388" s="98">
        <v>19185</v>
      </c>
      <c r="L388" s="99">
        <f>IF(ISNA(VLOOKUP(A388,'[3]OEB Adjusted Financials'!$I$6:$J$188,2,FALSE)),"",VLOOKUP(A388,'[3]OEB Adjusted Financials'!$I$6:$J$188,2,FALSE))</f>
        <v>20360</v>
      </c>
      <c r="M388" s="100">
        <f>IF(ISNA(VLOOKUP($A388,'[4]2010 TB'!$A$4:$E$210,5,FALSE)),"",VLOOKUP($A388,'[4]2010 TB'!$A$4:$E$210,5,FALSE))</f>
        <v>0</v>
      </c>
      <c r="N388" s="100">
        <f>IF(ISNA(VLOOKUP($A388,'[5]2011 TB Summary'!$A$4:$J$212,10,FALSE)),"",VLOOKUP($A388,'[5]2011 TB Summary'!$A$4:$J$212,10,FALSE))</f>
        <v>35000</v>
      </c>
      <c r="P388" s="113"/>
      <c r="Q388" s="113"/>
    </row>
    <row r="389" spans="1:17" s="101" customFormat="1" ht="15.75">
      <c r="A389" s="96">
        <v>5425</v>
      </c>
      <c r="B389" s="97" t="s">
        <v>618</v>
      </c>
      <c r="C389" s="97" t="s">
        <v>279</v>
      </c>
      <c r="D389" s="97" t="s">
        <v>508</v>
      </c>
      <c r="E389" s="98" t="s">
        <v>217</v>
      </c>
      <c r="F389" s="98" t="s">
        <v>217</v>
      </c>
      <c r="G389" s="98" t="s">
        <v>217</v>
      </c>
      <c r="H389" s="98"/>
      <c r="I389" s="98"/>
      <c r="J389" s="98"/>
      <c r="K389" s="98">
        <v>77297.53</v>
      </c>
      <c r="L389" s="99">
        <f>IF(ISNA(VLOOKUP(A389,'[3]OEB Adjusted Financials'!$I$6:$J$188,2,FALSE)),"",VLOOKUP(A389,'[3]OEB Adjusted Financials'!$I$6:$J$188,2,FALSE))</f>
      </c>
      <c r="M389" s="100">
        <f>IF(ISNA(VLOOKUP($A389,'[4]2010 TB'!$A$4:$E$210,5,FALSE)),"",VLOOKUP($A389,'[4]2010 TB'!$A$4:$E$210,5,FALSE))</f>
      </c>
      <c r="N389" s="100">
        <f>IF(ISNA(VLOOKUP($A389,'[5]2011 TB Summary'!$A$4:$J$212,10,FALSE)),"",VLOOKUP($A389,'[5]2011 TB Summary'!$A$4:$J$212,10,FALSE))</f>
      </c>
      <c r="P389" s="113"/>
      <c r="Q389" s="113"/>
    </row>
    <row r="390" spans="1:17" s="101" customFormat="1" ht="15.75">
      <c r="A390" s="96">
        <v>5505</v>
      </c>
      <c r="B390" s="97" t="s">
        <v>607</v>
      </c>
      <c r="C390" s="97" t="s">
        <v>281</v>
      </c>
      <c r="D390" s="97" t="s">
        <v>508</v>
      </c>
      <c r="E390" s="98" t="s">
        <v>217</v>
      </c>
      <c r="F390" s="98" t="s">
        <v>217</v>
      </c>
      <c r="G390" s="98" t="s">
        <v>217</v>
      </c>
      <c r="H390" s="98"/>
      <c r="I390" s="98"/>
      <c r="J390" s="98"/>
      <c r="K390" s="98"/>
      <c r="L390" s="99">
        <f>IF(ISNA(VLOOKUP(A390,'[3]OEB Adjusted Financials'!$I$6:$J$188,2,FALSE)),"",VLOOKUP(A390,'[3]OEB Adjusted Financials'!$I$6:$J$188,2,FALSE))</f>
      </c>
      <c r="M390" s="100">
        <f>IF(ISNA(VLOOKUP($A390,'[4]2010 TB'!$A$4:$E$210,5,FALSE)),"",VLOOKUP($A390,'[4]2010 TB'!$A$4:$E$210,5,FALSE))</f>
      </c>
      <c r="N390" s="100">
        <f>IF(ISNA(VLOOKUP($A390,'[5]2011 TB Summary'!$A$4:$J$212,10,FALSE)),"",VLOOKUP($A390,'[5]2011 TB Summary'!$A$4:$J$212,10,FALSE))</f>
      </c>
      <c r="P390" s="113"/>
      <c r="Q390" s="113"/>
    </row>
    <row r="391" spans="1:17" s="101" customFormat="1" ht="15.75">
      <c r="A391" s="96">
        <v>5510</v>
      </c>
      <c r="B391" s="97" t="s">
        <v>619</v>
      </c>
      <c r="C391" s="97" t="s">
        <v>281</v>
      </c>
      <c r="D391" s="97" t="s">
        <v>508</v>
      </c>
      <c r="E391" s="98">
        <v>2297.28</v>
      </c>
      <c r="F391" s="98" t="s">
        <v>217</v>
      </c>
      <c r="G391" s="98" t="s">
        <v>217</v>
      </c>
      <c r="H391" s="98"/>
      <c r="I391" s="98">
        <v>2779.66</v>
      </c>
      <c r="J391" s="98">
        <v>4157.84</v>
      </c>
      <c r="K391" s="98">
        <v>779.05</v>
      </c>
      <c r="L391" s="99">
        <f>IF(ISNA(VLOOKUP(A391,'[3]OEB Adjusted Financials'!$I$6:$J$188,2,FALSE)),"",VLOOKUP(A391,'[3]OEB Adjusted Financials'!$I$6:$J$188,2,FALSE))</f>
      </c>
      <c r="M391" s="100">
        <f>IF(ISNA(VLOOKUP($A391,'[4]2010 TB'!$A$4:$E$210,5,FALSE)),"",VLOOKUP($A391,'[4]2010 TB'!$A$4:$E$210,5,FALSE))</f>
      </c>
      <c r="N391" s="100">
        <f>IF(ISNA(VLOOKUP($A391,'[5]2011 TB Summary'!$A$4:$J$212,10,FALSE)),"",VLOOKUP($A391,'[5]2011 TB Summary'!$A$4:$J$212,10,FALSE))</f>
      </c>
      <c r="P391" s="113"/>
      <c r="Q391" s="113"/>
    </row>
    <row r="392" spans="1:17" s="101" customFormat="1" ht="15.75">
      <c r="A392" s="96">
        <v>5515</v>
      </c>
      <c r="B392" s="97" t="s">
        <v>620</v>
      </c>
      <c r="C392" s="97" t="s">
        <v>281</v>
      </c>
      <c r="D392" s="97" t="s">
        <v>508</v>
      </c>
      <c r="E392" s="98">
        <v>91178.01</v>
      </c>
      <c r="F392" s="98">
        <v>129406.96</v>
      </c>
      <c r="G392" s="98">
        <v>93158.13</v>
      </c>
      <c r="H392" s="98">
        <v>168735.68</v>
      </c>
      <c r="I392" s="98">
        <v>39595.28</v>
      </c>
      <c r="J392" s="98">
        <v>67418.18</v>
      </c>
      <c r="K392" s="98">
        <v>96647.8</v>
      </c>
      <c r="L392" s="99">
        <f>IF(ISNA(VLOOKUP(A392,'[3]OEB Adjusted Financials'!$I$6:$J$188,2,FALSE)),"",VLOOKUP(A392,'[3]OEB Adjusted Financials'!$I$6:$J$188,2,FALSE))</f>
        <v>89996.79</v>
      </c>
      <c r="M392" s="100">
        <f>IF(ISNA(VLOOKUP($A392,'[4]2010 TB'!$A$4:$E$210,5,FALSE)),"",VLOOKUP($A392,'[4]2010 TB'!$A$4:$E$210,5,FALSE))</f>
        <v>0</v>
      </c>
      <c r="N392" s="100">
        <f>IF(ISNA(VLOOKUP($A392,'[5]2011 TB Summary'!$A$4:$J$212,10,FALSE)),"",VLOOKUP($A392,'[5]2011 TB Summary'!$A$4:$J$212,10,FALSE))</f>
        <v>0</v>
      </c>
      <c r="P392" s="113"/>
      <c r="Q392" s="113"/>
    </row>
    <row r="393" spans="1:17" s="101" customFormat="1" ht="15.75">
      <c r="A393" s="96">
        <v>5520</v>
      </c>
      <c r="B393" s="97" t="s">
        <v>621</v>
      </c>
      <c r="C393" s="97" t="s">
        <v>281</v>
      </c>
      <c r="D393" s="97" t="s">
        <v>508</v>
      </c>
      <c r="E393" s="98" t="s">
        <v>217</v>
      </c>
      <c r="F393" s="98" t="s">
        <v>217</v>
      </c>
      <c r="G393" s="98" t="s">
        <v>217</v>
      </c>
      <c r="H393" s="98"/>
      <c r="I393" s="98">
        <v>161043.19</v>
      </c>
      <c r="J393" s="98">
        <v>72400.88</v>
      </c>
      <c r="K393" s="98">
        <v>16399.41</v>
      </c>
      <c r="L393" s="99">
        <f>IF(ISNA(VLOOKUP(A393,'[3]OEB Adjusted Financials'!$I$6:$J$188,2,FALSE)),"",VLOOKUP(A393,'[3]OEB Adjusted Financials'!$I$6:$J$188,2,FALSE))</f>
      </c>
      <c r="M393" s="100">
        <f>IF(ISNA(VLOOKUP($A393,'[4]2010 TB'!$A$4:$E$210,5,FALSE)),"",VLOOKUP($A393,'[4]2010 TB'!$A$4:$E$210,5,FALSE))</f>
        <v>0</v>
      </c>
      <c r="N393" s="100">
        <f>IF(ISNA(VLOOKUP($A393,'[5]2011 TB Summary'!$A$4:$J$212,10,FALSE)),"",VLOOKUP($A393,'[5]2011 TB Summary'!$A$4:$J$212,10,FALSE))</f>
        <v>0</v>
      </c>
      <c r="P393" s="113"/>
      <c r="Q393" s="113"/>
    </row>
    <row r="394" spans="1:17" s="101" customFormat="1" ht="15.75">
      <c r="A394" s="96">
        <v>5605</v>
      </c>
      <c r="B394" s="97" t="s">
        <v>622</v>
      </c>
      <c r="C394" s="97" t="s">
        <v>283</v>
      </c>
      <c r="D394" s="97" t="s">
        <v>508</v>
      </c>
      <c r="E394" s="98">
        <v>984286.41</v>
      </c>
      <c r="F394" s="98">
        <v>1162852.61</v>
      </c>
      <c r="G394" s="98">
        <v>1204752.94</v>
      </c>
      <c r="H394" s="98">
        <v>1507170.98</v>
      </c>
      <c r="I394" s="98">
        <v>1537734.95</v>
      </c>
      <c r="J394" s="98">
        <v>2134988.24</v>
      </c>
      <c r="K394" s="98">
        <v>1377566.16</v>
      </c>
      <c r="L394" s="99">
        <f>IF(ISNA(VLOOKUP(A394,'[3]OEB Adjusted Financials'!$I$6:$J$188,2,FALSE)),"",VLOOKUP(A394,'[3]OEB Adjusted Financials'!$I$6:$J$188,2,FALSE))</f>
        <v>1393623.9100000008</v>
      </c>
      <c r="M394" s="100">
        <f>IF(ISNA(VLOOKUP($A394,'[4]2010 TB'!$A$4:$E$210,5,FALSE)),"",VLOOKUP($A394,'[4]2010 TB'!$A$4:$E$210,5,FALSE))</f>
        <v>1984812.0399999993</v>
      </c>
      <c r="N394" s="100">
        <f>IF(ISNA(VLOOKUP($A394,'[5]2011 TB Summary'!$A$4:$J$212,10,FALSE)),"",VLOOKUP($A394,'[5]2011 TB Summary'!$A$4:$J$212,10,FALSE))</f>
        <v>1926963.6085205078</v>
      </c>
      <c r="P394" s="113"/>
      <c r="Q394" s="113"/>
    </row>
    <row r="395" spans="1:17" s="101" customFormat="1" ht="15.75">
      <c r="A395" s="96">
        <v>5610</v>
      </c>
      <c r="B395" s="97" t="s">
        <v>623</v>
      </c>
      <c r="C395" s="97" t="s">
        <v>283</v>
      </c>
      <c r="D395" s="97" t="s">
        <v>508</v>
      </c>
      <c r="E395" s="98">
        <v>2155885.55</v>
      </c>
      <c r="F395" s="98">
        <v>2760441.06</v>
      </c>
      <c r="G395" s="98">
        <v>2824826.38</v>
      </c>
      <c r="H395" s="98">
        <v>3049014.31</v>
      </c>
      <c r="I395" s="98">
        <v>2677674.08</v>
      </c>
      <c r="J395" s="98">
        <v>4146862.91</v>
      </c>
      <c r="K395" s="98">
        <v>2473247.0800000005</v>
      </c>
      <c r="L395" s="99">
        <f>IF(ISNA(VLOOKUP(A395,'[3]OEB Adjusted Financials'!$I$6:$J$188,2,FALSE)),"",VLOOKUP(A395,'[3]OEB Adjusted Financials'!$I$6:$J$188,2,FALSE))</f>
        <v>1838576.0000000002</v>
      </c>
      <c r="M395" s="100">
        <f>IF(ISNA(VLOOKUP($A395,'[4]2010 TB'!$A$4:$E$210,5,FALSE)),"",VLOOKUP($A395,'[4]2010 TB'!$A$4:$E$210,5,FALSE))</f>
        <v>2194430.270000001</v>
      </c>
      <c r="N395" s="100">
        <f>IF(ISNA(VLOOKUP($A395,'[5]2011 TB Summary'!$A$4:$J$212,10,FALSE)),"",VLOOKUP($A395,'[5]2011 TB Summary'!$A$4:$J$212,10,FALSE))</f>
        <v>2712631.742202759</v>
      </c>
      <c r="P395" s="113"/>
      <c r="Q395" s="113"/>
    </row>
    <row r="396" spans="1:17" s="101" customFormat="1" ht="15.75">
      <c r="A396" s="96">
        <v>5615</v>
      </c>
      <c r="B396" s="97" t="s">
        <v>624</v>
      </c>
      <c r="C396" s="97" t="s">
        <v>283</v>
      </c>
      <c r="D396" s="97" t="s">
        <v>508</v>
      </c>
      <c r="E396" s="98">
        <v>1478887.25</v>
      </c>
      <c r="F396" s="98">
        <v>1385916.63</v>
      </c>
      <c r="G396" s="98">
        <v>3326552.25</v>
      </c>
      <c r="H396" s="98">
        <v>2930842.82</v>
      </c>
      <c r="I396" s="98">
        <v>2752772.1</v>
      </c>
      <c r="J396" s="98">
        <v>3010855.85</v>
      </c>
      <c r="K396" s="98">
        <v>2085045.299999999</v>
      </c>
      <c r="L396" s="99">
        <f>IF(ISNA(VLOOKUP(A396,'[3]OEB Adjusted Financials'!$I$6:$J$188,2,FALSE)),"",VLOOKUP(A396,'[3]OEB Adjusted Financials'!$I$6:$J$188,2,FALSE))</f>
        <v>2153256.8599999985</v>
      </c>
      <c r="M396" s="100">
        <f>IF(ISNA(VLOOKUP($A396,'[4]2010 TB'!$A$4:$E$210,5,FALSE)),"",VLOOKUP($A396,'[4]2010 TB'!$A$4:$E$210,5,FALSE))</f>
        <v>2675986.269999999</v>
      </c>
      <c r="N396" s="100">
        <f>IF(ISNA(VLOOKUP($A396,'[5]2011 TB Summary'!$A$4:$J$212,10,FALSE)),"",VLOOKUP($A396,'[5]2011 TB Summary'!$A$4:$J$212,10,FALSE))</f>
        <v>2877332.7063293457</v>
      </c>
      <c r="P396" s="113"/>
      <c r="Q396" s="113"/>
    </row>
    <row r="397" spans="1:17" s="101" customFormat="1" ht="15.75">
      <c r="A397" s="96">
        <v>5620</v>
      </c>
      <c r="B397" s="97" t="s">
        <v>625</v>
      </c>
      <c r="C397" s="97" t="s">
        <v>283</v>
      </c>
      <c r="D397" s="97" t="s">
        <v>508</v>
      </c>
      <c r="E397" s="98">
        <v>144242.24</v>
      </c>
      <c r="F397" s="98">
        <v>72015.74</v>
      </c>
      <c r="G397" s="98">
        <v>196830.67</v>
      </c>
      <c r="H397" s="98">
        <v>363234.48</v>
      </c>
      <c r="I397" s="98">
        <v>420570.3</v>
      </c>
      <c r="J397" s="98">
        <v>374456.87</v>
      </c>
      <c r="K397" s="98">
        <v>932550.7400000002</v>
      </c>
      <c r="L397" s="99">
        <f>IF(ISNA(VLOOKUP(A397,'[3]OEB Adjusted Financials'!$I$6:$J$188,2,FALSE)),"",VLOOKUP(A397,'[3]OEB Adjusted Financials'!$I$6:$J$188,2,FALSE))</f>
        <v>994267.9600000002</v>
      </c>
      <c r="M397" s="100">
        <f>IF(ISNA(VLOOKUP($A397,'[4]2010 TB'!$A$4:$E$210,5,FALSE)),"",VLOOKUP($A397,'[4]2010 TB'!$A$4:$E$210,5,FALSE))</f>
        <v>1631246.81</v>
      </c>
      <c r="N397" s="100">
        <f>IF(ISNA(VLOOKUP($A397,'[5]2011 TB Summary'!$A$4:$J$212,10,FALSE)),"",VLOOKUP($A397,'[5]2011 TB Summary'!$A$4:$J$212,10,FALSE))</f>
        <v>2677331.766845703</v>
      </c>
      <c r="P397" s="113"/>
      <c r="Q397" s="113"/>
    </row>
    <row r="398" spans="1:17" s="101" customFormat="1" ht="15.75">
      <c r="A398" s="96">
        <v>5625</v>
      </c>
      <c r="B398" s="97" t="s">
        <v>626</v>
      </c>
      <c r="C398" s="97" t="s">
        <v>283</v>
      </c>
      <c r="D398" s="97" t="s">
        <v>508</v>
      </c>
      <c r="E398" s="98" t="s">
        <v>217</v>
      </c>
      <c r="F398" s="98" t="s">
        <v>217</v>
      </c>
      <c r="G398" s="98" t="s">
        <v>217</v>
      </c>
      <c r="H398" s="98"/>
      <c r="I398" s="98"/>
      <c r="J398" s="98"/>
      <c r="K398" s="98"/>
      <c r="L398" s="99">
        <f>IF(ISNA(VLOOKUP(A398,'[3]OEB Adjusted Financials'!$I$6:$J$188,2,FALSE)),"",VLOOKUP(A398,'[3]OEB Adjusted Financials'!$I$6:$J$188,2,FALSE))</f>
      </c>
      <c r="M398" s="100">
        <f>IF(ISNA(VLOOKUP($A398,'[4]2010 TB'!$A$4:$E$210,5,FALSE)),"",VLOOKUP($A398,'[4]2010 TB'!$A$4:$E$210,5,FALSE))</f>
      </c>
      <c r="N398" s="100">
        <f>IF(ISNA(VLOOKUP($A398,'[5]2011 TB Summary'!$A$4:$J$212,10,FALSE)),"",VLOOKUP($A398,'[5]2011 TB Summary'!$A$4:$J$212,10,FALSE))</f>
      </c>
      <c r="P398" s="113"/>
      <c r="Q398" s="113"/>
    </row>
    <row r="399" spans="1:17" s="101" customFormat="1" ht="15.75">
      <c r="A399" s="96">
        <v>5630</v>
      </c>
      <c r="B399" s="97" t="s">
        <v>627</v>
      </c>
      <c r="C399" s="97" t="s">
        <v>283</v>
      </c>
      <c r="D399" s="97" t="s">
        <v>508</v>
      </c>
      <c r="E399" s="98">
        <v>218970.82</v>
      </c>
      <c r="F399" s="98">
        <v>166346.33</v>
      </c>
      <c r="G399" s="98">
        <v>421849.15</v>
      </c>
      <c r="H399" s="98">
        <v>690961.05</v>
      </c>
      <c r="I399" s="98">
        <v>1126442.96</v>
      </c>
      <c r="J399" s="98">
        <v>2600551.05</v>
      </c>
      <c r="K399" s="98">
        <v>2937950.93</v>
      </c>
      <c r="L399" s="99">
        <f>IF(ISNA(VLOOKUP(A399,'[3]OEB Adjusted Financials'!$I$6:$J$188,2,FALSE)),"",VLOOKUP(A399,'[3]OEB Adjusted Financials'!$I$6:$J$188,2,FALSE))</f>
        <v>2468781.02</v>
      </c>
      <c r="M399" s="100">
        <f>IF(ISNA(VLOOKUP($A399,'[4]2010 TB'!$A$4:$E$210,5,FALSE)),"",VLOOKUP($A399,'[4]2010 TB'!$A$4:$E$210,5,FALSE))</f>
        <v>2108825.59</v>
      </c>
      <c r="N399" s="100">
        <f>IF(ISNA(VLOOKUP($A399,'[5]2011 TB Summary'!$A$4:$J$212,10,FALSE)),"",VLOOKUP($A399,'[5]2011 TB Summary'!$A$4:$J$212,10,FALSE))</f>
        <v>3015009</v>
      </c>
      <c r="P399" s="113"/>
      <c r="Q399" s="113"/>
    </row>
    <row r="400" spans="1:17" s="101" customFormat="1" ht="15.75">
      <c r="A400" s="96">
        <v>5635</v>
      </c>
      <c r="B400" s="97" t="s">
        <v>628</v>
      </c>
      <c r="C400" s="97" t="s">
        <v>283</v>
      </c>
      <c r="D400" s="97" t="s">
        <v>508</v>
      </c>
      <c r="E400" s="98">
        <v>141393.62</v>
      </c>
      <c r="F400" s="98">
        <v>503559.28</v>
      </c>
      <c r="G400" s="98">
        <v>86240.69</v>
      </c>
      <c r="H400" s="98">
        <v>97025.14</v>
      </c>
      <c r="I400" s="98">
        <v>92928.04</v>
      </c>
      <c r="J400" s="98">
        <v>62755.56</v>
      </c>
      <c r="K400" s="98">
        <v>47991.42999999999</v>
      </c>
      <c r="L400" s="99">
        <f>IF(ISNA(VLOOKUP(A400,'[3]OEB Adjusted Financials'!$I$6:$J$188,2,FALSE)),"",VLOOKUP(A400,'[3]OEB Adjusted Financials'!$I$6:$J$188,2,FALSE))</f>
        <v>42878.04</v>
      </c>
      <c r="M400" s="100">
        <f>IF(ISNA(VLOOKUP($A400,'[4]2010 TB'!$A$4:$E$210,5,FALSE)),"",VLOOKUP($A400,'[4]2010 TB'!$A$4:$E$210,5,FALSE))</f>
        <v>0</v>
      </c>
      <c r="N400" s="100">
        <f>IF(ISNA(VLOOKUP($A400,'[5]2011 TB Summary'!$A$4:$J$212,10,FALSE)),"",VLOOKUP($A400,'[5]2011 TB Summary'!$A$4:$J$212,10,FALSE))</f>
        <v>83000</v>
      </c>
      <c r="P400" s="113"/>
      <c r="Q400" s="113"/>
    </row>
    <row r="401" spans="1:17" s="101" customFormat="1" ht="15.75">
      <c r="A401" s="96">
        <v>5640</v>
      </c>
      <c r="B401" s="97" t="s">
        <v>629</v>
      </c>
      <c r="C401" s="97" t="s">
        <v>283</v>
      </c>
      <c r="D401" s="97" t="s">
        <v>508</v>
      </c>
      <c r="E401" s="98">
        <v>183196.82</v>
      </c>
      <c r="F401" s="98" t="s">
        <v>217</v>
      </c>
      <c r="G401" s="98">
        <v>350807.85</v>
      </c>
      <c r="H401" s="98">
        <v>309199.2</v>
      </c>
      <c r="I401" s="98">
        <v>469503</v>
      </c>
      <c r="J401" s="98">
        <v>442147</v>
      </c>
      <c r="K401" s="98">
        <v>477108.06</v>
      </c>
      <c r="L401" s="99">
        <f>IF(ISNA(VLOOKUP(A401,'[3]OEB Adjusted Financials'!$I$6:$J$188,2,FALSE)),"",VLOOKUP(A401,'[3]OEB Adjusted Financials'!$I$6:$J$188,2,FALSE))</f>
        <v>480373.6</v>
      </c>
      <c r="M401" s="100">
        <f>IF(ISNA(VLOOKUP($A401,'[4]2010 TB'!$A$4:$E$210,5,FALSE)),"",VLOOKUP($A401,'[4]2010 TB'!$A$4:$E$210,5,FALSE))</f>
        <v>271365.48</v>
      </c>
      <c r="N401" s="100">
        <f>IF(ISNA(VLOOKUP($A401,'[5]2011 TB Summary'!$A$4:$J$212,10,FALSE)),"",VLOOKUP($A401,'[5]2011 TB Summary'!$A$4:$J$212,10,FALSE))</f>
        <v>491000</v>
      </c>
      <c r="P401" s="113"/>
      <c r="Q401" s="113"/>
    </row>
    <row r="402" spans="1:17" s="101" customFormat="1" ht="15.75">
      <c r="A402" s="96">
        <v>5645</v>
      </c>
      <c r="B402" s="97" t="s">
        <v>630</v>
      </c>
      <c r="C402" s="97" t="s">
        <v>283</v>
      </c>
      <c r="D402" s="97" t="s">
        <v>508</v>
      </c>
      <c r="E402" s="98">
        <v>774686.54</v>
      </c>
      <c r="F402" s="98">
        <v>982835.48</v>
      </c>
      <c r="G402" s="98">
        <v>1078100.03</v>
      </c>
      <c r="H402" s="98">
        <v>1092165.77</v>
      </c>
      <c r="I402" s="98">
        <v>1285715.3</v>
      </c>
      <c r="J402" s="98">
        <v>1357780.88</v>
      </c>
      <c r="K402" s="98">
        <v>1105459.54</v>
      </c>
      <c r="L402" s="99">
        <f>IF(ISNA(VLOOKUP(A402,'[3]OEB Adjusted Financials'!$I$6:$J$188,2,FALSE)),"",VLOOKUP(A402,'[3]OEB Adjusted Financials'!$I$6:$J$188,2,FALSE))</f>
        <v>1025438.43</v>
      </c>
      <c r="M402" s="100">
        <f>IF(ISNA(VLOOKUP($A402,'[4]2010 TB'!$A$4:$E$210,5,FALSE)),"",VLOOKUP($A402,'[4]2010 TB'!$A$4:$E$210,5,FALSE))</f>
        <v>992417.05</v>
      </c>
      <c r="N402" s="100">
        <f>IF(ISNA(VLOOKUP($A402,'[5]2011 TB Summary'!$A$4:$J$212,10,FALSE)),"",VLOOKUP($A402,'[5]2011 TB Summary'!$A$4:$J$212,10,FALSE))</f>
        <v>1005944</v>
      </c>
      <c r="P402" s="113"/>
      <c r="Q402" s="113"/>
    </row>
    <row r="403" spans="1:17" s="101" customFormat="1" ht="15.75">
      <c r="A403" s="96">
        <v>5650</v>
      </c>
      <c r="B403" s="97" t="s">
        <v>631</v>
      </c>
      <c r="C403" s="97" t="s">
        <v>283</v>
      </c>
      <c r="D403" s="97" t="s">
        <v>508</v>
      </c>
      <c r="E403" s="98" t="s">
        <v>217</v>
      </c>
      <c r="F403" s="98" t="s">
        <v>217</v>
      </c>
      <c r="G403" s="98" t="s">
        <v>217</v>
      </c>
      <c r="H403" s="98"/>
      <c r="I403" s="98"/>
      <c r="J403" s="98"/>
      <c r="K403" s="98"/>
      <c r="L403" s="99">
        <f>IF(ISNA(VLOOKUP(A403,'[3]OEB Adjusted Financials'!$I$6:$J$188,2,FALSE)),"",VLOOKUP(A403,'[3]OEB Adjusted Financials'!$I$6:$J$188,2,FALSE))</f>
      </c>
      <c r="M403" s="100">
        <f>IF(ISNA(VLOOKUP($A403,'[4]2010 TB'!$A$4:$E$210,5,FALSE)),"",VLOOKUP($A403,'[4]2010 TB'!$A$4:$E$210,5,FALSE))</f>
      </c>
      <c r="N403" s="100">
        <f>IF(ISNA(VLOOKUP($A403,'[5]2011 TB Summary'!$A$4:$J$212,10,FALSE)),"",VLOOKUP($A403,'[5]2011 TB Summary'!$A$4:$J$212,10,FALSE))</f>
      </c>
      <c r="P403" s="113"/>
      <c r="Q403" s="113"/>
    </row>
    <row r="404" spans="1:17" s="101" customFormat="1" ht="15.75">
      <c r="A404" s="96">
        <v>5655</v>
      </c>
      <c r="B404" s="97" t="s">
        <v>632</v>
      </c>
      <c r="C404" s="97" t="s">
        <v>283</v>
      </c>
      <c r="D404" s="97" t="s">
        <v>508</v>
      </c>
      <c r="E404" s="98">
        <v>1179431.85</v>
      </c>
      <c r="F404" s="98">
        <v>186024.4</v>
      </c>
      <c r="G404" s="98">
        <v>582843.41</v>
      </c>
      <c r="H404" s="98">
        <v>719061.96</v>
      </c>
      <c r="I404" s="98">
        <v>750294.1</v>
      </c>
      <c r="J404" s="98">
        <v>657942.93</v>
      </c>
      <c r="K404" s="98">
        <v>793637.93</v>
      </c>
      <c r="L404" s="99">
        <f>IF(ISNA(VLOOKUP(A404,'[3]OEB Adjusted Financials'!$I$6:$J$188,2,FALSE)),"",VLOOKUP(A404,'[3]OEB Adjusted Financials'!$I$6:$J$188,2,FALSE))</f>
        <v>647683.43</v>
      </c>
      <c r="M404" s="100">
        <f>IF(ISNA(VLOOKUP($A404,'[4]2010 TB'!$A$4:$E$210,5,FALSE)),"",VLOOKUP($A404,'[4]2010 TB'!$A$4:$E$210,5,FALSE))</f>
        <v>709999.96</v>
      </c>
      <c r="N404" s="100">
        <f>IF(ISNA(VLOOKUP($A404,'[5]2011 TB Summary'!$A$4:$J$212,10,FALSE)),"",VLOOKUP($A404,'[5]2011 TB Summary'!$A$4:$J$212,10,FALSE))</f>
        <v>710600</v>
      </c>
      <c r="P404" s="113"/>
      <c r="Q404" s="113"/>
    </row>
    <row r="405" spans="1:17" s="101" customFormat="1" ht="15.75">
      <c r="A405" s="96">
        <v>5660</v>
      </c>
      <c r="B405" s="97" t="s">
        <v>633</v>
      </c>
      <c r="C405" s="97" t="s">
        <v>283</v>
      </c>
      <c r="D405" s="97" t="s">
        <v>508</v>
      </c>
      <c r="E405" s="98">
        <v>6780.8</v>
      </c>
      <c r="F405" s="98">
        <v>3116</v>
      </c>
      <c r="G405" s="98">
        <v>16398.05</v>
      </c>
      <c r="H405" s="98">
        <v>10915.86</v>
      </c>
      <c r="I405" s="98">
        <v>-3600</v>
      </c>
      <c r="J405" s="98">
        <v>11109.55</v>
      </c>
      <c r="K405" s="98">
        <v>133285.38</v>
      </c>
      <c r="L405" s="99">
        <f>IF(ISNA(VLOOKUP(A405,'[3]OEB Adjusted Financials'!$I$6:$J$188,2,FALSE)),"",VLOOKUP(A405,'[3]OEB Adjusted Financials'!$I$6:$J$188,2,FALSE))</f>
        <v>74084.73000000001</v>
      </c>
      <c r="M405" s="100">
        <f>IF(ISNA(VLOOKUP($A405,'[4]2010 TB'!$A$4:$E$210,5,FALSE)),"",VLOOKUP($A405,'[4]2010 TB'!$A$4:$E$210,5,FALSE))</f>
        <v>308500.07999999996</v>
      </c>
      <c r="N405" s="100">
        <f>IF(ISNA(VLOOKUP($A405,'[5]2011 TB Summary'!$A$4:$J$212,10,FALSE)),"",VLOOKUP($A405,'[5]2011 TB Summary'!$A$4:$J$212,10,FALSE))</f>
        <v>347100</v>
      </c>
      <c r="P405" s="113"/>
      <c r="Q405" s="113"/>
    </row>
    <row r="406" spans="1:17" s="101" customFormat="1" ht="15.75">
      <c r="A406" s="96">
        <v>5665</v>
      </c>
      <c r="B406" s="97" t="s">
        <v>634</v>
      </c>
      <c r="C406" s="97" t="s">
        <v>283</v>
      </c>
      <c r="D406" s="97" t="s">
        <v>508</v>
      </c>
      <c r="E406" s="98">
        <v>9185</v>
      </c>
      <c r="F406" s="98" t="s">
        <v>217</v>
      </c>
      <c r="G406" s="98">
        <v>88458.57</v>
      </c>
      <c r="H406" s="98">
        <v>2782742.28</v>
      </c>
      <c r="I406" s="98">
        <v>310048.76</v>
      </c>
      <c r="J406" s="98">
        <v>161898.72</v>
      </c>
      <c r="K406" s="98">
        <v>1112627.0800000173</v>
      </c>
      <c r="L406" s="99">
        <f>IF(ISNA(VLOOKUP(A406,'[3]OEB Adjusted Financials'!$I$6:$J$188,2,FALSE)),"",VLOOKUP(A406,'[3]OEB Adjusted Financials'!$I$6:$J$188,2,FALSE))</f>
        <v>927010.0000000063</v>
      </c>
      <c r="M406" s="100">
        <f>IF(ISNA(VLOOKUP($A406,'[4]2010 TB'!$A$4:$E$210,5,FALSE)),"",VLOOKUP($A406,'[4]2010 TB'!$A$4:$E$210,5,FALSE))</f>
        <v>585385.01</v>
      </c>
      <c r="N406" s="100">
        <f>IF(ISNA(VLOOKUP($A406,'[5]2011 TB Summary'!$A$4:$J$212,10,FALSE)),"",VLOOKUP($A406,'[5]2011 TB Summary'!$A$4:$J$212,10,FALSE))</f>
        <v>422500</v>
      </c>
      <c r="P406" s="113"/>
      <c r="Q406" s="113"/>
    </row>
    <row r="407" spans="1:17" s="101" customFormat="1" ht="15.75">
      <c r="A407" s="96">
        <v>5670</v>
      </c>
      <c r="B407" s="97" t="s">
        <v>635</v>
      </c>
      <c r="C407" s="97" t="s">
        <v>283</v>
      </c>
      <c r="D407" s="97" t="s">
        <v>508</v>
      </c>
      <c r="E407" s="98" t="s">
        <v>217</v>
      </c>
      <c r="F407" s="98" t="s">
        <v>217</v>
      </c>
      <c r="G407" s="98" t="s">
        <v>217</v>
      </c>
      <c r="H407" s="98"/>
      <c r="I407" s="98"/>
      <c r="J407" s="98"/>
      <c r="K407" s="98"/>
      <c r="L407" s="99">
        <f>IF(ISNA(VLOOKUP(A407,'[3]OEB Adjusted Financials'!$I$6:$J$188,2,FALSE)),"",VLOOKUP(A407,'[3]OEB Adjusted Financials'!$I$6:$J$188,2,FALSE))</f>
      </c>
      <c r="M407" s="100">
        <f>IF(ISNA(VLOOKUP($A407,'[4]2010 TB'!$A$4:$E$210,5,FALSE)),"",VLOOKUP($A407,'[4]2010 TB'!$A$4:$E$210,5,FALSE))</f>
      </c>
      <c r="N407" s="100">
        <f>IF(ISNA(VLOOKUP($A407,'[5]2011 TB Summary'!$A$4:$J$212,10,FALSE)),"",VLOOKUP($A407,'[5]2011 TB Summary'!$A$4:$J$212,10,FALSE))</f>
      </c>
      <c r="P407" s="113"/>
      <c r="Q407" s="113"/>
    </row>
    <row r="408" spans="1:17" s="101" customFormat="1" ht="15.75">
      <c r="A408" s="96">
        <v>5675</v>
      </c>
      <c r="B408" s="97" t="s">
        <v>636</v>
      </c>
      <c r="C408" s="97" t="s">
        <v>283</v>
      </c>
      <c r="D408" s="97" t="s">
        <v>508</v>
      </c>
      <c r="E408" s="98">
        <v>1197664.21</v>
      </c>
      <c r="F408" s="98">
        <v>1387783.1</v>
      </c>
      <c r="G408" s="98">
        <v>22971.26</v>
      </c>
      <c r="H408" s="98">
        <v>-179444.72</v>
      </c>
      <c r="I408" s="98">
        <v>664333.61</v>
      </c>
      <c r="J408" s="98">
        <v>623966.6700000005</v>
      </c>
      <c r="K408" s="98">
        <v>944378.5400000005</v>
      </c>
      <c r="L408" s="99">
        <f>IF(ISNA(VLOOKUP(A408,'[3]OEB Adjusted Financials'!$I$6:$J$188,2,FALSE)),"",VLOOKUP(A408,'[3]OEB Adjusted Financials'!$I$6:$J$188,2,FALSE))</f>
        <v>925729.4299999992</v>
      </c>
      <c r="M408" s="100">
        <f>IF(ISNA(VLOOKUP($A408,'[4]2010 TB'!$A$4:$E$210,5,FALSE)),"",VLOOKUP($A408,'[4]2010 TB'!$A$4:$E$210,5,FALSE))</f>
        <v>1143992.9300000002</v>
      </c>
      <c r="N408" s="100">
        <f>IF(ISNA(VLOOKUP($A408,'[5]2011 TB Summary'!$A$4:$J$212,10,FALSE)),"",VLOOKUP($A408,'[5]2011 TB Summary'!$A$4:$J$212,10,FALSE))</f>
        <v>1224889.914527893</v>
      </c>
      <c r="P408" s="113"/>
      <c r="Q408" s="113"/>
    </row>
    <row r="409" spans="1:17" s="101" customFormat="1" ht="15.75">
      <c r="A409" s="96">
        <v>5680</v>
      </c>
      <c r="B409" s="97" t="s">
        <v>637</v>
      </c>
      <c r="C409" s="97" t="s">
        <v>283</v>
      </c>
      <c r="D409" s="97" t="s">
        <v>508</v>
      </c>
      <c r="E409" s="98" t="s">
        <v>217</v>
      </c>
      <c r="F409" s="98" t="s">
        <v>217</v>
      </c>
      <c r="G409" s="98" t="s">
        <v>217</v>
      </c>
      <c r="H409" s="98"/>
      <c r="I409" s="98"/>
      <c r="J409" s="98"/>
      <c r="K409" s="98">
        <v>2105.24</v>
      </c>
      <c r="L409" s="99">
        <f>IF(ISNA(VLOOKUP(A409,'[3]OEB Adjusted Financials'!$I$6:$J$188,2,FALSE)),"",VLOOKUP(A409,'[3]OEB Adjusted Financials'!$I$6:$J$188,2,FALSE))</f>
      </c>
      <c r="M409" s="100">
        <f>IF(ISNA(VLOOKUP($A409,'[4]2010 TB'!$A$4:$E$210,5,FALSE)),"",VLOOKUP($A409,'[4]2010 TB'!$A$4:$E$210,5,FALSE))</f>
      </c>
      <c r="N409" s="100">
        <f>IF(ISNA(VLOOKUP($A409,'[5]2011 TB Summary'!$A$4:$J$212,10,FALSE)),"",VLOOKUP($A409,'[5]2011 TB Summary'!$A$4:$J$212,10,FALSE))</f>
      </c>
      <c r="P409" s="113"/>
      <c r="Q409" s="113"/>
    </row>
    <row r="410" spans="1:17" s="101" customFormat="1" ht="15.75">
      <c r="A410" s="96">
        <v>5685</v>
      </c>
      <c r="B410" s="97" t="s">
        <v>638</v>
      </c>
      <c r="C410" s="97" t="s">
        <v>283</v>
      </c>
      <c r="D410" s="97" t="s">
        <v>508</v>
      </c>
      <c r="E410" s="98" t="s">
        <v>217</v>
      </c>
      <c r="F410" s="98" t="s">
        <v>217</v>
      </c>
      <c r="G410" s="98" t="s">
        <v>217</v>
      </c>
      <c r="H410" s="98"/>
      <c r="I410" s="98"/>
      <c r="J410" s="98"/>
      <c r="K410" s="98"/>
      <c r="L410" s="99">
        <f>IF(ISNA(VLOOKUP(A410,'[3]OEB Adjusted Financials'!$I$6:$J$188,2,FALSE)),"",VLOOKUP(A410,'[3]OEB Adjusted Financials'!$I$6:$J$188,2,FALSE))</f>
      </c>
      <c r="M410" s="100">
        <f>IF(ISNA(VLOOKUP($A410,'[4]2010 TB'!$A$4:$E$210,5,FALSE)),"",VLOOKUP($A410,'[4]2010 TB'!$A$4:$E$210,5,FALSE))</f>
      </c>
      <c r="N410" s="100">
        <f>IF(ISNA(VLOOKUP($A410,'[5]2011 TB Summary'!$A$4:$J$212,10,FALSE)),"",VLOOKUP($A410,'[5]2011 TB Summary'!$A$4:$J$212,10,FALSE))</f>
      </c>
      <c r="P410" s="113"/>
      <c r="Q410" s="113"/>
    </row>
    <row r="411" spans="1:17" s="101" customFormat="1" ht="15.75">
      <c r="A411" s="96">
        <v>5695</v>
      </c>
      <c r="B411" s="97" t="s">
        <v>639</v>
      </c>
      <c r="C411" s="97" t="s">
        <v>283</v>
      </c>
      <c r="D411" s="97" t="s">
        <v>508</v>
      </c>
      <c r="E411" s="98"/>
      <c r="F411" s="98"/>
      <c r="G411" s="98"/>
      <c r="H411" s="98"/>
      <c r="I411" s="98"/>
      <c r="J411" s="98">
        <v>-1031280.43</v>
      </c>
      <c r="K411" s="98">
        <v>0</v>
      </c>
      <c r="L411" s="99">
        <f>IF(ISNA(VLOOKUP(A411,'[3]OEB Adjusted Financials'!$I$6:$J$188,2,FALSE)),"",VLOOKUP(A411,'[3]OEB Adjusted Financials'!$I$6:$J$188,2,FALSE))</f>
        <v>-1240883</v>
      </c>
      <c r="M411" s="100">
        <f>IF(ISNA(VLOOKUP($A411,'[4]2010 TB'!$A$4:$E$210,5,FALSE)),"",VLOOKUP($A411,'[4]2010 TB'!$A$4:$E$210,5,FALSE))</f>
        <v>-932627.26</v>
      </c>
      <c r="N411" s="100">
        <f>IF(ISNA(VLOOKUP($A411,'[5]2011 TB Summary'!$A$4:$J$212,10,FALSE)),"",VLOOKUP($A411,'[5]2011 TB Summary'!$A$4:$J$212,10,FALSE))</f>
        <v>-3282583.78231812</v>
      </c>
      <c r="P411" s="113"/>
      <c r="Q411" s="113"/>
    </row>
    <row r="412" spans="1:17" s="101" customFormat="1" ht="15.75">
      <c r="A412" s="96">
        <v>5705</v>
      </c>
      <c r="B412" s="97" t="s">
        <v>640</v>
      </c>
      <c r="C412" s="97" t="s">
        <v>285</v>
      </c>
      <c r="D412" s="97" t="s">
        <v>641</v>
      </c>
      <c r="E412" s="98">
        <v>13136514.37</v>
      </c>
      <c r="F412" s="98">
        <v>14323216.05</v>
      </c>
      <c r="G412" s="98">
        <v>14792377.48</v>
      </c>
      <c r="H412" s="98">
        <v>15954514.86</v>
      </c>
      <c r="I412" s="98">
        <v>19729624.84</v>
      </c>
      <c r="J412" s="98">
        <v>20949998.9</v>
      </c>
      <c r="K412" s="98">
        <v>22176522.750000004</v>
      </c>
      <c r="L412" s="99">
        <f>IF(ISNA(VLOOKUP(A412,'[3]OEB Adjusted Financials'!$I$6:$J$188,2,FALSE)),"",VLOOKUP(A412,'[3]OEB Adjusted Financials'!$I$6:$J$188,2,FALSE))</f>
        <v>23295449.649999995</v>
      </c>
      <c r="M412" s="100">
        <f>IF(ISNA(VLOOKUP($A412,'[4]2010 TB'!$A$4:$E$210,5,FALSE)),"",VLOOKUP($A412,'[4]2010 TB'!$A$4:$E$210,5,FALSE))</f>
        <v>25936572.39</v>
      </c>
      <c r="N412" s="100">
        <f>IF(ISNA(VLOOKUP($A412,'[5]2011 TB Summary'!$A$4:$J$212,10,FALSE)),"",VLOOKUP($A412,'[5]2011 TB Summary'!$A$4:$J$212,10,FALSE))</f>
        <v>27371137.2119948</v>
      </c>
      <c r="P412" s="113"/>
      <c r="Q412" s="113"/>
    </row>
    <row r="413" spans="1:17" s="101" customFormat="1" ht="15.75">
      <c r="A413" s="96">
        <v>5710</v>
      </c>
      <c r="B413" s="97" t="s">
        <v>642</v>
      </c>
      <c r="C413" s="97" t="s">
        <v>285</v>
      </c>
      <c r="D413" s="97"/>
      <c r="E413" s="98" t="s">
        <v>217</v>
      </c>
      <c r="F413" s="98" t="s">
        <v>217</v>
      </c>
      <c r="G413" s="98" t="s">
        <v>217</v>
      </c>
      <c r="H413" s="98"/>
      <c r="I413" s="98"/>
      <c r="J413" s="98"/>
      <c r="K413" s="98"/>
      <c r="L413" s="99">
        <f>IF(ISNA(VLOOKUP(A413,'[3]OEB Adjusted Financials'!$I$6:$J$188,2,FALSE)),"",VLOOKUP(A413,'[3]OEB Adjusted Financials'!$I$6:$J$188,2,FALSE))</f>
      </c>
      <c r="M413" s="100">
        <f>IF(ISNA(VLOOKUP($A413,'[4]2010 TB'!$A$4:$E$210,5,FALSE)),"",VLOOKUP($A413,'[4]2010 TB'!$A$4:$E$210,5,FALSE))</f>
      </c>
      <c r="N413" s="100">
        <f>IF(ISNA(VLOOKUP($A413,'[5]2011 TB Summary'!$A$4:$J$212,10,FALSE)),"",VLOOKUP($A413,'[5]2011 TB Summary'!$A$4:$J$212,10,FALSE))</f>
      </c>
      <c r="P413" s="113"/>
      <c r="Q413" s="113"/>
    </row>
    <row r="414" spans="1:17" s="101" customFormat="1" ht="15.75">
      <c r="A414" s="96">
        <v>5715</v>
      </c>
      <c r="B414" s="97" t="s">
        <v>643</v>
      </c>
      <c r="C414" s="97" t="s">
        <v>285</v>
      </c>
      <c r="D414" s="97"/>
      <c r="E414" s="98" t="s">
        <v>217</v>
      </c>
      <c r="F414" s="98" t="s">
        <v>217</v>
      </c>
      <c r="G414" s="98" t="s">
        <v>217</v>
      </c>
      <c r="H414" s="98"/>
      <c r="I414" s="98"/>
      <c r="J414" s="98"/>
      <c r="K414" s="98"/>
      <c r="L414" s="99">
        <f>IF(ISNA(VLOOKUP(A414,'[3]OEB Adjusted Financials'!$I$6:$J$188,2,FALSE)),"",VLOOKUP(A414,'[3]OEB Adjusted Financials'!$I$6:$J$188,2,FALSE))</f>
      </c>
      <c r="M414" s="100">
        <f>IF(ISNA(VLOOKUP($A414,'[4]2010 TB'!$A$4:$E$210,5,FALSE)),"",VLOOKUP($A414,'[4]2010 TB'!$A$4:$E$210,5,FALSE))</f>
      </c>
      <c r="N414" s="100">
        <f>IF(ISNA(VLOOKUP($A414,'[5]2011 TB Summary'!$A$4:$J$212,10,FALSE)),"",VLOOKUP($A414,'[5]2011 TB Summary'!$A$4:$J$212,10,FALSE))</f>
      </c>
      <c r="P414" s="113"/>
      <c r="Q414" s="113"/>
    </row>
    <row r="415" spans="1:17" s="101" customFormat="1" ht="15.75">
      <c r="A415" s="96">
        <v>5720</v>
      </c>
      <c r="B415" s="97" t="s">
        <v>644</v>
      </c>
      <c r="C415" s="97" t="s">
        <v>285</v>
      </c>
      <c r="D415" s="97"/>
      <c r="E415" s="98" t="s">
        <v>217</v>
      </c>
      <c r="F415" s="98" t="s">
        <v>217</v>
      </c>
      <c r="G415" s="98" t="s">
        <v>217</v>
      </c>
      <c r="H415" s="98"/>
      <c r="I415" s="98"/>
      <c r="J415" s="98"/>
      <c r="K415" s="98"/>
      <c r="L415" s="99">
        <f>IF(ISNA(VLOOKUP(A415,'[3]OEB Adjusted Financials'!$I$6:$J$188,2,FALSE)),"",VLOOKUP(A415,'[3]OEB Adjusted Financials'!$I$6:$J$188,2,FALSE))</f>
      </c>
      <c r="M415" s="100">
        <f>IF(ISNA(VLOOKUP($A415,'[4]2010 TB'!$A$4:$E$210,5,FALSE)),"",VLOOKUP($A415,'[4]2010 TB'!$A$4:$E$210,5,FALSE))</f>
      </c>
      <c r="N415" s="100">
        <f>IF(ISNA(VLOOKUP($A415,'[5]2011 TB Summary'!$A$4:$J$212,10,FALSE)),"",VLOOKUP($A415,'[5]2011 TB Summary'!$A$4:$J$212,10,FALSE))</f>
      </c>
      <c r="P415" s="113"/>
      <c r="Q415" s="113"/>
    </row>
    <row r="416" spans="1:17" s="101" customFormat="1" ht="15.75">
      <c r="A416" s="96">
        <v>5725</v>
      </c>
      <c r="B416" s="97" t="s">
        <v>645</v>
      </c>
      <c r="C416" s="97" t="s">
        <v>285</v>
      </c>
      <c r="D416" s="97"/>
      <c r="E416" s="98" t="s">
        <v>217</v>
      </c>
      <c r="F416" s="98" t="s">
        <v>217</v>
      </c>
      <c r="G416" s="98" t="s">
        <v>217</v>
      </c>
      <c r="H416" s="98"/>
      <c r="I416" s="98"/>
      <c r="J416" s="98"/>
      <c r="K416" s="98"/>
      <c r="L416" s="99">
        <f>IF(ISNA(VLOOKUP(A416,'[3]OEB Adjusted Financials'!$I$6:$J$188,2,FALSE)),"",VLOOKUP(A416,'[3]OEB Adjusted Financials'!$I$6:$J$188,2,FALSE))</f>
      </c>
      <c r="M416" s="100">
        <f>IF(ISNA(VLOOKUP($A416,'[4]2010 TB'!$A$4:$E$210,5,FALSE)),"",VLOOKUP($A416,'[4]2010 TB'!$A$4:$E$210,5,FALSE))</f>
      </c>
      <c r="N416" s="100">
        <f>IF(ISNA(VLOOKUP($A416,'[5]2011 TB Summary'!$A$4:$J$212,10,FALSE)),"",VLOOKUP($A416,'[5]2011 TB Summary'!$A$4:$J$212,10,FALSE))</f>
      </c>
      <c r="P416" s="113"/>
      <c r="Q416" s="113"/>
    </row>
    <row r="417" spans="1:17" s="101" customFormat="1" ht="15.75">
      <c r="A417" s="96">
        <v>5730</v>
      </c>
      <c r="B417" s="97" t="s">
        <v>646</v>
      </c>
      <c r="C417" s="97" t="s">
        <v>285</v>
      </c>
      <c r="D417" s="97"/>
      <c r="E417" s="98" t="s">
        <v>217</v>
      </c>
      <c r="F417" s="98" t="s">
        <v>217</v>
      </c>
      <c r="G417" s="98" t="s">
        <v>217</v>
      </c>
      <c r="H417" s="98"/>
      <c r="I417" s="98"/>
      <c r="J417" s="98"/>
      <c r="K417" s="98"/>
      <c r="L417" s="99">
        <f>IF(ISNA(VLOOKUP(A417,'[3]OEB Adjusted Financials'!$I$6:$J$188,2,FALSE)),"",VLOOKUP(A417,'[3]OEB Adjusted Financials'!$I$6:$J$188,2,FALSE))</f>
      </c>
      <c r="M417" s="100">
        <f>IF(ISNA(VLOOKUP($A417,'[4]2010 TB'!$A$4:$E$210,5,FALSE)),"",VLOOKUP($A417,'[4]2010 TB'!$A$4:$E$210,5,FALSE))</f>
      </c>
      <c r="N417" s="100">
        <f>IF(ISNA(VLOOKUP($A417,'[5]2011 TB Summary'!$A$4:$J$212,10,FALSE)),"",VLOOKUP($A417,'[5]2011 TB Summary'!$A$4:$J$212,10,FALSE))</f>
      </c>
      <c r="P417" s="113"/>
      <c r="Q417" s="113"/>
    </row>
    <row r="418" spans="1:17" s="101" customFormat="1" ht="15.75">
      <c r="A418" s="96">
        <v>5735</v>
      </c>
      <c r="B418" s="97" t="s">
        <v>647</v>
      </c>
      <c r="C418" s="97" t="s">
        <v>285</v>
      </c>
      <c r="D418" s="97"/>
      <c r="E418" s="98" t="s">
        <v>217</v>
      </c>
      <c r="F418" s="98" t="s">
        <v>217</v>
      </c>
      <c r="G418" s="98" t="s">
        <v>217</v>
      </c>
      <c r="H418" s="98"/>
      <c r="I418" s="98"/>
      <c r="J418" s="98"/>
      <c r="K418" s="98"/>
      <c r="L418" s="99">
        <f>IF(ISNA(VLOOKUP(A418,'[3]OEB Adjusted Financials'!$I$6:$J$188,2,FALSE)),"",VLOOKUP(A418,'[3]OEB Adjusted Financials'!$I$6:$J$188,2,FALSE))</f>
      </c>
      <c r="M418" s="100">
        <f>IF(ISNA(VLOOKUP($A418,'[4]2010 TB'!$A$4:$E$210,5,FALSE)),"",VLOOKUP($A418,'[4]2010 TB'!$A$4:$E$210,5,FALSE))</f>
      </c>
      <c r="N418" s="100">
        <f>IF(ISNA(VLOOKUP($A418,'[5]2011 TB Summary'!$A$4:$J$212,10,FALSE)),"",VLOOKUP($A418,'[5]2011 TB Summary'!$A$4:$J$212,10,FALSE))</f>
      </c>
      <c r="P418" s="113"/>
      <c r="Q418" s="113"/>
    </row>
    <row r="419" spans="1:17" s="101" customFormat="1" ht="15.75">
      <c r="A419" s="96">
        <v>5740</v>
      </c>
      <c r="B419" s="97" t="s">
        <v>648</v>
      </c>
      <c r="C419" s="97" t="s">
        <v>285</v>
      </c>
      <c r="D419" s="97"/>
      <c r="E419" s="98" t="s">
        <v>217</v>
      </c>
      <c r="F419" s="98" t="s">
        <v>217</v>
      </c>
      <c r="G419" s="98" t="s">
        <v>217</v>
      </c>
      <c r="H419" s="98"/>
      <c r="I419" s="98"/>
      <c r="J419" s="98"/>
      <c r="K419" s="98"/>
      <c r="L419" s="99">
        <f>IF(ISNA(VLOOKUP(A419,'[3]OEB Adjusted Financials'!$I$6:$J$188,2,FALSE)),"",VLOOKUP(A419,'[3]OEB Adjusted Financials'!$I$6:$J$188,2,FALSE))</f>
      </c>
      <c r="M419" s="100">
        <f>IF(ISNA(VLOOKUP($A419,'[4]2010 TB'!$A$4:$E$210,5,FALSE)),"",VLOOKUP($A419,'[4]2010 TB'!$A$4:$E$210,5,FALSE))</f>
      </c>
      <c r="N419" s="100">
        <f>IF(ISNA(VLOOKUP($A419,'[5]2011 TB Summary'!$A$4:$J$212,10,FALSE)),"",VLOOKUP($A419,'[5]2011 TB Summary'!$A$4:$J$212,10,FALSE))</f>
      </c>
      <c r="P419" s="113"/>
      <c r="Q419" s="113"/>
    </row>
    <row r="420" spans="1:17" s="101" customFormat="1" ht="15.75">
      <c r="A420" s="96">
        <v>6005</v>
      </c>
      <c r="B420" s="97" t="s">
        <v>649</v>
      </c>
      <c r="C420" s="97" t="s">
        <v>650</v>
      </c>
      <c r="D420" s="97" t="s">
        <v>650</v>
      </c>
      <c r="E420" s="98">
        <v>9372245.33</v>
      </c>
      <c r="F420" s="98">
        <v>8164200.49</v>
      </c>
      <c r="G420" s="98">
        <v>59117</v>
      </c>
      <c r="H420" s="98">
        <v>-19914.19</v>
      </c>
      <c r="I420" s="98">
        <v>106.83</v>
      </c>
      <c r="J420" s="98">
        <v>0</v>
      </c>
      <c r="K420" s="98"/>
      <c r="L420" s="99">
        <f>IF(ISNA(VLOOKUP(A420,'[3]OEB Adjusted Financials'!$I$6:$J$188,2,FALSE)),"",VLOOKUP(A420,'[3]OEB Adjusted Financials'!$I$6:$J$188,2,FALSE))</f>
      </c>
      <c r="M420" s="100">
        <f>IF(ISNA(VLOOKUP($A420,'[4]2010 TB'!$A$4:$E$210,5,FALSE)),"",VLOOKUP($A420,'[4]2010 TB'!$A$4:$E$210,5,FALSE))</f>
      </c>
      <c r="N420" s="100">
        <f>IF(ISNA(VLOOKUP($A420,'[5]2011 TB Summary'!$A$4:$J$212,10,FALSE)),"",VLOOKUP($A420,'[5]2011 TB Summary'!$A$4:$J$212,10,FALSE))</f>
      </c>
      <c r="P420" s="113"/>
      <c r="Q420" s="113"/>
    </row>
    <row r="421" spans="1:17" s="101" customFormat="1" ht="15.75">
      <c r="A421" s="96">
        <v>6010</v>
      </c>
      <c r="B421" s="97" t="s">
        <v>651</v>
      </c>
      <c r="C421" s="97" t="s">
        <v>650</v>
      </c>
      <c r="D421" s="97"/>
      <c r="E421" s="98" t="s">
        <v>217</v>
      </c>
      <c r="F421" s="98" t="s">
        <v>217</v>
      </c>
      <c r="G421" s="98" t="s">
        <v>217</v>
      </c>
      <c r="H421" s="98"/>
      <c r="I421" s="98"/>
      <c r="J421" s="98"/>
      <c r="K421" s="98"/>
      <c r="L421" s="99">
        <f>IF(ISNA(VLOOKUP(A421,'[3]OEB Adjusted Financials'!$I$6:$J$188,2,FALSE)),"",VLOOKUP(A421,'[3]OEB Adjusted Financials'!$I$6:$J$188,2,FALSE))</f>
      </c>
      <c r="M421" s="100">
        <f>IF(ISNA(VLOOKUP($A421,'[4]2010 TB'!$A$4:$E$210,5,FALSE)),"",VLOOKUP($A421,'[4]2010 TB'!$A$4:$E$210,5,FALSE))</f>
      </c>
      <c r="N421" s="100">
        <f>IF(ISNA(VLOOKUP($A421,'[5]2011 TB Summary'!$A$4:$J$212,10,FALSE)),"",VLOOKUP($A421,'[5]2011 TB Summary'!$A$4:$J$212,10,FALSE))</f>
      </c>
      <c r="P421" s="113"/>
      <c r="Q421" s="113"/>
    </row>
    <row r="422" spans="1:17" s="101" customFormat="1" ht="15.75">
      <c r="A422" s="96">
        <v>6015</v>
      </c>
      <c r="B422" s="97" t="s">
        <v>652</v>
      </c>
      <c r="C422" s="97" t="s">
        <v>650</v>
      </c>
      <c r="D422" s="97"/>
      <c r="E422" s="98" t="s">
        <v>217</v>
      </c>
      <c r="F422" s="98" t="s">
        <v>217</v>
      </c>
      <c r="G422" s="98" t="s">
        <v>217</v>
      </c>
      <c r="H422" s="98"/>
      <c r="I422" s="98"/>
      <c r="J422" s="98"/>
      <c r="K422" s="98"/>
      <c r="L422" s="99">
        <f>IF(ISNA(VLOOKUP(A422,'[3]OEB Adjusted Financials'!$I$6:$J$188,2,FALSE)),"",VLOOKUP(A422,'[3]OEB Adjusted Financials'!$I$6:$J$188,2,FALSE))</f>
      </c>
      <c r="M422" s="100">
        <f>IF(ISNA(VLOOKUP($A422,'[4]2010 TB'!$A$4:$E$210,5,FALSE)),"",VLOOKUP($A422,'[4]2010 TB'!$A$4:$E$210,5,FALSE))</f>
      </c>
      <c r="N422" s="100">
        <f>IF(ISNA(VLOOKUP($A422,'[5]2011 TB Summary'!$A$4:$J$212,10,FALSE)),"",VLOOKUP($A422,'[5]2011 TB Summary'!$A$4:$J$212,10,FALSE))</f>
      </c>
      <c r="P422" s="113"/>
      <c r="Q422" s="113"/>
    </row>
    <row r="423" spans="1:17" s="101" customFormat="1" ht="15.75">
      <c r="A423" s="96">
        <v>6020</v>
      </c>
      <c r="B423" s="97" t="s">
        <v>653</v>
      </c>
      <c r="C423" s="97" t="s">
        <v>650</v>
      </c>
      <c r="D423" s="97"/>
      <c r="E423" s="98" t="s">
        <v>217</v>
      </c>
      <c r="F423" s="98" t="s">
        <v>217</v>
      </c>
      <c r="G423" s="98" t="s">
        <v>217</v>
      </c>
      <c r="H423" s="98"/>
      <c r="I423" s="98"/>
      <c r="J423" s="98"/>
      <c r="K423" s="98"/>
      <c r="L423" s="99">
        <f>IF(ISNA(VLOOKUP(A423,'[3]OEB Adjusted Financials'!$I$6:$J$188,2,FALSE)),"",VLOOKUP(A423,'[3]OEB Adjusted Financials'!$I$6:$J$188,2,FALSE))</f>
      </c>
      <c r="M423" s="100">
        <f>IF(ISNA(VLOOKUP($A423,'[4]2010 TB'!$A$4:$E$210,5,FALSE)),"",VLOOKUP($A423,'[4]2010 TB'!$A$4:$E$210,5,FALSE))</f>
      </c>
      <c r="N423" s="100">
        <f>IF(ISNA(VLOOKUP($A423,'[5]2011 TB Summary'!$A$4:$J$212,10,FALSE)),"",VLOOKUP($A423,'[5]2011 TB Summary'!$A$4:$J$212,10,FALSE))</f>
      </c>
      <c r="P423" s="113"/>
      <c r="Q423" s="113"/>
    </row>
    <row r="424" spans="1:17" s="101" customFormat="1" ht="15.75">
      <c r="A424" s="96">
        <v>6025</v>
      </c>
      <c r="B424" s="97" t="s">
        <v>654</v>
      </c>
      <c r="C424" s="97" t="s">
        <v>650</v>
      </c>
      <c r="D424" s="97"/>
      <c r="E424" s="98" t="s">
        <v>217</v>
      </c>
      <c r="F424" s="98" t="s">
        <v>217</v>
      </c>
      <c r="G424" s="98" t="s">
        <v>217</v>
      </c>
      <c r="H424" s="98"/>
      <c r="I424" s="98"/>
      <c r="J424" s="98"/>
      <c r="K424" s="98"/>
      <c r="L424" s="99">
        <f>IF(ISNA(VLOOKUP(A424,'[3]OEB Adjusted Financials'!$I$6:$J$188,2,FALSE)),"",VLOOKUP(A424,'[3]OEB Adjusted Financials'!$I$6:$J$188,2,FALSE))</f>
      </c>
      <c r="M424" s="100">
        <f>IF(ISNA(VLOOKUP($A424,'[4]2010 TB'!$A$4:$E$210,5,FALSE)),"",VLOOKUP($A424,'[4]2010 TB'!$A$4:$E$210,5,FALSE))</f>
      </c>
      <c r="N424" s="100">
        <f>IF(ISNA(VLOOKUP($A424,'[5]2011 TB Summary'!$A$4:$J$212,10,FALSE)),"",VLOOKUP($A424,'[5]2011 TB Summary'!$A$4:$J$212,10,FALSE))</f>
      </c>
      <c r="P424" s="113"/>
      <c r="Q424" s="113"/>
    </row>
    <row r="425" spans="1:17" s="101" customFormat="1" ht="15.75">
      <c r="A425" s="96">
        <v>6030</v>
      </c>
      <c r="B425" s="97" t="s">
        <v>655</v>
      </c>
      <c r="C425" s="97" t="s">
        <v>650</v>
      </c>
      <c r="D425" s="97" t="s">
        <v>650</v>
      </c>
      <c r="E425" s="98">
        <v>175765.79</v>
      </c>
      <c r="F425" s="98">
        <v>94764</v>
      </c>
      <c r="G425" s="98">
        <v>8120000</v>
      </c>
      <c r="H425" s="98">
        <v>6579908.87</v>
      </c>
      <c r="I425" s="98">
        <v>8120000</v>
      </c>
      <c r="J425" s="98">
        <v>7907948.89</v>
      </c>
      <c r="K425" s="98">
        <v>8163479.31</v>
      </c>
      <c r="L425" s="99">
        <f>IF(ISNA(VLOOKUP(A425,'[3]OEB Adjusted Financials'!$I$6:$J$188,2,FALSE)),"",VLOOKUP(A425,'[3]OEB Adjusted Financials'!$I$6:$J$188,2,FALSE))</f>
        <v>9220838.53</v>
      </c>
      <c r="M425" s="100">
        <f>IF(ISNA(VLOOKUP($A425,'[4]2010 TB'!$A$4:$E$210,5,FALSE)),"",VLOOKUP($A425,'[4]2010 TB'!$A$4:$E$210,5,FALSE))</f>
        <v>8688000</v>
      </c>
      <c r="N425" s="100">
        <f>IF(ISNA(VLOOKUP($A425,'[5]2011 TB Summary'!$A$4:$J$212,10,FALSE)),"",VLOOKUP($A425,'[5]2011 TB Summary'!$A$4:$J$212,10,FALSE))</f>
        <v>9703627</v>
      </c>
      <c r="P425" s="113"/>
      <c r="Q425" s="113"/>
    </row>
    <row r="426" spans="1:17" s="101" customFormat="1" ht="15.75">
      <c r="A426" s="96">
        <v>6035</v>
      </c>
      <c r="B426" s="97" t="s">
        <v>656</v>
      </c>
      <c r="C426" s="97" t="s">
        <v>650</v>
      </c>
      <c r="D426" s="97" t="s">
        <v>650</v>
      </c>
      <c r="E426" s="98">
        <v>100196.74</v>
      </c>
      <c r="F426" s="98">
        <v>192884.54</v>
      </c>
      <c r="G426" s="98">
        <v>198706.79</v>
      </c>
      <c r="H426" s="98">
        <v>1466576.08</v>
      </c>
      <c r="I426" s="98">
        <v>1108569.74</v>
      </c>
      <c r="J426" s="98">
        <v>1463841.23</v>
      </c>
      <c r="K426" s="98">
        <v>969675.6899999998</v>
      </c>
      <c r="L426" s="99">
        <f>IF(ISNA(VLOOKUP(A426,'[3]OEB Adjusted Financials'!$I$6:$J$188,2,FALSE)),"",VLOOKUP(A426,'[3]OEB Adjusted Financials'!$I$6:$J$188,2,FALSE))</f>
        <v>679487.6199999999</v>
      </c>
      <c r="M426" s="100">
        <f>IF(ISNA(VLOOKUP($A426,'[4]2010 TB'!$A$4:$E$210,5,FALSE)),"",VLOOKUP($A426,'[4]2010 TB'!$A$4:$E$210,5,FALSE))</f>
        <v>1581000</v>
      </c>
      <c r="N426" s="100">
        <f>IF(ISNA(VLOOKUP($A426,'[5]2011 TB Summary'!$A$4:$J$212,10,FALSE)),"",VLOOKUP($A426,'[5]2011 TB Summary'!$A$4:$J$212,10,FALSE))</f>
        <v>1765819</v>
      </c>
      <c r="P426" s="113"/>
      <c r="Q426" s="113"/>
    </row>
    <row r="427" spans="1:17" s="101" customFormat="1" ht="15.75">
      <c r="A427" s="96">
        <v>6040</v>
      </c>
      <c r="B427" s="97" t="s">
        <v>657</v>
      </c>
      <c r="C427" s="97" t="s">
        <v>650</v>
      </c>
      <c r="D427" s="97"/>
      <c r="E427" s="98" t="s">
        <v>217</v>
      </c>
      <c r="F427" s="98" t="s">
        <v>217</v>
      </c>
      <c r="G427" s="98" t="s">
        <v>217</v>
      </c>
      <c r="H427" s="98"/>
      <c r="I427" s="98"/>
      <c r="J427" s="98"/>
      <c r="K427" s="98"/>
      <c r="L427" s="99">
        <f>IF(ISNA(VLOOKUP(A427,'[3]OEB Adjusted Financials'!$I$6:$J$188,2,FALSE)),"",VLOOKUP(A427,'[3]OEB Adjusted Financials'!$I$6:$J$188,2,FALSE))</f>
      </c>
      <c r="M427" s="100">
        <f>IF(ISNA(VLOOKUP($A427,'[4]2010 TB'!$A$4:$E$210,5,FALSE)),"",VLOOKUP($A427,'[4]2010 TB'!$A$4:$E$210,5,FALSE))</f>
      </c>
      <c r="N427" s="100">
        <f>IF(ISNA(VLOOKUP($A427,'[5]2011 TB Summary'!$A$4:$J$212,10,FALSE)),"",VLOOKUP($A427,'[5]2011 TB Summary'!$A$4:$J$212,10,FALSE))</f>
      </c>
      <c r="P427" s="113"/>
      <c r="Q427" s="113"/>
    </row>
    <row r="428" spans="1:17" s="101" customFormat="1" ht="15.75">
      <c r="A428" s="96">
        <v>6042</v>
      </c>
      <c r="B428" s="97" t="s">
        <v>658</v>
      </c>
      <c r="C428" s="97" t="s">
        <v>650</v>
      </c>
      <c r="D428" s="97"/>
      <c r="E428" s="98" t="s">
        <v>217</v>
      </c>
      <c r="F428" s="98" t="s">
        <v>217</v>
      </c>
      <c r="G428" s="98" t="s">
        <v>217</v>
      </c>
      <c r="H428" s="98"/>
      <c r="I428" s="98"/>
      <c r="J428" s="98"/>
      <c r="K428" s="98"/>
      <c r="L428" s="99">
        <f>IF(ISNA(VLOOKUP(A428,'[3]OEB Adjusted Financials'!$I$6:$J$188,2,FALSE)),"",VLOOKUP(A428,'[3]OEB Adjusted Financials'!$I$6:$J$188,2,FALSE))</f>
      </c>
      <c r="M428" s="100">
        <f>IF(ISNA(VLOOKUP($A428,'[4]2010 TB'!$A$4:$E$210,5,FALSE)),"",VLOOKUP($A428,'[4]2010 TB'!$A$4:$E$210,5,FALSE))</f>
      </c>
      <c r="N428" s="100">
        <f>IF(ISNA(VLOOKUP($A428,'[5]2011 TB Summary'!$A$4:$J$212,10,FALSE)),"",VLOOKUP($A428,'[5]2011 TB Summary'!$A$4:$J$212,10,FALSE))</f>
      </c>
      <c r="P428" s="113"/>
      <c r="Q428" s="113"/>
    </row>
    <row r="429" spans="1:17" s="101" customFormat="1" ht="15.75">
      <c r="A429" s="96">
        <v>6045</v>
      </c>
      <c r="B429" s="97" t="s">
        <v>659</v>
      </c>
      <c r="C429" s="97" t="s">
        <v>650</v>
      </c>
      <c r="D429" s="97"/>
      <c r="E429" s="98" t="s">
        <v>217</v>
      </c>
      <c r="F429" s="98" t="s">
        <v>217</v>
      </c>
      <c r="G429" s="98" t="s">
        <v>217</v>
      </c>
      <c r="H429" s="98"/>
      <c r="I429" s="98"/>
      <c r="J429" s="98"/>
      <c r="K429" s="98"/>
      <c r="L429" s="99">
        <f>IF(ISNA(VLOOKUP(A429,'[3]OEB Adjusted Financials'!$I$6:$J$188,2,FALSE)),"",VLOOKUP(A429,'[3]OEB Adjusted Financials'!$I$6:$J$188,2,FALSE))</f>
      </c>
      <c r="M429" s="100">
        <f>IF(ISNA(VLOOKUP($A429,'[4]2010 TB'!$A$4:$E$210,5,FALSE)),"",VLOOKUP($A429,'[4]2010 TB'!$A$4:$E$210,5,FALSE))</f>
      </c>
      <c r="N429" s="100">
        <f>IF(ISNA(VLOOKUP($A429,'[5]2011 TB Summary'!$A$4:$J$212,10,FALSE)),"",VLOOKUP($A429,'[5]2011 TB Summary'!$A$4:$J$212,10,FALSE))</f>
      </c>
      <c r="P429" s="113"/>
      <c r="Q429" s="113"/>
    </row>
    <row r="430" spans="1:17" s="101" customFormat="1" ht="15.75">
      <c r="A430" s="96">
        <v>6105</v>
      </c>
      <c r="B430" s="97" t="s">
        <v>660</v>
      </c>
      <c r="C430" s="97" t="s">
        <v>290</v>
      </c>
      <c r="D430" s="97" t="s">
        <v>508</v>
      </c>
      <c r="E430" s="98">
        <v>1472296.46</v>
      </c>
      <c r="F430" s="98">
        <v>1052013.91</v>
      </c>
      <c r="G430" s="98">
        <v>927852.11</v>
      </c>
      <c r="H430" s="98">
        <v>1220933.3</v>
      </c>
      <c r="I430" s="98">
        <v>1333780</v>
      </c>
      <c r="J430" s="98">
        <v>1338497.85</v>
      </c>
      <c r="K430" s="98">
        <v>819023</v>
      </c>
      <c r="L430" s="99">
        <f>IF(ISNA(VLOOKUP(A430,'[3]OEB Adjusted Financials'!$I$6:$J$188,2,FALSE)),"",VLOOKUP(A430,'[3]OEB Adjusted Financials'!$I$6:$J$188,2,FALSE))</f>
        <v>1195229.85</v>
      </c>
      <c r="M430" s="100">
        <f>IF(ISNA(VLOOKUP($A430,'[4]2010 TB'!$A$4:$E$210,5,FALSE)),"",VLOOKUP($A430,'[4]2010 TB'!$A$4:$E$210,5,FALSE))</f>
        <v>575666</v>
      </c>
      <c r="N430" s="100">
        <f>IF(ISNA(VLOOKUP($A430,'[5]2011 TB Summary'!$A$4:$J$212,10,FALSE)),"",VLOOKUP($A430,'[5]2011 TB Summary'!$A$4:$J$212,10,FALSE))</f>
        <v>337800</v>
      </c>
      <c r="P430" s="113"/>
      <c r="Q430" s="113"/>
    </row>
    <row r="431" spans="1:17" s="101" customFormat="1" ht="15.75">
      <c r="A431" s="96">
        <v>6110</v>
      </c>
      <c r="B431" s="97" t="s">
        <v>290</v>
      </c>
      <c r="C431" s="97" t="s">
        <v>290</v>
      </c>
      <c r="D431" s="97" t="s">
        <v>661</v>
      </c>
      <c r="E431" s="98">
        <v>1022956.56</v>
      </c>
      <c r="F431" s="98">
        <v>2598952.14</v>
      </c>
      <c r="G431" s="98">
        <v>4042291.7800000003</v>
      </c>
      <c r="H431" s="98">
        <v>4964902.75</v>
      </c>
      <c r="I431" s="98">
        <v>7593510.5</v>
      </c>
      <c r="J431" s="98">
        <v>7878577.8100000005</v>
      </c>
      <c r="K431" s="98">
        <v>6225339.27</v>
      </c>
      <c r="L431" s="99">
        <f>IF(ISNA(VLOOKUP(A431,'[3]OEB Adjusted Financials'!$I$6:$J$188,2,FALSE)),"",VLOOKUP(A431,'[3]OEB Adjusted Financials'!$I$6:$J$188,2,FALSE))</f>
        <v>5502940.35</v>
      </c>
      <c r="M431" s="100">
        <f>IF(ISNA(VLOOKUP($A431,'[4]2010 TB'!$A$4:$E$210,5,FALSE)),"",VLOOKUP($A431,'[4]2010 TB'!$A$4:$E$210,5,FALSE))</f>
        <v>3851394</v>
      </c>
      <c r="N431" s="100">
        <f>IF(ISNA(VLOOKUP($A431,'[5]2011 TB Summary'!$A$4:$J$212,10,FALSE)),"",VLOOKUP($A431,'[5]2011 TB Summary'!$A$4:$J$212,10,FALSE))</f>
        <v>-1385852.09</v>
      </c>
      <c r="P431" s="113"/>
      <c r="Q431" s="113"/>
    </row>
    <row r="432" spans="1:17" s="101" customFormat="1" ht="15.75">
      <c r="A432" s="96">
        <v>6115</v>
      </c>
      <c r="B432" s="97" t="s">
        <v>662</v>
      </c>
      <c r="C432" s="97" t="s">
        <v>290</v>
      </c>
      <c r="D432" s="97"/>
      <c r="E432" s="98" t="s">
        <v>217</v>
      </c>
      <c r="F432" s="98" t="s">
        <v>217</v>
      </c>
      <c r="G432" s="98" t="s">
        <v>217</v>
      </c>
      <c r="H432" s="98"/>
      <c r="I432" s="98"/>
      <c r="J432" s="98"/>
      <c r="K432" s="98"/>
      <c r="L432" s="99">
        <f>IF(ISNA(VLOOKUP(A432,'[3]OEB Adjusted Financials'!$I$6:$J$188,2,FALSE)),"",VLOOKUP(A432,'[3]OEB Adjusted Financials'!$I$6:$J$188,2,FALSE))</f>
      </c>
      <c r="M432" s="100">
        <f>IF(ISNA(VLOOKUP($A432,'[4]2010 TB'!$A$4:$E$210,5,FALSE)),"",VLOOKUP($A432,'[4]2010 TB'!$A$4:$E$210,5,FALSE))</f>
      </c>
      <c r="N432" s="100">
        <f>IF(ISNA(VLOOKUP($A432,'[5]2011 TB Summary'!$A$4:$J$212,10,FALSE)),"",VLOOKUP($A432,'[5]2011 TB Summary'!$A$4:$J$212,10,FALSE))</f>
      </c>
      <c r="P432" s="113"/>
      <c r="Q432" s="113"/>
    </row>
    <row r="433" spans="1:17" s="101" customFormat="1" ht="15.75">
      <c r="A433" s="96">
        <v>6205</v>
      </c>
      <c r="B433" s="97" t="s">
        <v>663</v>
      </c>
      <c r="C433" s="97" t="s">
        <v>292</v>
      </c>
      <c r="D433" s="97" t="s">
        <v>508</v>
      </c>
      <c r="E433" s="98" t="s">
        <v>217</v>
      </c>
      <c r="F433" s="98" t="s">
        <v>217</v>
      </c>
      <c r="G433" s="98" t="s">
        <v>217</v>
      </c>
      <c r="H433" s="98">
        <v>13100</v>
      </c>
      <c r="I433" s="98"/>
      <c r="J433" s="98"/>
      <c r="K433" s="98"/>
      <c r="L433" s="99">
        <f>IF(ISNA(VLOOKUP(A433,'[3]OEB Adjusted Financials'!$I$6:$J$188,2,FALSE)),"",VLOOKUP(A433,'[3]OEB Adjusted Financials'!$I$6:$J$188,2,FALSE))</f>
        <v>25890</v>
      </c>
      <c r="M433" s="100">
        <f>IF(ISNA(VLOOKUP($A433,'[4]2010 TB'!$A$4:$E$210,5,FALSE)),"",VLOOKUP($A433,'[4]2010 TB'!$A$4:$E$210,5,FALSE))</f>
        <v>34450</v>
      </c>
      <c r="N433" s="100">
        <f>IF(ISNA(VLOOKUP($A433,'[5]2011 TB Summary'!$A$4:$J$212,10,FALSE)),"",VLOOKUP($A433,'[5]2011 TB Summary'!$A$4:$J$212,10,FALSE))</f>
        <v>60000</v>
      </c>
      <c r="P433" s="113"/>
      <c r="Q433" s="113"/>
    </row>
    <row r="434" spans="1:17" s="101" customFormat="1" ht="15.75">
      <c r="A434" s="96">
        <v>6210</v>
      </c>
      <c r="B434" s="97" t="s">
        <v>664</v>
      </c>
      <c r="C434" s="97" t="s">
        <v>292</v>
      </c>
      <c r="D434" s="97"/>
      <c r="E434" s="98" t="s">
        <v>217</v>
      </c>
      <c r="F434" s="98" t="s">
        <v>217</v>
      </c>
      <c r="G434" s="98" t="s">
        <v>217</v>
      </c>
      <c r="H434" s="98"/>
      <c r="I434" s="98"/>
      <c r="J434" s="98"/>
      <c r="K434" s="98"/>
      <c r="L434" s="99">
        <f>IF(ISNA(VLOOKUP(A434,'[3]OEB Adjusted Financials'!$I$6:$J$188,2,FALSE)),"",VLOOKUP(A434,'[3]OEB Adjusted Financials'!$I$6:$J$188,2,FALSE))</f>
      </c>
      <c r="M434" s="100">
        <f>IF(ISNA(VLOOKUP($A434,'[4]2010 TB'!$A$4:$E$210,5,FALSE)),"",VLOOKUP($A434,'[4]2010 TB'!$A$4:$E$210,5,FALSE))</f>
      </c>
      <c r="N434" s="100">
        <f>IF(ISNA(VLOOKUP($A434,'[5]2011 TB Summary'!$A$4:$J$212,10,FALSE)),"",VLOOKUP($A434,'[5]2011 TB Summary'!$A$4:$J$212,10,FALSE))</f>
      </c>
      <c r="P434" s="113"/>
      <c r="Q434" s="113"/>
    </row>
    <row r="435" spans="1:17" s="101" customFormat="1" ht="15.75">
      <c r="A435" s="96">
        <v>6215</v>
      </c>
      <c r="B435" s="97" t="s">
        <v>665</v>
      </c>
      <c r="C435" s="97" t="s">
        <v>292</v>
      </c>
      <c r="D435" s="97"/>
      <c r="E435" s="98" t="s">
        <v>217</v>
      </c>
      <c r="F435" s="98" t="s">
        <v>217</v>
      </c>
      <c r="G435" s="98" t="s">
        <v>217</v>
      </c>
      <c r="H435" s="98"/>
      <c r="I435" s="98"/>
      <c r="J435" s="98"/>
      <c r="K435" s="98"/>
      <c r="L435" s="99">
        <f>IF(ISNA(VLOOKUP(A435,'[3]OEB Adjusted Financials'!$I$6:$J$188,2,FALSE)),"",VLOOKUP(A435,'[3]OEB Adjusted Financials'!$I$6:$J$188,2,FALSE))</f>
      </c>
      <c r="M435" s="100">
        <f>IF(ISNA(VLOOKUP($A435,'[4]2010 TB'!$A$4:$E$210,5,FALSE)),"",VLOOKUP($A435,'[4]2010 TB'!$A$4:$E$210,5,FALSE))</f>
      </c>
      <c r="N435" s="100">
        <f>IF(ISNA(VLOOKUP($A435,'[5]2011 TB Summary'!$A$4:$J$212,10,FALSE)),"",VLOOKUP($A435,'[5]2011 TB Summary'!$A$4:$J$212,10,FALSE))</f>
      </c>
      <c r="P435" s="113"/>
      <c r="Q435" s="113"/>
    </row>
    <row r="436" spans="1:17" s="101" customFormat="1" ht="15.75">
      <c r="A436" s="96">
        <v>6225</v>
      </c>
      <c r="B436" s="97" t="s">
        <v>292</v>
      </c>
      <c r="C436" s="97" t="s">
        <v>292</v>
      </c>
      <c r="D436" s="97"/>
      <c r="E436" s="98" t="s">
        <v>217</v>
      </c>
      <c r="F436" s="98" t="s">
        <v>217</v>
      </c>
      <c r="G436" s="98" t="s">
        <v>217</v>
      </c>
      <c r="H436" s="98"/>
      <c r="I436" s="98"/>
      <c r="J436" s="98"/>
      <c r="K436" s="98"/>
      <c r="L436" s="99">
        <f>IF(ISNA(VLOOKUP(A436,'[3]OEB Adjusted Financials'!$I$6:$J$188,2,FALSE)),"",VLOOKUP(A436,'[3]OEB Adjusted Financials'!$I$6:$J$188,2,FALSE))</f>
      </c>
      <c r="M436" s="100">
        <f>IF(ISNA(VLOOKUP($A436,'[4]2010 TB'!$A$4:$E$210,5,FALSE)),"",VLOOKUP($A436,'[4]2010 TB'!$A$4:$E$210,5,FALSE))</f>
      </c>
      <c r="N436" s="100">
        <f>IF(ISNA(VLOOKUP($A436,'[5]2011 TB Summary'!$A$4:$J$212,10,FALSE)),"",VLOOKUP($A436,'[5]2011 TB Summary'!$A$4:$J$212,10,FALSE))</f>
      </c>
      <c r="P436" s="113"/>
      <c r="Q436" s="113"/>
    </row>
    <row r="437" spans="1:17" s="101" customFormat="1" ht="15.75">
      <c r="A437" s="96">
        <v>6305</v>
      </c>
      <c r="B437" s="97" t="s">
        <v>666</v>
      </c>
      <c r="C437" s="97" t="s">
        <v>667</v>
      </c>
      <c r="D437" s="97"/>
      <c r="E437" s="98" t="s">
        <v>217</v>
      </c>
      <c r="F437" s="98" t="s">
        <v>217</v>
      </c>
      <c r="G437" s="98" t="s">
        <v>217</v>
      </c>
      <c r="H437" s="98"/>
      <c r="I437" s="98"/>
      <c r="J437" s="98"/>
      <c r="K437" s="98"/>
      <c r="L437" s="99">
        <f>IF(ISNA(VLOOKUP(A437,'[3]OEB Adjusted Financials'!$I$6:$J$188,2,FALSE)),"",VLOOKUP(A437,'[3]OEB Adjusted Financials'!$I$6:$J$188,2,FALSE))</f>
      </c>
      <c r="M437" s="100">
        <f>IF(ISNA(VLOOKUP($A437,'[4]2010 TB'!$A$4:$E$210,5,FALSE)),"",VLOOKUP($A437,'[4]2010 TB'!$A$4:$E$210,5,FALSE))</f>
      </c>
      <c r="N437" s="100">
        <f>IF(ISNA(VLOOKUP($A437,'[5]2011 TB Summary'!$A$4:$J$212,10,FALSE)),"",VLOOKUP($A437,'[5]2011 TB Summary'!$A$4:$J$212,10,FALSE))</f>
      </c>
      <c r="P437" s="113"/>
      <c r="Q437" s="113"/>
    </row>
    <row r="438" spans="1:17" s="101" customFormat="1" ht="15.75">
      <c r="A438" s="96">
        <v>6310</v>
      </c>
      <c r="B438" s="97" t="s">
        <v>668</v>
      </c>
      <c r="C438" s="97" t="s">
        <v>667</v>
      </c>
      <c r="D438" s="97"/>
      <c r="E438" s="98" t="s">
        <v>217</v>
      </c>
      <c r="F438" s="98" t="s">
        <v>217</v>
      </c>
      <c r="G438" s="98" t="s">
        <v>217</v>
      </c>
      <c r="H438" s="98"/>
      <c r="I438" s="98"/>
      <c r="J438" s="98"/>
      <c r="K438" s="98"/>
      <c r="L438" s="99">
        <f>IF(ISNA(VLOOKUP(A438,'[3]OEB Adjusted Financials'!$I$6:$J$188,2,FALSE)),"",VLOOKUP(A438,'[3]OEB Adjusted Financials'!$I$6:$J$188,2,FALSE))</f>
      </c>
      <c r="M438" s="100">
        <f>IF(ISNA(VLOOKUP($A438,'[4]2010 TB'!$A$4:$E$210,5,FALSE)),"",VLOOKUP($A438,'[4]2010 TB'!$A$4:$E$210,5,FALSE))</f>
      </c>
      <c r="N438" s="100">
        <f>IF(ISNA(VLOOKUP($A438,'[5]2011 TB Summary'!$A$4:$J$212,10,FALSE)),"",VLOOKUP($A438,'[5]2011 TB Summary'!$A$4:$J$212,10,FALSE))</f>
      </c>
      <c r="P438" s="113"/>
      <c r="Q438" s="113"/>
    </row>
    <row r="439" spans="1:17" s="101" customFormat="1" ht="15.75">
      <c r="A439" s="96">
        <v>6315</v>
      </c>
      <c r="B439" s="97" t="s">
        <v>669</v>
      </c>
      <c r="C439" s="97" t="s">
        <v>667</v>
      </c>
      <c r="D439" s="97"/>
      <c r="E439" s="98" t="s">
        <v>217</v>
      </c>
      <c r="F439" s="98" t="s">
        <v>217</v>
      </c>
      <c r="G439" s="98" t="s">
        <v>217</v>
      </c>
      <c r="H439" s="98"/>
      <c r="I439" s="98"/>
      <c r="J439" s="98"/>
      <c r="K439" s="98"/>
      <c r="L439" s="99">
        <f>IF(ISNA(VLOOKUP(A439,'[3]OEB Adjusted Financials'!$I$6:$J$188,2,FALSE)),"",VLOOKUP(A439,'[3]OEB Adjusted Financials'!$I$6:$J$188,2,FALSE))</f>
      </c>
      <c r="M439" s="100">
        <f>IF(ISNA(VLOOKUP($A439,'[4]2010 TB'!$A$4:$E$210,5,FALSE)),"",VLOOKUP($A439,'[4]2010 TB'!$A$4:$E$210,5,FALSE))</f>
      </c>
      <c r="N439" s="100">
        <f>IF(ISNA(VLOOKUP($A439,'[5]2011 TB Summary'!$A$4:$J$212,10,FALSE)),"",VLOOKUP($A439,'[5]2011 TB Summary'!$A$4:$J$212,10,FALSE))</f>
      </c>
      <c r="P439" s="113"/>
      <c r="Q439" s="113"/>
    </row>
    <row r="440" spans="1:14" ht="15.75">
      <c r="A440" s="96">
        <v>6405</v>
      </c>
      <c r="B440" s="97" t="s">
        <v>670</v>
      </c>
      <c r="C440" s="97" t="s">
        <v>296</v>
      </c>
      <c r="D440" s="97"/>
      <c r="E440" s="98" t="s">
        <v>217</v>
      </c>
      <c r="F440" s="98" t="s">
        <v>217</v>
      </c>
      <c r="G440" s="98" t="s">
        <v>217</v>
      </c>
      <c r="H440" s="98"/>
      <c r="I440" s="98"/>
      <c r="J440" s="98"/>
      <c r="K440" s="98"/>
      <c r="L440" s="99">
        <f>IF(ISNA(VLOOKUP(A440,'[3]OEB Adjusted Financials'!$I$6:$J$188,2,FALSE)),"",VLOOKUP(A440,'[3]OEB Adjusted Financials'!$I$6:$J$188,2,FALSE))</f>
      </c>
      <c r="M440" s="100">
        <f>IF(ISNA(VLOOKUP($A440,'[4]2010 TB'!$A$4:$E$210,5,FALSE)),"",VLOOKUP($A440,'[4]2010 TB'!$A$4:$E$210,5,FALSE))</f>
      </c>
      <c r="N440" s="100">
        <f>IF(ISNA(VLOOKUP($A440,'[5]2011 TB Summary'!$A$4:$J$212,10,FALSE)),"",VLOOKUP($A440,'[5]2011 TB Summary'!$A$4:$J$212,10,FALSE))</f>
      </c>
    </row>
    <row r="441" spans="1:14" ht="15.75">
      <c r="A441" s="96">
        <v>6410</v>
      </c>
      <c r="B441" s="97" t="s">
        <v>671</v>
      </c>
      <c r="C441" s="97" t="s">
        <v>296</v>
      </c>
      <c r="D441" s="97"/>
      <c r="E441" s="98" t="s">
        <v>217</v>
      </c>
      <c r="F441" s="98" t="s">
        <v>217</v>
      </c>
      <c r="G441" s="98" t="s">
        <v>217</v>
      </c>
      <c r="H441" s="98"/>
      <c r="I441" s="98"/>
      <c r="J441" s="98"/>
      <c r="K441" s="98"/>
      <c r="L441" s="99">
        <f>IF(ISNA(VLOOKUP(A441,'[3]OEB Adjusted Financials'!$I$6:$J$188,2,FALSE)),"",VLOOKUP(A441,'[3]OEB Adjusted Financials'!$I$6:$J$188,2,FALSE))</f>
      </c>
      <c r="M441" s="100">
        <f>IF(ISNA(VLOOKUP($A441,'[4]2010 TB'!$A$4:$E$210,5,FALSE)),"",VLOOKUP($A441,'[4]2010 TB'!$A$4:$E$210,5,FALSE))</f>
      </c>
      <c r="N441" s="100">
        <f>IF(ISNA(VLOOKUP($A441,'[5]2011 TB Summary'!$A$4:$J$212,10,FALSE)),"",VLOOKUP($A441,'[5]2011 TB Summary'!$A$4:$J$212,10,FALSE))</f>
      </c>
    </row>
    <row r="442" spans="1:14" ht="15.75">
      <c r="A442" s="96">
        <v>6415</v>
      </c>
      <c r="B442" s="97" t="s">
        <v>672</v>
      </c>
      <c r="C442" s="97" t="s">
        <v>296</v>
      </c>
      <c r="D442" s="97"/>
      <c r="E442" s="98" t="s">
        <v>217</v>
      </c>
      <c r="F442" s="98" t="s">
        <v>217</v>
      </c>
      <c r="G442" s="98" t="s">
        <v>217</v>
      </c>
      <c r="H442" s="98"/>
      <c r="I442" s="98"/>
      <c r="J442" s="98"/>
      <c r="K442" s="98"/>
      <c r="L442" s="99">
        <f>IF(ISNA(VLOOKUP(A442,'[3]OEB Adjusted Financials'!$I$6:$J$188,2,FALSE)),"",VLOOKUP(A442,'[3]OEB Adjusted Financials'!$I$6:$J$188,2,FALSE))</f>
      </c>
      <c r="M442" s="100">
        <f>IF(ISNA(VLOOKUP($A442,'[4]2010 TB'!$A$4:$E$210,5,FALSE)),"",VLOOKUP($A442,'[4]2010 TB'!$A$4:$E$210,5,FALSE))</f>
      </c>
      <c r="N442" s="100">
        <f>IF(ISNA(VLOOKUP($A442,'[5]2011 TB Summary'!$A$4:$J$212,10,FALSE)),"",VLOOKUP($A442,'[5]2011 TB Summary'!$A$4:$J$212,10,FALSE))</f>
      </c>
    </row>
    <row r="443" spans="1:14" ht="16.5" thickBot="1">
      <c r="A443" s="115"/>
      <c r="B443" s="97"/>
      <c r="C443" s="97"/>
      <c r="D443" s="97"/>
      <c r="E443" s="116">
        <v>348792277.1200003</v>
      </c>
      <c r="F443" s="116">
        <v>372534239.6700001</v>
      </c>
      <c r="G443" s="116">
        <v>379927439.3799999</v>
      </c>
      <c r="H443" s="116">
        <v>-9501769.17999995</v>
      </c>
      <c r="I443" s="116">
        <v>511686657.30000025</v>
      </c>
      <c r="J443" s="116">
        <v>536491513.84510505</v>
      </c>
      <c r="K443" s="116">
        <v>566474861.9100006</v>
      </c>
      <c r="L443" s="116">
        <f>SUM(L4:L442)</f>
        <v>598199517.4853343</v>
      </c>
      <c r="M443" s="116">
        <f>SUM(M4:M442)</f>
        <v>632088778.5053347</v>
      </c>
      <c r="N443" s="116">
        <f>SUM(N4:N442)</f>
        <v>672262637.7191297</v>
      </c>
    </row>
    <row r="444" spans="1:14" ht="16.5" thickTop="1">
      <c r="A444" s="115"/>
      <c r="B444" s="97"/>
      <c r="C444" s="97"/>
      <c r="D444" s="97"/>
      <c r="E444" s="117"/>
      <c r="F444" s="117"/>
      <c r="G444" s="117"/>
      <c r="H444" s="117"/>
      <c r="I444" s="117"/>
      <c r="J444" s="117"/>
      <c r="K444" s="117"/>
      <c r="L444" s="117"/>
      <c r="M444" s="101"/>
      <c r="N444" s="101"/>
    </row>
    <row r="445" spans="1:14" ht="15.75">
      <c r="A445" s="115">
        <v>1605</v>
      </c>
      <c r="B445" s="97" t="s">
        <v>326</v>
      </c>
      <c r="C445" s="97"/>
      <c r="D445" s="97"/>
      <c r="E445" s="98">
        <v>358461467.56</v>
      </c>
      <c r="F445" s="98">
        <v>381356270.21</v>
      </c>
      <c r="G445" s="98">
        <v>389471125.53</v>
      </c>
      <c r="H445" s="98"/>
      <c r="I445" s="98">
        <v>528248146.37000006</v>
      </c>
      <c r="J445" s="98">
        <v>550633266.2800001</v>
      </c>
      <c r="K445" s="98">
        <v>581389363.9800001</v>
      </c>
      <c r="L445" s="98">
        <f>+L75</f>
        <v>609651887.6200001</v>
      </c>
      <c r="M445" s="98">
        <f>+M75</f>
        <v>647244887.62</v>
      </c>
      <c r="N445" s="98">
        <f>+N75</f>
        <v>691236986.3261491</v>
      </c>
    </row>
    <row r="446" spans="1:14" ht="15.75">
      <c r="A446" s="115"/>
      <c r="B446" s="97"/>
      <c r="C446" s="97"/>
      <c r="D446" s="97"/>
      <c r="E446" s="98">
        <v>9669190.4399997</v>
      </c>
      <c r="F446" s="98">
        <v>8822030.539999902</v>
      </c>
      <c r="G446" s="98">
        <v>9543686.150000095</v>
      </c>
      <c r="H446" s="98"/>
      <c r="I446" s="98">
        <v>16561489.069999814</v>
      </c>
      <c r="J446" s="98">
        <v>14141752.434895039</v>
      </c>
      <c r="K446" s="98">
        <v>14914502.069999576</v>
      </c>
      <c r="L446" s="98">
        <f>+L445-L443</f>
        <v>11452370.134665847</v>
      </c>
      <c r="M446" s="98">
        <f>+M445-M443</f>
        <v>15156109.11466527</v>
      </c>
      <c r="N446" s="98">
        <f>+N445-N443</f>
        <v>18974348.607019424</v>
      </c>
    </row>
    <row r="447" spans="1:14" ht="15.75">
      <c r="A447" s="115">
        <v>3046</v>
      </c>
      <c r="B447" s="97" t="s">
        <v>451</v>
      </c>
      <c r="C447" s="97"/>
      <c r="D447" s="97"/>
      <c r="E447" s="98">
        <v>-9669190.440000001</v>
      </c>
      <c r="F447" s="98">
        <v>-8822030.54</v>
      </c>
      <c r="G447" s="98">
        <v>-9543686.15</v>
      </c>
      <c r="H447" s="98"/>
      <c r="I447" s="98">
        <v>-16561489.069999944</v>
      </c>
      <c r="J447" s="98">
        <v>-14141752.432448043</v>
      </c>
      <c r="K447" s="98">
        <v>-14914502.070000023</v>
      </c>
      <c r="L447" s="98">
        <f>+L217</f>
        <v>-11452370.130000016</v>
      </c>
      <c r="M447" s="98">
        <f>+M217</f>
        <v>-15156109.110000052</v>
      </c>
      <c r="N447" s="98">
        <f>+N217</f>
        <v>-18974348.60393448</v>
      </c>
    </row>
    <row r="448" spans="1:14" ht="15.75">
      <c r="A448" s="115"/>
      <c r="B448" s="115"/>
      <c r="C448" s="115"/>
      <c r="D448" s="115"/>
      <c r="E448" s="98">
        <v>-3.0174851417541504E-07</v>
      </c>
      <c r="F448" s="98">
        <v>-9.685754776000977E-08</v>
      </c>
      <c r="G448" s="98">
        <v>9.499490261077881E-08</v>
      </c>
      <c r="H448" s="98"/>
      <c r="I448" s="98">
        <v>-1.30385160446167E-07</v>
      </c>
      <c r="J448" s="98">
        <v>0.002446996048092842</v>
      </c>
      <c r="K448" s="98">
        <v>-4.470348358154297E-07</v>
      </c>
      <c r="L448" s="98">
        <f>+L446+L447</f>
        <v>0.004665831103920937</v>
      </c>
      <c r="M448" s="98">
        <f>+M446+M447</f>
        <v>0.00466521829366684</v>
      </c>
      <c r="N448" s="98">
        <f>+N446+N447</f>
        <v>0.0030849426984786987</v>
      </c>
    </row>
    <row r="449" spans="1:14" ht="15.75">
      <c r="A449" s="115" t="s">
        <v>673</v>
      </c>
      <c r="B449" s="115"/>
      <c r="C449" s="115"/>
      <c r="D449" s="115"/>
      <c r="E449" s="98">
        <v>-7290000</v>
      </c>
      <c r="F449" s="98">
        <v>-7041000</v>
      </c>
      <c r="G449" s="98">
        <v>-9603000</v>
      </c>
      <c r="H449" s="98"/>
      <c r="I449" s="100">
        <v>-14965000</v>
      </c>
      <c r="J449" s="100">
        <v>-14142940.91</v>
      </c>
      <c r="K449" s="100">
        <v>-15216000</v>
      </c>
      <c r="L449" s="100">
        <f>-13242*1000</f>
        <v>-13242000</v>
      </c>
      <c r="M449" s="100"/>
      <c r="N449" s="100"/>
    </row>
    <row r="450" spans="1:14" ht="15.75">
      <c r="A450" s="115" t="s">
        <v>674</v>
      </c>
      <c r="B450" s="115"/>
      <c r="C450" s="115"/>
      <c r="D450" s="115"/>
      <c r="E450" s="98">
        <v>-2379190.4400000013</v>
      </c>
      <c r="F450" s="98">
        <v>-1781030.539999999</v>
      </c>
      <c r="G450" s="98">
        <v>59313.84999999963</v>
      </c>
      <c r="H450" s="98"/>
      <c r="I450" s="98">
        <v>-1596489.0699999444</v>
      </c>
      <c r="J450" s="98">
        <v>1188.4775519575924</v>
      </c>
      <c r="K450" s="98">
        <v>301497.92999997735</v>
      </c>
      <c r="L450" s="98">
        <f>+L447-L449</f>
        <v>1789629.8699999843</v>
      </c>
      <c r="M450" s="98">
        <f>+M447-M449</f>
        <v>-15156109.110000052</v>
      </c>
      <c r="N450" s="98">
        <f>+N447-N449</f>
        <v>-18974348.60393448</v>
      </c>
    </row>
    <row r="451" spans="1:14" ht="15.75">
      <c r="A451" s="115" t="s">
        <v>675</v>
      </c>
      <c r="B451" s="115"/>
      <c r="C451" s="115"/>
      <c r="D451" s="115"/>
      <c r="E451" s="98">
        <v>2379208.01</v>
      </c>
      <c r="F451" s="98">
        <v>1781449.35</v>
      </c>
      <c r="G451" s="98">
        <v>-59843.109999999986</v>
      </c>
      <c r="H451" s="98"/>
      <c r="I451" s="100">
        <v>1597000</v>
      </c>
      <c r="J451" s="100"/>
      <c r="K451" s="100"/>
      <c r="L451" s="100"/>
      <c r="M451" s="100"/>
      <c r="N451" s="100"/>
    </row>
    <row r="452" spans="1:14" ht="15.75">
      <c r="A452" s="115" t="s">
        <v>676</v>
      </c>
      <c r="B452" s="115"/>
      <c r="C452" s="115"/>
      <c r="D452" s="115"/>
      <c r="E452" s="98">
        <v>17.569999998435378</v>
      </c>
      <c r="F452" s="98">
        <v>418.8100000009872</v>
      </c>
      <c r="G452" s="98">
        <v>-529.2600000003586</v>
      </c>
      <c r="H452" s="98"/>
      <c r="I452" s="98">
        <v>510.93000005558133</v>
      </c>
      <c r="J452" s="98">
        <v>1188.4775519575924</v>
      </c>
      <c r="K452" s="98">
        <v>301497.92999997735</v>
      </c>
      <c r="L452" s="98">
        <f>+L450+L451</f>
        <v>1789629.8699999843</v>
      </c>
      <c r="M452" s="98">
        <f>+M450+M451</f>
        <v>-15156109.110000052</v>
      </c>
      <c r="N452" s="98">
        <f>+N450+N451</f>
        <v>-18974348.60393448</v>
      </c>
    </row>
    <row r="453" spans="7:14" ht="14.25">
      <c r="G453" s="120"/>
      <c r="M453" s="101"/>
      <c r="N453" s="101"/>
    </row>
    <row r="454" spans="7:14" ht="14.25">
      <c r="G454" s="123"/>
      <c r="M454" s="101"/>
      <c r="N454" s="101"/>
    </row>
    <row r="455" spans="6:14" ht="14.25">
      <c r="F455" s="124"/>
      <c r="M455" s="101"/>
      <c r="N455" s="101"/>
    </row>
    <row r="456" spans="13:14" ht="14.25">
      <c r="M456" s="101"/>
      <c r="N456" s="101"/>
    </row>
    <row r="457" spans="13:14" ht="14.25">
      <c r="M457" s="101"/>
      <c r="N457" s="101"/>
    </row>
    <row r="458" spans="13:14" ht="14.25">
      <c r="M458" s="101"/>
      <c r="N458" s="101"/>
    </row>
    <row r="459" spans="13:14" ht="14.25">
      <c r="M459" s="101"/>
      <c r="N459" s="101"/>
    </row>
    <row r="460" spans="13:14" ht="14.25">
      <c r="M460" s="101"/>
      <c r="N460" s="101"/>
    </row>
    <row r="461" spans="13:14" ht="14.25">
      <c r="M461" s="101"/>
      <c r="N461" s="101"/>
    </row>
    <row r="462" spans="13:14" ht="14.25">
      <c r="M462" s="101"/>
      <c r="N462" s="101"/>
    </row>
    <row r="463" spans="13:14" ht="14.25">
      <c r="M463" s="101"/>
      <c r="N463" s="101"/>
    </row>
    <row r="464" spans="13:14" ht="14.25">
      <c r="M464" s="101"/>
      <c r="N464" s="101"/>
    </row>
    <row r="465" spans="13:14" ht="14.25">
      <c r="M465" s="101"/>
      <c r="N465" s="101"/>
    </row>
    <row r="466" spans="13:14" ht="14.25">
      <c r="M466" s="101"/>
      <c r="N466" s="101"/>
    </row>
    <row r="467" spans="13:14" ht="14.25">
      <c r="M467" s="101"/>
      <c r="N467" s="101"/>
    </row>
    <row r="468" spans="13:14" ht="14.25">
      <c r="M468" s="101"/>
      <c r="N468" s="101"/>
    </row>
    <row r="469" spans="13:14" ht="14.25">
      <c r="M469" s="101"/>
      <c r="N469" s="101"/>
    </row>
    <row r="470" spans="13:14" ht="14.25">
      <c r="M470" s="101"/>
      <c r="N470" s="101"/>
    </row>
    <row r="471" spans="13:14" ht="14.25">
      <c r="M471" s="101"/>
      <c r="N471" s="101"/>
    </row>
    <row r="472" spans="13:14" ht="14.25">
      <c r="M472" s="101"/>
      <c r="N472" s="101"/>
    </row>
    <row r="473" spans="13:14" ht="14.25">
      <c r="M473" s="101"/>
      <c r="N473" s="101"/>
    </row>
    <row r="474" spans="13:14" ht="14.25">
      <c r="M474" s="101"/>
      <c r="N474" s="101"/>
    </row>
    <row r="475" spans="13:14" ht="14.25">
      <c r="M475" s="101"/>
      <c r="N475" s="101"/>
    </row>
    <row r="476" spans="13:14" ht="14.25">
      <c r="M476" s="101"/>
      <c r="N476" s="101"/>
    </row>
    <row r="477" spans="13:14" ht="14.25">
      <c r="M477" s="101"/>
      <c r="N477" s="101"/>
    </row>
    <row r="478" spans="13:14" ht="14.25">
      <c r="M478" s="101"/>
      <c r="N478" s="101"/>
    </row>
    <row r="479" spans="13:14" ht="14.25">
      <c r="M479" s="101"/>
      <c r="N479" s="101"/>
    </row>
    <row r="480" spans="13:14" ht="14.25">
      <c r="M480" s="101"/>
      <c r="N480" s="101"/>
    </row>
    <row r="481" spans="13:14" ht="14.25">
      <c r="M481" s="101"/>
      <c r="N481" s="101"/>
    </row>
    <row r="482" spans="13:14" ht="14.25">
      <c r="M482" s="101"/>
      <c r="N482" s="101"/>
    </row>
    <row r="483" spans="13:14" ht="14.25">
      <c r="M483" s="101"/>
      <c r="N483" s="101"/>
    </row>
    <row r="484" spans="13:14" ht="14.25">
      <c r="M484" s="101"/>
      <c r="N484" s="101"/>
    </row>
    <row r="485" spans="13:14" ht="14.25">
      <c r="M485" s="101"/>
      <c r="N485" s="101"/>
    </row>
    <row r="486" spans="13:14" ht="14.25">
      <c r="M486" s="101"/>
      <c r="N486" s="101"/>
    </row>
    <row r="487" spans="13:14" ht="14.25">
      <c r="M487" s="101"/>
      <c r="N487" s="101"/>
    </row>
    <row r="488" spans="13:14" ht="14.25">
      <c r="M488" s="101"/>
      <c r="N488" s="101"/>
    </row>
    <row r="489" spans="13:14" ht="14.25">
      <c r="M489" s="101"/>
      <c r="N489" s="101"/>
    </row>
    <row r="490" spans="13:14" ht="14.25">
      <c r="M490" s="101"/>
      <c r="N490" s="101"/>
    </row>
    <row r="491" spans="13:14" ht="14.25">
      <c r="M491" s="101"/>
      <c r="N491" s="101"/>
    </row>
    <row r="492" spans="13:14" ht="14.25">
      <c r="M492" s="101"/>
      <c r="N492" s="101"/>
    </row>
    <row r="493" spans="13:14" ht="14.25">
      <c r="M493" s="101"/>
      <c r="N493" s="101"/>
    </row>
    <row r="494" spans="13:14" ht="14.25">
      <c r="M494" s="101"/>
      <c r="N494" s="101"/>
    </row>
    <row r="495" spans="13:14" ht="14.25">
      <c r="M495" s="101"/>
      <c r="N495" s="101"/>
    </row>
    <row r="496" spans="13:14" ht="14.25">
      <c r="M496" s="101"/>
      <c r="N496" s="101"/>
    </row>
    <row r="497" spans="13:14" ht="14.25">
      <c r="M497" s="101"/>
      <c r="N497" s="101"/>
    </row>
    <row r="498" spans="13:14" ht="14.25">
      <c r="M498" s="101"/>
      <c r="N498" s="101"/>
    </row>
    <row r="499" spans="13:14" ht="14.25">
      <c r="M499" s="101"/>
      <c r="N499" s="101"/>
    </row>
    <row r="500" spans="13:14" ht="14.25">
      <c r="M500" s="101"/>
      <c r="N500" s="101"/>
    </row>
    <row r="501" spans="13:14" ht="14.25">
      <c r="M501" s="101"/>
      <c r="N501" s="101"/>
    </row>
    <row r="502" spans="13:14" ht="14.25">
      <c r="M502" s="101"/>
      <c r="N502" s="101"/>
    </row>
    <row r="503" spans="13:14" ht="14.25">
      <c r="M503" s="101"/>
      <c r="N503" s="101"/>
    </row>
    <row r="504" spans="13:14" ht="14.25">
      <c r="M504" s="101"/>
      <c r="N504" s="101"/>
    </row>
    <row r="505" spans="13:14" ht="14.25">
      <c r="M505" s="101"/>
      <c r="N505" s="101"/>
    </row>
    <row r="506" spans="13:14" ht="14.25">
      <c r="M506" s="101"/>
      <c r="N506" s="101"/>
    </row>
    <row r="507" spans="13:14" ht="14.25">
      <c r="M507" s="101"/>
      <c r="N507" s="101"/>
    </row>
    <row r="508" spans="13:14" ht="14.25">
      <c r="M508" s="101"/>
      <c r="N508" s="101"/>
    </row>
    <row r="509" spans="13:14" ht="14.25">
      <c r="M509" s="101"/>
      <c r="N509" s="101"/>
    </row>
    <row r="510" spans="13:14" ht="14.25">
      <c r="M510" s="101"/>
      <c r="N510" s="101"/>
    </row>
    <row r="511" spans="13:14" ht="14.25">
      <c r="M511" s="101"/>
      <c r="N511" s="101"/>
    </row>
    <row r="512" spans="13:14" ht="14.25">
      <c r="M512" s="101"/>
      <c r="N512" s="101"/>
    </row>
    <row r="513" spans="13:14" ht="14.25">
      <c r="M513" s="101"/>
      <c r="N513" s="101"/>
    </row>
    <row r="514" spans="13:14" ht="14.25">
      <c r="M514" s="101"/>
      <c r="N514" s="101"/>
    </row>
    <row r="515" spans="13:14" ht="14.25">
      <c r="M515" s="101"/>
      <c r="N515" s="101"/>
    </row>
    <row r="516" spans="13:14" ht="14.25">
      <c r="M516" s="101"/>
      <c r="N516" s="101"/>
    </row>
    <row r="517" spans="13:14" ht="14.25">
      <c r="M517" s="101"/>
      <c r="N517" s="101"/>
    </row>
    <row r="518" spans="13:14" ht="14.25">
      <c r="M518" s="101"/>
      <c r="N518" s="101"/>
    </row>
    <row r="519" spans="13:14" ht="14.25">
      <c r="M519" s="101"/>
      <c r="N519" s="101"/>
    </row>
    <row r="520" spans="13:14" ht="14.25">
      <c r="M520" s="101"/>
      <c r="N520" s="101"/>
    </row>
    <row r="521" spans="13:14" ht="14.25">
      <c r="M521" s="101"/>
      <c r="N521" s="101"/>
    </row>
    <row r="522" spans="13:14" ht="14.25">
      <c r="M522" s="101"/>
      <c r="N522" s="101"/>
    </row>
    <row r="523" spans="13:14" ht="14.25">
      <c r="M523" s="101"/>
      <c r="N523" s="101"/>
    </row>
    <row r="524" spans="13:14" ht="14.25">
      <c r="M524" s="101"/>
      <c r="N524" s="101"/>
    </row>
    <row r="525" spans="13:14" ht="14.25">
      <c r="M525" s="101"/>
      <c r="N525" s="101"/>
    </row>
    <row r="526" spans="13:14" ht="14.25">
      <c r="M526" s="101"/>
      <c r="N526" s="101"/>
    </row>
    <row r="527" spans="13:14" ht="14.25">
      <c r="M527" s="101"/>
      <c r="N527" s="101"/>
    </row>
    <row r="528" spans="13:14" ht="14.25">
      <c r="M528" s="101"/>
      <c r="N528" s="101"/>
    </row>
    <row r="529" spans="13:14" ht="14.25">
      <c r="M529" s="101"/>
      <c r="N529" s="101"/>
    </row>
    <row r="530" spans="13:14" ht="14.25">
      <c r="M530" s="101"/>
      <c r="N530" s="101"/>
    </row>
    <row r="531" spans="13:14" ht="14.25">
      <c r="M531" s="101"/>
      <c r="N531" s="101"/>
    </row>
    <row r="532" spans="13:14" ht="14.25">
      <c r="M532" s="101"/>
      <c r="N532" s="101"/>
    </row>
    <row r="533" spans="13:14" ht="14.25">
      <c r="M533" s="101"/>
      <c r="N533" s="101"/>
    </row>
    <row r="534" spans="13:14" ht="14.25">
      <c r="M534" s="101"/>
      <c r="N534" s="101"/>
    </row>
    <row r="535" spans="13:14" ht="14.25">
      <c r="M535" s="101"/>
      <c r="N535" s="101"/>
    </row>
    <row r="536" spans="13:14" ht="14.25">
      <c r="M536" s="101"/>
      <c r="N536" s="101"/>
    </row>
    <row r="537" spans="13:14" ht="14.25">
      <c r="M537" s="101"/>
      <c r="N537" s="101"/>
    </row>
    <row r="538" spans="13:14" ht="14.25">
      <c r="M538" s="101"/>
      <c r="N538" s="101"/>
    </row>
    <row r="539" spans="13:14" ht="14.25">
      <c r="M539" s="101"/>
      <c r="N539" s="101"/>
    </row>
    <row r="540" spans="13:14" ht="14.25">
      <c r="M540" s="101"/>
      <c r="N540" s="101"/>
    </row>
    <row r="541" spans="13:14" ht="14.25">
      <c r="M541" s="101"/>
      <c r="N541" s="101"/>
    </row>
    <row r="542" spans="13:14" ht="14.25">
      <c r="M542" s="101"/>
      <c r="N542" s="101"/>
    </row>
    <row r="543" spans="13:14" ht="14.25">
      <c r="M543" s="101"/>
      <c r="N543" s="101"/>
    </row>
    <row r="544" spans="13:14" ht="14.25">
      <c r="M544" s="101"/>
      <c r="N544" s="101"/>
    </row>
    <row r="545" spans="13:14" ht="14.25">
      <c r="M545" s="101"/>
      <c r="N545" s="101"/>
    </row>
    <row r="546" spans="13:14" ht="14.25">
      <c r="M546" s="101"/>
      <c r="N546" s="101"/>
    </row>
    <row r="547" spans="13:14" ht="14.25">
      <c r="M547" s="101"/>
      <c r="N547" s="101"/>
    </row>
    <row r="548" spans="13:14" ht="14.25">
      <c r="M548" s="101"/>
      <c r="N548" s="101"/>
    </row>
    <row r="549" spans="13:14" ht="14.25">
      <c r="M549" s="101"/>
      <c r="N549" s="101"/>
    </row>
    <row r="550" spans="13:14" ht="14.25">
      <c r="M550" s="101"/>
      <c r="N550" s="101"/>
    </row>
    <row r="551" spans="13:14" ht="14.25">
      <c r="M551" s="101"/>
      <c r="N551" s="101"/>
    </row>
    <row r="552" spans="13:14" ht="14.25">
      <c r="M552" s="101"/>
      <c r="N552" s="101"/>
    </row>
    <row r="553" spans="13:14" ht="14.25">
      <c r="M553" s="101"/>
      <c r="N553" s="101"/>
    </row>
    <row r="554" spans="13:14" ht="14.25">
      <c r="M554" s="101"/>
      <c r="N554" s="101"/>
    </row>
    <row r="555" spans="13:14" ht="14.25">
      <c r="M555" s="101"/>
      <c r="N555" s="101"/>
    </row>
    <row r="556" spans="13:14" ht="14.25">
      <c r="M556" s="101"/>
      <c r="N556" s="101"/>
    </row>
    <row r="557" spans="13:14" ht="14.25">
      <c r="M557" s="101"/>
      <c r="N557" s="101"/>
    </row>
    <row r="558" spans="13:14" ht="14.25">
      <c r="M558" s="101"/>
      <c r="N558" s="101"/>
    </row>
    <row r="559" spans="13:14" ht="14.25">
      <c r="M559" s="101"/>
      <c r="N559" s="101"/>
    </row>
    <row r="560" spans="13:14" ht="14.25">
      <c r="M560" s="101"/>
      <c r="N560" s="101"/>
    </row>
    <row r="561" spans="13:14" ht="14.25">
      <c r="M561" s="101"/>
      <c r="N561" s="101"/>
    </row>
    <row r="562" spans="13:14" ht="14.25">
      <c r="M562" s="101"/>
      <c r="N562" s="101"/>
    </row>
    <row r="563" spans="13:14" ht="14.25">
      <c r="M563" s="101"/>
      <c r="N563" s="101"/>
    </row>
    <row r="564" spans="13:14" ht="14.25">
      <c r="M564" s="101"/>
      <c r="N564" s="101"/>
    </row>
    <row r="565" spans="13:14" ht="14.25">
      <c r="M565" s="101"/>
      <c r="N565" s="101"/>
    </row>
    <row r="566" spans="13:14" ht="14.25">
      <c r="M566" s="101"/>
      <c r="N566" s="101"/>
    </row>
    <row r="567" spans="13:14" ht="14.25">
      <c r="M567" s="101"/>
      <c r="N567" s="101"/>
    </row>
    <row r="568" spans="13:14" ht="14.25">
      <c r="M568" s="101"/>
      <c r="N568" s="101"/>
    </row>
    <row r="569" spans="13:14" ht="14.25">
      <c r="M569" s="101"/>
      <c r="N569" s="101"/>
    </row>
    <row r="570" spans="13:14" ht="14.25">
      <c r="M570" s="101"/>
      <c r="N570" s="101"/>
    </row>
    <row r="571" spans="13:14" ht="14.25">
      <c r="M571" s="101"/>
      <c r="N571" s="101"/>
    </row>
    <row r="572" spans="13:14" ht="14.25">
      <c r="M572" s="101"/>
      <c r="N572" s="101"/>
    </row>
    <row r="573" spans="13:14" ht="14.25">
      <c r="M573" s="101"/>
      <c r="N573" s="101"/>
    </row>
    <row r="574" spans="13:14" ht="14.25">
      <c r="M574" s="101"/>
      <c r="N574" s="101"/>
    </row>
    <row r="575" spans="13:14" ht="14.25">
      <c r="M575" s="101"/>
      <c r="N575" s="101"/>
    </row>
    <row r="576" spans="13:14" ht="14.25">
      <c r="M576" s="101"/>
      <c r="N576" s="101"/>
    </row>
    <row r="577" spans="13:14" ht="14.25">
      <c r="M577" s="101"/>
      <c r="N577" s="101"/>
    </row>
    <row r="578" spans="13:14" ht="14.25">
      <c r="M578" s="101"/>
      <c r="N578" s="101"/>
    </row>
    <row r="579" spans="13:14" ht="14.25">
      <c r="M579" s="101"/>
      <c r="N579" s="101"/>
    </row>
    <row r="580" spans="13:14" ht="14.25">
      <c r="M580" s="101"/>
      <c r="N580" s="101"/>
    </row>
    <row r="581" spans="13:14" ht="14.25">
      <c r="M581" s="101"/>
      <c r="N581" s="101"/>
    </row>
    <row r="582" spans="13:14" ht="14.25">
      <c r="M582" s="101"/>
      <c r="N582" s="101"/>
    </row>
    <row r="583" spans="13:14" ht="14.25">
      <c r="M583" s="101"/>
      <c r="N583" s="101"/>
    </row>
    <row r="584" spans="13:14" ht="14.25">
      <c r="M584" s="101"/>
      <c r="N584" s="101"/>
    </row>
    <row r="585" spans="13:14" ht="14.25">
      <c r="M585" s="101"/>
      <c r="N585" s="101"/>
    </row>
    <row r="586" spans="13:14" ht="14.25">
      <c r="M586" s="101"/>
      <c r="N586" s="101"/>
    </row>
    <row r="587" spans="13:14" ht="14.25">
      <c r="M587" s="101"/>
      <c r="N587" s="101"/>
    </row>
    <row r="588" spans="13:14" ht="14.25">
      <c r="M588" s="101"/>
      <c r="N588" s="101"/>
    </row>
    <row r="589" spans="13:14" ht="14.25">
      <c r="M589" s="101"/>
      <c r="N589" s="101"/>
    </row>
    <row r="590" spans="13:14" ht="14.25">
      <c r="M590" s="101"/>
      <c r="N590" s="101"/>
    </row>
    <row r="591" spans="13:14" ht="14.25">
      <c r="M591" s="101"/>
      <c r="N591" s="101"/>
    </row>
    <row r="592" spans="13:14" ht="14.25">
      <c r="M592" s="101"/>
      <c r="N592" s="101"/>
    </row>
    <row r="593" spans="13:14" ht="14.25">
      <c r="M593" s="101"/>
      <c r="N593" s="101"/>
    </row>
    <row r="594" spans="13:14" ht="14.25">
      <c r="M594" s="101"/>
      <c r="N594" s="101"/>
    </row>
    <row r="595" spans="13:14" ht="14.25">
      <c r="M595" s="101"/>
      <c r="N595" s="101"/>
    </row>
    <row r="596" spans="13:14" ht="14.25">
      <c r="M596" s="101"/>
      <c r="N596" s="101"/>
    </row>
    <row r="597" spans="13:14" ht="14.25">
      <c r="M597" s="101"/>
      <c r="N597" s="101"/>
    </row>
    <row r="598" spans="13:14" ht="14.25">
      <c r="M598" s="101"/>
      <c r="N598" s="101"/>
    </row>
    <row r="599" spans="13:14" ht="14.25">
      <c r="M599" s="101"/>
      <c r="N599" s="101"/>
    </row>
    <row r="600" spans="13:14" ht="14.25">
      <c r="M600" s="101"/>
      <c r="N600" s="101"/>
    </row>
    <row r="601" spans="13:14" ht="14.25">
      <c r="M601" s="101"/>
      <c r="N601" s="101"/>
    </row>
    <row r="602" spans="13:14" ht="14.25">
      <c r="M602" s="101"/>
      <c r="N602" s="101"/>
    </row>
    <row r="603" spans="13:14" ht="14.25">
      <c r="M603" s="101"/>
      <c r="N603" s="101"/>
    </row>
    <row r="604" spans="13:14" ht="14.25">
      <c r="M604" s="101"/>
      <c r="N604" s="101"/>
    </row>
    <row r="605" spans="13:14" ht="14.25">
      <c r="M605" s="101"/>
      <c r="N605" s="101"/>
    </row>
    <row r="606" spans="13:14" ht="14.25">
      <c r="M606" s="101"/>
      <c r="N606" s="101"/>
    </row>
    <row r="607" spans="13:14" ht="14.25">
      <c r="M607" s="101"/>
      <c r="N607" s="101"/>
    </row>
    <row r="608" spans="13:14" ht="14.25">
      <c r="M608" s="101"/>
      <c r="N608" s="101"/>
    </row>
    <row r="609" spans="13:14" ht="14.25">
      <c r="M609" s="101"/>
      <c r="N609" s="101"/>
    </row>
    <row r="610" spans="13:14" ht="14.25">
      <c r="M610" s="101"/>
      <c r="N610" s="101"/>
    </row>
    <row r="611" spans="13:14" ht="14.25">
      <c r="M611" s="101"/>
      <c r="N611" s="101"/>
    </row>
    <row r="612" spans="13:14" ht="14.25">
      <c r="M612" s="101"/>
      <c r="N612" s="101"/>
    </row>
    <row r="613" spans="13:14" ht="14.25">
      <c r="M613" s="101"/>
      <c r="N613" s="101"/>
    </row>
    <row r="614" spans="13:14" ht="14.25">
      <c r="M614" s="101"/>
      <c r="N614" s="101"/>
    </row>
    <row r="615" spans="13:14" ht="14.25">
      <c r="M615" s="101"/>
      <c r="N615" s="101"/>
    </row>
    <row r="616" spans="13:14" ht="14.25">
      <c r="M616" s="101"/>
      <c r="N616" s="101"/>
    </row>
    <row r="617" spans="13:14" ht="14.25">
      <c r="M617" s="101"/>
      <c r="N617" s="101"/>
    </row>
    <row r="618" spans="13:14" ht="14.25">
      <c r="M618" s="101"/>
      <c r="N618" s="101"/>
    </row>
    <row r="619" spans="13:14" ht="14.25">
      <c r="M619" s="101"/>
      <c r="N619" s="101"/>
    </row>
    <row r="620" spans="13:14" ht="14.25">
      <c r="M620" s="101"/>
      <c r="N620" s="101"/>
    </row>
    <row r="621" spans="13:14" ht="14.25">
      <c r="M621" s="101"/>
      <c r="N621" s="101"/>
    </row>
    <row r="622" spans="13:14" ht="14.25">
      <c r="M622" s="101"/>
      <c r="N622" s="101"/>
    </row>
    <row r="623" spans="13:14" ht="14.25">
      <c r="M623" s="101"/>
      <c r="N623" s="101"/>
    </row>
    <row r="624" spans="13:14" ht="14.25">
      <c r="M624" s="101"/>
      <c r="N624" s="101"/>
    </row>
    <row r="625" spans="13:14" ht="14.25">
      <c r="M625" s="101"/>
      <c r="N625" s="101"/>
    </row>
    <row r="626" spans="13:14" ht="14.25">
      <c r="M626" s="101"/>
      <c r="N626" s="101"/>
    </row>
    <row r="627" spans="13:14" ht="14.25">
      <c r="M627" s="101"/>
      <c r="N627" s="101"/>
    </row>
    <row r="628" spans="13:14" ht="14.25">
      <c r="M628" s="101"/>
      <c r="N628" s="101"/>
    </row>
    <row r="629" spans="13:14" ht="14.25">
      <c r="M629" s="101"/>
      <c r="N629" s="101"/>
    </row>
    <row r="630" spans="13:14" ht="14.25">
      <c r="M630" s="101"/>
      <c r="N630" s="101"/>
    </row>
    <row r="631" spans="13:14" ht="14.25">
      <c r="M631" s="101"/>
      <c r="N631" s="101"/>
    </row>
    <row r="632" spans="13:14" ht="14.25">
      <c r="M632" s="101"/>
      <c r="N632" s="101"/>
    </row>
    <row r="633" spans="13:14" ht="14.25">
      <c r="M633" s="101"/>
      <c r="N633" s="101"/>
    </row>
    <row r="634" spans="13:14" ht="14.25">
      <c r="M634" s="101"/>
      <c r="N634" s="101"/>
    </row>
    <row r="635" spans="13:14" ht="14.25">
      <c r="M635" s="101"/>
      <c r="N635" s="101"/>
    </row>
    <row r="636" spans="13:14" ht="14.25">
      <c r="M636" s="101"/>
      <c r="N636" s="101"/>
    </row>
    <row r="637" spans="13:14" ht="14.25">
      <c r="M637" s="101"/>
      <c r="N637" s="101"/>
    </row>
    <row r="638" spans="13:14" ht="14.25">
      <c r="M638" s="101"/>
      <c r="N638" s="101"/>
    </row>
    <row r="639" spans="13:14" ht="14.25">
      <c r="M639" s="101"/>
      <c r="N639" s="101"/>
    </row>
    <row r="640" spans="13:14" ht="14.25">
      <c r="M640" s="101"/>
      <c r="N640" s="101"/>
    </row>
    <row r="641" spans="13:14" ht="14.25">
      <c r="M641" s="101"/>
      <c r="N641" s="101"/>
    </row>
    <row r="642" spans="13:14" ht="14.25">
      <c r="M642" s="101"/>
      <c r="N642" s="101"/>
    </row>
    <row r="643" spans="13:14" ht="14.25">
      <c r="M643" s="101"/>
      <c r="N643" s="101"/>
    </row>
    <row r="644" spans="13:14" ht="14.25">
      <c r="M644" s="101"/>
      <c r="N644" s="101"/>
    </row>
    <row r="645" spans="13:14" ht="14.25">
      <c r="M645" s="101"/>
      <c r="N645" s="101"/>
    </row>
    <row r="646" spans="13:14" ht="14.25">
      <c r="M646" s="101"/>
      <c r="N646" s="101"/>
    </row>
    <row r="647" spans="13:14" ht="14.25">
      <c r="M647" s="101"/>
      <c r="N647" s="101"/>
    </row>
    <row r="648" spans="13:14" ht="14.25">
      <c r="M648" s="101"/>
      <c r="N648" s="101"/>
    </row>
    <row r="649" spans="13:14" ht="14.25">
      <c r="M649" s="101"/>
      <c r="N649" s="101"/>
    </row>
    <row r="650" spans="13:14" ht="14.25">
      <c r="M650" s="101"/>
      <c r="N650" s="101"/>
    </row>
    <row r="651" spans="13:14" ht="14.25">
      <c r="M651" s="101"/>
      <c r="N651" s="101"/>
    </row>
    <row r="652" spans="13:14" ht="14.25">
      <c r="M652" s="101"/>
      <c r="N652" s="101"/>
    </row>
    <row r="653" spans="13:14" ht="14.25">
      <c r="M653" s="101"/>
      <c r="N653" s="101"/>
    </row>
    <row r="654" spans="13:14" ht="14.25">
      <c r="M654" s="101"/>
      <c r="N654" s="101"/>
    </row>
    <row r="655" spans="13:14" ht="14.25">
      <c r="M655" s="101"/>
      <c r="N655" s="101"/>
    </row>
    <row r="656" spans="13:14" ht="14.25">
      <c r="M656" s="101"/>
      <c r="N656" s="101"/>
    </row>
    <row r="657" spans="13:14" ht="14.25">
      <c r="M657" s="101"/>
      <c r="N657" s="101"/>
    </row>
    <row r="658" spans="13:14" ht="14.25">
      <c r="M658" s="101"/>
      <c r="N658" s="101"/>
    </row>
    <row r="659" spans="13:14" ht="14.25">
      <c r="M659" s="101"/>
      <c r="N659" s="101"/>
    </row>
    <row r="660" spans="13:14" ht="14.25">
      <c r="M660" s="101"/>
      <c r="N660" s="101"/>
    </row>
    <row r="661" spans="13:14" ht="14.25">
      <c r="M661" s="101"/>
      <c r="N661" s="101"/>
    </row>
    <row r="662" spans="13:14" ht="14.25">
      <c r="M662" s="101"/>
      <c r="N662" s="101"/>
    </row>
    <row r="663" spans="13:14" ht="14.25">
      <c r="M663" s="101"/>
      <c r="N663" s="101"/>
    </row>
    <row r="664" spans="13:14" ht="14.25">
      <c r="M664" s="101"/>
      <c r="N664" s="101"/>
    </row>
    <row r="665" spans="13:14" ht="14.25">
      <c r="M665" s="101"/>
      <c r="N665" s="101"/>
    </row>
    <row r="666" spans="13:14" ht="14.25">
      <c r="M666" s="101"/>
      <c r="N666" s="101"/>
    </row>
    <row r="667" spans="13:14" ht="14.25">
      <c r="M667" s="101"/>
      <c r="N667" s="101"/>
    </row>
    <row r="668" spans="13:14" ht="14.25">
      <c r="M668" s="101"/>
      <c r="N668" s="101"/>
    </row>
    <row r="669" spans="13:14" ht="14.25">
      <c r="M669" s="101"/>
      <c r="N669" s="101"/>
    </row>
    <row r="670" spans="13:14" ht="14.25">
      <c r="M670" s="101"/>
      <c r="N670" s="101"/>
    </row>
    <row r="671" spans="13:14" ht="14.25">
      <c r="M671" s="101"/>
      <c r="N671" s="101"/>
    </row>
    <row r="672" spans="13:14" ht="14.25">
      <c r="M672" s="101"/>
      <c r="N672" s="101"/>
    </row>
    <row r="673" spans="13:14" ht="14.25">
      <c r="M673" s="101"/>
      <c r="N673" s="101"/>
    </row>
    <row r="674" spans="13:14" ht="14.25">
      <c r="M674" s="101"/>
      <c r="N674" s="101"/>
    </row>
    <row r="675" spans="13:14" ht="14.25">
      <c r="M675" s="101"/>
      <c r="N675" s="101"/>
    </row>
    <row r="676" spans="13:14" ht="14.25">
      <c r="M676" s="101"/>
      <c r="N676" s="101"/>
    </row>
    <row r="677" spans="13:14" ht="14.25">
      <c r="M677" s="101"/>
      <c r="N677" s="101"/>
    </row>
    <row r="678" spans="13:14" ht="14.25">
      <c r="M678" s="101"/>
      <c r="N678" s="101"/>
    </row>
    <row r="679" spans="13:14" ht="14.25">
      <c r="M679" s="101"/>
      <c r="N679" s="101"/>
    </row>
    <row r="680" spans="13:14" ht="14.25">
      <c r="M680" s="101"/>
      <c r="N680" s="101"/>
    </row>
    <row r="681" spans="13:14" ht="14.25">
      <c r="M681" s="101"/>
      <c r="N681" s="101"/>
    </row>
    <row r="682" spans="13:14" ht="14.25">
      <c r="M682" s="101"/>
      <c r="N682" s="101"/>
    </row>
    <row r="683" spans="13:14" ht="14.25">
      <c r="M683" s="101"/>
      <c r="N683" s="101"/>
    </row>
    <row r="684" spans="13:14" ht="14.25">
      <c r="M684" s="101"/>
      <c r="N684" s="101"/>
    </row>
    <row r="685" spans="13:14" ht="14.25">
      <c r="M685" s="101"/>
      <c r="N685" s="101"/>
    </row>
    <row r="686" spans="13:14" ht="14.25">
      <c r="M686" s="101"/>
      <c r="N686" s="101"/>
    </row>
    <row r="687" ht="14.25">
      <c r="N687" s="101"/>
    </row>
    <row r="688" ht="14.25">
      <c r="N688" s="101"/>
    </row>
    <row r="689" ht="14.25">
      <c r="N689" s="101"/>
    </row>
    <row r="690" ht="14.25">
      <c r="N690" s="101"/>
    </row>
    <row r="691" ht="14.25">
      <c r="N691" s="101"/>
    </row>
    <row r="692" ht="14.25">
      <c r="N692" s="101"/>
    </row>
    <row r="693" ht="14.25">
      <c r="N693" s="101"/>
    </row>
  </sheetData>
  <sheetProtection/>
  <autoFilter ref="A3:N443"/>
  <mergeCells count="1">
    <mergeCell ref="A1:J1"/>
  </mergeCells>
  <printOptions/>
  <pageMargins left="0.5" right="0.5" top="1" bottom="1" header="0.5" footer="0.5"/>
  <pageSetup fitToHeight="9" fitToWidth="1" horizontalDpi="525" verticalDpi="525" orientation="landscape" scale="4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D1">
      <selection activeCell="L22" sqref="L22"/>
    </sheetView>
  </sheetViews>
  <sheetFormatPr defaultColWidth="9.140625" defaultRowHeight="15"/>
  <cols>
    <col min="3" max="3" width="34.28125" style="0" bestFit="1" customWidth="1"/>
    <col min="4" max="4" width="12.7109375" style="0" bestFit="1" customWidth="1"/>
    <col min="5" max="5" width="12.00390625" style="0" bestFit="1" customWidth="1"/>
    <col min="6" max="6" width="11.00390625" style="0" bestFit="1" customWidth="1"/>
    <col min="7" max="7" width="12.00390625" style="0" bestFit="1" customWidth="1"/>
    <col min="8" max="8" width="15.140625" style="0" customWidth="1"/>
    <col min="9" max="9" width="30.140625" style="0" bestFit="1" customWidth="1"/>
    <col min="10" max="10" width="0.5625" style="0" customWidth="1"/>
    <col min="11" max="11" width="24.8515625" style="0" bestFit="1" customWidth="1"/>
    <col min="12" max="12" width="12.7109375" style="0" bestFit="1" customWidth="1"/>
    <col min="13" max="13" width="11.00390625" style="0" bestFit="1" customWidth="1"/>
    <col min="14" max="14" width="11.00390625" style="0" customWidth="1"/>
    <col min="15" max="15" width="13.00390625" style="0" customWidth="1"/>
    <col min="16" max="16" width="12.7109375" style="0" bestFit="1" customWidth="1"/>
    <col min="17" max="17" width="18.7109375" style="0" bestFit="1" customWidth="1"/>
    <col min="18" max="19" width="11.140625" style="0" bestFit="1" customWidth="1"/>
  </cols>
  <sheetData>
    <row r="1" spans="2:19" s="2" customFormat="1" ht="15">
      <c r="B1" s="136" t="s">
        <v>28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3"/>
      <c r="S1" s="3"/>
    </row>
    <row r="2" spans="2:19" s="2" customFormat="1" ht="15">
      <c r="B2" s="136" t="s">
        <v>29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3"/>
      <c r="S2" s="3"/>
    </row>
    <row r="3" spans="2:19" s="2" customFormat="1" ht="15">
      <c r="B3" s="137">
        <v>40178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3"/>
      <c r="S3" s="3"/>
    </row>
    <row r="4" spans="3:19" s="2" customFormat="1" ht="15">
      <c r="C4" s="1"/>
      <c r="D4" s="25" t="s">
        <v>0</v>
      </c>
      <c r="E4" s="25"/>
      <c r="F4" s="25"/>
      <c r="G4" s="25"/>
      <c r="H4" s="25"/>
      <c r="I4" s="25"/>
      <c r="J4" s="4"/>
      <c r="K4" s="25" t="s">
        <v>1</v>
      </c>
      <c r="L4" s="25"/>
      <c r="M4" s="25"/>
      <c r="N4" s="25"/>
      <c r="O4" s="25"/>
      <c r="P4" s="25"/>
      <c r="Q4" s="3"/>
      <c r="R4" s="3"/>
      <c r="S4" s="3"/>
    </row>
    <row r="5" spans="1:19" s="2" customFormat="1" ht="45">
      <c r="A5" s="32" t="s">
        <v>45</v>
      </c>
      <c r="B5" s="32" t="s">
        <v>46</v>
      </c>
      <c r="C5" s="32" t="s">
        <v>63</v>
      </c>
      <c r="D5" s="32" t="s">
        <v>48</v>
      </c>
      <c r="E5" s="32" t="s">
        <v>3</v>
      </c>
      <c r="F5" s="32" t="s">
        <v>4</v>
      </c>
      <c r="G5" s="32" t="s">
        <v>61</v>
      </c>
      <c r="H5" s="32" t="s">
        <v>62</v>
      </c>
      <c r="I5" s="32" t="s">
        <v>49</v>
      </c>
      <c r="J5" s="31"/>
      <c r="K5" s="32" t="s">
        <v>48</v>
      </c>
      <c r="L5" s="32" t="s">
        <v>3</v>
      </c>
      <c r="M5" s="32" t="s">
        <v>4</v>
      </c>
      <c r="N5" s="32" t="s">
        <v>61</v>
      </c>
      <c r="O5" s="32" t="s">
        <v>62</v>
      </c>
      <c r="P5" s="32" t="s">
        <v>49</v>
      </c>
      <c r="Q5" s="32" t="s">
        <v>50</v>
      </c>
      <c r="R5" s="32" t="s">
        <v>64</v>
      </c>
      <c r="S5" s="32" t="s">
        <v>65</v>
      </c>
    </row>
    <row r="6" spans="1:19" s="2" customFormat="1" ht="15">
      <c r="A6" s="82">
        <v>47</v>
      </c>
      <c r="B6" s="26">
        <v>1675</v>
      </c>
      <c r="C6" s="27" t="s">
        <v>5</v>
      </c>
      <c r="D6" s="28">
        <f>'2008 FA Continuity'!I6</f>
        <v>0</v>
      </c>
      <c r="E6" s="29">
        <v>0</v>
      </c>
      <c r="F6" s="47">
        <v>0</v>
      </c>
      <c r="G6" s="47"/>
      <c r="H6" s="47"/>
      <c r="I6" s="30">
        <f>D6+E6-F6-G6-H6</f>
        <v>0</v>
      </c>
      <c r="J6" s="24"/>
      <c r="K6" s="30">
        <f>'2008 FA Continuity'!P6</f>
        <v>0</v>
      </c>
      <c r="L6" s="47">
        <v>0</v>
      </c>
      <c r="M6" s="47">
        <v>0</v>
      </c>
      <c r="N6" s="47"/>
      <c r="O6" s="47"/>
      <c r="P6" s="30">
        <f>K6+L6-M6-N6-O6</f>
        <v>0</v>
      </c>
      <c r="Q6" s="30">
        <f>I6-P6</f>
        <v>0</v>
      </c>
      <c r="R6" s="30">
        <v>0</v>
      </c>
      <c r="S6" s="30">
        <v>0</v>
      </c>
    </row>
    <row r="7" spans="1:19" s="2" customFormat="1" ht="15">
      <c r="A7" s="14" t="s">
        <v>51</v>
      </c>
      <c r="B7" s="26">
        <v>1805</v>
      </c>
      <c r="C7" s="27" t="s">
        <v>6</v>
      </c>
      <c r="D7" s="28">
        <f>'2008 FA Continuity'!I7</f>
        <v>414741.45</v>
      </c>
      <c r="E7" s="29">
        <v>0</v>
      </c>
      <c r="F7" s="47">
        <v>0</v>
      </c>
      <c r="G7" s="47"/>
      <c r="H7" s="47"/>
      <c r="I7" s="30">
        <f aca="true" t="shared" si="0" ref="I7:I36">D7+E7-F7-G7-H7</f>
        <v>414741.45</v>
      </c>
      <c r="J7" s="24"/>
      <c r="K7" s="30">
        <f>'2008 FA Continuity'!P7</f>
        <v>0</v>
      </c>
      <c r="L7" s="47">
        <v>0</v>
      </c>
      <c r="M7" s="47">
        <v>0</v>
      </c>
      <c r="N7" s="47"/>
      <c r="O7" s="47"/>
      <c r="P7" s="30">
        <f aca="true" t="shared" si="1" ref="P7:P36">K7+L7-M7-N7-O7</f>
        <v>0</v>
      </c>
      <c r="Q7" s="30">
        <f aca="true" t="shared" si="2" ref="Q7:Q36">I7-P7</f>
        <v>414741.45</v>
      </c>
      <c r="R7" s="30">
        <v>0</v>
      </c>
      <c r="S7" s="30">
        <v>0</v>
      </c>
    </row>
    <row r="8" spans="1:19" s="2" customFormat="1" ht="15">
      <c r="A8" s="14">
        <v>47</v>
      </c>
      <c r="B8" s="26">
        <v>1808</v>
      </c>
      <c r="C8" s="27" t="s">
        <v>7</v>
      </c>
      <c r="D8" s="28">
        <f>'2008 FA Continuity'!I8</f>
        <v>2134567.23</v>
      </c>
      <c r="E8" s="29">
        <v>3740</v>
      </c>
      <c r="F8" s="47">
        <v>0</v>
      </c>
      <c r="G8" s="47"/>
      <c r="H8" s="47"/>
      <c r="I8" s="30">
        <f t="shared" si="0"/>
        <v>2138307.23</v>
      </c>
      <c r="J8" s="24"/>
      <c r="K8" s="30">
        <f>'2008 FA Continuity'!P8</f>
        <v>1449616.2899999998</v>
      </c>
      <c r="L8" s="47">
        <f>85200.07</f>
        <v>85200.07</v>
      </c>
      <c r="M8" s="47">
        <v>0</v>
      </c>
      <c r="N8" s="47"/>
      <c r="O8" s="47"/>
      <c r="P8" s="30">
        <f t="shared" si="1"/>
        <v>1534816.3599999999</v>
      </c>
      <c r="Q8" s="30">
        <f t="shared" si="2"/>
        <v>603490.8700000001</v>
      </c>
      <c r="R8" s="30">
        <v>0</v>
      </c>
      <c r="S8" s="30">
        <v>0</v>
      </c>
    </row>
    <row r="9" spans="1:19" s="2" customFormat="1" ht="15">
      <c r="A9" s="14">
        <v>13</v>
      </c>
      <c r="B9" s="26">
        <v>1810</v>
      </c>
      <c r="C9" s="27" t="s">
        <v>8</v>
      </c>
      <c r="D9" s="28">
        <f>'2008 FA Continuity'!I9</f>
        <v>20885.65</v>
      </c>
      <c r="E9" s="29">
        <v>0</v>
      </c>
      <c r="F9" s="47">
        <v>0</v>
      </c>
      <c r="G9" s="47"/>
      <c r="H9" s="47"/>
      <c r="I9" s="30">
        <f t="shared" si="0"/>
        <v>20885.65</v>
      </c>
      <c r="J9" s="24"/>
      <c r="K9" s="30">
        <f>'2008 FA Continuity'!P9</f>
        <v>20885.65</v>
      </c>
      <c r="L9" s="47">
        <v>0</v>
      </c>
      <c r="M9" s="47">
        <v>0</v>
      </c>
      <c r="N9" s="47"/>
      <c r="O9" s="47"/>
      <c r="P9" s="30">
        <f t="shared" si="1"/>
        <v>20885.65</v>
      </c>
      <c r="Q9" s="30">
        <f t="shared" si="2"/>
        <v>0</v>
      </c>
      <c r="R9" s="30">
        <v>0</v>
      </c>
      <c r="S9" s="30">
        <v>0</v>
      </c>
    </row>
    <row r="10" spans="1:19" s="2" customFormat="1" ht="15">
      <c r="A10" s="14">
        <v>47</v>
      </c>
      <c r="B10" s="26">
        <v>1820</v>
      </c>
      <c r="C10" s="27" t="s">
        <v>9</v>
      </c>
      <c r="D10" s="28">
        <f>'2008 FA Continuity'!I10</f>
        <v>11467932.620000001</v>
      </c>
      <c r="E10" s="29">
        <v>306707.85</v>
      </c>
      <c r="F10" s="47">
        <v>0</v>
      </c>
      <c r="G10" s="47"/>
      <c r="H10" s="47"/>
      <c r="I10" s="30">
        <f t="shared" si="0"/>
        <v>11774640.47</v>
      </c>
      <c r="J10" s="24"/>
      <c r="K10" s="30">
        <f>'2008 FA Continuity'!P10</f>
        <v>8847268.67</v>
      </c>
      <c r="L10" s="47">
        <v>268950.05</v>
      </c>
      <c r="M10" s="47">
        <v>0</v>
      </c>
      <c r="N10" s="47"/>
      <c r="O10" s="47"/>
      <c r="P10" s="30">
        <f t="shared" si="1"/>
        <v>9116218.72</v>
      </c>
      <c r="Q10" s="30">
        <f t="shared" si="2"/>
        <v>2658421.75</v>
      </c>
      <c r="R10" s="30">
        <v>0</v>
      </c>
      <c r="S10" s="30">
        <v>0</v>
      </c>
    </row>
    <row r="11" spans="1:19" s="2" customFormat="1" ht="15">
      <c r="A11" s="14">
        <v>47</v>
      </c>
      <c r="B11" s="26">
        <v>1830</v>
      </c>
      <c r="C11" s="27" t="s">
        <v>10</v>
      </c>
      <c r="D11" s="28">
        <f>'2008 FA Continuity'!I11</f>
        <v>63112003.9</v>
      </c>
      <c r="E11" s="29">
        <v>7383754.84</v>
      </c>
      <c r="F11" s="47">
        <v>596672.31</v>
      </c>
      <c r="G11" s="47"/>
      <c r="H11" s="47"/>
      <c r="I11" s="30">
        <f t="shared" si="0"/>
        <v>69899086.42999999</v>
      </c>
      <c r="J11" s="24"/>
      <c r="K11" s="30">
        <f>'2008 FA Continuity'!P11</f>
        <v>24103465.17</v>
      </c>
      <c r="L11" s="47">
        <v>2560035.14</v>
      </c>
      <c r="M11" s="47">
        <v>596672.31</v>
      </c>
      <c r="N11" s="47"/>
      <c r="O11" s="47"/>
      <c r="P11" s="30">
        <f t="shared" si="1"/>
        <v>26066828.000000004</v>
      </c>
      <c r="Q11" s="30">
        <f t="shared" si="2"/>
        <v>43832258.42999999</v>
      </c>
      <c r="R11" s="30">
        <v>0</v>
      </c>
      <c r="S11" s="30">
        <v>0</v>
      </c>
    </row>
    <row r="12" spans="1:19" s="2" customFormat="1" ht="15">
      <c r="A12" s="14">
        <v>47</v>
      </c>
      <c r="B12" s="26">
        <v>1835</v>
      </c>
      <c r="C12" s="27" t="s">
        <v>11</v>
      </c>
      <c r="D12" s="28">
        <f>'2008 FA Continuity'!I12</f>
        <v>68013627.05999999</v>
      </c>
      <c r="E12" s="29">
        <v>3219767.7</v>
      </c>
      <c r="F12" s="47">
        <v>0</v>
      </c>
      <c r="G12" s="47"/>
      <c r="H12" s="47"/>
      <c r="I12" s="30">
        <f t="shared" si="0"/>
        <v>71233394.75999999</v>
      </c>
      <c r="J12" s="24"/>
      <c r="K12" s="30">
        <f>'2008 FA Continuity'!P12</f>
        <v>28655392.02</v>
      </c>
      <c r="L12" s="47">
        <v>2736877.23</v>
      </c>
      <c r="M12" s="47">
        <v>0</v>
      </c>
      <c r="N12" s="47"/>
      <c r="O12" s="47"/>
      <c r="P12" s="30">
        <f t="shared" si="1"/>
        <v>31392269.25</v>
      </c>
      <c r="Q12" s="30">
        <f t="shared" si="2"/>
        <v>39841125.50999999</v>
      </c>
      <c r="R12" s="30">
        <v>0</v>
      </c>
      <c r="S12" s="30">
        <v>0</v>
      </c>
    </row>
    <row r="13" spans="1:19" s="2" customFormat="1" ht="15">
      <c r="A13" s="14">
        <v>47</v>
      </c>
      <c r="B13" s="26">
        <v>1840</v>
      </c>
      <c r="C13" s="27" t="s">
        <v>30</v>
      </c>
      <c r="D13" s="28">
        <f>'2008 FA Continuity'!I13</f>
        <v>110741757.43</v>
      </c>
      <c r="E13" s="29">
        <v>5622715.5</v>
      </c>
      <c r="F13" s="47">
        <v>1250241.76</v>
      </c>
      <c r="G13" s="47"/>
      <c r="H13" s="47"/>
      <c r="I13" s="30">
        <f t="shared" si="0"/>
        <v>115114231.17</v>
      </c>
      <c r="J13" s="24"/>
      <c r="K13" s="30">
        <f>'2008 FA Continuity'!P13</f>
        <v>59633838.98</v>
      </c>
      <c r="L13" s="47">
        <v>4357603.61</v>
      </c>
      <c r="M13" s="47">
        <v>1250241.76</v>
      </c>
      <c r="N13" s="47"/>
      <c r="O13" s="47"/>
      <c r="P13" s="30">
        <f t="shared" si="1"/>
        <v>62741200.83</v>
      </c>
      <c r="Q13" s="30">
        <f t="shared" si="2"/>
        <v>52373030.34</v>
      </c>
      <c r="R13" s="30">
        <v>0</v>
      </c>
      <c r="S13" s="30">
        <v>0</v>
      </c>
    </row>
    <row r="14" spans="1:19" s="2" customFormat="1" ht="15">
      <c r="A14" s="14">
        <v>47</v>
      </c>
      <c r="B14" s="26">
        <v>1845</v>
      </c>
      <c r="C14" s="27" t="s">
        <v>12</v>
      </c>
      <c r="D14" s="28">
        <f>'2008 FA Continuity'!I14</f>
        <v>111676205.68</v>
      </c>
      <c r="E14" s="29">
        <v>8756745.9</v>
      </c>
      <c r="F14" s="47">
        <v>3347475.84</v>
      </c>
      <c r="G14" s="47"/>
      <c r="H14" s="47"/>
      <c r="I14" s="30">
        <f t="shared" si="0"/>
        <v>117085475.74000001</v>
      </c>
      <c r="J14" s="24"/>
      <c r="K14" s="30">
        <f>'2008 FA Continuity'!P14</f>
        <v>55727446.47</v>
      </c>
      <c r="L14" s="47">
        <v>4362958.81</v>
      </c>
      <c r="M14" s="47">
        <v>3347475.84</v>
      </c>
      <c r="N14" s="47"/>
      <c r="O14" s="47"/>
      <c r="P14" s="30">
        <f t="shared" si="1"/>
        <v>56742929.44</v>
      </c>
      <c r="Q14" s="30">
        <f t="shared" si="2"/>
        <v>60342546.30000001</v>
      </c>
      <c r="R14" s="30">
        <v>0</v>
      </c>
      <c r="S14" s="30">
        <v>0</v>
      </c>
    </row>
    <row r="15" spans="1:19" s="2" customFormat="1" ht="15">
      <c r="A15" s="14">
        <v>47</v>
      </c>
      <c r="B15" s="26">
        <v>1850</v>
      </c>
      <c r="C15" s="27" t="s">
        <v>13</v>
      </c>
      <c r="D15" s="28">
        <f>'2008 FA Continuity'!I15</f>
        <v>88428293.99</v>
      </c>
      <c r="E15" s="29">
        <v>9382665.3</v>
      </c>
      <c r="F15" s="47">
        <v>1692563.48</v>
      </c>
      <c r="G15" s="47"/>
      <c r="H15" s="47"/>
      <c r="I15" s="30">
        <f t="shared" si="0"/>
        <v>96118395.80999999</v>
      </c>
      <c r="J15" s="24"/>
      <c r="K15" s="30">
        <f>'2008 FA Continuity'!P15</f>
        <v>44221865.11</v>
      </c>
      <c r="L15" s="47">
        <v>3508875.61</v>
      </c>
      <c r="M15" s="47">
        <v>1692563.48</v>
      </c>
      <c r="N15" s="47"/>
      <c r="O15" s="47"/>
      <c r="P15" s="30">
        <f t="shared" si="1"/>
        <v>46038177.24</v>
      </c>
      <c r="Q15" s="30">
        <f t="shared" si="2"/>
        <v>50080218.569999985</v>
      </c>
      <c r="R15" s="30">
        <v>0</v>
      </c>
      <c r="S15" s="30">
        <v>0</v>
      </c>
    </row>
    <row r="16" spans="1:19" s="2" customFormat="1" ht="15">
      <c r="A16" s="14">
        <v>47</v>
      </c>
      <c r="B16" s="26">
        <v>1855</v>
      </c>
      <c r="C16" s="27" t="s">
        <v>14</v>
      </c>
      <c r="D16" s="28">
        <f>'2008 FA Continuity'!I16</f>
        <v>22420495.07</v>
      </c>
      <c r="E16" s="29">
        <v>1763849.48</v>
      </c>
      <c r="F16" s="47">
        <v>0</v>
      </c>
      <c r="G16" s="47"/>
      <c r="H16" s="47"/>
      <c r="I16" s="30">
        <f t="shared" si="0"/>
        <v>24184344.55</v>
      </c>
      <c r="J16" s="24"/>
      <c r="K16" s="30">
        <f>'2008 FA Continuity'!P16</f>
        <v>7711616.4399999995</v>
      </c>
      <c r="L16" s="47">
        <v>974074.39</v>
      </c>
      <c r="M16" s="47">
        <v>0</v>
      </c>
      <c r="N16" s="47"/>
      <c r="O16" s="47"/>
      <c r="P16" s="30">
        <f t="shared" si="1"/>
        <v>8685690.83</v>
      </c>
      <c r="Q16" s="30">
        <f t="shared" si="2"/>
        <v>15498653.72</v>
      </c>
      <c r="R16" s="30">
        <v>0</v>
      </c>
      <c r="S16" s="30">
        <v>0</v>
      </c>
    </row>
    <row r="17" spans="1:19" s="2" customFormat="1" ht="15">
      <c r="A17" s="14">
        <v>47</v>
      </c>
      <c r="B17" s="26">
        <v>1860</v>
      </c>
      <c r="C17" s="27" t="s">
        <v>15</v>
      </c>
      <c r="D17" s="28">
        <f>'2008 FA Continuity'!I17</f>
        <v>37307964.19</v>
      </c>
      <c r="E17" s="29">
        <v>1479355.69</v>
      </c>
      <c r="F17" s="47">
        <v>764657.87</v>
      </c>
      <c r="G17" s="47"/>
      <c r="H17" s="47">
        <f>'MSP Transitional Costs'!B3+'MSP Transitional Costs'!B4</f>
        <v>202800</v>
      </c>
      <c r="I17" s="30">
        <f t="shared" si="0"/>
        <v>37819862.01</v>
      </c>
      <c r="J17" s="24"/>
      <c r="K17" s="30">
        <f>'2008 FA Continuity'!P17</f>
        <v>15941343.79</v>
      </c>
      <c r="L17" s="47">
        <v>1429183.68</v>
      </c>
      <c r="M17" s="47">
        <v>764657.87</v>
      </c>
      <c r="N17" s="47"/>
      <c r="O17" s="47"/>
      <c r="P17" s="30">
        <f t="shared" si="1"/>
        <v>16605869.6</v>
      </c>
      <c r="Q17" s="30">
        <f t="shared" si="2"/>
        <v>21213992.409999996</v>
      </c>
      <c r="R17" s="30">
        <v>0</v>
      </c>
      <c r="S17" s="30">
        <v>0</v>
      </c>
    </row>
    <row r="18" spans="1:19" s="2" customFormat="1" ht="15">
      <c r="A18" s="14">
        <v>47</v>
      </c>
      <c r="B18" s="26">
        <v>1860</v>
      </c>
      <c r="C18" s="27" t="s">
        <v>16</v>
      </c>
      <c r="D18" s="28">
        <f>'2008 FA Continuity'!I18</f>
        <v>0</v>
      </c>
      <c r="E18" s="29">
        <v>6043663.35</v>
      </c>
      <c r="F18" s="47">
        <v>0</v>
      </c>
      <c r="G18" s="47">
        <f>E18</f>
        <v>6043663.35</v>
      </c>
      <c r="H18" s="47"/>
      <c r="I18" s="30">
        <f t="shared" si="0"/>
        <v>0</v>
      </c>
      <c r="J18" s="24"/>
      <c r="K18" s="30">
        <f>'2008 FA Continuity'!P18</f>
        <v>0.0008888889569789171</v>
      </c>
      <c r="L18" s="47">
        <v>1373377.58</v>
      </c>
      <c r="M18" s="47">
        <v>0</v>
      </c>
      <c r="N18" s="47">
        <f>L18</f>
        <v>1373377.58</v>
      </c>
      <c r="O18" s="47"/>
      <c r="P18" s="30">
        <f t="shared" si="1"/>
        <v>0.0008888889569789171</v>
      </c>
      <c r="Q18" s="30">
        <f t="shared" si="2"/>
        <v>-0.0008888889569789171</v>
      </c>
      <c r="R18" s="30">
        <v>0</v>
      </c>
      <c r="S18" s="30">
        <v>0</v>
      </c>
    </row>
    <row r="19" spans="1:19" s="2" customFormat="1" ht="15">
      <c r="A19" s="14" t="s">
        <v>51</v>
      </c>
      <c r="B19" s="26">
        <v>1905</v>
      </c>
      <c r="C19" s="27" t="s">
        <v>17</v>
      </c>
      <c r="D19" s="28">
        <f>'2008 FA Continuity'!I19</f>
        <v>1067629.4100000001</v>
      </c>
      <c r="E19" s="29">
        <v>0</v>
      </c>
      <c r="F19" s="47">
        <v>0</v>
      </c>
      <c r="G19" s="47"/>
      <c r="H19" s="47"/>
      <c r="I19" s="30">
        <f t="shared" si="0"/>
        <v>1067629.4100000001</v>
      </c>
      <c r="J19" s="24"/>
      <c r="K19" s="30">
        <f>'2008 FA Continuity'!P19</f>
        <v>0</v>
      </c>
      <c r="L19" s="47">
        <v>0</v>
      </c>
      <c r="M19" s="47">
        <v>0</v>
      </c>
      <c r="N19" s="47"/>
      <c r="O19" s="47"/>
      <c r="P19" s="30">
        <f t="shared" si="1"/>
        <v>0</v>
      </c>
      <c r="Q19" s="30">
        <f t="shared" si="2"/>
        <v>1067629.4100000001</v>
      </c>
      <c r="R19" s="30">
        <v>0</v>
      </c>
      <c r="S19" s="30">
        <v>0</v>
      </c>
    </row>
    <row r="20" spans="1:19" s="2" customFormat="1" ht="15">
      <c r="A20" s="14">
        <v>47</v>
      </c>
      <c r="B20" s="26">
        <v>1906</v>
      </c>
      <c r="C20" s="27" t="s">
        <v>18</v>
      </c>
      <c r="D20" s="28">
        <f>'2008 FA Continuity'!I20</f>
        <v>162636.38</v>
      </c>
      <c r="E20" s="29">
        <v>0</v>
      </c>
      <c r="F20" s="47">
        <v>0</v>
      </c>
      <c r="G20" s="47"/>
      <c r="H20" s="47"/>
      <c r="I20" s="30">
        <f t="shared" si="0"/>
        <v>162636.38</v>
      </c>
      <c r="J20" s="24"/>
      <c r="K20" s="30">
        <f>'2008 FA Continuity'!P20</f>
        <v>65353.219999999994</v>
      </c>
      <c r="L20" s="47">
        <v>3458</v>
      </c>
      <c r="M20" s="47">
        <v>0</v>
      </c>
      <c r="N20" s="47"/>
      <c r="O20" s="47"/>
      <c r="P20" s="30">
        <f t="shared" si="1"/>
        <v>68811.22</v>
      </c>
      <c r="Q20" s="30">
        <f t="shared" si="2"/>
        <v>93825.16</v>
      </c>
      <c r="R20" s="30">
        <v>0</v>
      </c>
      <c r="S20" s="30">
        <v>0</v>
      </c>
    </row>
    <row r="21" spans="1:19" s="2" customFormat="1" ht="15">
      <c r="A21" s="14">
        <v>47</v>
      </c>
      <c r="B21" s="26">
        <v>1908</v>
      </c>
      <c r="C21" s="27" t="s">
        <v>19</v>
      </c>
      <c r="D21" s="28">
        <f>'2008 FA Continuity'!I21</f>
        <v>27354034.86</v>
      </c>
      <c r="E21" s="29">
        <f>620256.75</f>
        <v>620256.75</v>
      </c>
      <c r="F21" s="47">
        <v>0</v>
      </c>
      <c r="G21" s="47"/>
      <c r="H21" s="47"/>
      <c r="I21" s="30">
        <f t="shared" si="0"/>
        <v>27974291.61</v>
      </c>
      <c r="J21" s="24"/>
      <c r="K21" s="30">
        <f>'2008 FA Continuity'!P21</f>
        <v>15786762.66</v>
      </c>
      <c r="L21" s="47">
        <f>1184971.63+53359.08</f>
        <v>1238330.71</v>
      </c>
      <c r="M21" s="47">
        <v>0</v>
      </c>
      <c r="N21" s="47"/>
      <c r="O21" s="47"/>
      <c r="P21" s="30">
        <f t="shared" si="1"/>
        <v>17025093.37</v>
      </c>
      <c r="Q21" s="30">
        <f t="shared" si="2"/>
        <v>10949198.239999998</v>
      </c>
      <c r="R21" s="30">
        <v>0</v>
      </c>
      <c r="S21" s="30">
        <v>0</v>
      </c>
    </row>
    <row r="22" spans="1:19" s="2" customFormat="1" ht="15">
      <c r="A22" s="14">
        <v>13</v>
      </c>
      <c r="B22" s="26">
        <v>1910</v>
      </c>
      <c r="C22" s="27" t="s">
        <v>8</v>
      </c>
      <c r="D22" s="28">
        <f>'2008 FA Continuity'!I22</f>
        <v>0</v>
      </c>
      <c r="E22" s="29">
        <v>0</v>
      </c>
      <c r="F22" s="47">
        <v>0</v>
      </c>
      <c r="G22" s="47"/>
      <c r="H22" s="47"/>
      <c r="I22" s="30">
        <f t="shared" si="0"/>
        <v>0</v>
      </c>
      <c r="J22" s="24"/>
      <c r="K22" s="30">
        <f>'2008 FA Continuity'!P22</f>
        <v>0</v>
      </c>
      <c r="L22" s="47">
        <v>0</v>
      </c>
      <c r="M22" s="47">
        <v>0</v>
      </c>
      <c r="N22" s="47"/>
      <c r="O22" s="47"/>
      <c r="P22" s="30">
        <f t="shared" si="1"/>
        <v>0</v>
      </c>
      <c r="Q22" s="30">
        <f t="shared" si="2"/>
        <v>0</v>
      </c>
      <c r="R22" s="30">
        <v>0</v>
      </c>
      <c r="S22" s="30">
        <v>0</v>
      </c>
    </row>
    <row r="23" spans="1:19" s="2" customFormat="1" ht="15">
      <c r="A23" s="14">
        <v>8</v>
      </c>
      <c r="B23" s="26">
        <v>1915</v>
      </c>
      <c r="C23" s="27" t="s">
        <v>20</v>
      </c>
      <c r="D23" s="28">
        <f>'2008 FA Continuity'!I23</f>
        <v>4392548.09</v>
      </c>
      <c r="E23" s="29">
        <v>566148.99</v>
      </c>
      <c r="F23" s="47">
        <v>0</v>
      </c>
      <c r="G23" s="47"/>
      <c r="H23" s="47"/>
      <c r="I23" s="30">
        <f t="shared" si="0"/>
        <v>4958697.08</v>
      </c>
      <c r="J23" s="24"/>
      <c r="K23" s="30">
        <f>'2008 FA Continuity'!P23</f>
        <v>3394787.2300000004</v>
      </c>
      <c r="L23" s="47">
        <v>178168.37</v>
      </c>
      <c r="M23" s="47">
        <v>0</v>
      </c>
      <c r="N23" s="47"/>
      <c r="O23" s="47"/>
      <c r="P23" s="30">
        <f t="shared" si="1"/>
        <v>3572955.6000000006</v>
      </c>
      <c r="Q23" s="30">
        <f t="shared" si="2"/>
        <v>1385741.4799999995</v>
      </c>
      <c r="R23" s="30">
        <v>0</v>
      </c>
      <c r="S23" s="30">
        <v>0</v>
      </c>
    </row>
    <row r="24" spans="1:19" s="2" customFormat="1" ht="15">
      <c r="A24" s="14">
        <v>10</v>
      </c>
      <c r="B24" s="26">
        <v>1920</v>
      </c>
      <c r="C24" s="27" t="s">
        <v>21</v>
      </c>
      <c r="D24" s="28">
        <f>'2008 FA Continuity'!I24</f>
        <v>5613068.4</v>
      </c>
      <c r="E24" s="29">
        <v>0</v>
      </c>
      <c r="F24" s="47">
        <v>0</v>
      </c>
      <c r="G24" s="47"/>
      <c r="H24" s="47"/>
      <c r="I24" s="30">
        <f t="shared" si="0"/>
        <v>5613068.4</v>
      </c>
      <c r="J24" s="24"/>
      <c r="K24" s="30">
        <f>'2008 FA Continuity'!P24</f>
        <v>5569357.329999999</v>
      </c>
      <c r="L24" s="47">
        <v>17095.08</v>
      </c>
      <c r="M24" s="47">
        <v>0</v>
      </c>
      <c r="N24" s="47"/>
      <c r="O24" s="47"/>
      <c r="P24" s="30">
        <f t="shared" si="1"/>
        <v>5586452.409999999</v>
      </c>
      <c r="Q24" s="30">
        <f t="shared" si="2"/>
        <v>26615.990000001155</v>
      </c>
      <c r="R24" s="30">
        <v>0</v>
      </c>
      <c r="S24" s="30">
        <v>0</v>
      </c>
    </row>
    <row r="25" spans="1:19" s="2" customFormat="1" ht="15">
      <c r="A25" s="14">
        <v>45</v>
      </c>
      <c r="B25" s="26">
        <v>1920</v>
      </c>
      <c r="C25" s="27" t="s">
        <v>22</v>
      </c>
      <c r="D25" s="28">
        <f>'2008 FA Continuity'!I25</f>
        <v>2618654.83</v>
      </c>
      <c r="E25" s="29">
        <v>877837.49</v>
      </c>
      <c r="F25" s="47">
        <v>0</v>
      </c>
      <c r="G25" s="47"/>
      <c r="H25" s="47"/>
      <c r="I25" s="30">
        <f t="shared" si="0"/>
        <v>3496492.3200000003</v>
      </c>
      <c r="J25" s="24"/>
      <c r="K25" s="30">
        <f>'2008 FA Continuity'!P25</f>
        <v>900240.7799999999</v>
      </c>
      <c r="L25" s="47">
        <v>525865.11</v>
      </c>
      <c r="M25" s="47">
        <v>0</v>
      </c>
      <c r="N25" s="47">
        <v>36672.75</v>
      </c>
      <c r="O25" s="47"/>
      <c r="P25" s="30">
        <f t="shared" si="1"/>
        <v>1389433.14</v>
      </c>
      <c r="Q25" s="30">
        <f t="shared" si="2"/>
        <v>2107059.1800000006</v>
      </c>
      <c r="R25" s="30">
        <v>0</v>
      </c>
      <c r="S25" s="30">
        <v>0</v>
      </c>
    </row>
    <row r="26" spans="1:19" s="2" customFormat="1" ht="15">
      <c r="A26" s="14">
        <v>12</v>
      </c>
      <c r="B26" s="26">
        <v>1925</v>
      </c>
      <c r="C26" s="27" t="s">
        <v>23</v>
      </c>
      <c r="D26" s="28">
        <f>'2008 FA Continuity'!I26</f>
        <v>10257632.37</v>
      </c>
      <c r="E26" s="29">
        <v>1040201.32</v>
      </c>
      <c r="F26" s="47">
        <v>0</v>
      </c>
      <c r="G26" s="47"/>
      <c r="H26" s="47"/>
      <c r="I26" s="30">
        <f t="shared" si="0"/>
        <v>11297833.69</v>
      </c>
      <c r="J26" s="24"/>
      <c r="K26" s="30">
        <f>'2008 FA Continuity'!P26</f>
        <v>4923294.399999999</v>
      </c>
      <c r="L26" s="47">
        <v>1381140.15</v>
      </c>
      <c r="M26" s="47">
        <v>0</v>
      </c>
      <c r="N26" s="47">
        <v>29094.49</v>
      </c>
      <c r="O26" s="47"/>
      <c r="P26" s="30">
        <f t="shared" si="1"/>
        <v>6275340.059999999</v>
      </c>
      <c r="Q26" s="30">
        <f t="shared" si="2"/>
        <v>5022493.630000001</v>
      </c>
      <c r="R26" s="30">
        <v>0</v>
      </c>
      <c r="S26" s="30">
        <v>0</v>
      </c>
    </row>
    <row r="27" spans="1:19" s="2" customFormat="1" ht="15">
      <c r="A27" s="14">
        <v>10</v>
      </c>
      <c r="B27" s="26">
        <v>1930</v>
      </c>
      <c r="C27" s="27" t="s">
        <v>24</v>
      </c>
      <c r="D27" s="28">
        <f>'2008 FA Continuity'!I27</f>
        <v>17716234.82</v>
      </c>
      <c r="E27" s="29">
        <v>1331784.63</v>
      </c>
      <c r="F27" s="47">
        <v>1741888.45</v>
      </c>
      <c r="G27" s="47"/>
      <c r="H27" s="47"/>
      <c r="I27" s="30">
        <f t="shared" si="0"/>
        <v>17306131</v>
      </c>
      <c r="J27" s="24"/>
      <c r="K27" s="30">
        <f>'2008 FA Continuity'!P27</f>
        <v>11623709.400000002</v>
      </c>
      <c r="L27" s="47">
        <v>1291623.52</v>
      </c>
      <c r="M27" s="47">
        <v>1691723.21</v>
      </c>
      <c r="N27" s="47"/>
      <c r="O27" s="47"/>
      <c r="P27" s="30">
        <f t="shared" si="1"/>
        <v>11223609.71</v>
      </c>
      <c r="Q27" s="30">
        <f t="shared" si="2"/>
        <v>6082521.289999999</v>
      </c>
      <c r="R27" s="30">
        <v>121613.47</v>
      </c>
      <c r="S27" s="30">
        <v>71448.23</v>
      </c>
    </row>
    <row r="28" spans="1:19" s="2" customFormat="1" ht="15">
      <c r="A28" s="14">
        <v>8</v>
      </c>
      <c r="B28" s="26">
        <v>1935</v>
      </c>
      <c r="C28" s="27" t="s">
        <v>25</v>
      </c>
      <c r="D28" s="28">
        <f>'2008 FA Continuity'!I28</f>
        <v>781069.31</v>
      </c>
      <c r="E28" s="29">
        <v>111470.87</v>
      </c>
      <c r="F28" s="47">
        <v>0</v>
      </c>
      <c r="G28" s="47"/>
      <c r="H28" s="47"/>
      <c r="I28" s="30">
        <f t="shared" si="0"/>
        <v>892540.18</v>
      </c>
      <c r="J28" s="24"/>
      <c r="K28" s="30">
        <f>'2008 FA Continuity'!P28</f>
        <v>470305.73</v>
      </c>
      <c r="L28" s="47">
        <v>38412.39</v>
      </c>
      <c r="M28" s="47">
        <v>0</v>
      </c>
      <c r="N28" s="47"/>
      <c r="O28" s="47"/>
      <c r="P28" s="30">
        <f t="shared" si="1"/>
        <v>508718.12</v>
      </c>
      <c r="Q28" s="30">
        <f t="shared" si="2"/>
        <v>383822.06000000006</v>
      </c>
      <c r="R28" s="30">
        <v>0</v>
      </c>
      <c r="S28" s="30">
        <v>0</v>
      </c>
    </row>
    <row r="29" spans="1:19" s="2" customFormat="1" ht="15">
      <c r="A29" s="14">
        <v>8</v>
      </c>
      <c r="B29" s="26">
        <v>1940</v>
      </c>
      <c r="C29" s="27" t="s">
        <v>26</v>
      </c>
      <c r="D29" s="28">
        <f>'2008 FA Continuity'!I29</f>
        <v>7020745.680000001</v>
      </c>
      <c r="E29" s="29">
        <v>325692.67</v>
      </c>
      <c r="F29" s="47">
        <v>0</v>
      </c>
      <c r="G29" s="47"/>
      <c r="H29" s="47"/>
      <c r="I29" s="30">
        <f t="shared" si="0"/>
        <v>7346438.350000001</v>
      </c>
      <c r="J29" s="24"/>
      <c r="K29" s="30">
        <f>'2008 FA Continuity'!P29</f>
        <v>5461536.540000001</v>
      </c>
      <c r="L29" s="47">
        <v>288965.76</v>
      </c>
      <c r="M29" s="47">
        <v>0</v>
      </c>
      <c r="N29" s="47">
        <v>885.97</v>
      </c>
      <c r="O29" s="47"/>
      <c r="P29" s="30">
        <f t="shared" si="1"/>
        <v>5749616.330000001</v>
      </c>
      <c r="Q29" s="30">
        <f t="shared" si="2"/>
        <v>1596822.0199999996</v>
      </c>
      <c r="R29" s="30">
        <v>0</v>
      </c>
      <c r="S29" s="30">
        <v>0</v>
      </c>
    </row>
    <row r="30" spans="1:19" s="2" customFormat="1" ht="15">
      <c r="A30" s="14">
        <v>8</v>
      </c>
      <c r="B30" s="26">
        <v>1945</v>
      </c>
      <c r="C30" s="27" t="s">
        <v>31</v>
      </c>
      <c r="D30" s="28">
        <f>'2008 FA Continuity'!I30</f>
        <v>1389954.5100000002</v>
      </c>
      <c r="E30" s="29">
        <v>68666.88</v>
      </c>
      <c r="F30" s="47">
        <v>0</v>
      </c>
      <c r="G30" s="47"/>
      <c r="H30" s="47"/>
      <c r="I30" s="30">
        <f t="shared" si="0"/>
        <v>1458621.3900000001</v>
      </c>
      <c r="J30" s="24"/>
      <c r="K30" s="30">
        <f>'2008 FA Continuity'!P30</f>
        <v>862518.2999999999</v>
      </c>
      <c r="L30" s="47">
        <v>84721.82</v>
      </c>
      <c r="M30" s="47">
        <v>0</v>
      </c>
      <c r="N30" s="47"/>
      <c r="O30" s="47"/>
      <c r="P30" s="30">
        <f t="shared" si="1"/>
        <v>947240.1199999999</v>
      </c>
      <c r="Q30" s="30">
        <f t="shared" si="2"/>
        <v>511381.27000000025</v>
      </c>
      <c r="R30" s="30">
        <v>0</v>
      </c>
      <c r="S30" s="30">
        <v>0</v>
      </c>
    </row>
    <row r="31" spans="1:19" s="2" customFormat="1" ht="15">
      <c r="A31" s="14">
        <v>8</v>
      </c>
      <c r="B31" s="26">
        <v>1950</v>
      </c>
      <c r="C31" s="27" t="s">
        <v>32</v>
      </c>
      <c r="D31" s="28">
        <f>'2008 FA Continuity'!I31</f>
        <v>144034.63</v>
      </c>
      <c r="E31" s="29">
        <v>0</v>
      </c>
      <c r="F31" s="47">
        <v>0</v>
      </c>
      <c r="G31" s="47"/>
      <c r="H31" s="47"/>
      <c r="I31" s="30">
        <f t="shared" si="0"/>
        <v>144034.63</v>
      </c>
      <c r="J31" s="24"/>
      <c r="K31" s="30">
        <f>'2008 FA Continuity'!P31</f>
        <v>85801.83</v>
      </c>
      <c r="L31" s="47">
        <v>11436.36</v>
      </c>
      <c r="M31" s="47">
        <v>0</v>
      </c>
      <c r="N31" s="47"/>
      <c r="O31" s="47"/>
      <c r="P31" s="30">
        <f t="shared" si="1"/>
        <v>97238.19</v>
      </c>
      <c r="Q31" s="30">
        <f t="shared" si="2"/>
        <v>46796.44</v>
      </c>
      <c r="R31" s="30">
        <v>0</v>
      </c>
      <c r="S31" s="30">
        <v>0</v>
      </c>
    </row>
    <row r="32" spans="1:19" s="2" customFormat="1" ht="15">
      <c r="A32" s="14">
        <v>8</v>
      </c>
      <c r="B32" s="26">
        <v>1955</v>
      </c>
      <c r="C32" s="27" t="s">
        <v>27</v>
      </c>
      <c r="D32" s="28">
        <f>'2008 FA Continuity'!I32</f>
        <v>1310596.26</v>
      </c>
      <c r="E32" s="29">
        <v>39567</v>
      </c>
      <c r="F32" s="47">
        <v>0</v>
      </c>
      <c r="G32" s="47"/>
      <c r="H32" s="47"/>
      <c r="I32" s="30">
        <f t="shared" si="0"/>
        <v>1350163.26</v>
      </c>
      <c r="J32" s="24"/>
      <c r="K32" s="30">
        <f>'2008 FA Continuity'!P32</f>
        <v>392639.82</v>
      </c>
      <c r="L32" s="47">
        <v>118704.67</v>
      </c>
      <c r="M32" s="47">
        <v>0</v>
      </c>
      <c r="N32" s="47"/>
      <c r="O32" s="47"/>
      <c r="P32" s="30">
        <f t="shared" si="1"/>
        <v>511344.49</v>
      </c>
      <c r="Q32" s="30">
        <f t="shared" si="2"/>
        <v>838818.77</v>
      </c>
      <c r="R32" s="30">
        <v>0</v>
      </c>
      <c r="S32" s="30">
        <v>0</v>
      </c>
    </row>
    <row r="33" spans="1:19" s="2" customFormat="1" ht="15">
      <c r="A33" s="14">
        <v>8</v>
      </c>
      <c r="B33" s="26">
        <v>1960</v>
      </c>
      <c r="C33" s="27" t="s">
        <v>33</v>
      </c>
      <c r="D33" s="28">
        <f>'2008 FA Continuity'!I33</f>
        <v>515329.99</v>
      </c>
      <c r="E33" s="29">
        <v>0</v>
      </c>
      <c r="F33" s="47">
        <v>0</v>
      </c>
      <c r="G33" s="47"/>
      <c r="H33" s="47"/>
      <c r="I33" s="30">
        <f t="shared" si="0"/>
        <v>515329.99</v>
      </c>
      <c r="J33" s="24"/>
      <c r="K33" s="30">
        <f>'2008 FA Continuity'!P33</f>
        <v>99926.07</v>
      </c>
      <c r="L33" s="47">
        <v>51532.92</v>
      </c>
      <c r="M33" s="47">
        <v>0</v>
      </c>
      <c r="N33" s="47"/>
      <c r="O33" s="47"/>
      <c r="P33" s="30">
        <f t="shared" si="1"/>
        <v>151458.99</v>
      </c>
      <c r="Q33" s="30">
        <f t="shared" si="2"/>
        <v>363871</v>
      </c>
      <c r="R33" s="30">
        <v>0</v>
      </c>
      <c r="S33" s="30">
        <v>0</v>
      </c>
    </row>
    <row r="34" spans="1:19" s="2" customFormat="1" ht="15">
      <c r="A34" s="14">
        <v>47</v>
      </c>
      <c r="B34" s="26">
        <v>1980</v>
      </c>
      <c r="C34" s="27" t="s">
        <v>34</v>
      </c>
      <c r="D34" s="28">
        <f>'2008 FA Continuity'!I34</f>
        <v>3315938.6999999997</v>
      </c>
      <c r="E34" s="29">
        <v>461603.56</v>
      </c>
      <c r="F34" s="47">
        <v>0</v>
      </c>
      <c r="G34" s="47"/>
      <c r="H34" s="47"/>
      <c r="I34" s="30">
        <f t="shared" si="0"/>
        <v>3777542.26</v>
      </c>
      <c r="J34" s="24"/>
      <c r="K34" s="30">
        <f>'2008 FA Continuity'!P34</f>
        <v>2946815.58</v>
      </c>
      <c r="L34" s="47">
        <v>79666.2</v>
      </c>
      <c r="M34" s="47">
        <v>0</v>
      </c>
      <c r="N34" s="47"/>
      <c r="O34" s="47"/>
      <c r="P34" s="30">
        <f t="shared" si="1"/>
        <v>3026481.7800000003</v>
      </c>
      <c r="Q34" s="30">
        <f t="shared" si="2"/>
        <v>751060.4799999995</v>
      </c>
      <c r="R34" s="30">
        <v>0</v>
      </c>
      <c r="S34" s="30">
        <v>0</v>
      </c>
    </row>
    <row r="35" spans="1:19" s="2" customFormat="1" ht="15">
      <c r="A35" s="14">
        <v>47</v>
      </c>
      <c r="B35" s="26">
        <v>1995</v>
      </c>
      <c r="C35" s="27" t="s">
        <v>35</v>
      </c>
      <c r="D35" s="28">
        <f>'2008 FA Continuity'!I35</f>
        <v>5686054.550000001</v>
      </c>
      <c r="E35" s="29">
        <v>2287428.57</v>
      </c>
      <c r="F35" s="47">
        <v>0</v>
      </c>
      <c r="G35" s="47"/>
      <c r="H35" s="47"/>
      <c r="I35" s="30">
        <f t="shared" si="0"/>
        <v>7973483.120000001</v>
      </c>
      <c r="J35" s="24"/>
      <c r="K35" s="30">
        <f>'2008 FA Continuity'!P35</f>
        <v>778000.2314166666</v>
      </c>
      <c r="L35" s="47">
        <v>121179.24</v>
      </c>
      <c r="M35" s="47">
        <v>0</v>
      </c>
      <c r="N35" s="47"/>
      <c r="O35" s="47"/>
      <c r="P35" s="30">
        <f t="shared" si="1"/>
        <v>899179.4714166666</v>
      </c>
      <c r="Q35" s="30">
        <f t="shared" si="2"/>
        <v>7074303.648583334</v>
      </c>
      <c r="R35" s="30">
        <v>0</v>
      </c>
      <c r="S35" s="30">
        <v>0</v>
      </c>
    </row>
    <row r="36" spans="1:19" s="2" customFormat="1" ht="15">
      <c r="A36" s="14">
        <v>47</v>
      </c>
      <c r="B36" s="26">
        <v>1995</v>
      </c>
      <c r="C36" s="34" t="s">
        <v>36</v>
      </c>
      <c r="D36" s="28">
        <f>'2008 FA Continuity'!I36</f>
        <v>-23523673.06</v>
      </c>
      <c r="E36" s="36">
        <v>-7962737.62</v>
      </c>
      <c r="F36" s="48">
        <v>0</v>
      </c>
      <c r="G36" s="48"/>
      <c r="H36" s="48"/>
      <c r="I36" s="30">
        <f t="shared" si="0"/>
        <v>-31486410.68</v>
      </c>
      <c r="J36" s="24"/>
      <c r="K36" s="30">
        <f>'2008 FA Continuity'!P36</f>
        <v>-2487559.01</v>
      </c>
      <c r="L36" s="48">
        <v>-1021900.1955</v>
      </c>
      <c r="M36" s="48">
        <v>0</v>
      </c>
      <c r="N36" s="48"/>
      <c r="O36" s="48"/>
      <c r="P36" s="37">
        <f t="shared" si="1"/>
        <v>-3509459.2054999997</v>
      </c>
      <c r="Q36" s="37">
        <f t="shared" si="2"/>
        <v>-27976951.4745</v>
      </c>
      <c r="R36" s="37">
        <v>0</v>
      </c>
      <c r="S36" s="37">
        <v>0</v>
      </c>
    </row>
    <row r="37" spans="1:19" s="2" customFormat="1" ht="15">
      <c r="A37" s="2">
        <v>2105</v>
      </c>
      <c r="B37" s="2">
        <v>2105</v>
      </c>
      <c r="C37" s="38" t="s">
        <v>66</v>
      </c>
      <c r="D37" s="39">
        <f aca="true" t="shared" si="3" ref="D37:I37">SUM(D6:D36)</f>
        <v>581560964</v>
      </c>
      <c r="E37" s="40">
        <f t="shared" si="3"/>
        <v>43730886.72000001</v>
      </c>
      <c r="F37" s="40">
        <f t="shared" si="3"/>
        <v>9393499.71</v>
      </c>
      <c r="G37" s="40">
        <f t="shared" si="3"/>
        <v>6043663.35</v>
      </c>
      <c r="H37" s="40">
        <f t="shared" si="3"/>
        <v>202800</v>
      </c>
      <c r="I37" s="40">
        <f t="shared" si="3"/>
        <v>609651887.6600001</v>
      </c>
      <c r="J37" s="41"/>
      <c r="K37" s="39">
        <f aca="true" t="shared" si="4" ref="K37:S37">SUM(K6:K36)</f>
        <v>297186228.70230544</v>
      </c>
      <c r="L37" s="40">
        <f t="shared" si="4"/>
        <v>26065536.2745</v>
      </c>
      <c r="M37" s="40">
        <f t="shared" si="4"/>
        <v>9343334.47</v>
      </c>
      <c r="N37" s="40">
        <f t="shared" si="4"/>
        <v>1440030.79</v>
      </c>
      <c r="O37" s="40">
        <f t="shared" si="4"/>
        <v>0</v>
      </c>
      <c r="P37" s="40">
        <f t="shared" si="4"/>
        <v>312468399.7168055</v>
      </c>
      <c r="Q37" s="40">
        <f t="shared" si="4"/>
        <v>297183487.94319457</v>
      </c>
      <c r="R37" s="40">
        <f t="shared" si="4"/>
        <v>121613.47</v>
      </c>
      <c r="S37" s="40">
        <f t="shared" si="4"/>
        <v>71448.23</v>
      </c>
    </row>
    <row r="38" spans="3:19" s="2" customFormat="1" ht="15">
      <c r="C38" s="1"/>
      <c r="D38" s="3"/>
      <c r="E38" s="3"/>
      <c r="F38" s="3"/>
      <c r="G38" s="3"/>
      <c r="H38" s="3"/>
      <c r="I38" s="3"/>
      <c r="J38" s="24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5">
      <c r="A39" s="2">
        <v>2055</v>
      </c>
      <c r="B39" s="2">
        <v>2055</v>
      </c>
      <c r="C39" s="1" t="s">
        <v>37</v>
      </c>
      <c r="D39" s="3">
        <v>5371871.76</v>
      </c>
      <c r="E39" s="3">
        <v>944081.64</v>
      </c>
      <c r="F39" s="3">
        <v>0</v>
      </c>
      <c r="G39" s="3"/>
      <c r="H39" s="3"/>
      <c r="I39" s="3">
        <f>D39+E39-F39-G39-H39</f>
        <v>6315953.399999999</v>
      </c>
      <c r="J39" s="24"/>
      <c r="K39" s="3">
        <v>0</v>
      </c>
      <c r="L39" s="3">
        <v>0</v>
      </c>
      <c r="M39" s="3">
        <v>0</v>
      </c>
      <c r="N39" s="3"/>
      <c r="O39" s="3"/>
      <c r="P39" s="3">
        <f>K39+L39-M39-N39-O39</f>
        <v>0</v>
      </c>
      <c r="Q39" s="3">
        <f>I39-P39</f>
        <v>6315953.399999999</v>
      </c>
      <c r="R39" s="3">
        <v>0</v>
      </c>
      <c r="S39" s="3">
        <v>0</v>
      </c>
    </row>
    <row r="40" spans="3:19" s="2" customFormat="1" ht="15.75" thickBot="1">
      <c r="C40" s="33" t="s">
        <v>60</v>
      </c>
      <c r="D40" s="5">
        <f aca="true" t="shared" si="5" ref="D40:I40">SUM(D37:D39)</f>
        <v>586932835.76</v>
      </c>
      <c r="E40" s="5">
        <f t="shared" si="5"/>
        <v>44674968.360000014</v>
      </c>
      <c r="F40" s="5">
        <f t="shared" si="5"/>
        <v>9393499.71</v>
      </c>
      <c r="G40" s="5">
        <f t="shared" si="5"/>
        <v>6043663.35</v>
      </c>
      <c r="H40" s="5">
        <f t="shared" si="5"/>
        <v>202800</v>
      </c>
      <c r="I40" s="5">
        <f t="shared" si="5"/>
        <v>615967841.0600001</v>
      </c>
      <c r="J40" s="24"/>
      <c r="K40" s="5">
        <f aca="true" t="shared" si="6" ref="K40:S40">SUM(K37:K39)</f>
        <v>297186228.70230544</v>
      </c>
      <c r="L40" s="5">
        <f t="shared" si="6"/>
        <v>26065536.2745</v>
      </c>
      <c r="M40" s="5">
        <f t="shared" si="6"/>
        <v>9343334.47</v>
      </c>
      <c r="N40" s="5">
        <f t="shared" si="6"/>
        <v>1440030.79</v>
      </c>
      <c r="O40" s="5">
        <f t="shared" si="6"/>
        <v>0</v>
      </c>
      <c r="P40" s="5">
        <f t="shared" si="6"/>
        <v>312468399.7168055</v>
      </c>
      <c r="Q40" s="5">
        <f t="shared" si="6"/>
        <v>303499441.34319454</v>
      </c>
      <c r="R40" s="5">
        <f t="shared" si="6"/>
        <v>121613.47</v>
      </c>
      <c r="S40" s="5">
        <f t="shared" si="6"/>
        <v>71448.23</v>
      </c>
    </row>
    <row r="41" spans="3:19" s="2" customFormat="1" ht="15.75" thickTop="1">
      <c r="C41" s="1"/>
      <c r="D41" s="3"/>
      <c r="E41" s="3"/>
      <c r="F41" s="3"/>
      <c r="G41" s="3"/>
      <c r="H41" s="3"/>
      <c r="I41" s="3"/>
      <c r="J41" s="24"/>
      <c r="K41" s="3" t="s">
        <v>38</v>
      </c>
      <c r="L41" s="3">
        <v>1291623.52</v>
      </c>
      <c r="M41" s="3"/>
      <c r="N41" s="3"/>
      <c r="O41" s="3"/>
      <c r="P41" s="3"/>
      <c r="Q41" s="3" t="s">
        <v>39</v>
      </c>
      <c r="R41" s="3"/>
      <c r="S41" s="3">
        <v>0</v>
      </c>
    </row>
    <row r="42" spans="3:19" s="2" customFormat="1" ht="15.75" thickBot="1">
      <c r="C42" s="1" t="s">
        <v>40</v>
      </c>
      <c r="D42" s="6">
        <v>536160.3231174799</v>
      </c>
      <c r="E42" s="3"/>
      <c r="F42" s="3"/>
      <c r="G42" s="3"/>
      <c r="H42" s="3"/>
      <c r="I42" s="3"/>
      <c r="J42" s="24"/>
      <c r="K42" s="3" t="s">
        <v>41</v>
      </c>
      <c r="L42" s="3">
        <v>38412.39</v>
      </c>
      <c r="M42" s="3"/>
      <c r="N42" s="3"/>
      <c r="O42" s="3"/>
      <c r="P42" s="3"/>
      <c r="Q42" s="3" t="s">
        <v>42</v>
      </c>
      <c r="R42" s="3"/>
      <c r="S42" s="5">
        <f>S40+S41</f>
        <v>71448.23</v>
      </c>
    </row>
    <row r="43" spans="3:19" s="2" customFormat="1" ht="16.5" thickBot="1" thickTop="1">
      <c r="C43" s="1"/>
      <c r="D43" s="3"/>
      <c r="E43" s="3"/>
      <c r="F43" s="3"/>
      <c r="G43" s="3"/>
      <c r="H43" s="3"/>
      <c r="I43" s="3"/>
      <c r="J43" s="24"/>
      <c r="K43" s="3" t="s">
        <v>43</v>
      </c>
      <c r="L43" s="5">
        <f>L40-L41-L42</f>
        <v>24735500.3645</v>
      </c>
      <c r="M43" s="3"/>
      <c r="N43" s="3"/>
      <c r="O43" s="3"/>
      <c r="P43" s="3"/>
      <c r="Q43" s="3"/>
      <c r="R43" s="3"/>
      <c r="S43" s="3"/>
    </row>
    <row r="44" ht="15.75" thickTop="1"/>
  </sheetData>
  <sheetProtection/>
  <mergeCells count="3">
    <mergeCell ref="B1:Q1"/>
    <mergeCell ref="B2:Q2"/>
    <mergeCell ref="B3:Q3"/>
  </mergeCells>
  <printOptions/>
  <pageMargins left="0.1968503937007874" right="0.1968503937007874" top="0.7480314960629921" bottom="0.7480314960629921" header="0.31496062992125984" footer="0.31496062992125984"/>
  <pageSetup fitToHeight="1" fitToWidth="1" horizontalDpi="525" verticalDpi="525" orientation="landscape" scale="5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D1">
      <selection activeCell="I47" sqref="I47"/>
    </sheetView>
  </sheetViews>
  <sheetFormatPr defaultColWidth="9.140625" defaultRowHeight="15"/>
  <cols>
    <col min="3" max="3" width="34.28125" style="0" bestFit="1" customWidth="1"/>
    <col min="4" max="4" width="12.8515625" style="0" bestFit="1" customWidth="1"/>
    <col min="5" max="5" width="13.57421875" style="0" bestFit="1" customWidth="1"/>
    <col min="6" max="6" width="11.00390625" style="0" bestFit="1" customWidth="1"/>
    <col min="7" max="8" width="12.7109375" style="0" customWidth="1"/>
    <col min="9" max="9" width="30.140625" style="0" bestFit="1" customWidth="1"/>
    <col min="10" max="10" width="0.85546875" style="0" customWidth="1"/>
    <col min="11" max="11" width="24.8515625" style="0" bestFit="1" customWidth="1"/>
    <col min="12" max="12" width="14.28125" style="0" bestFit="1" customWidth="1"/>
    <col min="13" max="13" width="11.00390625" style="0" bestFit="1" customWidth="1"/>
    <col min="14" max="14" width="11.00390625" style="0" customWidth="1"/>
    <col min="15" max="15" width="11.8515625" style="0" customWidth="1"/>
    <col min="16" max="16" width="14.28125" style="0" bestFit="1" customWidth="1"/>
    <col min="17" max="17" width="18.7109375" style="0" bestFit="1" customWidth="1"/>
    <col min="18" max="19" width="11.140625" style="0" bestFit="1" customWidth="1"/>
  </cols>
  <sheetData>
    <row r="1" spans="2:19" s="2" customFormat="1" ht="15">
      <c r="B1" s="136" t="s">
        <v>28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3"/>
      <c r="S1" s="3"/>
    </row>
    <row r="2" spans="2:19" s="2" customFormat="1" ht="15">
      <c r="B2" s="136" t="s">
        <v>29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3"/>
      <c r="S2" s="3"/>
    </row>
    <row r="3" spans="2:19" s="2" customFormat="1" ht="15">
      <c r="B3" s="137">
        <v>40543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3"/>
      <c r="S3" s="3"/>
    </row>
    <row r="4" spans="3:19" s="2" customFormat="1" ht="15">
      <c r="C4" s="1"/>
      <c r="D4" s="25" t="s">
        <v>0</v>
      </c>
      <c r="E4" s="25"/>
      <c r="F4" s="25"/>
      <c r="G4" s="25"/>
      <c r="H4" s="25"/>
      <c r="I4" s="25"/>
      <c r="J4" s="4"/>
      <c r="K4" s="25" t="s">
        <v>1</v>
      </c>
      <c r="L4" s="25"/>
      <c r="M4" s="25"/>
      <c r="N4" s="25"/>
      <c r="O4" s="25"/>
      <c r="P4" s="25"/>
      <c r="Q4" s="3"/>
      <c r="R4" s="3"/>
      <c r="S4" s="3"/>
    </row>
    <row r="5" spans="1:19" s="2" customFormat="1" ht="45">
      <c r="A5" s="32" t="s">
        <v>45</v>
      </c>
      <c r="B5" s="32" t="s">
        <v>46</v>
      </c>
      <c r="C5" s="32" t="s">
        <v>63</v>
      </c>
      <c r="D5" s="32" t="s">
        <v>48</v>
      </c>
      <c r="E5" s="32" t="s">
        <v>3</v>
      </c>
      <c r="F5" s="32" t="s">
        <v>4</v>
      </c>
      <c r="G5" s="32" t="s">
        <v>61</v>
      </c>
      <c r="H5" s="32" t="s">
        <v>62</v>
      </c>
      <c r="I5" s="32" t="s">
        <v>49</v>
      </c>
      <c r="J5" s="31"/>
      <c r="K5" s="32" t="s">
        <v>48</v>
      </c>
      <c r="L5" s="32" t="s">
        <v>3</v>
      </c>
      <c r="M5" s="32" t="s">
        <v>4</v>
      </c>
      <c r="N5" s="32" t="s">
        <v>61</v>
      </c>
      <c r="O5" s="32" t="s">
        <v>62</v>
      </c>
      <c r="P5" s="32" t="s">
        <v>49</v>
      </c>
      <c r="Q5" s="32" t="s">
        <v>50</v>
      </c>
      <c r="R5" s="32" t="s">
        <v>64</v>
      </c>
      <c r="S5" s="32" t="s">
        <v>65</v>
      </c>
    </row>
    <row r="6" spans="1:19" s="2" customFormat="1" ht="15">
      <c r="A6" s="82">
        <v>47</v>
      </c>
      <c r="B6" s="26">
        <v>1675</v>
      </c>
      <c r="C6" s="27" t="s">
        <v>5</v>
      </c>
      <c r="D6" s="28">
        <f>'2009 FA Continuity'!I6</f>
        <v>0</v>
      </c>
      <c r="E6" s="29">
        <v>0</v>
      </c>
      <c r="F6" s="130"/>
      <c r="G6" s="47"/>
      <c r="H6" s="47"/>
      <c r="I6" s="30">
        <f>D6+E6-F6-G6-H6</f>
        <v>0</v>
      </c>
      <c r="J6" s="24"/>
      <c r="K6" s="30">
        <f>'2009 FA Continuity'!P6</f>
        <v>0</v>
      </c>
      <c r="L6" s="130">
        <v>0</v>
      </c>
      <c r="M6" s="130"/>
      <c r="N6" s="29"/>
      <c r="O6" s="29"/>
      <c r="P6" s="30">
        <f>K6+L6-M6-N6-O6</f>
        <v>0</v>
      </c>
      <c r="Q6" s="30">
        <f>I6-P6</f>
        <v>0</v>
      </c>
      <c r="R6" s="30">
        <v>0</v>
      </c>
      <c r="S6" s="30">
        <v>0</v>
      </c>
    </row>
    <row r="7" spans="1:19" s="2" customFormat="1" ht="15">
      <c r="A7" s="14" t="s">
        <v>51</v>
      </c>
      <c r="B7" s="26">
        <v>1805</v>
      </c>
      <c r="C7" s="27" t="s">
        <v>6</v>
      </c>
      <c r="D7" s="28">
        <f>'2009 FA Continuity'!I7</f>
        <v>414741.45</v>
      </c>
      <c r="E7" s="29">
        <v>0</v>
      </c>
      <c r="F7" s="130"/>
      <c r="G7" s="47"/>
      <c r="H7" s="47"/>
      <c r="I7" s="30">
        <f aca="true" t="shared" si="0" ref="I7:I36">D7+E7-F7-G7-H7</f>
        <v>414741.45</v>
      </c>
      <c r="J7" s="24"/>
      <c r="K7" s="30">
        <f>'2009 FA Continuity'!P7</f>
        <v>0</v>
      </c>
      <c r="L7" s="130">
        <v>0</v>
      </c>
      <c r="M7" s="130"/>
      <c r="N7" s="29"/>
      <c r="O7" s="29"/>
      <c r="P7" s="30">
        <f aca="true" t="shared" si="1" ref="P7:P36">K7+L7-M7-N7-O7</f>
        <v>0</v>
      </c>
      <c r="Q7" s="30">
        <f aca="true" t="shared" si="2" ref="Q7:Q36">I7-P7</f>
        <v>414741.45</v>
      </c>
      <c r="R7" s="30">
        <v>0</v>
      </c>
      <c r="S7" s="30">
        <v>0</v>
      </c>
    </row>
    <row r="8" spans="1:19" s="2" customFormat="1" ht="15">
      <c r="A8" s="14">
        <v>47</v>
      </c>
      <c r="B8" s="26">
        <v>1808</v>
      </c>
      <c r="C8" s="27" t="s">
        <v>7</v>
      </c>
      <c r="D8" s="28">
        <f>'2009 FA Continuity'!I8</f>
        <v>2138307.23</v>
      </c>
      <c r="E8" s="29">
        <v>0</v>
      </c>
      <c r="F8" s="130"/>
      <c r="G8" s="47"/>
      <c r="H8" s="47"/>
      <c r="I8" s="30">
        <f t="shared" si="0"/>
        <v>2138307.23</v>
      </c>
      <c r="J8" s="24"/>
      <c r="K8" s="30">
        <f>'2009 FA Continuity'!P8</f>
        <v>1534816.3599999999</v>
      </c>
      <c r="L8" s="130">
        <f>75840.452</f>
        <v>75840.452</v>
      </c>
      <c r="M8" s="130"/>
      <c r="N8" s="29"/>
      <c r="O8" s="29"/>
      <c r="P8" s="30">
        <f t="shared" si="1"/>
        <v>1610656.812</v>
      </c>
      <c r="Q8" s="30">
        <f t="shared" si="2"/>
        <v>527650.4180000001</v>
      </c>
      <c r="R8" s="30">
        <v>0</v>
      </c>
      <c r="S8" s="30">
        <v>0</v>
      </c>
    </row>
    <row r="9" spans="1:19" s="2" customFormat="1" ht="15">
      <c r="A9" s="14">
        <v>13</v>
      </c>
      <c r="B9" s="26">
        <v>1810</v>
      </c>
      <c r="C9" s="27" t="s">
        <v>8</v>
      </c>
      <c r="D9" s="28">
        <f>'2009 FA Continuity'!I9</f>
        <v>20885.65</v>
      </c>
      <c r="E9" s="29">
        <v>0</v>
      </c>
      <c r="F9" s="130"/>
      <c r="G9" s="47"/>
      <c r="H9" s="47"/>
      <c r="I9" s="30">
        <f t="shared" si="0"/>
        <v>20885.65</v>
      </c>
      <c r="J9" s="24"/>
      <c r="K9" s="30">
        <f>'2009 FA Continuity'!P9</f>
        <v>20885.65</v>
      </c>
      <c r="L9" s="130">
        <v>0</v>
      </c>
      <c r="M9" s="130"/>
      <c r="N9" s="29"/>
      <c r="O9" s="29"/>
      <c r="P9" s="30">
        <f t="shared" si="1"/>
        <v>20885.65</v>
      </c>
      <c r="Q9" s="30">
        <f t="shared" si="2"/>
        <v>0</v>
      </c>
      <c r="R9" s="30">
        <v>0</v>
      </c>
      <c r="S9" s="30">
        <v>0</v>
      </c>
    </row>
    <row r="10" spans="1:19" s="2" customFormat="1" ht="15">
      <c r="A10" s="14">
        <v>47</v>
      </c>
      <c r="B10" s="26">
        <v>1820</v>
      </c>
      <c r="C10" s="27" t="s">
        <v>9</v>
      </c>
      <c r="D10" s="28">
        <f>'2009 FA Continuity'!I10</f>
        <v>11774640.47</v>
      </c>
      <c r="E10" s="29">
        <v>0</v>
      </c>
      <c r="F10" s="130"/>
      <c r="G10" s="47"/>
      <c r="H10" s="47"/>
      <c r="I10" s="30">
        <f t="shared" si="0"/>
        <v>11774640.47</v>
      </c>
      <c r="J10" s="24"/>
      <c r="K10" s="30">
        <f>'2009 FA Continuity'!P10</f>
        <v>9116218.72</v>
      </c>
      <c r="L10" s="130">
        <v>277009.1195947713</v>
      </c>
      <c r="M10" s="130"/>
      <c r="N10" s="29"/>
      <c r="O10" s="29"/>
      <c r="P10" s="30">
        <f t="shared" si="1"/>
        <v>9393227.839594772</v>
      </c>
      <c r="Q10" s="30">
        <f t="shared" si="2"/>
        <v>2381412.6304052286</v>
      </c>
      <c r="R10" s="30">
        <v>0</v>
      </c>
      <c r="S10" s="30">
        <v>0</v>
      </c>
    </row>
    <row r="11" spans="1:19" s="2" customFormat="1" ht="15">
      <c r="A11" s="14">
        <v>47</v>
      </c>
      <c r="B11" s="26">
        <v>1830</v>
      </c>
      <c r="C11" s="27" t="s">
        <v>10</v>
      </c>
      <c r="D11" s="28">
        <f>'2009 FA Continuity'!I11</f>
        <v>69899086.42999999</v>
      </c>
      <c r="E11" s="29">
        <v>8588589.469999999</v>
      </c>
      <c r="F11" s="130"/>
      <c r="G11" s="47"/>
      <c r="H11" s="47"/>
      <c r="I11" s="30">
        <f t="shared" si="0"/>
        <v>78487675.89999999</v>
      </c>
      <c r="J11" s="24"/>
      <c r="K11" s="30">
        <f>'2009 FA Continuity'!P11</f>
        <v>26066828.000000004</v>
      </c>
      <c r="L11" s="130">
        <v>2947229.9855667455</v>
      </c>
      <c r="M11" s="130"/>
      <c r="N11" s="29"/>
      <c r="O11" s="29"/>
      <c r="P11" s="30">
        <f t="shared" si="1"/>
        <v>29014057.98556675</v>
      </c>
      <c r="Q11" s="30">
        <f t="shared" si="2"/>
        <v>49473617.91443324</v>
      </c>
      <c r="R11" s="30">
        <v>0</v>
      </c>
      <c r="S11" s="30">
        <v>0</v>
      </c>
    </row>
    <row r="12" spans="1:19" s="2" customFormat="1" ht="15">
      <c r="A12" s="14">
        <v>47</v>
      </c>
      <c r="B12" s="26">
        <v>1835</v>
      </c>
      <c r="C12" s="27" t="s">
        <v>11</v>
      </c>
      <c r="D12" s="28">
        <f>'2009 FA Continuity'!I12</f>
        <v>71233394.75999999</v>
      </c>
      <c r="E12" s="29">
        <v>5276926.91</v>
      </c>
      <c r="F12" s="130"/>
      <c r="G12" s="47"/>
      <c r="H12" s="47"/>
      <c r="I12" s="30">
        <f t="shared" si="0"/>
        <v>76510321.66999999</v>
      </c>
      <c r="J12" s="24"/>
      <c r="K12" s="30">
        <f>'2009 FA Continuity'!P12</f>
        <v>31392269.25</v>
      </c>
      <c r="L12" s="130">
        <v>2923336.2177666593</v>
      </c>
      <c r="M12" s="130"/>
      <c r="N12" s="29"/>
      <c r="O12" s="29"/>
      <c r="P12" s="30">
        <f t="shared" si="1"/>
        <v>34315605.46776666</v>
      </c>
      <c r="Q12" s="30">
        <f t="shared" si="2"/>
        <v>42194716.20223333</v>
      </c>
      <c r="R12" s="30">
        <v>0</v>
      </c>
      <c r="S12" s="30">
        <v>0</v>
      </c>
    </row>
    <row r="13" spans="1:19" s="2" customFormat="1" ht="15">
      <c r="A13" s="14">
        <v>47</v>
      </c>
      <c r="B13" s="26">
        <v>1840</v>
      </c>
      <c r="C13" s="27" t="s">
        <v>30</v>
      </c>
      <c r="D13" s="28">
        <f>'2009 FA Continuity'!I13</f>
        <v>115114231.17</v>
      </c>
      <c r="E13" s="29">
        <v>5198527.93</v>
      </c>
      <c r="F13" s="130"/>
      <c r="G13" s="47"/>
      <c r="H13" s="47"/>
      <c r="I13" s="30">
        <f t="shared" si="0"/>
        <v>120312759.1</v>
      </c>
      <c r="J13" s="24"/>
      <c r="K13" s="30">
        <f>'2009 FA Continuity'!P13</f>
        <v>62741200.83</v>
      </c>
      <c r="L13" s="130">
        <v>4656667.633533334</v>
      </c>
      <c r="M13" s="130"/>
      <c r="N13" s="29"/>
      <c r="O13" s="29"/>
      <c r="P13" s="30">
        <f t="shared" si="1"/>
        <v>67397868.46353333</v>
      </c>
      <c r="Q13" s="30">
        <f t="shared" si="2"/>
        <v>52914890.63646667</v>
      </c>
      <c r="R13" s="30">
        <v>0</v>
      </c>
      <c r="S13" s="30">
        <v>0</v>
      </c>
    </row>
    <row r="14" spans="1:19" s="2" customFormat="1" ht="15">
      <c r="A14" s="14">
        <v>47</v>
      </c>
      <c r="B14" s="26">
        <v>1845</v>
      </c>
      <c r="C14" s="27" t="s">
        <v>12</v>
      </c>
      <c r="D14" s="28">
        <f>'2009 FA Continuity'!I14</f>
        <v>117085475.74000001</v>
      </c>
      <c r="E14" s="29">
        <v>7789118.4399999995</v>
      </c>
      <c r="F14" s="130"/>
      <c r="G14" s="47"/>
      <c r="H14" s="47"/>
      <c r="I14" s="30">
        <f t="shared" si="0"/>
        <v>124874594.18</v>
      </c>
      <c r="J14" s="24"/>
      <c r="K14" s="30">
        <f>'2009 FA Continuity'!P14</f>
        <v>56742929.44</v>
      </c>
      <c r="L14" s="130">
        <v>4794672.074883343</v>
      </c>
      <c r="M14" s="130"/>
      <c r="N14" s="29"/>
      <c r="O14" s="29"/>
      <c r="P14" s="30">
        <f t="shared" si="1"/>
        <v>61537601.51488334</v>
      </c>
      <c r="Q14" s="30">
        <f t="shared" si="2"/>
        <v>63336992.66511667</v>
      </c>
      <c r="R14" s="30">
        <v>0</v>
      </c>
      <c r="S14" s="30">
        <v>0</v>
      </c>
    </row>
    <row r="15" spans="1:19" s="2" customFormat="1" ht="15">
      <c r="A15" s="14">
        <v>47</v>
      </c>
      <c r="B15" s="26">
        <v>1850</v>
      </c>
      <c r="C15" s="27" t="s">
        <v>13</v>
      </c>
      <c r="D15" s="28">
        <f>'2009 FA Continuity'!I15</f>
        <v>96118395.80999999</v>
      </c>
      <c r="E15" s="29">
        <v>5010545.470000001</v>
      </c>
      <c r="F15" s="130"/>
      <c r="G15" s="47"/>
      <c r="H15" s="47"/>
      <c r="I15" s="30">
        <f t="shared" si="0"/>
        <v>101128941.27999999</v>
      </c>
      <c r="J15" s="24"/>
      <c r="K15" s="30">
        <f>'2009 FA Continuity'!P15</f>
        <v>46038177.24</v>
      </c>
      <c r="L15" s="130">
        <v>3859405.5269000386</v>
      </c>
      <c r="M15" s="130"/>
      <c r="N15" s="29"/>
      <c r="O15" s="29"/>
      <c r="P15" s="30">
        <f t="shared" si="1"/>
        <v>49897582.76690004</v>
      </c>
      <c r="Q15" s="30">
        <f t="shared" si="2"/>
        <v>51231358.513099946</v>
      </c>
      <c r="R15" s="30">
        <v>0</v>
      </c>
      <c r="S15" s="30">
        <v>0</v>
      </c>
    </row>
    <row r="16" spans="1:19" s="2" customFormat="1" ht="15">
      <c r="A16" s="14">
        <v>47</v>
      </c>
      <c r="B16" s="26">
        <v>1855</v>
      </c>
      <c r="C16" s="27" t="s">
        <v>14</v>
      </c>
      <c r="D16" s="28">
        <f>'2009 FA Continuity'!I16</f>
        <v>24184344.55</v>
      </c>
      <c r="E16" s="29">
        <v>466859.11</v>
      </c>
      <c r="F16" s="130"/>
      <c r="G16" s="47"/>
      <c r="H16" s="47"/>
      <c r="I16" s="30">
        <f t="shared" si="0"/>
        <v>24651203.66</v>
      </c>
      <c r="J16" s="24"/>
      <c r="K16" s="30">
        <f>'2009 FA Continuity'!P16</f>
        <v>8685690.83</v>
      </c>
      <c r="L16" s="130">
        <v>1015004.495633333</v>
      </c>
      <c r="M16" s="130"/>
      <c r="N16" s="29"/>
      <c r="O16" s="29"/>
      <c r="P16" s="30">
        <f t="shared" si="1"/>
        <v>9700695.325633332</v>
      </c>
      <c r="Q16" s="30">
        <f t="shared" si="2"/>
        <v>14950508.334366668</v>
      </c>
      <c r="R16" s="30">
        <v>0</v>
      </c>
      <c r="S16" s="30">
        <v>0</v>
      </c>
    </row>
    <row r="17" spans="1:19" s="2" customFormat="1" ht="15">
      <c r="A17" s="14">
        <v>47</v>
      </c>
      <c r="B17" s="26">
        <v>1860</v>
      </c>
      <c r="C17" s="27" t="s">
        <v>15</v>
      </c>
      <c r="D17" s="28">
        <f>'2009 FA Continuity'!I17</f>
        <v>37819862.01</v>
      </c>
      <c r="E17" s="29">
        <f>2437318.76-E18</f>
        <v>1736318.7599999998</v>
      </c>
      <c r="F17" s="130"/>
      <c r="G17" s="47"/>
      <c r="H17" s="47"/>
      <c r="I17" s="30">
        <f t="shared" si="0"/>
        <v>39556180.769999996</v>
      </c>
      <c r="J17" s="24"/>
      <c r="K17" s="30">
        <f>'2009 FA Continuity'!P17</f>
        <v>16605869.6</v>
      </c>
      <c r="L17" s="130">
        <v>1487527.4806285717</v>
      </c>
      <c r="M17" s="130"/>
      <c r="N17" s="29"/>
      <c r="O17" s="130">
        <f>'MSP Transitional Costs'!C5</f>
        <v>8112</v>
      </c>
      <c r="P17" s="30">
        <f t="shared" si="1"/>
        <v>18085285.08062857</v>
      </c>
      <c r="Q17" s="30">
        <f t="shared" si="2"/>
        <v>21470895.689371426</v>
      </c>
      <c r="R17" s="30">
        <v>0</v>
      </c>
      <c r="S17" s="30">
        <v>0</v>
      </c>
    </row>
    <row r="18" spans="1:19" s="2" customFormat="1" ht="15">
      <c r="A18" s="14">
        <v>47</v>
      </c>
      <c r="B18" s="26">
        <v>1860</v>
      </c>
      <c r="C18" s="27" t="s">
        <v>16</v>
      </c>
      <c r="D18" s="28">
        <f>'2009 FA Continuity'!I18</f>
        <v>0</v>
      </c>
      <c r="E18" s="29">
        <v>701000</v>
      </c>
      <c r="F18" s="130"/>
      <c r="G18" s="47">
        <v>701000</v>
      </c>
      <c r="H18" s="47"/>
      <c r="I18" s="30">
        <f t="shared" si="0"/>
        <v>0</v>
      </c>
      <c r="J18" s="24"/>
      <c r="K18" s="30">
        <f>'2009 FA Continuity'!P18</f>
        <v>0.0008888889569789171</v>
      </c>
      <c r="L18" s="130">
        <v>1672535.5733333318</v>
      </c>
      <c r="M18" s="130"/>
      <c r="N18" s="130">
        <f>L18</f>
        <v>1672535.5733333318</v>
      </c>
      <c r="O18" s="29"/>
      <c r="P18" s="30">
        <f t="shared" si="1"/>
        <v>0.0008888889569789171</v>
      </c>
      <c r="Q18" s="30">
        <f t="shared" si="2"/>
        <v>-0.0008888889569789171</v>
      </c>
      <c r="R18" s="30">
        <v>0</v>
      </c>
      <c r="S18" s="30">
        <v>0</v>
      </c>
    </row>
    <row r="19" spans="1:19" s="2" customFormat="1" ht="15">
      <c r="A19" s="14" t="s">
        <v>51</v>
      </c>
      <c r="B19" s="26">
        <v>1905</v>
      </c>
      <c r="C19" s="27" t="s">
        <v>17</v>
      </c>
      <c r="D19" s="28">
        <f>'2009 FA Continuity'!I19</f>
        <v>1067629.4100000001</v>
      </c>
      <c r="E19" s="29">
        <v>0</v>
      </c>
      <c r="F19" s="130"/>
      <c r="G19" s="47"/>
      <c r="H19" s="47"/>
      <c r="I19" s="30">
        <f t="shared" si="0"/>
        <v>1067629.4100000001</v>
      </c>
      <c r="J19" s="24"/>
      <c r="K19" s="30">
        <f>'2009 FA Continuity'!P19</f>
        <v>0</v>
      </c>
      <c r="L19" s="130">
        <v>0</v>
      </c>
      <c r="M19" s="130"/>
      <c r="N19" s="29"/>
      <c r="O19" s="29"/>
      <c r="P19" s="30">
        <f t="shared" si="1"/>
        <v>0</v>
      </c>
      <c r="Q19" s="30">
        <f t="shared" si="2"/>
        <v>1067629.4100000001</v>
      </c>
      <c r="R19" s="30">
        <v>0</v>
      </c>
      <c r="S19" s="30">
        <v>0</v>
      </c>
    </row>
    <row r="20" spans="1:19" s="2" customFormat="1" ht="15">
      <c r="A20" s="14">
        <v>47</v>
      </c>
      <c r="B20" s="26">
        <v>1906</v>
      </c>
      <c r="C20" s="27" t="s">
        <v>18</v>
      </c>
      <c r="D20" s="28">
        <f>'2009 FA Continuity'!I20</f>
        <v>162636.38</v>
      </c>
      <c r="E20" s="29">
        <v>0</v>
      </c>
      <c r="F20" s="130"/>
      <c r="G20" s="47"/>
      <c r="H20" s="47"/>
      <c r="I20" s="30">
        <f t="shared" si="0"/>
        <v>162636.38</v>
      </c>
      <c r="J20" s="24"/>
      <c r="K20" s="30">
        <f>'2009 FA Continuity'!P20</f>
        <v>68811.22</v>
      </c>
      <c r="L20" s="130">
        <v>3337.9558</v>
      </c>
      <c r="M20" s="130"/>
      <c r="N20" s="29"/>
      <c r="O20" s="29"/>
      <c r="P20" s="30">
        <f t="shared" si="1"/>
        <v>72149.1758</v>
      </c>
      <c r="Q20" s="30">
        <f t="shared" si="2"/>
        <v>90487.20420000001</v>
      </c>
      <c r="R20" s="30">
        <v>0</v>
      </c>
      <c r="S20" s="30">
        <v>0</v>
      </c>
    </row>
    <row r="21" spans="1:19" s="2" customFormat="1" ht="15">
      <c r="A21" s="14">
        <v>47</v>
      </c>
      <c r="B21" s="26">
        <v>1908</v>
      </c>
      <c r="C21" s="27" t="s">
        <v>19</v>
      </c>
      <c r="D21" s="28">
        <f>'2009 FA Continuity'!I21</f>
        <v>27974291.61</v>
      </c>
      <c r="E21" s="29">
        <f>507500</f>
        <v>507500</v>
      </c>
      <c r="F21" s="130"/>
      <c r="G21" s="47"/>
      <c r="H21" s="47"/>
      <c r="I21" s="30">
        <f t="shared" si="0"/>
        <v>28481791.61</v>
      </c>
      <c r="J21" s="24"/>
      <c r="K21" s="30">
        <f>'2009 FA Continuity'!P21</f>
        <v>17025093.37</v>
      </c>
      <c r="L21" s="130">
        <f>1214741.00677778+53359.12</f>
        <v>1268100.12677778</v>
      </c>
      <c r="M21" s="130"/>
      <c r="N21" s="29"/>
      <c r="O21" s="29"/>
      <c r="P21" s="30">
        <f t="shared" si="1"/>
        <v>18293193.49677778</v>
      </c>
      <c r="Q21" s="30">
        <f t="shared" si="2"/>
        <v>10188598.113222219</v>
      </c>
      <c r="R21" s="30">
        <v>0</v>
      </c>
      <c r="S21" s="30">
        <v>0</v>
      </c>
    </row>
    <row r="22" spans="1:19" s="2" customFormat="1" ht="15">
      <c r="A22" s="14">
        <v>13</v>
      </c>
      <c r="B22" s="26">
        <v>1910</v>
      </c>
      <c r="C22" s="27" t="s">
        <v>8</v>
      </c>
      <c r="D22" s="28">
        <f>'2009 FA Continuity'!I22</f>
        <v>0</v>
      </c>
      <c r="E22" s="29">
        <v>0</v>
      </c>
      <c r="F22" s="130"/>
      <c r="G22" s="47"/>
      <c r="H22" s="47"/>
      <c r="I22" s="30">
        <f t="shared" si="0"/>
        <v>0</v>
      </c>
      <c r="J22" s="24"/>
      <c r="K22" s="30">
        <f>'2009 FA Continuity'!P22</f>
        <v>0</v>
      </c>
      <c r="L22" s="130"/>
      <c r="M22" s="130"/>
      <c r="N22" s="29"/>
      <c r="O22" s="29"/>
      <c r="P22" s="30">
        <f t="shared" si="1"/>
        <v>0</v>
      </c>
      <c r="Q22" s="30">
        <f t="shared" si="2"/>
        <v>0</v>
      </c>
      <c r="R22" s="30">
        <v>0</v>
      </c>
      <c r="S22" s="30">
        <v>0</v>
      </c>
    </row>
    <row r="23" spans="1:19" s="2" customFormat="1" ht="15">
      <c r="A23" s="14">
        <v>8</v>
      </c>
      <c r="B23" s="26">
        <v>1915</v>
      </c>
      <c r="C23" s="27" t="s">
        <v>20</v>
      </c>
      <c r="D23" s="28">
        <f>'2009 FA Continuity'!I23</f>
        <v>4958697.08</v>
      </c>
      <c r="E23" s="29">
        <v>411370</v>
      </c>
      <c r="F23" s="130"/>
      <c r="G23" s="47"/>
      <c r="H23" s="47"/>
      <c r="I23" s="30">
        <f t="shared" si="0"/>
        <v>5370067.08</v>
      </c>
      <c r="J23" s="24"/>
      <c r="K23" s="30">
        <f>'2009 FA Continuity'!P23</f>
        <v>3572955.6000000006</v>
      </c>
      <c r="L23" s="130">
        <v>222976.7976666666</v>
      </c>
      <c r="M23" s="130"/>
      <c r="N23" s="29"/>
      <c r="O23" s="29"/>
      <c r="P23" s="30">
        <f t="shared" si="1"/>
        <v>3795932.397666667</v>
      </c>
      <c r="Q23" s="30">
        <f t="shared" si="2"/>
        <v>1574134.682333333</v>
      </c>
      <c r="R23" s="30">
        <v>0</v>
      </c>
      <c r="S23" s="30">
        <v>0</v>
      </c>
    </row>
    <row r="24" spans="1:19" s="2" customFormat="1" ht="15">
      <c r="A24" s="14">
        <v>10</v>
      </c>
      <c r="B24" s="26">
        <v>1920</v>
      </c>
      <c r="C24" s="27" t="s">
        <v>21</v>
      </c>
      <c r="D24" s="28">
        <f>'2009 FA Continuity'!I24</f>
        <v>5613068.4</v>
      </c>
      <c r="E24" s="29">
        <v>0</v>
      </c>
      <c r="F24" s="130"/>
      <c r="G24" s="47"/>
      <c r="H24" s="47"/>
      <c r="I24" s="30">
        <f t="shared" si="0"/>
        <v>5613068.4</v>
      </c>
      <c r="J24" s="24"/>
      <c r="K24" s="30">
        <f>'2009 FA Continuity'!P24</f>
        <v>5586452.409999999</v>
      </c>
      <c r="L24" s="130">
        <v>810389.7106666663</v>
      </c>
      <c r="M24" s="130"/>
      <c r="N24" s="29"/>
      <c r="O24" s="29"/>
      <c r="P24" s="30">
        <f t="shared" si="1"/>
        <v>6396842.120666666</v>
      </c>
      <c r="Q24" s="30">
        <f t="shared" si="2"/>
        <v>-783773.7206666656</v>
      </c>
      <c r="R24" s="30">
        <v>0</v>
      </c>
      <c r="S24" s="30">
        <v>0</v>
      </c>
    </row>
    <row r="25" spans="1:19" s="2" customFormat="1" ht="15">
      <c r="A25" s="14">
        <v>45</v>
      </c>
      <c r="B25" s="26">
        <v>1920</v>
      </c>
      <c r="C25" s="27" t="s">
        <v>22</v>
      </c>
      <c r="D25" s="28">
        <f>'2009 FA Continuity'!I25</f>
        <v>3496492.3200000003</v>
      </c>
      <c r="E25" s="29">
        <v>1112831</v>
      </c>
      <c r="F25" s="130"/>
      <c r="G25" s="47"/>
      <c r="H25" s="47"/>
      <c r="I25" s="30">
        <f t="shared" si="0"/>
        <v>4609323.32</v>
      </c>
      <c r="J25" s="24"/>
      <c r="K25" s="30">
        <f>'2009 FA Continuity'!P25</f>
        <v>1389433.14</v>
      </c>
      <c r="L25" s="130">
        <v>17095.13</v>
      </c>
      <c r="M25" s="130"/>
      <c r="N25" s="130">
        <f>'Smart Meter Continuity'!J26+'Smart Meter Continuity'!J27</f>
        <v>36672.75</v>
      </c>
      <c r="O25" s="29"/>
      <c r="P25" s="30">
        <f t="shared" si="1"/>
        <v>1369855.5199999998</v>
      </c>
      <c r="Q25" s="30">
        <f t="shared" si="2"/>
        <v>3239467.8000000007</v>
      </c>
      <c r="R25" s="30">
        <v>0</v>
      </c>
      <c r="S25" s="30">
        <v>0</v>
      </c>
    </row>
    <row r="26" spans="1:19" s="2" customFormat="1" ht="15">
      <c r="A26" s="14">
        <v>12</v>
      </c>
      <c r="B26" s="26">
        <v>1925</v>
      </c>
      <c r="C26" s="27" t="s">
        <v>23</v>
      </c>
      <c r="D26" s="28">
        <f>'2009 FA Continuity'!I26</f>
        <v>11297833.69</v>
      </c>
      <c r="E26" s="29">
        <v>1600261</v>
      </c>
      <c r="F26" s="130"/>
      <c r="G26" s="47"/>
      <c r="H26" s="47"/>
      <c r="I26" s="30">
        <f t="shared" si="0"/>
        <v>12898094.69</v>
      </c>
      <c r="J26" s="24"/>
      <c r="K26" s="30">
        <f>'2009 FA Continuity'!P26</f>
        <v>6275340.059999999</v>
      </c>
      <c r="L26" s="130">
        <v>1954032.8068888888</v>
      </c>
      <c r="M26" s="130"/>
      <c r="N26" s="130">
        <f>'Smart Meter Continuity'!J28</f>
        <v>29094.489999999998</v>
      </c>
      <c r="O26" s="29"/>
      <c r="P26" s="30">
        <f t="shared" si="1"/>
        <v>8200278.376888887</v>
      </c>
      <c r="Q26" s="30">
        <f t="shared" si="2"/>
        <v>4697816.313111112</v>
      </c>
      <c r="R26" s="30">
        <v>0</v>
      </c>
      <c r="S26" s="30">
        <v>0</v>
      </c>
    </row>
    <row r="27" spans="1:19" s="2" customFormat="1" ht="15">
      <c r="A27" s="14">
        <v>10</v>
      </c>
      <c r="B27" s="26">
        <v>1930</v>
      </c>
      <c r="C27" s="27" t="s">
        <v>24</v>
      </c>
      <c r="D27" s="28">
        <f>'2009 FA Continuity'!I27</f>
        <v>17306131</v>
      </c>
      <c r="E27" s="29">
        <v>1304999.96</v>
      </c>
      <c r="F27" s="130"/>
      <c r="G27" s="47"/>
      <c r="H27" s="47"/>
      <c r="I27" s="30">
        <f t="shared" si="0"/>
        <v>18611130.96</v>
      </c>
      <c r="J27" s="24"/>
      <c r="K27" s="30">
        <f>'2009 FA Continuity'!P27</f>
        <v>11223609.71</v>
      </c>
      <c r="L27" s="130">
        <v>1374529.6124423079</v>
      </c>
      <c r="M27" s="130"/>
      <c r="N27" s="29"/>
      <c r="O27" s="29"/>
      <c r="P27" s="30">
        <f t="shared" si="1"/>
        <v>12598139.322442308</v>
      </c>
      <c r="Q27" s="30">
        <f t="shared" si="2"/>
        <v>6012991.637557693</v>
      </c>
      <c r="R27" s="30">
        <v>0</v>
      </c>
      <c r="S27" s="30">
        <v>0</v>
      </c>
    </row>
    <row r="28" spans="1:19" s="2" customFormat="1" ht="15">
      <c r="A28" s="14">
        <v>8</v>
      </c>
      <c r="B28" s="26">
        <v>1935</v>
      </c>
      <c r="C28" s="27" t="s">
        <v>25</v>
      </c>
      <c r="D28" s="28">
        <f>'2009 FA Continuity'!I28</f>
        <v>892540.18</v>
      </c>
      <c r="E28" s="29">
        <v>0</v>
      </c>
      <c r="F28" s="130"/>
      <c r="G28" s="47"/>
      <c r="H28" s="47"/>
      <c r="I28" s="30">
        <f t="shared" si="0"/>
        <v>892540.18</v>
      </c>
      <c r="J28" s="24"/>
      <c r="K28" s="30">
        <f>'2009 FA Continuity'!P28</f>
        <v>508718.12</v>
      </c>
      <c r="L28" s="130">
        <v>46576.584</v>
      </c>
      <c r="M28" s="130"/>
      <c r="N28" s="29"/>
      <c r="O28" s="29"/>
      <c r="P28" s="30">
        <f t="shared" si="1"/>
        <v>555294.704</v>
      </c>
      <c r="Q28" s="30">
        <f t="shared" si="2"/>
        <v>337245.476</v>
      </c>
      <c r="R28" s="30">
        <v>0</v>
      </c>
      <c r="S28" s="30">
        <v>0</v>
      </c>
    </row>
    <row r="29" spans="1:19" s="2" customFormat="1" ht="15">
      <c r="A29" s="14">
        <v>8</v>
      </c>
      <c r="B29" s="26">
        <v>1940</v>
      </c>
      <c r="C29" s="27" t="s">
        <v>26</v>
      </c>
      <c r="D29" s="28">
        <f>'2009 FA Continuity'!I29</f>
        <v>7346438.350000001</v>
      </c>
      <c r="E29" s="29">
        <v>488399</v>
      </c>
      <c r="F29" s="130"/>
      <c r="G29" s="47"/>
      <c r="H29" s="47"/>
      <c r="I29" s="30">
        <f t="shared" si="0"/>
        <v>7834837.350000001</v>
      </c>
      <c r="J29" s="24"/>
      <c r="K29" s="30">
        <f>'2009 FA Continuity'!P29</f>
        <v>5749616.330000001</v>
      </c>
      <c r="L29" s="130">
        <v>311599.2415333332</v>
      </c>
      <c r="M29" s="130"/>
      <c r="N29" s="130">
        <f>'Smart Meter Continuity'!J31</f>
        <v>885.9699999999999</v>
      </c>
      <c r="O29" s="29"/>
      <c r="P29" s="30">
        <f t="shared" si="1"/>
        <v>6060329.601533335</v>
      </c>
      <c r="Q29" s="30">
        <f t="shared" si="2"/>
        <v>1774507.7484666659</v>
      </c>
      <c r="R29" s="30">
        <v>0</v>
      </c>
      <c r="S29" s="30">
        <v>0</v>
      </c>
    </row>
    <row r="30" spans="1:19" s="2" customFormat="1" ht="15">
      <c r="A30" s="14">
        <v>8</v>
      </c>
      <c r="B30" s="26">
        <v>1945</v>
      </c>
      <c r="C30" s="27" t="s">
        <v>31</v>
      </c>
      <c r="D30" s="28">
        <f>'2009 FA Continuity'!I30</f>
        <v>1458621.3900000001</v>
      </c>
      <c r="E30" s="29">
        <v>91550</v>
      </c>
      <c r="F30" s="130"/>
      <c r="G30" s="47"/>
      <c r="H30" s="47"/>
      <c r="I30" s="30">
        <f t="shared" si="0"/>
        <v>1550171.3900000001</v>
      </c>
      <c r="J30" s="24"/>
      <c r="K30" s="30">
        <f>'2009 FA Continuity'!P30</f>
        <v>947240.1199999999</v>
      </c>
      <c r="L30" s="130">
        <v>96146.75833333333</v>
      </c>
      <c r="M30" s="130"/>
      <c r="N30" s="29"/>
      <c r="O30" s="29"/>
      <c r="P30" s="30">
        <f t="shared" si="1"/>
        <v>1043386.8783333332</v>
      </c>
      <c r="Q30" s="30">
        <f t="shared" si="2"/>
        <v>506784.51166666695</v>
      </c>
      <c r="R30" s="30">
        <v>0</v>
      </c>
      <c r="S30" s="30">
        <v>0</v>
      </c>
    </row>
    <row r="31" spans="1:19" s="2" customFormat="1" ht="15">
      <c r="A31" s="14">
        <v>8</v>
      </c>
      <c r="B31" s="26">
        <v>1950</v>
      </c>
      <c r="C31" s="27" t="s">
        <v>32</v>
      </c>
      <c r="D31" s="28">
        <f>'2009 FA Continuity'!I31</f>
        <v>144034.63</v>
      </c>
      <c r="E31" s="29">
        <v>0</v>
      </c>
      <c r="F31" s="130"/>
      <c r="G31" s="47"/>
      <c r="H31" s="47"/>
      <c r="I31" s="30">
        <f t="shared" si="0"/>
        <v>144034.63</v>
      </c>
      <c r="J31" s="24"/>
      <c r="K31" s="30">
        <f>'2009 FA Continuity'!P31</f>
        <v>97238.19</v>
      </c>
      <c r="L31" s="130">
        <v>11436.367999999999</v>
      </c>
      <c r="M31" s="130"/>
      <c r="N31" s="29"/>
      <c r="O31" s="29"/>
      <c r="P31" s="30">
        <f t="shared" si="1"/>
        <v>108674.558</v>
      </c>
      <c r="Q31" s="30">
        <f t="shared" si="2"/>
        <v>35360.072</v>
      </c>
      <c r="R31" s="30">
        <v>0</v>
      </c>
      <c r="S31" s="30">
        <v>0</v>
      </c>
    </row>
    <row r="32" spans="1:19" s="2" customFormat="1" ht="15">
      <c r="A32" s="14">
        <v>8</v>
      </c>
      <c r="B32" s="26">
        <v>1955</v>
      </c>
      <c r="C32" s="27" t="s">
        <v>27</v>
      </c>
      <c r="D32" s="28">
        <f>'2009 FA Continuity'!I32</f>
        <v>1350163.26</v>
      </c>
      <c r="E32" s="29">
        <v>271850</v>
      </c>
      <c r="F32" s="130"/>
      <c r="G32" s="47"/>
      <c r="H32" s="47"/>
      <c r="I32" s="30">
        <f t="shared" si="0"/>
        <v>1622013.26</v>
      </c>
      <c r="J32" s="24"/>
      <c r="K32" s="30">
        <f>'2009 FA Continuity'!P32</f>
        <v>511344.49</v>
      </c>
      <c r="L32" s="130">
        <v>137657.6016666667</v>
      </c>
      <c r="M32" s="130"/>
      <c r="N32" s="29"/>
      <c r="O32" s="29"/>
      <c r="P32" s="30">
        <f t="shared" si="1"/>
        <v>649002.0916666667</v>
      </c>
      <c r="Q32" s="30">
        <f t="shared" si="2"/>
        <v>973011.1683333333</v>
      </c>
      <c r="R32" s="30">
        <v>0</v>
      </c>
      <c r="S32" s="30">
        <v>0</v>
      </c>
    </row>
    <row r="33" spans="1:19" s="2" customFormat="1" ht="15">
      <c r="A33" s="14">
        <v>8</v>
      </c>
      <c r="B33" s="26">
        <v>1960</v>
      </c>
      <c r="C33" s="27" t="s">
        <v>33</v>
      </c>
      <c r="D33" s="28">
        <f>'2009 FA Continuity'!I33</f>
        <v>515329.99</v>
      </c>
      <c r="E33" s="29">
        <v>0</v>
      </c>
      <c r="F33" s="130"/>
      <c r="G33" s="47"/>
      <c r="H33" s="47"/>
      <c r="I33" s="30">
        <f t="shared" si="0"/>
        <v>515329.99</v>
      </c>
      <c r="J33" s="24"/>
      <c r="K33" s="30">
        <f>'2009 FA Continuity'!P33</f>
        <v>151458.99</v>
      </c>
      <c r="L33" s="130">
        <v>51532.998999999996</v>
      </c>
      <c r="M33" s="130"/>
      <c r="N33" s="29"/>
      <c r="O33" s="29"/>
      <c r="P33" s="30">
        <f t="shared" si="1"/>
        <v>202991.989</v>
      </c>
      <c r="Q33" s="30">
        <f t="shared" si="2"/>
        <v>312338.001</v>
      </c>
      <c r="R33" s="30">
        <v>0</v>
      </c>
      <c r="S33" s="30">
        <v>0</v>
      </c>
    </row>
    <row r="34" spans="1:19" s="2" customFormat="1" ht="15">
      <c r="A34" s="14">
        <v>47</v>
      </c>
      <c r="B34" s="26">
        <v>1980</v>
      </c>
      <c r="C34" s="27" t="s">
        <v>34</v>
      </c>
      <c r="D34" s="28">
        <f>'2009 FA Continuity'!I34</f>
        <v>3777542.26</v>
      </c>
      <c r="E34" s="29">
        <v>0</v>
      </c>
      <c r="F34" s="130"/>
      <c r="G34" s="47"/>
      <c r="H34" s="47"/>
      <c r="I34" s="30">
        <f t="shared" si="0"/>
        <v>3777542.26</v>
      </c>
      <c r="J34" s="24"/>
      <c r="K34" s="30">
        <f>'2009 FA Continuity'!P34</f>
        <v>3026481.7800000003</v>
      </c>
      <c r="L34" s="130">
        <v>80148.90906666666</v>
      </c>
      <c r="M34" s="130"/>
      <c r="N34" s="29"/>
      <c r="O34" s="29"/>
      <c r="P34" s="30">
        <f t="shared" si="1"/>
        <v>3106630.689066667</v>
      </c>
      <c r="Q34" s="30">
        <f t="shared" si="2"/>
        <v>670911.5709333327</v>
      </c>
      <c r="R34" s="30">
        <v>0</v>
      </c>
      <c r="S34" s="30">
        <v>0</v>
      </c>
    </row>
    <row r="35" spans="1:19" s="2" customFormat="1" ht="15">
      <c r="A35" s="14">
        <v>47</v>
      </c>
      <c r="B35" s="26">
        <v>1995</v>
      </c>
      <c r="C35" s="27" t="s">
        <v>35</v>
      </c>
      <c r="D35" s="28">
        <f>'2009 FA Continuity'!I35</f>
        <v>7973483.120000001</v>
      </c>
      <c r="E35" s="29">
        <v>0</v>
      </c>
      <c r="F35" s="130"/>
      <c r="G35" s="47"/>
      <c r="H35" s="47"/>
      <c r="I35" s="30">
        <f t="shared" si="0"/>
        <v>7973483.120000001</v>
      </c>
      <c r="J35" s="24"/>
      <c r="K35" s="30">
        <f>'2009 FA Continuity'!P35</f>
        <v>899179.4714166666</v>
      </c>
      <c r="L35" s="130">
        <v>318939.3248</v>
      </c>
      <c r="M35" s="130"/>
      <c r="N35" s="29"/>
      <c r="O35" s="29"/>
      <c r="P35" s="30">
        <f t="shared" si="1"/>
        <v>1218118.7962166667</v>
      </c>
      <c r="Q35" s="30">
        <f t="shared" si="2"/>
        <v>6755364.323783334</v>
      </c>
      <c r="R35" s="30">
        <v>0</v>
      </c>
      <c r="S35" s="30">
        <v>0</v>
      </c>
    </row>
    <row r="36" spans="1:19" s="2" customFormat="1" ht="15">
      <c r="A36" s="14">
        <v>47</v>
      </c>
      <c r="B36" s="26">
        <v>1995</v>
      </c>
      <c r="C36" s="34" t="s">
        <v>36</v>
      </c>
      <c r="D36" s="35">
        <f>'2009 FA Continuity'!I36</f>
        <v>-31486410.68</v>
      </c>
      <c r="E36" s="36">
        <v>-2262647.05</v>
      </c>
      <c r="F36" s="131"/>
      <c r="G36" s="48"/>
      <c r="H36" s="48"/>
      <c r="I36" s="37">
        <f t="shared" si="0"/>
        <v>-33749057.73</v>
      </c>
      <c r="J36" s="24"/>
      <c r="K36" s="37">
        <f>'2009 FA Continuity'!P36</f>
        <v>-3509459.2054999997</v>
      </c>
      <c r="L36" s="131">
        <v>-1308749.1204333333</v>
      </c>
      <c r="M36" s="131"/>
      <c r="N36" s="36"/>
      <c r="O36" s="36"/>
      <c r="P36" s="37">
        <f t="shared" si="1"/>
        <v>-4818208.3259333335</v>
      </c>
      <c r="Q36" s="37">
        <f t="shared" si="2"/>
        <v>-28930849.404066663</v>
      </c>
      <c r="R36" s="37">
        <v>0</v>
      </c>
      <c r="S36" s="37">
        <v>0</v>
      </c>
    </row>
    <row r="37" spans="1:19" s="2" customFormat="1" ht="15">
      <c r="A37" s="2">
        <v>2105</v>
      </c>
      <c r="B37" s="2">
        <v>2105</v>
      </c>
      <c r="C37" s="38" t="s">
        <v>66</v>
      </c>
      <c r="D37" s="39">
        <f aca="true" t="shared" si="3" ref="D37:I37">SUM(D6:D36)</f>
        <v>609651887.6600001</v>
      </c>
      <c r="E37" s="40">
        <f t="shared" si="3"/>
        <v>38294000</v>
      </c>
      <c r="F37" s="40">
        <f t="shared" si="3"/>
        <v>0</v>
      </c>
      <c r="G37" s="40">
        <f t="shared" si="3"/>
        <v>701000</v>
      </c>
      <c r="H37" s="40">
        <f t="shared" si="3"/>
        <v>0</v>
      </c>
      <c r="I37" s="40">
        <f t="shared" si="3"/>
        <v>647244887.66</v>
      </c>
      <c r="J37" s="41"/>
      <c r="K37" s="39">
        <f aca="true" t="shared" si="4" ref="K37:S37">SUM(K6:K36)</f>
        <v>312468399.7168055</v>
      </c>
      <c r="L37" s="40">
        <f t="shared" si="4"/>
        <v>29104979.3660491</v>
      </c>
      <c r="M37" s="40">
        <f t="shared" si="4"/>
        <v>0</v>
      </c>
      <c r="N37" s="40">
        <f t="shared" si="4"/>
        <v>1739188.7833333318</v>
      </c>
      <c r="O37" s="40">
        <f t="shared" si="4"/>
        <v>8112</v>
      </c>
      <c r="P37" s="40">
        <f t="shared" si="4"/>
        <v>339826078.2995213</v>
      </c>
      <c r="Q37" s="40">
        <f t="shared" si="4"/>
        <v>307418809.36047876</v>
      </c>
      <c r="R37" s="40">
        <f t="shared" si="4"/>
        <v>0</v>
      </c>
      <c r="S37" s="40">
        <f t="shared" si="4"/>
        <v>0</v>
      </c>
    </row>
    <row r="38" spans="3:19" s="2" customFormat="1" ht="15">
      <c r="C38" s="1"/>
      <c r="D38" s="23"/>
      <c r="E38" s="3"/>
      <c r="F38" s="3"/>
      <c r="G38" s="3"/>
      <c r="H38" s="3"/>
      <c r="I38" s="3"/>
      <c r="J38" s="24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5">
      <c r="A39" s="2">
        <v>2055</v>
      </c>
      <c r="B39" s="2">
        <v>2055</v>
      </c>
      <c r="C39" s="1" t="s">
        <v>37</v>
      </c>
      <c r="D39" s="23">
        <f>'2009 FA Continuity'!I39</f>
        <v>6315953.399999999</v>
      </c>
      <c r="E39" s="3"/>
      <c r="F39" s="3"/>
      <c r="G39" s="3"/>
      <c r="H39" s="3"/>
      <c r="I39" s="3">
        <f>D39+E39-F39-G39-H39</f>
        <v>6315953.399999999</v>
      </c>
      <c r="J39" s="24"/>
      <c r="K39" s="3">
        <f>'2009 FA Continuity'!P39</f>
        <v>0</v>
      </c>
      <c r="L39" s="3">
        <v>0</v>
      </c>
      <c r="M39" s="3">
        <v>0</v>
      </c>
      <c r="N39" s="3"/>
      <c r="O39" s="3"/>
      <c r="P39" s="3">
        <f>K39+L39-M39-N39-O39</f>
        <v>0</v>
      </c>
      <c r="Q39" s="3">
        <f>I39-P39</f>
        <v>6315953.399999999</v>
      </c>
      <c r="R39" s="3">
        <v>0</v>
      </c>
      <c r="S39" s="3">
        <v>0</v>
      </c>
    </row>
    <row r="40" spans="3:19" s="2" customFormat="1" ht="15.75" thickBot="1">
      <c r="C40" s="33" t="s">
        <v>60</v>
      </c>
      <c r="D40" s="5">
        <f aca="true" t="shared" si="5" ref="D40:I40">SUM(D37:D39)</f>
        <v>615967841.0600001</v>
      </c>
      <c r="E40" s="5">
        <f t="shared" si="5"/>
        <v>38294000</v>
      </c>
      <c r="F40" s="5">
        <f t="shared" si="5"/>
        <v>0</v>
      </c>
      <c r="G40" s="5">
        <f t="shared" si="5"/>
        <v>701000</v>
      </c>
      <c r="H40" s="5">
        <f t="shared" si="5"/>
        <v>0</v>
      </c>
      <c r="I40" s="5">
        <f t="shared" si="5"/>
        <v>653560841.06</v>
      </c>
      <c r="J40" s="24"/>
      <c r="K40" s="5">
        <f aca="true" t="shared" si="6" ref="K40:S40">SUM(K37:K39)</f>
        <v>312468399.7168055</v>
      </c>
      <c r="L40" s="5">
        <f t="shared" si="6"/>
        <v>29104979.3660491</v>
      </c>
      <c r="M40" s="5">
        <f t="shared" si="6"/>
        <v>0</v>
      </c>
      <c r="N40" s="5"/>
      <c r="O40" s="5"/>
      <c r="P40" s="5">
        <f t="shared" si="6"/>
        <v>339826078.2995213</v>
      </c>
      <c r="Q40" s="5">
        <f t="shared" si="6"/>
        <v>313734762.76047873</v>
      </c>
      <c r="R40" s="5">
        <f t="shared" si="6"/>
        <v>0</v>
      </c>
      <c r="S40" s="5">
        <f t="shared" si="6"/>
        <v>0</v>
      </c>
    </row>
    <row r="41" spans="3:16" s="2" customFormat="1" ht="15.75" thickTop="1">
      <c r="C41" s="1"/>
      <c r="D41" s="3"/>
      <c r="E41" s="3"/>
      <c r="F41" s="3"/>
      <c r="G41" s="3"/>
      <c r="H41" s="3"/>
      <c r="I41" s="3"/>
      <c r="J41" s="24"/>
      <c r="K41" s="3" t="s">
        <v>38</v>
      </c>
      <c r="L41" s="132">
        <f>L27</f>
        <v>1374529.6124423079</v>
      </c>
      <c r="M41" s="3"/>
      <c r="N41" s="3"/>
      <c r="O41" s="3"/>
      <c r="P41" s="3">
        <f>339826078.29-P40</f>
        <v>-0.009521305561065674</v>
      </c>
    </row>
    <row r="42" spans="3:16" s="2" customFormat="1" ht="15">
      <c r="C42" s="1"/>
      <c r="D42" s="3"/>
      <c r="E42" s="3"/>
      <c r="F42" s="3"/>
      <c r="G42" s="3"/>
      <c r="H42" s="3"/>
      <c r="I42" s="3"/>
      <c r="J42" s="24"/>
      <c r="K42" s="3" t="s">
        <v>41</v>
      </c>
      <c r="L42" s="132">
        <f>L28</f>
        <v>46576.584</v>
      </c>
      <c r="M42" s="3"/>
      <c r="N42" s="3"/>
      <c r="O42" s="3"/>
      <c r="P42" s="3"/>
    </row>
    <row r="43" spans="3:19" s="2" customFormat="1" ht="15.75" thickBot="1">
      <c r="C43"/>
      <c r="D43"/>
      <c r="E43" s="3"/>
      <c r="F43" s="3"/>
      <c r="G43" s="3"/>
      <c r="H43" s="3"/>
      <c r="I43" s="3"/>
      <c r="J43" s="24"/>
      <c r="K43" s="3" t="s">
        <v>43</v>
      </c>
      <c r="L43" s="5">
        <f>L40-L41-L42</f>
        <v>27683873.169606794</v>
      </c>
      <c r="M43" s="3"/>
      <c r="N43" s="3"/>
      <c r="O43" s="3"/>
      <c r="P43" s="3"/>
      <c r="Q43" s="3"/>
      <c r="R43" s="3"/>
      <c r="S43" s="3"/>
    </row>
    <row r="44" ht="15.75" thickTop="1">
      <c r="P44" s="50"/>
    </row>
    <row r="45" ht="15">
      <c r="L45" s="51">
        <f>L43-N37-O37</f>
        <v>25936572.386273462</v>
      </c>
    </row>
  </sheetData>
  <sheetProtection/>
  <mergeCells count="3">
    <mergeCell ref="B1:Q1"/>
    <mergeCell ref="B2:Q2"/>
    <mergeCell ref="B3:Q3"/>
  </mergeCells>
  <printOptions/>
  <pageMargins left="0.1968503937007874" right="0.1968503937007874" top="0.7480314960629921" bottom="0.7480314960629921" header="0.31496062992125984" footer="0.31496062992125984"/>
  <pageSetup fitToHeight="1" fitToWidth="1" orientation="landscape" scale="4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I25">
      <selection activeCell="O43" sqref="O43"/>
    </sheetView>
  </sheetViews>
  <sheetFormatPr defaultColWidth="9.140625" defaultRowHeight="15"/>
  <cols>
    <col min="3" max="3" width="34.28125" style="0" bestFit="1" customWidth="1"/>
    <col min="4" max="4" width="12.8515625" style="0" bestFit="1" customWidth="1"/>
    <col min="5" max="5" width="13.57421875" style="0" bestFit="1" customWidth="1"/>
    <col min="6" max="6" width="12.00390625" style="0" bestFit="1" customWidth="1"/>
    <col min="7" max="7" width="12.140625" style="0" customWidth="1"/>
    <col min="8" max="8" width="12.8515625" style="0" customWidth="1"/>
    <col min="9" max="9" width="30.140625" style="0" bestFit="1" customWidth="1"/>
    <col min="10" max="10" width="0.85546875" style="0" customWidth="1"/>
    <col min="11" max="11" width="24.8515625" style="0" bestFit="1" customWidth="1"/>
    <col min="12" max="12" width="14.28125" style="0" bestFit="1" customWidth="1"/>
    <col min="13" max="13" width="11.00390625" style="0" bestFit="1" customWidth="1"/>
    <col min="14" max="14" width="11.00390625" style="0" customWidth="1"/>
    <col min="15" max="15" width="12.7109375" style="0" customWidth="1"/>
    <col min="16" max="16" width="12.7109375" style="0" bestFit="1" customWidth="1"/>
    <col min="17" max="17" width="18.7109375" style="0" bestFit="1" customWidth="1"/>
    <col min="18" max="19" width="11.140625" style="0" bestFit="1" customWidth="1"/>
  </cols>
  <sheetData>
    <row r="1" spans="2:19" s="2" customFormat="1" ht="15">
      <c r="B1" s="136" t="s">
        <v>28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3"/>
      <c r="S1" s="3"/>
    </row>
    <row r="2" spans="2:19" s="2" customFormat="1" ht="15">
      <c r="B2" s="136" t="s">
        <v>29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3"/>
      <c r="S2" s="3"/>
    </row>
    <row r="3" spans="2:19" s="2" customFormat="1" ht="15">
      <c r="B3" s="137">
        <v>40908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3"/>
      <c r="S3" s="3"/>
    </row>
    <row r="4" spans="3:19" s="2" customFormat="1" ht="15">
      <c r="C4" s="1"/>
      <c r="D4" s="25" t="s">
        <v>0</v>
      </c>
      <c r="E4" s="25"/>
      <c r="F4" s="25"/>
      <c r="G4" s="25"/>
      <c r="H4" s="25"/>
      <c r="I4" s="25"/>
      <c r="J4" s="4"/>
      <c r="K4" s="25" t="s">
        <v>1</v>
      </c>
      <c r="L4" s="25"/>
      <c r="M4" s="25"/>
      <c r="N4" s="25"/>
      <c r="O4" s="25"/>
      <c r="P4" s="25"/>
      <c r="Q4" s="3"/>
      <c r="R4" s="3"/>
      <c r="S4" s="3"/>
    </row>
    <row r="5" spans="1:19" s="2" customFormat="1" ht="45">
      <c r="A5" s="32" t="s">
        <v>45</v>
      </c>
      <c r="B5" s="32" t="s">
        <v>46</v>
      </c>
      <c r="C5" s="32" t="s">
        <v>63</v>
      </c>
      <c r="D5" s="32" t="s">
        <v>48</v>
      </c>
      <c r="E5" s="32" t="s">
        <v>3</v>
      </c>
      <c r="F5" s="32" t="s">
        <v>4</v>
      </c>
      <c r="G5" s="32" t="s">
        <v>61</v>
      </c>
      <c r="H5" s="32" t="s">
        <v>62</v>
      </c>
      <c r="I5" s="32" t="s">
        <v>49</v>
      </c>
      <c r="J5" s="31"/>
      <c r="K5" s="32" t="s">
        <v>48</v>
      </c>
      <c r="L5" s="32" t="s">
        <v>3</v>
      </c>
      <c r="M5" s="32" t="s">
        <v>4</v>
      </c>
      <c r="N5" s="32" t="s">
        <v>61</v>
      </c>
      <c r="O5" s="32" t="s">
        <v>62</v>
      </c>
      <c r="P5" s="32" t="s">
        <v>49</v>
      </c>
      <c r="Q5" s="32" t="s">
        <v>50</v>
      </c>
      <c r="R5" s="32" t="s">
        <v>64</v>
      </c>
      <c r="S5" s="32" t="s">
        <v>65</v>
      </c>
    </row>
    <row r="6" spans="1:19" s="2" customFormat="1" ht="15">
      <c r="A6" s="82">
        <v>47</v>
      </c>
      <c r="B6" s="26">
        <v>1675</v>
      </c>
      <c r="C6" s="27" t="s">
        <v>5</v>
      </c>
      <c r="D6" s="28">
        <f>'2010 FA Continuity'!I6</f>
        <v>0</v>
      </c>
      <c r="E6" s="29"/>
      <c r="F6" s="130"/>
      <c r="G6" s="29"/>
      <c r="H6" s="47"/>
      <c r="I6" s="30">
        <f>D6+E6-F6-G6-H6</f>
        <v>0</v>
      </c>
      <c r="J6" s="24"/>
      <c r="K6" s="30">
        <f>'2010 FA Continuity'!P6</f>
        <v>0</v>
      </c>
      <c r="L6" s="130">
        <v>0</v>
      </c>
      <c r="M6" s="130"/>
      <c r="N6" s="29"/>
      <c r="O6" s="29"/>
      <c r="P6" s="30">
        <f>K6+L6-M6-N6-O6</f>
        <v>0</v>
      </c>
      <c r="Q6" s="30">
        <f>I6-P6</f>
        <v>0</v>
      </c>
      <c r="R6" s="30">
        <v>0</v>
      </c>
      <c r="S6" s="30">
        <v>0</v>
      </c>
    </row>
    <row r="7" spans="1:19" s="2" customFormat="1" ht="15">
      <c r="A7" s="14" t="s">
        <v>51</v>
      </c>
      <c r="B7" s="26">
        <v>1805</v>
      </c>
      <c r="C7" s="27" t="s">
        <v>6</v>
      </c>
      <c r="D7" s="28">
        <f>'2010 FA Continuity'!I7</f>
        <v>414741.45</v>
      </c>
      <c r="E7" s="29"/>
      <c r="F7" s="130"/>
      <c r="G7" s="29"/>
      <c r="H7" s="47"/>
      <c r="I7" s="30">
        <f aca="true" t="shared" si="0" ref="I7:I36">D7+E7-F7-G7-H7</f>
        <v>414741.45</v>
      </c>
      <c r="J7" s="24"/>
      <c r="K7" s="30">
        <f>'2010 FA Continuity'!P7</f>
        <v>0</v>
      </c>
      <c r="L7" s="130">
        <v>0</v>
      </c>
      <c r="M7" s="130"/>
      <c r="N7" s="29"/>
      <c r="O7" s="29"/>
      <c r="P7" s="30">
        <f aca="true" t="shared" si="1" ref="P7:P36">K7+L7-M7-N7-O7</f>
        <v>0</v>
      </c>
      <c r="Q7" s="30">
        <f aca="true" t="shared" si="2" ref="Q7:Q36">I7-P7</f>
        <v>414741.45</v>
      </c>
      <c r="R7" s="30">
        <v>0</v>
      </c>
      <c r="S7" s="30">
        <v>0</v>
      </c>
    </row>
    <row r="8" spans="1:19" s="2" customFormat="1" ht="15">
      <c r="A8" s="14">
        <v>47</v>
      </c>
      <c r="B8" s="26">
        <v>1808</v>
      </c>
      <c r="C8" s="27" t="s">
        <v>7</v>
      </c>
      <c r="D8" s="28">
        <f>'2010 FA Continuity'!I8</f>
        <v>2138307.23</v>
      </c>
      <c r="E8" s="29">
        <v>0</v>
      </c>
      <c r="F8" s="130"/>
      <c r="G8" s="29"/>
      <c r="H8" s="47"/>
      <c r="I8" s="30">
        <f t="shared" si="0"/>
        <v>2138307.23</v>
      </c>
      <c r="J8" s="24"/>
      <c r="K8" s="30">
        <f>'2010 FA Continuity'!P8</f>
        <v>1610656.812</v>
      </c>
      <c r="L8" s="130">
        <f>75750</f>
        <v>75750</v>
      </c>
      <c r="M8" s="130"/>
      <c r="N8" s="29"/>
      <c r="O8" s="29"/>
      <c r="P8" s="30">
        <f t="shared" si="1"/>
        <v>1686406.812</v>
      </c>
      <c r="Q8" s="30">
        <f t="shared" si="2"/>
        <v>451900.41800000006</v>
      </c>
      <c r="R8" s="30">
        <v>0</v>
      </c>
      <c r="S8" s="30">
        <v>0</v>
      </c>
    </row>
    <row r="9" spans="1:19" s="2" customFormat="1" ht="15">
      <c r="A9" s="14">
        <v>13</v>
      </c>
      <c r="B9" s="26">
        <v>1810</v>
      </c>
      <c r="C9" s="27" t="s">
        <v>8</v>
      </c>
      <c r="D9" s="28">
        <f>'2010 FA Continuity'!I9</f>
        <v>20885.65</v>
      </c>
      <c r="E9" s="29"/>
      <c r="F9" s="130"/>
      <c r="G9" s="29"/>
      <c r="H9" s="47"/>
      <c r="I9" s="30">
        <f t="shared" si="0"/>
        <v>20885.65</v>
      </c>
      <c r="J9" s="24"/>
      <c r="K9" s="30">
        <f>'2010 FA Continuity'!P9</f>
        <v>20885.65</v>
      </c>
      <c r="L9" s="130">
        <v>0</v>
      </c>
      <c r="M9" s="130"/>
      <c r="N9" s="29"/>
      <c r="O9" s="29"/>
      <c r="P9" s="30">
        <f t="shared" si="1"/>
        <v>20885.65</v>
      </c>
      <c r="Q9" s="30">
        <f t="shared" si="2"/>
        <v>0</v>
      </c>
      <c r="R9" s="30">
        <v>0</v>
      </c>
      <c r="S9" s="30">
        <v>0</v>
      </c>
    </row>
    <row r="10" spans="1:19" s="2" customFormat="1" ht="15">
      <c r="A10" s="14">
        <v>47</v>
      </c>
      <c r="B10" s="26">
        <v>1820</v>
      </c>
      <c r="C10" s="27" t="s">
        <v>9</v>
      </c>
      <c r="D10" s="28">
        <f>'2010 FA Continuity'!I10</f>
        <v>11774640.47</v>
      </c>
      <c r="E10" s="29">
        <v>0</v>
      </c>
      <c r="F10" s="130"/>
      <c r="G10" s="29"/>
      <c r="H10" s="47"/>
      <c r="I10" s="30">
        <f t="shared" si="0"/>
        <v>11774640.47</v>
      </c>
      <c r="J10" s="24"/>
      <c r="K10" s="30">
        <f>'2010 FA Continuity'!P10</f>
        <v>9393227.839594772</v>
      </c>
      <c r="L10" s="130">
        <v>277009.1195947713</v>
      </c>
      <c r="M10" s="130"/>
      <c r="N10" s="29"/>
      <c r="O10" s="29"/>
      <c r="P10" s="30">
        <f t="shared" si="1"/>
        <v>9670236.959189544</v>
      </c>
      <c r="Q10" s="30">
        <f t="shared" si="2"/>
        <v>2104403.510810457</v>
      </c>
      <c r="R10" s="30">
        <v>0</v>
      </c>
      <c r="S10" s="30">
        <v>0</v>
      </c>
    </row>
    <row r="11" spans="1:19" s="2" customFormat="1" ht="15">
      <c r="A11" s="14">
        <v>47</v>
      </c>
      <c r="B11" s="26">
        <v>1830</v>
      </c>
      <c r="C11" s="27" t="s">
        <v>10</v>
      </c>
      <c r="D11" s="28">
        <f>'2010 FA Continuity'!I11</f>
        <v>78487675.89999999</v>
      </c>
      <c r="E11" s="29">
        <v>9821066.715120234</v>
      </c>
      <c r="F11" s="130"/>
      <c r="G11" s="29"/>
      <c r="H11" s="47"/>
      <c r="I11" s="30">
        <f t="shared" si="0"/>
        <v>88308742.61512023</v>
      </c>
      <c r="J11" s="24"/>
      <c r="K11" s="30">
        <f>'2010 FA Continuity'!P11</f>
        <v>29014057.98556675</v>
      </c>
      <c r="L11" s="130">
        <v>3254891</v>
      </c>
      <c r="M11" s="130"/>
      <c r="N11" s="29"/>
      <c r="O11" s="29"/>
      <c r="P11" s="30">
        <f t="shared" si="1"/>
        <v>32268948.98556675</v>
      </c>
      <c r="Q11" s="30">
        <f t="shared" si="2"/>
        <v>56039793.62955348</v>
      </c>
      <c r="R11" s="30">
        <v>0</v>
      </c>
      <c r="S11" s="30">
        <v>0</v>
      </c>
    </row>
    <row r="12" spans="1:19" s="2" customFormat="1" ht="15">
      <c r="A12" s="14">
        <v>47</v>
      </c>
      <c r="B12" s="26">
        <v>1835</v>
      </c>
      <c r="C12" s="27" t="s">
        <v>11</v>
      </c>
      <c r="D12" s="28">
        <f>'2010 FA Continuity'!I12</f>
        <v>76510321.66999999</v>
      </c>
      <c r="E12" s="29">
        <v>5295002.574270105</v>
      </c>
      <c r="F12" s="130"/>
      <c r="G12" s="29"/>
      <c r="H12" s="47"/>
      <c r="I12" s="30">
        <f t="shared" si="0"/>
        <v>81805324.24427009</v>
      </c>
      <c r="J12" s="24"/>
      <c r="K12" s="30">
        <f>'2010 FA Continuity'!P12</f>
        <v>34315605.46776666</v>
      </c>
      <c r="L12" s="130">
        <v>3077998</v>
      </c>
      <c r="M12" s="130"/>
      <c r="N12" s="29"/>
      <c r="O12" s="29"/>
      <c r="P12" s="30">
        <f t="shared" si="1"/>
        <v>37393603.46776666</v>
      </c>
      <c r="Q12" s="30">
        <f t="shared" si="2"/>
        <v>44411720.77650343</v>
      </c>
      <c r="R12" s="30">
        <v>0</v>
      </c>
      <c r="S12" s="30">
        <v>0</v>
      </c>
    </row>
    <row r="13" spans="1:19" s="2" customFormat="1" ht="15">
      <c r="A13" s="14">
        <v>47</v>
      </c>
      <c r="B13" s="26">
        <v>1840</v>
      </c>
      <c r="C13" s="27" t="s">
        <v>30</v>
      </c>
      <c r="D13" s="28">
        <f>'2010 FA Continuity'!I13</f>
        <v>120312759.1</v>
      </c>
      <c r="E13" s="29">
        <v>5751824.951356538</v>
      </c>
      <c r="F13" s="130"/>
      <c r="G13" s="29"/>
      <c r="H13" s="47"/>
      <c r="I13" s="30">
        <f t="shared" si="0"/>
        <v>126064584.05135652</v>
      </c>
      <c r="J13" s="24"/>
      <c r="K13" s="30">
        <f>'2010 FA Continuity'!P13</f>
        <v>67397868.46353333</v>
      </c>
      <c r="L13" s="130">
        <v>4681325</v>
      </c>
      <c r="M13" s="130"/>
      <c r="N13" s="29"/>
      <c r="O13" s="29"/>
      <c r="P13" s="30">
        <f t="shared" si="1"/>
        <v>72079193.46353333</v>
      </c>
      <c r="Q13" s="30">
        <f t="shared" si="2"/>
        <v>53985390.5878232</v>
      </c>
      <c r="R13" s="30">
        <v>0</v>
      </c>
      <c r="S13" s="30">
        <v>0</v>
      </c>
    </row>
    <row r="14" spans="1:19" s="2" customFormat="1" ht="15">
      <c r="A14" s="14">
        <v>47</v>
      </c>
      <c r="B14" s="26">
        <v>1845</v>
      </c>
      <c r="C14" s="27" t="s">
        <v>12</v>
      </c>
      <c r="D14" s="28">
        <f>'2010 FA Continuity'!I14</f>
        <v>124874594.18</v>
      </c>
      <c r="E14" s="29">
        <v>7087847.641584668</v>
      </c>
      <c r="F14" s="130"/>
      <c r="G14" s="29"/>
      <c r="H14" s="47"/>
      <c r="I14" s="30">
        <f t="shared" si="0"/>
        <v>131962441.82158467</v>
      </c>
      <c r="J14" s="24"/>
      <c r="K14" s="30">
        <f>'2010 FA Continuity'!P14</f>
        <v>61537601.51488334</v>
      </c>
      <c r="L14" s="130">
        <v>4969510</v>
      </c>
      <c r="M14" s="130"/>
      <c r="N14" s="29"/>
      <c r="O14" s="29"/>
      <c r="P14" s="30">
        <f t="shared" si="1"/>
        <v>66507111.51488334</v>
      </c>
      <c r="Q14" s="30">
        <f t="shared" si="2"/>
        <v>65455330.30670133</v>
      </c>
      <c r="R14" s="30">
        <v>0</v>
      </c>
      <c r="S14" s="30">
        <v>0</v>
      </c>
    </row>
    <row r="15" spans="1:19" s="2" customFormat="1" ht="15">
      <c r="A15" s="14">
        <v>47</v>
      </c>
      <c r="B15" s="26">
        <v>1850</v>
      </c>
      <c r="C15" s="27" t="s">
        <v>13</v>
      </c>
      <c r="D15" s="28">
        <f>'2010 FA Continuity'!I15</f>
        <v>101128941.27999999</v>
      </c>
      <c r="E15" s="29">
        <v>7044712.897668453</v>
      </c>
      <c r="F15" s="130"/>
      <c r="G15" s="29"/>
      <c r="H15" s="47"/>
      <c r="I15" s="30">
        <f t="shared" si="0"/>
        <v>108173654.17766844</v>
      </c>
      <c r="J15" s="24"/>
      <c r="K15" s="30">
        <f>'2010 FA Continuity'!P15</f>
        <v>49897582.76690004</v>
      </c>
      <c r="L15" s="130">
        <v>3959275</v>
      </c>
      <c r="M15" s="130"/>
      <c r="N15" s="29"/>
      <c r="O15" s="29"/>
      <c r="P15" s="30">
        <f t="shared" si="1"/>
        <v>53856857.76690004</v>
      </c>
      <c r="Q15" s="30">
        <f t="shared" si="2"/>
        <v>54316796.4107684</v>
      </c>
      <c r="R15" s="30">
        <v>0</v>
      </c>
      <c r="S15" s="30">
        <v>0</v>
      </c>
    </row>
    <row r="16" spans="1:19" s="2" customFormat="1" ht="15">
      <c r="A16" s="14">
        <v>47</v>
      </c>
      <c r="B16" s="26">
        <v>1855</v>
      </c>
      <c r="C16" s="27" t="s">
        <v>14</v>
      </c>
      <c r="D16" s="28">
        <f>'2010 FA Continuity'!I16</f>
        <v>24651203.66</v>
      </c>
      <c r="E16" s="29">
        <v>701503.8791881385</v>
      </c>
      <c r="F16" s="130"/>
      <c r="G16" s="29"/>
      <c r="H16" s="47"/>
      <c r="I16" s="30">
        <f t="shared" si="0"/>
        <v>25352707.53918814</v>
      </c>
      <c r="J16" s="24"/>
      <c r="K16" s="30">
        <f>'2010 FA Continuity'!P16</f>
        <v>9700695.325633332</v>
      </c>
      <c r="L16" s="130">
        <v>1013028</v>
      </c>
      <c r="M16" s="130"/>
      <c r="N16" s="29"/>
      <c r="O16" s="29"/>
      <c r="P16" s="30">
        <f t="shared" si="1"/>
        <v>10713723.325633332</v>
      </c>
      <c r="Q16" s="30">
        <f t="shared" si="2"/>
        <v>14638984.213554807</v>
      </c>
      <c r="R16" s="30">
        <v>0</v>
      </c>
      <c r="S16" s="30">
        <v>0</v>
      </c>
    </row>
    <row r="17" spans="1:19" s="2" customFormat="1" ht="15">
      <c r="A17" s="14">
        <v>47</v>
      </c>
      <c r="B17" s="26">
        <v>1860</v>
      </c>
      <c r="C17" s="27" t="s">
        <v>15</v>
      </c>
      <c r="D17" s="28">
        <f>'2010 FA Continuity'!I17</f>
        <v>39556180.769999996</v>
      </c>
      <c r="E17" s="29">
        <v>1125434.3822734503</v>
      </c>
      <c r="F17" s="130"/>
      <c r="G17" s="29"/>
      <c r="H17" s="47"/>
      <c r="I17" s="30">
        <f t="shared" si="0"/>
        <v>40681615.15227345</v>
      </c>
      <c r="J17" s="24"/>
      <c r="K17" s="30">
        <f>'2010 FA Continuity'!P17</f>
        <v>18085285.08062857</v>
      </c>
      <c r="L17" s="130">
        <v>1521806</v>
      </c>
      <c r="M17" s="130"/>
      <c r="N17" s="29"/>
      <c r="O17" s="130">
        <f>'MSP Transitional Costs'!C5</f>
        <v>8112</v>
      </c>
      <c r="P17" s="30">
        <f t="shared" si="1"/>
        <v>19598979.08062857</v>
      </c>
      <c r="Q17" s="30">
        <f t="shared" si="2"/>
        <v>21082636.071644876</v>
      </c>
      <c r="R17" s="30">
        <v>0</v>
      </c>
      <c r="S17" s="30">
        <v>0</v>
      </c>
    </row>
    <row r="18" spans="1:19" s="2" customFormat="1" ht="15">
      <c r="A18" s="14">
        <v>47</v>
      </c>
      <c r="B18" s="26">
        <v>1860</v>
      </c>
      <c r="C18" s="27" t="s">
        <v>16</v>
      </c>
      <c r="D18" s="28">
        <f>'2010 FA Continuity'!I18</f>
        <v>0</v>
      </c>
      <c r="E18" s="130">
        <v>1578274.63</v>
      </c>
      <c r="F18" s="130"/>
      <c r="G18" s="130">
        <v>1578274.63</v>
      </c>
      <c r="H18" s="47"/>
      <c r="I18" s="30">
        <f t="shared" si="0"/>
        <v>0</v>
      </c>
      <c r="J18" s="24"/>
      <c r="K18" s="30">
        <f>'2010 FA Continuity'!P18</f>
        <v>0.0008888889569789171</v>
      </c>
      <c r="L18" s="130">
        <v>1750844</v>
      </c>
      <c r="M18" s="130"/>
      <c r="N18" s="130">
        <f>L18</f>
        <v>1750844</v>
      </c>
      <c r="O18" s="29"/>
      <c r="P18" s="30">
        <f t="shared" si="1"/>
        <v>0.0008888889569789171</v>
      </c>
      <c r="Q18" s="30">
        <f t="shared" si="2"/>
        <v>-0.0008888889569789171</v>
      </c>
      <c r="R18" s="30">
        <v>0</v>
      </c>
      <c r="S18" s="30">
        <v>0</v>
      </c>
    </row>
    <row r="19" spans="1:19" s="2" customFormat="1" ht="15">
      <c r="A19" s="14" t="s">
        <v>51</v>
      </c>
      <c r="B19" s="26">
        <v>1905</v>
      </c>
      <c r="C19" s="27" t="s">
        <v>17</v>
      </c>
      <c r="D19" s="28">
        <f>'2010 FA Continuity'!I19</f>
        <v>1067629.4100000001</v>
      </c>
      <c r="E19" s="29"/>
      <c r="F19" s="130"/>
      <c r="G19" s="29"/>
      <c r="H19" s="47"/>
      <c r="I19" s="30">
        <f t="shared" si="0"/>
        <v>1067629.4100000001</v>
      </c>
      <c r="J19" s="24"/>
      <c r="K19" s="30">
        <f>'2010 FA Continuity'!P19</f>
        <v>0</v>
      </c>
      <c r="L19" s="130">
        <v>0</v>
      </c>
      <c r="M19" s="130"/>
      <c r="N19" s="29"/>
      <c r="O19" s="29"/>
      <c r="P19" s="30">
        <f t="shared" si="1"/>
        <v>0</v>
      </c>
      <c r="Q19" s="30">
        <f t="shared" si="2"/>
        <v>1067629.4100000001</v>
      </c>
      <c r="R19" s="30">
        <v>0</v>
      </c>
      <c r="S19" s="30">
        <v>0</v>
      </c>
    </row>
    <row r="20" spans="1:19" s="2" customFormat="1" ht="15">
      <c r="A20" s="14">
        <v>47</v>
      </c>
      <c r="B20" s="26">
        <v>1906</v>
      </c>
      <c r="C20" s="27" t="s">
        <v>18</v>
      </c>
      <c r="D20" s="28">
        <f>'2010 FA Continuity'!I20</f>
        <v>162636.38</v>
      </c>
      <c r="E20" s="29">
        <v>0</v>
      </c>
      <c r="F20" s="130"/>
      <c r="G20" s="29"/>
      <c r="H20" s="47"/>
      <c r="I20" s="30">
        <f t="shared" si="0"/>
        <v>162636.38</v>
      </c>
      <c r="J20" s="24"/>
      <c r="K20" s="30">
        <f>'2010 FA Continuity'!P20</f>
        <v>72149.1758</v>
      </c>
      <c r="L20" s="130">
        <v>3337.9558</v>
      </c>
      <c r="M20" s="130"/>
      <c r="N20" s="29"/>
      <c r="O20" s="29"/>
      <c r="P20" s="30">
        <f t="shared" si="1"/>
        <v>75487.1316</v>
      </c>
      <c r="Q20" s="30">
        <f t="shared" si="2"/>
        <v>87149.24840000001</v>
      </c>
      <c r="R20" s="30">
        <v>0</v>
      </c>
      <c r="S20" s="30">
        <v>0</v>
      </c>
    </row>
    <row r="21" spans="1:19" s="2" customFormat="1" ht="15">
      <c r="A21" s="14">
        <v>47</v>
      </c>
      <c r="B21" s="26">
        <v>1908</v>
      </c>
      <c r="C21" s="27" t="s">
        <v>19</v>
      </c>
      <c r="D21" s="28">
        <f>'2010 FA Continuity'!I21</f>
        <v>28481791.61</v>
      </c>
      <c r="E21" s="29">
        <f>1540500</f>
        <v>1540500</v>
      </c>
      <c r="F21" s="130"/>
      <c r="G21" s="29"/>
      <c r="H21" s="47"/>
      <c r="I21" s="30">
        <f t="shared" si="0"/>
        <v>30022291.61</v>
      </c>
      <c r="J21" s="24"/>
      <c r="K21" s="30">
        <f>'2010 FA Continuity'!P21</f>
        <v>18293193.49677778</v>
      </c>
      <c r="L21" s="130">
        <f>1243930+53359.12</f>
        <v>1297289.12</v>
      </c>
      <c r="M21" s="130"/>
      <c r="N21" s="29"/>
      <c r="O21" s="29"/>
      <c r="P21" s="30">
        <f t="shared" si="1"/>
        <v>19590482.61677778</v>
      </c>
      <c r="Q21" s="30">
        <f t="shared" si="2"/>
        <v>10431808.993222218</v>
      </c>
      <c r="R21" s="30">
        <v>0</v>
      </c>
      <c r="S21" s="30">
        <v>0</v>
      </c>
    </row>
    <row r="22" spans="1:19" s="2" customFormat="1" ht="15">
      <c r="A22" s="14">
        <v>13</v>
      </c>
      <c r="B22" s="26">
        <v>1910</v>
      </c>
      <c r="C22" s="27" t="s">
        <v>8</v>
      </c>
      <c r="D22" s="28">
        <f>'2010 FA Continuity'!I22</f>
        <v>0</v>
      </c>
      <c r="E22" s="29"/>
      <c r="F22" s="130"/>
      <c r="G22" s="29"/>
      <c r="H22" s="47"/>
      <c r="I22" s="30">
        <f t="shared" si="0"/>
        <v>0</v>
      </c>
      <c r="J22" s="24"/>
      <c r="K22" s="30">
        <f>'2010 FA Continuity'!P22</f>
        <v>0</v>
      </c>
      <c r="L22" s="130"/>
      <c r="M22" s="130"/>
      <c r="N22" s="29"/>
      <c r="O22" s="29"/>
      <c r="P22" s="30">
        <f t="shared" si="1"/>
        <v>0</v>
      </c>
      <c r="Q22" s="30">
        <f t="shared" si="2"/>
        <v>0</v>
      </c>
      <c r="R22" s="30">
        <v>0</v>
      </c>
      <c r="S22" s="30">
        <v>0</v>
      </c>
    </row>
    <row r="23" spans="1:19" s="2" customFormat="1" ht="15">
      <c r="A23" s="14">
        <v>8</v>
      </c>
      <c r="B23" s="26">
        <v>1915</v>
      </c>
      <c r="C23" s="27" t="s">
        <v>20</v>
      </c>
      <c r="D23" s="28">
        <f>'2010 FA Continuity'!I23</f>
        <v>5370067.08</v>
      </c>
      <c r="E23" s="29">
        <v>384500</v>
      </c>
      <c r="F23" s="130"/>
      <c r="G23" s="29"/>
      <c r="H23" s="47"/>
      <c r="I23" s="30">
        <f t="shared" si="0"/>
        <v>5754567.08</v>
      </c>
      <c r="J23" s="24"/>
      <c r="K23" s="30">
        <f>'2010 FA Continuity'!P23</f>
        <v>3795932.397666667</v>
      </c>
      <c r="L23" s="130">
        <v>244099</v>
      </c>
      <c r="M23" s="130"/>
      <c r="N23" s="29"/>
      <c r="O23" s="29"/>
      <c r="P23" s="30">
        <f t="shared" si="1"/>
        <v>4040031.397666667</v>
      </c>
      <c r="Q23" s="30">
        <f t="shared" si="2"/>
        <v>1714535.682333333</v>
      </c>
      <c r="R23" s="30">
        <v>0</v>
      </c>
      <c r="S23" s="30">
        <v>0</v>
      </c>
    </row>
    <row r="24" spans="1:19" s="2" customFormat="1" ht="15">
      <c r="A24" s="14">
        <v>10</v>
      </c>
      <c r="B24" s="26">
        <v>1920</v>
      </c>
      <c r="C24" s="27" t="s">
        <v>21</v>
      </c>
      <c r="D24" s="28">
        <f>'2010 FA Continuity'!I24</f>
        <v>5613068.4</v>
      </c>
      <c r="E24" s="29"/>
      <c r="F24" s="130"/>
      <c r="G24" s="29"/>
      <c r="H24" s="47"/>
      <c r="I24" s="30">
        <f t="shared" si="0"/>
        <v>5613068.4</v>
      </c>
      <c r="J24" s="24"/>
      <c r="K24" s="30">
        <f>'2010 FA Continuity'!P24</f>
        <v>6396842.120666666</v>
      </c>
      <c r="L24" s="130">
        <v>1028374</v>
      </c>
      <c r="M24" s="130"/>
      <c r="N24" s="29"/>
      <c r="O24" s="29"/>
      <c r="P24" s="30">
        <f t="shared" si="1"/>
        <v>7425216.120666666</v>
      </c>
      <c r="Q24" s="30">
        <f t="shared" si="2"/>
        <v>-1812147.7206666656</v>
      </c>
      <c r="R24" s="30">
        <v>0</v>
      </c>
      <c r="S24" s="30">
        <v>0</v>
      </c>
    </row>
    <row r="25" spans="1:19" s="2" customFormat="1" ht="15">
      <c r="A25" s="14">
        <v>45</v>
      </c>
      <c r="B25" s="26">
        <v>1920</v>
      </c>
      <c r="C25" s="27" t="s">
        <v>22</v>
      </c>
      <c r="D25" s="28">
        <f>'2010 FA Continuity'!I25</f>
        <v>4609323.32</v>
      </c>
      <c r="E25" s="29">
        <v>1612172.1758440335</v>
      </c>
      <c r="F25" s="130"/>
      <c r="G25" s="29"/>
      <c r="H25" s="47"/>
      <c r="I25" s="30">
        <f t="shared" si="0"/>
        <v>6221495.495844034</v>
      </c>
      <c r="J25" s="24"/>
      <c r="K25" s="30">
        <f>'2010 FA Continuity'!P25</f>
        <v>1369855.5199999998</v>
      </c>
      <c r="L25" s="130">
        <v>9520.86</v>
      </c>
      <c r="M25" s="130"/>
      <c r="N25" s="130">
        <f>'Smart Meter Continuity'!J26+'Smart Meter Continuity'!J27</f>
        <v>36672.75</v>
      </c>
      <c r="O25" s="29"/>
      <c r="P25" s="30">
        <f t="shared" si="1"/>
        <v>1342703.63</v>
      </c>
      <c r="Q25" s="30">
        <f t="shared" si="2"/>
        <v>4878791.865844034</v>
      </c>
      <c r="R25" s="30">
        <v>0</v>
      </c>
      <c r="S25" s="30">
        <v>0</v>
      </c>
    </row>
    <row r="26" spans="1:19" s="2" customFormat="1" ht="15">
      <c r="A26" s="14">
        <v>12</v>
      </c>
      <c r="B26" s="26">
        <v>1925</v>
      </c>
      <c r="C26" s="27" t="s">
        <v>23</v>
      </c>
      <c r="D26" s="28">
        <f>'2010 FA Continuity'!I26</f>
        <v>12898094.69</v>
      </c>
      <c r="E26" s="29">
        <v>1933577.8241559663</v>
      </c>
      <c r="F26" s="130"/>
      <c r="G26" s="29"/>
      <c r="H26" s="47"/>
      <c r="I26" s="30">
        <f t="shared" si="0"/>
        <v>14831672.514155965</v>
      </c>
      <c r="J26" s="24"/>
      <c r="K26" s="30">
        <f>'2010 FA Continuity'!P26</f>
        <v>8200278.376888887</v>
      </c>
      <c r="L26" s="130">
        <v>2304552</v>
      </c>
      <c r="M26" s="130"/>
      <c r="N26" s="130">
        <f>'Smart Meter Continuity'!J28</f>
        <v>29094.489999999998</v>
      </c>
      <c r="O26" s="29"/>
      <c r="P26" s="30">
        <f t="shared" si="1"/>
        <v>10475735.886888886</v>
      </c>
      <c r="Q26" s="30">
        <f t="shared" si="2"/>
        <v>4355936.627267079</v>
      </c>
      <c r="R26" s="30">
        <v>0</v>
      </c>
      <c r="S26" s="30">
        <v>0</v>
      </c>
    </row>
    <row r="27" spans="1:19" s="2" customFormat="1" ht="15">
      <c r="A27" s="14">
        <v>10</v>
      </c>
      <c r="B27" s="26">
        <v>1930</v>
      </c>
      <c r="C27" s="27" t="s">
        <v>24</v>
      </c>
      <c r="D27" s="28">
        <f>'2010 FA Continuity'!I27</f>
        <v>18611130.96</v>
      </c>
      <c r="E27" s="29">
        <v>1445500</v>
      </c>
      <c r="F27" s="130"/>
      <c r="G27" s="29"/>
      <c r="H27" s="47"/>
      <c r="I27" s="30">
        <f t="shared" si="0"/>
        <v>20056630.96</v>
      </c>
      <c r="J27" s="24"/>
      <c r="K27" s="30">
        <f>'2010 FA Continuity'!P27</f>
        <v>12598139.322442308</v>
      </c>
      <c r="L27" s="130">
        <v>1365431</v>
      </c>
      <c r="M27" s="130"/>
      <c r="N27" s="29"/>
      <c r="O27" s="29"/>
      <c r="P27" s="30">
        <f t="shared" si="1"/>
        <v>13963570.322442308</v>
      </c>
      <c r="Q27" s="30">
        <f t="shared" si="2"/>
        <v>6093060.637557693</v>
      </c>
      <c r="R27" s="30">
        <v>0</v>
      </c>
      <c r="S27" s="30">
        <v>0</v>
      </c>
    </row>
    <row r="28" spans="1:19" s="2" customFormat="1" ht="15">
      <c r="A28" s="14">
        <v>8</v>
      </c>
      <c r="B28" s="26">
        <v>1935</v>
      </c>
      <c r="C28" s="27" t="s">
        <v>25</v>
      </c>
      <c r="D28" s="28">
        <f>'2010 FA Continuity'!I28</f>
        <v>892540.18</v>
      </c>
      <c r="E28" s="29">
        <v>0</v>
      </c>
      <c r="F28" s="130"/>
      <c r="G28" s="29"/>
      <c r="H28" s="47"/>
      <c r="I28" s="30">
        <f t="shared" si="0"/>
        <v>892540.18</v>
      </c>
      <c r="J28" s="24"/>
      <c r="K28" s="30">
        <f>'2010 FA Continuity'!P28</f>
        <v>555294.704</v>
      </c>
      <c r="L28" s="130">
        <v>46034</v>
      </c>
      <c r="M28" s="130"/>
      <c r="N28" s="29"/>
      <c r="O28" s="29"/>
      <c r="P28" s="30">
        <f t="shared" si="1"/>
        <v>601328.704</v>
      </c>
      <c r="Q28" s="30">
        <f t="shared" si="2"/>
        <v>291211.476</v>
      </c>
      <c r="R28" s="30">
        <v>0</v>
      </c>
      <c r="S28" s="30">
        <v>0</v>
      </c>
    </row>
    <row r="29" spans="1:19" s="2" customFormat="1" ht="15">
      <c r="A29" s="14">
        <v>8</v>
      </c>
      <c r="B29" s="26">
        <v>1940</v>
      </c>
      <c r="C29" s="27" t="s">
        <v>26</v>
      </c>
      <c r="D29" s="28">
        <f>'2010 FA Continuity'!I29</f>
        <v>7834837.350000001</v>
      </c>
      <c r="E29" s="29">
        <v>549350</v>
      </c>
      <c r="F29" s="130"/>
      <c r="G29" s="29"/>
      <c r="H29" s="47"/>
      <c r="I29" s="30">
        <f t="shared" si="0"/>
        <v>8384187.350000001</v>
      </c>
      <c r="J29" s="24"/>
      <c r="K29" s="30">
        <f>'2010 FA Continuity'!P29</f>
        <v>6060329.601533335</v>
      </c>
      <c r="L29" s="130">
        <v>338326</v>
      </c>
      <c r="M29" s="130"/>
      <c r="N29" s="130">
        <f>'Smart Meter Continuity'!J31</f>
        <v>885.9699999999999</v>
      </c>
      <c r="O29" s="29"/>
      <c r="P29" s="30">
        <f t="shared" si="1"/>
        <v>6397769.631533335</v>
      </c>
      <c r="Q29" s="30">
        <f t="shared" si="2"/>
        <v>1986417.7184666656</v>
      </c>
      <c r="R29" s="30">
        <v>0</v>
      </c>
      <c r="S29" s="30">
        <v>0</v>
      </c>
    </row>
    <row r="30" spans="1:19" s="2" customFormat="1" ht="15">
      <c r="A30" s="14">
        <v>8</v>
      </c>
      <c r="B30" s="26">
        <v>1945</v>
      </c>
      <c r="C30" s="27" t="s">
        <v>31</v>
      </c>
      <c r="D30" s="28">
        <f>'2010 FA Continuity'!I30</f>
        <v>1550171.3900000001</v>
      </c>
      <c r="E30" s="29">
        <v>208500</v>
      </c>
      <c r="F30" s="130"/>
      <c r="G30" s="29"/>
      <c r="H30" s="47"/>
      <c r="I30" s="30">
        <f t="shared" si="0"/>
        <v>1758671.3900000001</v>
      </c>
      <c r="J30" s="24"/>
      <c r="K30" s="30">
        <f>'2010 FA Continuity'!P30</f>
        <v>1043386.8783333332</v>
      </c>
      <c r="L30" s="130">
        <v>106076</v>
      </c>
      <c r="M30" s="130"/>
      <c r="N30" s="29"/>
      <c r="O30" s="29"/>
      <c r="P30" s="30">
        <f t="shared" si="1"/>
        <v>1149462.8783333332</v>
      </c>
      <c r="Q30" s="30">
        <f t="shared" si="2"/>
        <v>609208.511666667</v>
      </c>
      <c r="R30" s="30">
        <v>0</v>
      </c>
      <c r="S30" s="30">
        <v>0</v>
      </c>
    </row>
    <row r="31" spans="1:19" s="2" customFormat="1" ht="15">
      <c r="A31" s="14">
        <v>8</v>
      </c>
      <c r="B31" s="26">
        <v>1950</v>
      </c>
      <c r="C31" s="27" t="s">
        <v>32</v>
      </c>
      <c r="D31" s="28">
        <f>'2010 FA Continuity'!I31</f>
        <v>144034.63</v>
      </c>
      <c r="E31" s="29"/>
      <c r="F31" s="130"/>
      <c r="G31" s="29"/>
      <c r="H31" s="47"/>
      <c r="I31" s="30">
        <f t="shared" si="0"/>
        <v>144034.63</v>
      </c>
      <c r="J31" s="24"/>
      <c r="K31" s="30">
        <f>'2010 FA Continuity'!P31</f>
        <v>108674.558</v>
      </c>
      <c r="L31" s="130">
        <v>11436.367999999999</v>
      </c>
      <c r="M31" s="130"/>
      <c r="N31" s="29"/>
      <c r="O31" s="29"/>
      <c r="P31" s="30">
        <f t="shared" si="1"/>
        <v>120110.926</v>
      </c>
      <c r="Q31" s="30">
        <f t="shared" si="2"/>
        <v>23923.703999999998</v>
      </c>
      <c r="R31" s="30">
        <v>0</v>
      </c>
      <c r="S31" s="30">
        <v>0</v>
      </c>
    </row>
    <row r="32" spans="1:19" s="2" customFormat="1" ht="15">
      <c r="A32" s="14">
        <v>8</v>
      </c>
      <c r="B32" s="26">
        <v>1955</v>
      </c>
      <c r="C32" s="27" t="s">
        <v>27</v>
      </c>
      <c r="D32" s="28">
        <f>'2010 FA Continuity'!I32</f>
        <v>1622013.26</v>
      </c>
      <c r="E32" s="29">
        <v>1099500</v>
      </c>
      <c r="F32" s="130"/>
      <c r="G32" s="29"/>
      <c r="H32" s="47"/>
      <c r="I32" s="30">
        <f t="shared" si="0"/>
        <v>2721513.26</v>
      </c>
      <c r="J32" s="24"/>
      <c r="K32" s="30">
        <f>'2010 FA Continuity'!P32</f>
        <v>649002.0916666667</v>
      </c>
      <c r="L32" s="130">
        <v>206665</v>
      </c>
      <c r="M32" s="130"/>
      <c r="N32" s="29"/>
      <c r="O32" s="29"/>
      <c r="P32" s="30">
        <f t="shared" si="1"/>
        <v>855667.0916666667</v>
      </c>
      <c r="Q32" s="30">
        <f t="shared" si="2"/>
        <v>1865846.168333333</v>
      </c>
      <c r="R32" s="30">
        <v>0</v>
      </c>
      <c r="S32" s="30">
        <v>0</v>
      </c>
    </row>
    <row r="33" spans="1:19" s="2" customFormat="1" ht="15">
      <c r="A33" s="14">
        <v>8</v>
      </c>
      <c r="B33" s="26">
        <v>1960</v>
      </c>
      <c r="C33" s="27" t="s">
        <v>33</v>
      </c>
      <c r="D33" s="28">
        <f>'2010 FA Continuity'!I33</f>
        <v>515329.99</v>
      </c>
      <c r="E33" s="29">
        <v>0</v>
      </c>
      <c r="F33" s="130"/>
      <c r="G33" s="29"/>
      <c r="H33" s="47"/>
      <c r="I33" s="30">
        <f t="shared" si="0"/>
        <v>515329.99</v>
      </c>
      <c r="J33" s="24"/>
      <c r="K33" s="30">
        <f>'2010 FA Continuity'!P33</f>
        <v>202991.989</v>
      </c>
      <c r="L33" s="130">
        <v>51532.998999999996</v>
      </c>
      <c r="M33" s="130"/>
      <c r="N33" s="29"/>
      <c r="O33" s="29"/>
      <c r="P33" s="30">
        <f t="shared" si="1"/>
        <v>254524.988</v>
      </c>
      <c r="Q33" s="30">
        <f t="shared" si="2"/>
        <v>260805.00199999998</v>
      </c>
      <c r="R33" s="30">
        <v>0</v>
      </c>
      <c r="S33" s="30">
        <v>0</v>
      </c>
    </row>
    <row r="34" spans="1:19" s="2" customFormat="1" ht="15">
      <c r="A34" s="14">
        <v>47</v>
      </c>
      <c r="B34" s="26">
        <v>1980</v>
      </c>
      <c r="C34" s="27" t="s">
        <v>34</v>
      </c>
      <c r="D34" s="28">
        <f>'2010 FA Continuity'!I34</f>
        <v>3777542.26</v>
      </c>
      <c r="E34" s="29">
        <v>435277.66468750004</v>
      </c>
      <c r="F34" s="130"/>
      <c r="G34" s="29"/>
      <c r="H34" s="47"/>
      <c r="I34" s="30">
        <f t="shared" si="0"/>
        <v>4212819.9246875</v>
      </c>
      <c r="J34" s="24"/>
      <c r="K34" s="30">
        <f>'2010 FA Continuity'!P34</f>
        <v>3106630.689066667</v>
      </c>
      <c r="L34" s="130">
        <v>77459</v>
      </c>
      <c r="M34" s="130"/>
      <c r="N34" s="29"/>
      <c r="O34" s="29"/>
      <c r="P34" s="30">
        <f t="shared" si="1"/>
        <v>3184089.689066667</v>
      </c>
      <c r="Q34" s="30">
        <f t="shared" si="2"/>
        <v>1028730.235620833</v>
      </c>
      <c r="R34" s="30">
        <v>0</v>
      </c>
      <c r="S34" s="30">
        <v>0</v>
      </c>
    </row>
    <row r="35" spans="1:19" s="2" customFormat="1" ht="15">
      <c r="A35" s="14">
        <v>47</v>
      </c>
      <c r="B35" s="26">
        <v>1995</v>
      </c>
      <c r="C35" s="27" t="s">
        <v>35</v>
      </c>
      <c r="D35" s="28">
        <f>'2010 FA Continuity'!I35</f>
        <v>7973483.120000001</v>
      </c>
      <c r="E35" s="29"/>
      <c r="F35" s="130"/>
      <c r="G35" s="29"/>
      <c r="H35" s="47"/>
      <c r="I35" s="30">
        <f t="shared" si="0"/>
        <v>7973483.120000001</v>
      </c>
      <c r="J35" s="24"/>
      <c r="K35" s="30">
        <f>'2010 FA Continuity'!P35</f>
        <v>1218118.7962166667</v>
      </c>
      <c r="L35" s="130">
        <v>327613</v>
      </c>
      <c r="M35" s="130"/>
      <c r="N35" s="29"/>
      <c r="O35" s="29"/>
      <c r="P35" s="30">
        <f t="shared" si="1"/>
        <v>1545731.7962166667</v>
      </c>
      <c r="Q35" s="30">
        <f t="shared" si="2"/>
        <v>6427751.323783334</v>
      </c>
      <c r="R35" s="30">
        <v>0</v>
      </c>
      <c r="S35" s="30">
        <v>0</v>
      </c>
    </row>
    <row r="36" spans="1:19" s="2" customFormat="1" ht="15">
      <c r="A36" s="14">
        <v>47</v>
      </c>
      <c r="B36" s="26">
        <v>1995</v>
      </c>
      <c r="C36" s="34" t="s">
        <v>36</v>
      </c>
      <c r="D36" s="35">
        <f>'2010 FA Continuity'!I36</f>
        <v>-33749057.73</v>
      </c>
      <c r="E36" s="29">
        <v>-2044172</v>
      </c>
      <c r="F36" s="130"/>
      <c r="G36" s="36"/>
      <c r="H36" s="48"/>
      <c r="I36" s="37">
        <f t="shared" si="0"/>
        <v>-35793229.73</v>
      </c>
      <c r="J36" s="24"/>
      <c r="K36" s="37">
        <f>'2010 FA Continuity'!P36</f>
        <v>-4818208.3259333335</v>
      </c>
      <c r="L36" s="131">
        <v>-1390971</v>
      </c>
      <c r="M36" s="131"/>
      <c r="N36" s="36"/>
      <c r="O36" s="36"/>
      <c r="P36" s="37">
        <f t="shared" si="1"/>
        <v>-6209179.3259333335</v>
      </c>
      <c r="Q36" s="37">
        <f t="shared" si="2"/>
        <v>-29584050.404066663</v>
      </c>
      <c r="R36" s="37">
        <v>0</v>
      </c>
      <c r="S36" s="37">
        <v>0</v>
      </c>
    </row>
    <row r="37" spans="1:19" s="2" customFormat="1" ht="15">
      <c r="A37" s="2">
        <v>2105</v>
      </c>
      <c r="B37" s="2">
        <v>2105</v>
      </c>
      <c r="C37" s="38" t="s">
        <v>66</v>
      </c>
      <c r="D37" s="39">
        <f aca="true" t="shared" si="3" ref="D37:I37">SUM(D6:D36)</f>
        <v>647244887.66</v>
      </c>
      <c r="E37" s="40">
        <f t="shared" si="3"/>
        <v>45570373.33614909</v>
      </c>
      <c r="F37" s="40">
        <f t="shared" si="3"/>
        <v>0</v>
      </c>
      <c r="G37" s="40">
        <f t="shared" si="3"/>
        <v>1578274.63</v>
      </c>
      <c r="H37" s="40">
        <f t="shared" si="3"/>
        <v>0</v>
      </c>
      <c r="I37" s="40">
        <f t="shared" si="3"/>
        <v>691236986.3661491</v>
      </c>
      <c r="J37" s="41"/>
      <c r="K37" s="39">
        <f aca="true" t="shared" si="4" ref="K37:S37">SUM(K6:K36)</f>
        <v>339826078.2995213</v>
      </c>
      <c r="L37" s="40">
        <f t="shared" si="4"/>
        <v>30608211.422394775</v>
      </c>
      <c r="M37" s="40">
        <f t="shared" si="4"/>
        <v>0</v>
      </c>
      <c r="N37" s="40">
        <f t="shared" si="4"/>
        <v>1817497.21</v>
      </c>
      <c r="O37" s="40">
        <f t="shared" si="4"/>
        <v>8112</v>
      </c>
      <c r="P37" s="40">
        <f t="shared" si="4"/>
        <v>368608680.51191604</v>
      </c>
      <c r="Q37" s="40">
        <f t="shared" si="4"/>
        <v>322628305.85423297</v>
      </c>
      <c r="R37" s="40">
        <f t="shared" si="4"/>
        <v>0</v>
      </c>
      <c r="S37" s="40">
        <f t="shared" si="4"/>
        <v>0</v>
      </c>
    </row>
    <row r="38" spans="3:19" s="2" customFormat="1" ht="15">
      <c r="C38" s="1"/>
      <c r="D38" s="23"/>
      <c r="E38" s="3"/>
      <c r="F38" s="3"/>
      <c r="G38" s="3"/>
      <c r="H38" s="3"/>
      <c r="I38" s="3"/>
      <c r="J38" s="24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5">
      <c r="A39" s="2">
        <v>2055</v>
      </c>
      <c r="B39" s="2">
        <v>2055</v>
      </c>
      <c r="C39" s="1" t="s">
        <v>37</v>
      </c>
      <c r="D39" s="23">
        <f>'2010 FA Continuity'!I39</f>
        <v>6315953.399999999</v>
      </c>
      <c r="E39" s="3"/>
      <c r="F39" s="3"/>
      <c r="G39" s="3"/>
      <c r="H39" s="3"/>
      <c r="I39" s="3">
        <f>D39+E39-F39-G39-H39</f>
        <v>6315953.399999999</v>
      </c>
      <c r="J39" s="24"/>
      <c r="K39" s="3">
        <f>'2010 FA Continuity'!P39</f>
        <v>0</v>
      </c>
      <c r="L39" s="3">
        <v>0</v>
      </c>
      <c r="M39" s="3">
        <v>0</v>
      </c>
      <c r="N39" s="3"/>
      <c r="O39" s="3"/>
      <c r="P39" s="3">
        <f>K39+L39-M39-N39-O39</f>
        <v>0</v>
      </c>
      <c r="Q39" s="3">
        <f>I39-P39</f>
        <v>6315953.399999999</v>
      </c>
      <c r="R39" s="3">
        <v>0</v>
      </c>
      <c r="S39" s="3">
        <v>0</v>
      </c>
    </row>
    <row r="40" spans="3:19" s="2" customFormat="1" ht="15.75" thickBot="1">
      <c r="C40" s="33" t="s">
        <v>60</v>
      </c>
      <c r="D40" s="5">
        <f aca="true" t="shared" si="5" ref="D40:I40">SUM(D37:D39)</f>
        <v>653560841.06</v>
      </c>
      <c r="E40" s="5">
        <f t="shared" si="5"/>
        <v>45570373.33614909</v>
      </c>
      <c r="F40" s="5">
        <f t="shared" si="5"/>
        <v>0</v>
      </c>
      <c r="G40" s="5">
        <f t="shared" si="5"/>
        <v>1578274.63</v>
      </c>
      <c r="H40" s="5">
        <f t="shared" si="5"/>
        <v>0</v>
      </c>
      <c r="I40" s="5">
        <f t="shared" si="5"/>
        <v>697552939.766149</v>
      </c>
      <c r="J40" s="24"/>
      <c r="K40" s="5">
        <f aca="true" t="shared" si="6" ref="K40:S40">SUM(K37:K39)</f>
        <v>339826078.2995213</v>
      </c>
      <c r="L40" s="5">
        <f t="shared" si="6"/>
        <v>30608211.422394775</v>
      </c>
      <c r="M40" s="5">
        <f t="shared" si="6"/>
        <v>0</v>
      </c>
      <c r="N40" s="5">
        <f t="shared" si="6"/>
        <v>1817497.21</v>
      </c>
      <c r="O40" s="5">
        <f t="shared" si="6"/>
        <v>8112</v>
      </c>
      <c r="P40" s="5">
        <f t="shared" si="6"/>
        <v>368608680.51191604</v>
      </c>
      <c r="Q40" s="5">
        <f t="shared" si="6"/>
        <v>328944259.25423294</v>
      </c>
      <c r="R40" s="5">
        <f t="shared" si="6"/>
        <v>0</v>
      </c>
      <c r="S40" s="5">
        <f t="shared" si="6"/>
        <v>0</v>
      </c>
    </row>
    <row r="41" spans="3:16" s="2" customFormat="1" ht="15.75" thickTop="1">
      <c r="C41" s="1"/>
      <c r="D41" s="3"/>
      <c r="E41" s="3"/>
      <c r="F41" s="3"/>
      <c r="G41" s="3"/>
      <c r="H41" s="3"/>
      <c r="I41" s="3"/>
      <c r="J41" s="24"/>
      <c r="K41" s="3" t="s">
        <v>38</v>
      </c>
      <c r="L41" s="132">
        <f>L27</f>
        <v>1365431</v>
      </c>
      <c r="M41" s="3"/>
      <c r="N41" s="3"/>
      <c r="O41" s="3"/>
      <c r="P41" s="3"/>
    </row>
    <row r="42" spans="3:16" s="2" customFormat="1" ht="15">
      <c r="C42" s="1"/>
      <c r="D42" s="3"/>
      <c r="E42" s="3"/>
      <c r="F42" s="3"/>
      <c r="G42" s="3"/>
      <c r="H42" s="3"/>
      <c r="I42" s="3"/>
      <c r="J42" s="24"/>
      <c r="K42" s="3" t="s">
        <v>41</v>
      </c>
      <c r="L42" s="132">
        <f>L28</f>
        <v>46034</v>
      </c>
      <c r="M42" s="3"/>
      <c r="N42" s="3"/>
      <c r="O42" s="3"/>
      <c r="P42" s="3"/>
    </row>
    <row r="43" spans="3:19" s="2" customFormat="1" ht="15.75" thickBot="1">
      <c r="C43"/>
      <c r="D43"/>
      <c r="E43" s="3"/>
      <c r="F43" s="3"/>
      <c r="G43" s="3"/>
      <c r="H43" s="3"/>
      <c r="I43" s="3"/>
      <c r="J43" s="24"/>
      <c r="K43" s="3" t="s">
        <v>43</v>
      </c>
      <c r="L43" s="5">
        <f>L40-L41-L42</f>
        <v>29196746.422394775</v>
      </c>
      <c r="M43" s="3"/>
      <c r="N43" s="3"/>
      <c r="O43" s="3"/>
      <c r="P43" s="3"/>
      <c r="Q43" s="3"/>
      <c r="R43" s="3"/>
      <c r="S43" s="3"/>
    </row>
    <row r="44" ht="15.75" thickTop="1">
      <c r="L44" s="50"/>
    </row>
    <row r="45" spans="12:15" ht="15">
      <c r="L45" s="50">
        <f>L43-N37-O37</f>
        <v>27371137.212394774</v>
      </c>
      <c r="O45" s="51"/>
    </row>
  </sheetData>
  <sheetProtection/>
  <mergeCells count="3">
    <mergeCell ref="B1:Q1"/>
    <mergeCell ref="B2:Q2"/>
    <mergeCell ref="B3:Q3"/>
  </mergeCells>
  <printOptions/>
  <pageMargins left="0.1968503937007874" right="0.1968503937007874" top="0.7480314960629921" bottom="0.7480314960629921" header="0.31496062992125984" footer="0.31496062992125984"/>
  <pageSetup fitToHeight="1" fitToWidth="1" orientation="landscape" scale="4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0.140625" style="0" bestFit="1" customWidth="1"/>
    <col min="2" max="2" width="5.00390625" style="0" bestFit="1" customWidth="1"/>
    <col min="3" max="3" width="39.57421875" style="0" bestFit="1" customWidth="1"/>
    <col min="4" max="4" width="13.57421875" style="0" customWidth="1"/>
    <col min="5" max="5" width="11.7109375" style="0" bestFit="1" customWidth="1"/>
    <col min="6" max="6" width="9.421875" style="0" bestFit="1" customWidth="1"/>
    <col min="7" max="7" width="13.8515625" style="0" customWidth="1"/>
    <col min="8" max="8" width="2.8515625" style="0" customWidth="1"/>
    <col min="9" max="9" width="13.8515625" style="0" customWidth="1"/>
    <col min="10" max="10" width="11.7109375" style="0" bestFit="1" customWidth="1"/>
    <col min="11" max="11" width="9.421875" style="0" bestFit="1" customWidth="1"/>
    <col min="12" max="12" width="13.28125" style="0" customWidth="1"/>
    <col min="13" max="13" width="13.57421875" style="0" customWidth="1"/>
  </cols>
  <sheetData>
    <row r="1" spans="1:13" ht="20.25">
      <c r="A1" s="140" t="s">
        <v>44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5">
      <c r="A2" s="10"/>
      <c r="B2" s="11"/>
      <c r="C2" s="7"/>
      <c r="D2" s="141" t="s">
        <v>0</v>
      </c>
      <c r="E2" s="141"/>
      <c r="F2" s="141"/>
      <c r="G2" s="141"/>
      <c r="H2" s="8"/>
      <c r="I2" s="141" t="s">
        <v>1</v>
      </c>
      <c r="J2" s="141"/>
      <c r="K2" s="141"/>
      <c r="L2" s="141"/>
      <c r="M2" s="9"/>
    </row>
    <row r="3" spans="1:13" ht="15">
      <c r="A3" s="10"/>
      <c r="B3" s="11"/>
      <c r="C3" s="12"/>
      <c r="D3" s="142"/>
      <c r="E3" s="142"/>
      <c r="F3" s="142"/>
      <c r="G3" s="142"/>
      <c r="H3" s="8"/>
      <c r="I3" s="142"/>
      <c r="J3" s="142"/>
      <c r="K3" s="142"/>
      <c r="L3" s="142"/>
      <c r="M3" s="9"/>
    </row>
    <row r="4" spans="1:13" s="13" customFormat="1" ht="15">
      <c r="A4" s="138" t="s">
        <v>45</v>
      </c>
      <c r="B4" s="138" t="s">
        <v>46</v>
      </c>
      <c r="C4" s="138" t="s">
        <v>47</v>
      </c>
      <c r="D4" s="138" t="s">
        <v>48</v>
      </c>
      <c r="E4" s="138" t="s">
        <v>3</v>
      </c>
      <c r="F4" s="138" t="s">
        <v>4</v>
      </c>
      <c r="G4" s="138" t="s">
        <v>49</v>
      </c>
      <c r="H4" s="143"/>
      <c r="I4" s="138" t="s">
        <v>48</v>
      </c>
      <c r="J4" s="138" t="s">
        <v>3</v>
      </c>
      <c r="K4" s="138" t="s">
        <v>4</v>
      </c>
      <c r="L4" s="138" t="s">
        <v>49</v>
      </c>
      <c r="M4" s="138" t="s">
        <v>50</v>
      </c>
    </row>
    <row r="5" spans="1:13" s="13" customFormat="1" ht="15">
      <c r="A5" s="139"/>
      <c r="B5" s="139"/>
      <c r="C5" s="139"/>
      <c r="D5" s="139" t="s">
        <v>2</v>
      </c>
      <c r="E5" s="139" t="s">
        <v>3</v>
      </c>
      <c r="F5" s="139"/>
      <c r="G5" s="139"/>
      <c r="H5" s="143"/>
      <c r="I5" s="139" t="s">
        <v>2</v>
      </c>
      <c r="J5" s="139" t="s">
        <v>3</v>
      </c>
      <c r="K5" s="139"/>
      <c r="L5" s="139"/>
      <c r="M5" s="139"/>
    </row>
    <row r="6" spans="1:14" ht="15">
      <c r="A6" s="14" t="s">
        <v>51</v>
      </c>
      <c r="B6" s="15">
        <v>1805</v>
      </c>
      <c r="C6" s="16" t="s">
        <v>6</v>
      </c>
      <c r="D6" s="17">
        <v>0</v>
      </c>
      <c r="E6" s="18">
        <v>0</v>
      </c>
      <c r="F6" s="18"/>
      <c r="G6" s="17">
        <v>0</v>
      </c>
      <c r="H6" s="143"/>
      <c r="I6" s="17">
        <v>0</v>
      </c>
      <c r="J6" s="18">
        <v>0</v>
      </c>
      <c r="K6" s="18"/>
      <c r="L6" s="17">
        <v>0</v>
      </c>
      <c r="M6" s="17">
        <v>0</v>
      </c>
      <c r="N6" s="19"/>
    </row>
    <row r="7" spans="1:14" ht="15">
      <c r="A7" s="14">
        <v>47</v>
      </c>
      <c r="B7" s="15">
        <v>1808</v>
      </c>
      <c r="C7" s="16" t="s">
        <v>7</v>
      </c>
      <c r="D7" s="17">
        <v>0</v>
      </c>
      <c r="E7" s="18">
        <v>0</v>
      </c>
      <c r="F7" s="18"/>
      <c r="G7" s="17">
        <v>0</v>
      </c>
      <c r="H7" s="143"/>
      <c r="I7" s="17">
        <v>0</v>
      </c>
      <c r="J7" s="18">
        <v>0</v>
      </c>
      <c r="K7" s="18"/>
      <c r="L7" s="17">
        <v>0</v>
      </c>
      <c r="M7" s="17">
        <v>0</v>
      </c>
      <c r="N7" s="19"/>
    </row>
    <row r="8" spans="1:14" ht="15">
      <c r="A8" s="14">
        <v>13</v>
      </c>
      <c r="B8" s="15">
        <v>1810</v>
      </c>
      <c r="C8" s="16" t="s">
        <v>8</v>
      </c>
      <c r="D8" s="17">
        <v>0</v>
      </c>
      <c r="E8" s="18">
        <v>0</v>
      </c>
      <c r="F8" s="18"/>
      <c r="G8" s="17">
        <v>0</v>
      </c>
      <c r="H8" s="143"/>
      <c r="I8" s="17">
        <v>0</v>
      </c>
      <c r="J8" s="18">
        <v>0</v>
      </c>
      <c r="K8" s="18"/>
      <c r="L8" s="17">
        <v>0</v>
      </c>
      <c r="M8" s="17">
        <v>0</v>
      </c>
      <c r="N8" s="19"/>
    </row>
    <row r="9" spans="1:13" ht="15">
      <c r="A9" s="14">
        <v>47</v>
      </c>
      <c r="B9" s="15">
        <v>1815</v>
      </c>
      <c r="C9" s="16" t="s">
        <v>52</v>
      </c>
      <c r="D9" s="17">
        <v>0</v>
      </c>
      <c r="E9" s="18">
        <v>0</v>
      </c>
      <c r="F9" s="18"/>
      <c r="G9" s="17">
        <v>0</v>
      </c>
      <c r="H9" s="143"/>
      <c r="I9" s="17">
        <v>0</v>
      </c>
      <c r="J9" s="18">
        <v>0</v>
      </c>
      <c r="K9" s="18"/>
      <c r="L9" s="17">
        <v>0</v>
      </c>
      <c r="M9" s="17">
        <v>0</v>
      </c>
    </row>
    <row r="10" spans="1:14" ht="15">
      <c r="A10" s="14">
        <v>47</v>
      </c>
      <c r="B10" s="15">
        <v>1820</v>
      </c>
      <c r="C10" s="16" t="s">
        <v>9</v>
      </c>
      <c r="D10" s="17">
        <v>0</v>
      </c>
      <c r="E10" s="18">
        <v>0</v>
      </c>
      <c r="F10" s="18"/>
      <c r="G10" s="17">
        <v>0</v>
      </c>
      <c r="H10" s="143"/>
      <c r="I10" s="17">
        <v>0</v>
      </c>
      <c r="J10" s="18">
        <v>0</v>
      </c>
      <c r="K10" s="18"/>
      <c r="L10" s="17">
        <v>0</v>
      </c>
      <c r="M10" s="17">
        <v>0</v>
      </c>
      <c r="N10" s="19"/>
    </row>
    <row r="11" spans="1:13" ht="15">
      <c r="A11" s="14">
        <v>47</v>
      </c>
      <c r="B11" s="15">
        <v>1825</v>
      </c>
      <c r="C11" s="16" t="s">
        <v>53</v>
      </c>
      <c r="D11" s="17">
        <v>0</v>
      </c>
      <c r="E11" s="18">
        <v>0</v>
      </c>
      <c r="F11" s="18"/>
      <c r="G11" s="17">
        <v>0</v>
      </c>
      <c r="H11" s="143"/>
      <c r="I11" s="17">
        <v>0</v>
      </c>
      <c r="J11" s="18">
        <v>0</v>
      </c>
      <c r="K11" s="18"/>
      <c r="L11" s="17">
        <v>0</v>
      </c>
      <c r="M11" s="17">
        <v>0</v>
      </c>
    </row>
    <row r="12" spans="1:14" ht="15">
      <c r="A12" s="14">
        <v>47</v>
      </c>
      <c r="B12" s="15">
        <v>1830</v>
      </c>
      <c r="C12" s="16" t="s">
        <v>10</v>
      </c>
      <c r="D12" s="17">
        <v>0</v>
      </c>
      <c r="E12" s="18">
        <v>0</v>
      </c>
      <c r="F12" s="18"/>
      <c r="G12" s="17">
        <v>0</v>
      </c>
      <c r="H12" s="143"/>
      <c r="I12" s="17">
        <v>0</v>
      </c>
      <c r="J12" s="18">
        <v>0</v>
      </c>
      <c r="K12" s="18"/>
      <c r="L12" s="17">
        <v>0</v>
      </c>
      <c r="M12" s="17">
        <v>0</v>
      </c>
      <c r="N12" s="19"/>
    </row>
    <row r="13" spans="1:14" ht="15">
      <c r="A13" s="14">
        <v>47</v>
      </c>
      <c r="B13" s="15">
        <v>1835</v>
      </c>
      <c r="C13" s="16" t="s">
        <v>11</v>
      </c>
      <c r="D13" s="17">
        <v>0</v>
      </c>
      <c r="E13" s="18">
        <v>0</v>
      </c>
      <c r="F13" s="18"/>
      <c r="G13" s="17">
        <v>0</v>
      </c>
      <c r="H13" s="143"/>
      <c r="I13" s="17">
        <v>0</v>
      </c>
      <c r="J13" s="18">
        <v>0</v>
      </c>
      <c r="K13" s="18"/>
      <c r="L13" s="17">
        <v>0</v>
      </c>
      <c r="M13" s="17">
        <v>0</v>
      </c>
      <c r="N13" s="19"/>
    </row>
    <row r="14" spans="1:14" ht="15">
      <c r="A14" s="14">
        <v>47</v>
      </c>
      <c r="B14" s="15">
        <v>1840</v>
      </c>
      <c r="C14" s="16" t="s">
        <v>30</v>
      </c>
      <c r="D14" s="17">
        <v>0</v>
      </c>
      <c r="E14" s="18">
        <v>0</v>
      </c>
      <c r="F14" s="18"/>
      <c r="G14" s="17">
        <v>0</v>
      </c>
      <c r="H14" s="143"/>
      <c r="I14" s="17">
        <v>0</v>
      </c>
      <c r="J14" s="18">
        <v>0</v>
      </c>
      <c r="K14" s="18"/>
      <c r="L14" s="17">
        <v>0</v>
      </c>
      <c r="M14" s="17">
        <v>0</v>
      </c>
      <c r="N14" s="19"/>
    </row>
    <row r="15" spans="1:14" ht="15">
      <c r="A15" s="14">
        <v>47</v>
      </c>
      <c r="B15" s="15">
        <v>1845</v>
      </c>
      <c r="C15" s="16" t="s">
        <v>12</v>
      </c>
      <c r="D15" s="17">
        <v>0</v>
      </c>
      <c r="E15" s="18">
        <v>0</v>
      </c>
      <c r="F15" s="18"/>
      <c r="G15" s="17">
        <v>0</v>
      </c>
      <c r="H15" s="143"/>
      <c r="I15" s="17">
        <v>0</v>
      </c>
      <c r="J15" s="18">
        <v>0</v>
      </c>
      <c r="K15" s="18"/>
      <c r="L15" s="17">
        <v>0</v>
      </c>
      <c r="M15" s="17">
        <v>0</v>
      </c>
      <c r="N15" s="19"/>
    </row>
    <row r="16" spans="1:14" ht="15">
      <c r="A16" s="14">
        <v>47</v>
      </c>
      <c r="B16" s="15">
        <v>1850</v>
      </c>
      <c r="C16" s="16" t="s">
        <v>13</v>
      </c>
      <c r="D16" s="17">
        <v>0</v>
      </c>
      <c r="E16" s="18">
        <v>0</v>
      </c>
      <c r="F16" s="18"/>
      <c r="G16" s="17">
        <v>0</v>
      </c>
      <c r="H16" s="143"/>
      <c r="I16" s="17">
        <v>0</v>
      </c>
      <c r="J16" s="18">
        <v>0</v>
      </c>
      <c r="K16" s="18"/>
      <c r="L16" s="17">
        <v>0</v>
      </c>
      <c r="M16" s="17">
        <v>0</v>
      </c>
      <c r="N16" s="19"/>
    </row>
    <row r="17" spans="1:14" ht="15">
      <c r="A17" s="14">
        <v>47</v>
      </c>
      <c r="B17" s="15">
        <v>1855</v>
      </c>
      <c r="C17" s="16" t="s">
        <v>14</v>
      </c>
      <c r="D17" s="17">
        <v>0</v>
      </c>
      <c r="E17" s="18">
        <v>0</v>
      </c>
      <c r="F17" s="18"/>
      <c r="G17" s="17">
        <v>0</v>
      </c>
      <c r="H17" s="143"/>
      <c r="I17" s="17">
        <v>0</v>
      </c>
      <c r="J17" s="18">
        <v>0</v>
      </c>
      <c r="K17" s="18"/>
      <c r="L17" s="17">
        <v>0</v>
      </c>
      <c r="M17" s="17">
        <v>0</v>
      </c>
      <c r="N17" s="19"/>
    </row>
    <row r="18" spans="1:14" ht="15">
      <c r="A18" s="14">
        <v>47</v>
      </c>
      <c r="B18" s="15">
        <v>1860</v>
      </c>
      <c r="C18" s="16" t="s">
        <v>15</v>
      </c>
      <c r="D18" s="17">
        <v>0</v>
      </c>
      <c r="E18" s="18">
        <v>0</v>
      </c>
      <c r="F18" s="18"/>
      <c r="G18" s="17">
        <v>0</v>
      </c>
      <c r="H18" s="143"/>
      <c r="I18" s="17">
        <v>0</v>
      </c>
      <c r="J18" s="18">
        <v>0</v>
      </c>
      <c r="K18" s="18"/>
      <c r="L18" s="17">
        <v>0</v>
      </c>
      <c r="M18" s="17">
        <v>0</v>
      </c>
      <c r="N18" s="19"/>
    </row>
    <row r="19" spans="1:14" ht="15">
      <c r="A19" s="14">
        <v>47</v>
      </c>
      <c r="B19" s="15">
        <v>1861</v>
      </c>
      <c r="C19" s="16" t="s">
        <v>16</v>
      </c>
      <c r="D19" s="17">
        <v>17948102.14</v>
      </c>
      <c r="E19" s="18">
        <v>6043663.329999999</v>
      </c>
      <c r="F19" s="18"/>
      <c r="G19" s="17">
        <v>23991765.47</v>
      </c>
      <c r="H19" s="143"/>
      <c r="I19" s="17">
        <v>849307.37</v>
      </c>
      <c r="J19" s="18">
        <v>1373377.5799999998</v>
      </c>
      <c r="K19" s="18"/>
      <c r="L19" s="17">
        <v>2222684.9499999997</v>
      </c>
      <c r="M19" s="17">
        <v>21769080.52</v>
      </c>
      <c r="N19" s="19"/>
    </row>
    <row r="20" spans="1:14" ht="15">
      <c r="A20" s="14" t="s">
        <v>51</v>
      </c>
      <c r="B20" s="15">
        <v>1905</v>
      </c>
      <c r="C20" s="16" t="s">
        <v>17</v>
      </c>
      <c r="D20" s="17">
        <v>0</v>
      </c>
      <c r="E20" s="18">
        <v>0</v>
      </c>
      <c r="F20" s="18"/>
      <c r="G20" s="17">
        <v>0</v>
      </c>
      <c r="H20" s="143"/>
      <c r="I20" s="17">
        <v>0</v>
      </c>
      <c r="J20" s="18">
        <v>0</v>
      </c>
      <c r="K20" s="18"/>
      <c r="L20" s="17">
        <v>0</v>
      </c>
      <c r="M20" s="17">
        <v>0</v>
      </c>
      <c r="N20" s="19"/>
    </row>
    <row r="21" spans="1:14" ht="15">
      <c r="A21" s="14" t="s">
        <v>54</v>
      </c>
      <c r="B21" s="15">
        <v>1906</v>
      </c>
      <c r="C21" s="16" t="s">
        <v>18</v>
      </c>
      <c r="D21" s="17">
        <v>0</v>
      </c>
      <c r="E21" s="18">
        <v>0</v>
      </c>
      <c r="F21" s="18"/>
      <c r="G21" s="17">
        <v>0</v>
      </c>
      <c r="H21" s="143"/>
      <c r="I21" s="17">
        <v>0</v>
      </c>
      <c r="J21" s="18">
        <v>0</v>
      </c>
      <c r="K21" s="18"/>
      <c r="L21" s="17">
        <v>0</v>
      </c>
      <c r="M21" s="17">
        <v>0</v>
      </c>
      <c r="N21" s="19"/>
    </row>
    <row r="22" spans="1:14" ht="15">
      <c r="A22" s="14">
        <v>47</v>
      </c>
      <c r="B22" s="15">
        <v>1908</v>
      </c>
      <c r="C22" s="16" t="s">
        <v>19</v>
      </c>
      <c r="D22" s="17">
        <v>0</v>
      </c>
      <c r="E22" s="18">
        <v>0</v>
      </c>
      <c r="F22" s="18"/>
      <c r="G22" s="17">
        <v>0</v>
      </c>
      <c r="H22" s="143"/>
      <c r="I22" s="17">
        <v>0</v>
      </c>
      <c r="J22" s="18">
        <v>0</v>
      </c>
      <c r="K22" s="18"/>
      <c r="L22" s="17">
        <v>0</v>
      </c>
      <c r="M22" s="17">
        <v>0</v>
      </c>
      <c r="N22" s="19"/>
    </row>
    <row r="23" spans="1:14" ht="15">
      <c r="A23" s="14">
        <v>13</v>
      </c>
      <c r="B23" s="15">
        <v>1910</v>
      </c>
      <c r="C23" s="16" t="s">
        <v>8</v>
      </c>
      <c r="D23" s="17">
        <v>0</v>
      </c>
      <c r="E23" s="18">
        <v>0</v>
      </c>
      <c r="F23" s="18"/>
      <c r="G23" s="17">
        <v>0</v>
      </c>
      <c r="H23" s="143"/>
      <c r="I23" s="17">
        <v>0</v>
      </c>
      <c r="J23" s="18">
        <v>0</v>
      </c>
      <c r="K23" s="18"/>
      <c r="L23" s="17">
        <v>0</v>
      </c>
      <c r="M23" s="17">
        <v>0</v>
      </c>
      <c r="N23" s="19"/>
    </row>
    <row r="24" spans="1:14" ht="15">
      <c r="A24" s="14">
        <v>8</v>
      </c>
      <c r="B24" s="15">
        <v>1915</v>
      </c>
      <c r="C24" s="16" t="s">
        <v>20</v>
      </c>
      <c r="D24" s="17">
        <v>0</v>
      </c>
      <c r="E24" s="18">
        <v>0</v>
      </c>
      <c r="F24" s="18"/>
      <c r="G24" s="17">
        <v>0</v>
      </c>
      <c r="H24" s="143"/>
      <c r="I24" s="17">
        <v>0</v>
      </c>
      <c r="J24" s="18">
        <v>0</v>
      </c>
      <c r="K24" s="18"/>
      <c r="L24" s="17">
        <v>0</v>
      </c>
      <c r="M24" s="17">
        <v>0</v>
      </c>
      <c r="N24" s="19"/>
    </row>
    <row r="25" spans="1:14" ht="15">
      <c r="A25" s="14">
        <v>10</v>
      </c>
      <c r="B25" s="15">
        <v>1920</v>
      </c>
      <c r="C25" s="16" t="s">
        <v>21</v>
      </c>
      <c r="D25" s="17">
        <v>0</v>
      </c>
      <c r="E25" s="18">
        <v>0</v>
      </c>
      <c r="F25" s="18"/>
      <c r="G25" s="17">
        <v>0</v>
      </c>
      <c r="H25" s="143"/>
      <c r="I25" s="17">
        <v>0</v>
      </c>
      <c r="J25" s="18">
        <v>0</v>
      </c>
      <c r="K25" s="18"/>
      <c r="L25" s="17">
        <v>0</v>
      </c>
      <c r="M25" s="17">
        <v>0</v>
      </c>
      <c r="N25" s="19"/>
    </row>
    <row r="26" spans="1:14" ht="15">
      <c r="A26" s="14">
        <v>45</v>
      </c>
      <c r="B26" s="15">
        <v>1921</v>
      </c>
      <c r="C26" s="16" t="s">
        <v>22</v>
      </c>
      <c r="D26" s="17">
        <v>89104.64</v>
      </c>
      <c r="E26" s="18">
        <v>0</v>
      </c>
      <c r="F26" s="18"/>
      <c r="G26" s="17">
        <v>89104.64</v>
      </c>
      <c r="H26" s="143"/>
      <c r="I26" s="17">
        <v>24415.52</v>
      </c>
      <c r="J26" s="18">
        <v>17820.929999999997</v>
      </c>
      <c r="K26" s="18"/>
      <c r="L26" s="17">
        <v>42236.45</v>
      </c>
      <c r="M26" s="17">
        <v>46868.19</v>
      </c>
      <c r="N26" s="19"/>
    </row>
    <row r="27" spans="1:14" ht="15">
      <c r="A27" s="14">
        <v>45.1</v>
      </c>
      <c r="B27" s="15">
        <v>1921</v>
      </c>
      <c r="C27" s="16" t="s">
        <v>55</v>
      </c>
      <c r="D27" s="17">
        <v>94259.11</v>
      </c>
      <c r="E27" s="18">
        <v>0</v>
      </c>
      <c r="F27" s="18"/>
      <c r="G27" s="17">
        <v>94259.11</v>
      </c>
      <c r="H27" s="143"/>
      <c r="I27" s="17">
        <v>20056.43</v>
      </c>
      <c r="J27" s="18">
        <v>18851.82</v>
      </c>
      <c r="K27" s="18"/>
      <c r="L27" s="17">
        <v>38908.25</v>
      </c>
      <c r="M27" s="17">
        <v>55350.86</v>
      </c>
      <c r="N27" s="19"/>
    </row>
    <row r="28" spans="1:14" ht="15">
      <c r="A28" s="14">
        <v>12</v>
      </c>
      <c r="B28" s="15">
        <v>1925</v>
      </c>
      <c r="C28" s="16" t="s">
        <v>23</v>
      </c>
      <c r="D28" s="17">
        <v>87283.47</v>
      </c>
      <c r="E28" s="18">
        <v>0</v>
      </c>
      <c r="F28" s="18"/>
      <c r="G28" s="17">
        <v>87283.47</v>
      </c>
      <c r="H28" s="143"/>
      <c r="I28" s="17">
        <v>33496.96</v>
      </c>
      <c r="J28" s="18">
        <v>29094.489999999998</v>
      </c>
      <c r="K28" s="18"/>
      <c r="L28" s="17">
        <v>62591.45</v>
      </c>
      <c r="M28" s="17">
        <v>24692.020000000004</v>
      </c>
      <c r="N28" s="19"/>
    </row>
    <row r="29" spans="1:14" ht="15">
      <c r="A29" s="14">
        <v>10</v>
      </c>
      <c r="B29" s="15">
        <v>1930</v>
      </c>
      <c r="C29" s="16" t="s">
        <v>24</v>
      </c>
      <c r="D29" s="17">
        <v>0</v>
      </c>
      <c r="E29" s="18">
        <v>0</v>
      </c>
      <c r="F29" s="18"/>
      <c r="G29" s="17">
        <v>0</v>
      </c>
      <c r="H29" s="143"/>
      <c r="I29" s="17">
        <v>0</v>
      </c>
      <c r="J29" s="18">
        <v>0</v>
      </c>
      <c r="K29" s="18"/>
      <c r="L29" s="17">
        <v>0</v>
      </c>
      <c r="M29" s="17">
        <v>0</v>
      </c>
      <c r="N29" s="19"/>
    </row>
    <row r="30" spans="1:14" ht="15">
      <c r="A30" s="14">
        <v>8</v>
      </c>
      <c r="B30" s="15">
        <v>1935</v>
      </c>
      <c r="C30" s="16" t="s">
        <v>25</v>
      </c>
      <c r="D30" s="17">
        <v>0</v>
      </c>
      <c r="E30" s="18">
        <v>0</v>
      </c>
      <c r="F30" s="18"/>
      <c r="G30" s="17">
        <v>0</v>
      </c>
      <c r="H30" s="143"/>
      <c r="I30" s="17">
        <v>0</v>
      </c>
      <c r="J30" s="18">
        <v>0</v>
      </c>
      <c r="K30" s="18"/>
      <c r="L30" s="17">
        <v>0</v>
      </c>
      <c r="M30" s="17">
        <v>0</v>
      </c>
      <c r="N30" s="19"/>
    </row>
    <row r="31" spans="1:14" ht="15">
      <c r="A31" s="14">
        <v>8</v>
      </c>
      <c r="B31" s="15">
        <v>1940</v>
      </c>
      <c r="C31" s="16" t="s">
        <v>26</v>
      </c>
      <c r="D31" s="17">
        <v>8859.65</v>
      </c>
      <c r="E31" s="18">
        <v>0</v>
      </c>
      <c r="F31" s="18"/>
      <c r="G31" s="17">
        <v>8859.65</v>
      </c>
      <c r="H31" s="143"/>
      <c r="I31" s="17">
        <v>658.33</v>
      </c>
      <c r="J31" s="18">
        <v>885.9699999999999</v>
      </c>
      <c r="K31" s="18"/>
      <c r="L31" s="17">
        <v>1544.3</v>
      </c>
      <c r="M31" s="17">
        <v>7315.349999999999</v>
      </c>
      <c r="N31" s="19"/>
    </row>
    <row r="32" spans="1:14" ht="15">
      <c r="A32" s="14">
        <v>8</v>
      </c>
      <c r="B32" s="15">
        <v>1945</v>
      </c>
      <c r="C32" s="16" t="s">
        <v>31</v>
      </c>
      <c r="D32" s="17">
        <v>0</v>
      </c>
      <c r="E32" s="18">
        <v>0</v>
      </c>
      <c r="F32" s="18"/>
      <c r="G32" s="17">
        <v>0</v>
      </c>
      <c r="H32" s="143"/>
      <c r="I32" s="17">
        <v>0</v>
      </c>
      <c r="J32" s="18">
        <v>0</v>
      </c>
      <c r="K32" s="18"/>
      <c r="L32" s="17">
        <v>0</v>
      </c>
      <c r="M32" s="17">
        <v>0</v>
      </c>
      <c r="N32" s="19"/>
    </row>
    <row r="33" spans="1:14" ht="15">
      <c r="A33" s="14">
        <v>8</v>
      </c>
      <c r="B33" s="15">
        <v>1950</v>
      </c>
      <c r="C33" s="16" t="s">
        <v>32</v>
      </c>
      <c r="D33" s="17">
        <v>0</v>
      </c>
      <c r="E33" s="18">
        <v>0</v>
      </c>
      <c r="F33" s="18"/>
      <c r="G33" s="17">
        <v>0</v>
      </c>
      <c r="H33" s="143"/>
      <c r="I33" s="17">
        <v>0</v>
      </c>
      <c r="J33" s="18">
        <v>0</v>
      </c>
      <c r="K33" s="18"/>
      <c r="L33" s="17">
        <v>0</v>
      </c>
      <c r="M33" s="17">
        <v>0</v>
      </c>
      <c r="N33" s="19"/>
    </row>
    <row r="34" spans="1:14" ht="15">
      <c r="A34" s="14">
        <v>8</v>
      </c>
      <c r="B34" s="15">
        <v>1955</v>
      </c>
      <c r="C34" s="16" t="s">
        <v>27</v>
      </c>
      <c r="D34" s="17">
        <v>0</v>
      </c>
      <c r="E34" s="18">
        <v>0</v>
      </c>
      <c r="F34" s="18"/>
      <c r="G34" s="17">
        <v>0</v>
      </c>
      <c r="H34" s="143"/>
      <c r="I34" s="17">
        <v>0</v>
      </c>
      <c r="J34" s="18">
        <v>0</v>
      </c>
      <c r="K34" s="18"/>
      <c r="L34" s="17">
        <v>0</v>
      </c>
      <c r="M34" s="17">
        <v>0</v>
      </c>
      <c r="N34" s="19"/>
    </row>
    <row r="35" spans="1:14" ht="15">
      <c r="A35" s="14">
        <v>8</v>
      </c>
      <c r="B35" s="15">
        <v>1960</v>
      </c>
      <c r="C35" s="16" t="s">
        <v>56</v>
      </c>
      <c r="D35" s="17">
        <v>0</v>
      </c>
      <c r="E35" s="18">
        <v>0</v>
      </c>
      <c r="F35" s="18"/>
      <c r="G35" s="17">
        <v>0</v>
      </c>
      <c r="H35" s="143"/>
      <c r="I35" s="17">
        <v>0</v>
      </c>
      <c r="J35" s="18">
        <v>0</v>
      </c>
      <c r="K35" s="18"/>
      <c r="L35" s="17">
        <v>0</v>
      </c>
      <c r="M35" s="17">
        <v>0</v>
      </c>
      <c r="N35" s="19"/>
    </row>
    <row r="36" spans="1:14" ht="15">
      <c r="A36" s="14">
        <v>47</v>
      </c>
      <c r="B36" s="15">
        <v>1965</v>
      </c>
      <c r="C36" s="16" t="s">
        <v>57</v>
      </c>
      <c r="D36" s="17">
        <v>0</v>
      </c>
      <c r="E36" s="18">
        <v>0</v>
      </c>
      <c r="F36" s="18"/>
      <c r="G36" s="17">
        <v>0</v>
      </c>
      <c r="H36" s="143"/>
      <c r="I36" s="17">
        <v>0</v>
      </c>
      <c r="J36" s="18">
        <v>0</v>
      </c>
      <c r="K36" s="18"/>
      <c r="L36" s="17">
        <v>0</v>
      </c>
      <c r="M36" s="17">
        <v>0</v>
      </c>
      <c r="N36" s="19"/>
    </row>
    <row r="37" spans="1:14" ht="15">
      <c r="A37" s="14">
        <v>47</v>
      </c>
      <c r="B37" s="15">
        <v>1970</v>
      </c>
      <c r="C37" s="16" t="s">
        <v>33</v>
      </c>
      <c r="D37" s="17">
        <v>0</v>
      </c>
      <c r="E37" s="18">
        <v>0</v>
      </c>
      <c r="F37" s="18"/>
      <c r="G37" s="17">
        <v>0</v>
      </c>
      <c r="H37" s="143"/>
      <c r="I37" s="17">
        <v>0</v>
      </c>
      <c r="J37" s="18">
        <v>0</v>
      </c>
      <c r="K37" s="18"/>
      <c r="L37" s="17">
        <v>0</v>
      </c>
      <c r="M37" s="17">
        <v>0</v>
      </c>
      <c r="N37" s="19"/>
    </row>
    <row r="38" spans="1:14" ht="15">
      <c r="A38" s="14">
        <v>47</v>
      </c>
      <c r="B38" s="15">
        <v>1975</v>
      </c>
      <c r="C38" s="16" t="s">
        <v>58</v>
      </c>
      <c r="D38" s="17">
        <v>0</v>
      </c>
      <c r="E38" s="18">
        <v>0</v>
      </c>
      <c r="F38" s="18"/>
      <c r="G38" s="17">
        <v>0</v>
      </c>
      <c r="H38" s="143"/>
      <c r="I38" s="17">
        <v>0</v>
      </c>
      <c r="J38" s="18">
        <v>0</v>
      </c>
      <c r="K38" s="18"/>
      <c r="L38" s="17">
        <v>0</v>
      </c>
      <c r="M38" s="17">
        <v>0</v>
      </c>
      <c r="N38" s="19"/>
    </row>
    <row r="39" spans="1:14" ht="15">
      <c r="A39" s="14">
        <v>47</v>
      </c>
      <c r="B39" s="15">
        <v>1980</v>
      </c>
      <c r="C39" s="16" t="s">
        <v>34</v>
      </c>
      <c r="D39" s="17">
        <v>0</v>
      </c>
      <c r="E39" s="18">
        <v>0</v>
      </c>
      <c r="F39" s="18"/>
      <c r="G39" s="17">
        <v>0</v>
      </c>
      <c r="H39" s="143"/>
      <c r="I39" s="17">
        <v>0</v>
      </c>
      <c r="J39" s="18">
        <v>0</v>
      </c>
      <c r="K39" s="18"/>
      <c r="L39" s="17">
        <v>0</v>
      </c>
      <c r="M39" s="17">
        <v>0</v>
      </c>
      <c r="N39" s="19"/>
    </row>
    <row r="40" spans="1:14" ht="15">
      <c r="A40" s="14">
        <v>47</v>
      </c>
      <c r="B40" s="15">
        <v>1985</v>
      </c>
      <c r="C40" s="16" t="s">
        <v>59</v>
      </c>
      <c r="D40" s="17">
        <v>0</v>
      </c>
      <c r="E40" s="18">
        <v>0</v>
      </c>
      <c r="F40" s="18"/>
      <c r="G40" s="17">
        <v>0</v>
      </c>
      <c r="H40" s="143"/>
      <c r="I40" s="17">
        <v>0</v>
      </c>
      <c r="J40" s="18">
        <v>0</v>
      </c>
      <c r="K40" s="18"/>
      <c r="L40" s="17">
        <v>0</v>
      </c>
      <c r="M40" s="17">
        <v>0</v>
      </c>
      <c r="N40" s="19"/>
    </row>
    <row r="41" spans="1:14" ht="15">
      <c r="A41" s="14">
        <v>47</v>
      </c>
      <c r="B41" s="15">
        <v>1996</v>
      </c>
      <c r="C41" s="16" t="s">
        <v>35</v>
      </c>
      <c r="D41" s="17">
        <v>0</v>
      </c>
      <c r="E41" s="18">
        <v>0</v>
      </c>
      <c r="F41" s="18"/>
      <c r="G41" s="17">
        <v>0</v>
      </c>
      <c r="H41" s="143"/>
      <c r="I41" s="17">
        <v>0</v>
      </c>
      <c r="J41" s="18">
        <v>0</v>
      </c>
      <c r="K41" s="18"/>
      <c r="L41" s="17">
        <v>0</v>
      </c>
      <c r="M41" s="17">
        <v>0</v>
      </c>
      <c r="N41" s="19"/>
    </row>
    <row r="42" spans="1:14" ht="15">
      <c r="A42" s="14">
        <v>47</v>
      </c>
      <c r="B42" s="15">
        <v>1995</v>
      </c>
      <c r="C42" s="16" t="s">
        <v>36</v>
      </c>
      <c r="D42" s="17">
        <v>0</v>
      </c>
      <c r="E42" s="18">
        <v>0</v>
      </c>
      <c r="F42" s="18"/>
      <c r="G42" s="17">
        <v>0</v>
      </c>
      <c r="H42" s="143"/>
      <c r="I42" s="17">
        <v>0</v>
      </c>
      <c r="J42" s="18">
        <v>0</v>
      </c>
      <c r="K42" s="18"/>
      <c r="L42" s="17">
        <v>0</v>
      </c>
      <c r="M42" s="17">
        <v>0</v>
      </c>
      <c r="N42" s="19"/>
    </row>
    <row r="43" spans="1:14" ht="15">
      <c r="A43" s="14"/>
      <c r="B43" s="20"/>
      <c r="C43" s="21" t="s">
        <v>60</v>
      </c>
      <c r="D43" s="22">
        <v>18227609.009999998</v>
      </c>
      <c r="E43" s="22">
        <v>6043663.329999999</v>
      </c>
      <c r="F43" s="22">
        <v>0</v>
      </c>
      <c r="G43" s="22">
        <v>24271272.339999996</v>
      </c>
      <c r="H43" s="143"/>
      <c r="I43" s="22">
        <v>927934.61</v>
      </c>
      <c r="J43" s="22">
        <v>1440030.7899999998</v>
      </c>
      <c r="K43" s="22">
        <v>0</v>
      </c>
      <c r="L43" s="22">
        <v>2367965.4</v>
      </c>
      <c r="M43" s="22">
        <v>21903306.94</v>
      </c>
      <c r="N43" s="19"/>
    </row>
  </sheetData>
  <sheetProtection/>
  <mergeCells count="18">
    <mergeCell ref="L4:L5"/>
    <mergeCell ref="M4:M5"/>
    <mergeCell ref="F4:F5"/>
    <mergeCell ref="G4:G5"/>
    <mergeCell ref="H4:H43"/>
    <mergeCell ref="I4:I5"/>
    <mergeCell ref="J4:J5"/>
    <mergeCell ref="K4:K5"/>
    <mergeCell ref="E4:E5"/>
    <mergeCell ref="A4:A5"/>
    <mergeCell ref="B4:B5"/>
    <mergeCell ref="C4:C5"/>
    <mergeCell ref="D4:D5"/>
    <mergeCell ref="A1:M1"/>
    <mergeCell ref="D2:G2"/>
    <mergeCell ref="I2:L2"/>
    <mergeCell ref="D3:G3"/>
    <mergeCell ref="I3:L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72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8.421875" style="0" bestFit="1" customWidth="1"/>
    <col min="2" max="2" width="11.00390625" style="0" bestFit="1" customWidth="1"/>
    <col min="3" max="3" width="34.7109375" style="0" bestFit="1" customWidth="1"/>
  </cols>
  <sheetData>
    <row r="1" spans="1:3" ht="21">
      <c r="A1" s="144" t="s">
        <v>72</v>
      </c>
      <c r="B1" s="144"/>
      <c r="C1" s="144"/>
    </row>
    <row r="2" spans="1:3" ht="15">
      <c r="A2" s="42" t="s">
        <v>47</v>
      </c>
      <c r="B2" s="42" t="s">
        <v>70</v>
      </c>
      <c r="C2" s="42" t="s">
        <v>71</v>
      </c>
    </row>
    <row r="3" spans="1:3" ht="15">
      <c r="A3" s="43" t="s">
        <v>67</v>
      </c>
      <c r="B3" s="44">
        <v>171600</v>
      </c>
      <c r="C3" s="44">
        <f>B3/25</f>
        <v>6864</v>
      </c>
    </row>
    <row r="4" spans="1:3" ht="15">
      <c r="A4" s="43" t="s">
        <v>68</v>
      </c>
      <c r="B4" s="44">
        <v>31200</v>
      </c>
      <c r="C4" s="44">
        <f>B4/25</f>
        <v>1248</v>
      </c>
    </row>
    <row r="5" spans="1:3" ht="15">
      <c r="A5" s="46" t="s">
        <v>60</v>
      </c>
      <c r="B5" s="45">
        <f>SUM(B3:B4)</f>
        <v>202800</v>
      </c>
      <c r="C5" s="45">
        <f>C3+C4</f>
        <v>8112</v>
      </c>
    </row>
    <row r="7" ht="15">
      <c r="A7" t="s">
        <v>69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525" verticalDpi="52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0">
      <selection activeCell="H24" sqref="H24"/>
    </sheetView>
  </sheetViews>
  <sheetFormatPr defaultColWidth="9.140625" defaultRowHeight="15"/>
  <cols>
    <col min="1" max="1" width="1.57421875" style="52" customWidth="1"/>
    <col min="2" max="2" width="6.421875" style="52" customWidth="1"/>
    <col min="3" max="3" width="49.421875" style="52" customWidth="1"/>
    <col min="4" max="4" width="17.421875" style="52" customWidth="1"/>
    <col min="5" max="5" width="21.140625" style="52" customWidth="1"/>
    <col min="6" max="6" width="20.421875" style="52" customWidth="1"/>
    <col min="7" max="7" width="19.28125" style="52" customWidth="1"/>
    <col min="8" max="8" width="13.00390625" style="52" customWidth="1"/>
    <col min="9" max="9" width="13.57421875" style="52" customWidth="1"/>
    <col min="10" max="10" width="18.57421875" style="52" customWidth="1"/>
    <col min="11" max="11" width="26.7109375" style="52" customWidth="1"/>
    <col min="12" max="12" width="13.140625" style="52" bestFit="1" customWidth="1"/>
    <col min="13" max="13" width="9.140625" style="52" customWidth="1"/>
    <col min="14" max="14" width="10.8515625" style="52" bestFit="1" customWidth="1"/>
    <col min="15" max="15" width="15.421875" style="52" customWidth="1"/>
    <col min="16" max="16384" width="9.140625" style="52" customWidth="1"/>
  </cols>
  <sheetData>
    <row r="1" spans="1:15" ht="12.75">
      <c r="A1" s="146" t="str">
        <f>'[1]Trial Balance'!A1:H1</f>
        <v>HORIZON UTILITIES CORPORATION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2.75">
      <c r="A2" s="146" t="str">
        <f>'[1]Trial Balance'!A2:H2</f>
        <v>2008 Forward Test Year Rate Application filed October 22, 2007, License Number ED-2006-0031, File Number EB-2007-0697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ht="6.75" customHeight="1"/>
    <row r="4" spans="2:15" ht="36" customHeight="1">
      <c r="B4" s="147" t="s">
        <v>73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5" s="53" customFormat="1" ht="38.25">
      <c r="B5" s="54" t="s">
        <v>74</v>
      </c>
      <c r="C5" s="54" t="s">
        <v>75</v>
      </c>
      <c r="D5" s="54" t="s">
        <v>76</v>
      </c>
      <c r="E5" s="54" t="s">
        <v>77</v>
      </c>
      <c r="F5" s="54" t="s">
        <v>78</v>
      </c>
      <c r="G5" s="54" t="s">
        <v>79</v>
      </c>
      <c r="H5" s="54" t="s">
        <v>80</v>
      </c>
      <c r="I5" s="54" t="s">
        <v>81</v>
      </c>
      <c r="J5" s="54" t="s">
        <v>82</v>
      </c>
      <c r="K5" s="54" t="s">
        <v>83</v>
      </c>
      <c r="L5" s="54" t="s">
        <v>84</v>
      </c>
      <c r="M5" s="54" t="s">
        <v>85</v>
      </c>
      <c r="N5" s="54" t="s">
        <v>86</v>
      </c>
      <c r="O5" s="54" t="s">
        <v>87</v>
      </c>
    </row>
    <row r="6" spans="2:15" ht="12.75">
      <c r="B6" s="55">
        <v>1</v>
      </c>
      <c r="C6" s="56" t="s">
        <v>88</v>
      </c>
      <c r="D6" s="57">
        <f>222711375</f>
        <v>222711375</v>
      </c>
      <c r="E6" s="58">
        <v>0</v>
      </c>
      <c r="F6" s="58">
        <v>0</v>
      </c>
      <c r="G6" s="59">
        <f>D6-E6-F6</f>
        <v>222711375</v>
      </c>
      <c r="H6" s="60">
        <v>0</v>
      </c>
      <c r="I6" s="60">
        <v>0</v>
      </c>
      <c r="J6" s="59">
        <f>G6+H6-I6</f>
        <v>222711375</v>
      </c>
      <c r="K6" s="59">
        <f>H6*0.5</f>
        <v>0</v>
      </c>
      <c r="L6" s="59">
        <f>J6-K6</f>
        <v>222711375</v>
      </c>
      <c r="M6" s="61">
        <v>0.04</v>
      </c>
      <c r="N6" s="59">
        <f>L6*M6</f>
        <v>8908455</v>
      </c>
      <c r="O6" s="59">
        <f>J6-N6</f>
        <v>213802920</v>
      </c>
    </row>
    <row r="7" spans="2:15" ht="12.75">
      <c r="B7" s="55">
        <v>2</v>
      </c>
      <c r="C7" s="56" t="s">
        <v>89</v>
      </c>
      <c r="D7" s="57">
        <f>53241582</f>
        <v>53241582</v>
      </c>
      <c r="E7" s="58">
        <v>0</v>
      </c>
      <c r="F7" s="58">
        <v>0</v>
      </c>
      <c r="G7" s="59">
        <f aca="true" t="shared" si="0" ref="G7:G24">D7-E7-F7</f>
        <v>53241582</v>
      </c>
      <c r="H7" s="60">
        <v>0</v>
      </c>
      <c r="I7" s="60">
        <v>0</v>
      </c>
      <c r="J7" s="59">
        <f aca="true" t="shared" si="1" ref="J7:J24">G7+H7-I7</f>
        <v>53241582</v>
      </c>
      <c r="K7" s="59">
        <f>H7*0.5</f>
        <v>0</v>
      </c>
      <c r="L7" s="59">
        <f aca="true" t="shared" si="2" ref="L7:L24">J7-K7</f>
        <v>53241582</v>
      </c>
      <c r="M7" s="61">
        <v>0.06</v>
      </c>
      <c r="N7" s="59">
        <f aca="true" t="shared" si="3" ref="N7:N24">L7*M7</f>
        <v>3194494.92</v>
      </c>
      <c r="O7" s="59">
        <f aca="true" t="shared" si="4" ref="O7:O24">J7-N7</f>
        <v>50047087.08</v>
      </c>
    </row>
    <row r="8" spans="2:15" ht="12.75">
      <c r="B8" s="55">
        <v>6</v>
      </c>
      <c r="C8" s="56" t="s">
        <v>90</v>
      </c>
      <c r="D8" s="57">
        <f>27221</f>
        <v>27221</v>
      </c>
      <c r="E8" s="58">
        <v>0</v>
      </c>
      <c r="F8" s="58">
        <v>0</v>
      </c>
      <c r="G8" s="59">
        <f t="shared" si="0"/>
        <v>27221</v>
      </c>
      <c r="H8" s="60">
        <v>0</v>
      </c>
      <c r="I8" s="60">
        <v>0</v>
      </c>
      <c r="J8" s="59">
        <f>G8+H8-I8</f>
        <v>27221</v>
      </c>
      <c r="K8" s="59">
        <f>H8*0.5</f>
        <v>0</v>
      </c>
      <c r="L8" s="59">
        <f>J8-K8</f>
        <v>27221</v>
      </c>
      <c r="M8" s="61">
        <v>0.1</v>
      </c>
      <c r="N8" s="59">
        <f>L8*M8</f>
        <v>2722.1000000000004</v>
      </c>
      <c r="O8" s="59">
        <f>J8-N8</f>
        <v>24498.9</v>
      </c>
    </row>
    <row r="9" spans="2:15" ht="12.75">
      <c r="B9" s="55">
        <v>8</v>
      </c>
      <c r="C9" s="56" t="s">
        <v>91</v>
      </c>
      <c r="D9" s="57">
        <f>7794033.47-355403.02-98943.45</f>
        <v>7339686.999999999</v>
      </c>
      <c r="E9" s="58">
        <v>0</v>
      </c>
      <c r="F9" s="58">
        <v>0</v>
      </c>
      <c r="G9" s="59">
        <f t="shared" si="0"/>
        <v>7339686.999999999</v>
      </c>
      <c r="H9" s="57">
        <f>'2007 FA Continuity'!E23+'2007 FA Continuity'!E28+'2007 FA Continuity'!E29+'2007 FA Continuity'!E30+'2007 FA Continuity'!E31+'2007 FA Continuity'!E32+'2007 FA Continuity'!E33-'2007 FA Continuity'!G29</f>
        <v>1507053.3699999999</v>
      </c>
      <c r="I9" s="60">
        <v>0</v>
      </c>
      <c r="J9" s="59">
        <f t="shared" si="1"/>
        <v>8846740.37</v>
      </c>
      <c r="K9" s="59">
        <f>H9*0.5</f>
        <v>753526.6849999999</v>
      </c>
      <c r="L9" s="59">
        <f t="shared" si="2"/>
        <v>8093213.685</v>
      </c>
      <c r="M9" s="61">
        <v>0.2</v>
      </c>
      <c r="N9" s="59">
        <f t="shared" si="3"/>
        <v>1618642.737</v>
      </c>
      <c r="O9" s="59">
        <f t="shared" si="4"/>
        <v>7228097.632999999</v>
      </c>
    </row>
    <row r="10" spans="2:15" ht="12.75">
      <c r="B10" s="55">
        <v>10</v>
      </c>
      <c r="C10" s="56" t="s">
        <v>92</v>
      </c>
      <c r="D10" s="57">
        <f>4958797.34-40973.34</f>
        <v>4917824</v>
      </c>
      <c r="E10" s="58">
        <v>0</v>
      </c>
      <c r="F10" s="58">
        <v>0</v>
      </c>
      <c r="G10" s="59">
        <f t="shared" si="0"/>
        <v>4917824</v>
      </c>
      <c r="H10" s="57">
        <f>'2007 FA Continuity'!E24+'2007 FA Continuity'!E27</f>
        <v>1907548.52</v>
      </c>
      <c r="I10" s="60">
        <v>0</v>
      </c>
      <c r="J10" s="59">
        <f t="shared" si="1"/>
        <v>6825372.52</v>
      </c>
      <c r="K10" s="59">
        <f>H10*0.5</f>
        <v>953774.26</v>
      </c>
      <c r="L10" s="59">
        <f t="shared" si="2"/>
        <v>5871598.26</v>
      </c>
      <c r="M10" s="61">
        <v>0.3</v>
      </c>
      <c r="N10" s="59">
        <f t="shared" si="3"/>
        <v>1761479.478</v>
      </c>
      <c r="O10" s="59">
        <f t="shared" si="4"/>
        <v>5063893.041999999</v>
      </c>
    </row>
    <row r="11" spans="2:15" ht="12.75">
      <c r="B11" s="55">
        <v>10.1</v>
      </c>
      <c r="C11" s="56" t="s">
        <v>93</v>
      </c>
      <c r="D11" s="60">
        <v>0</v>
      </c>
      <c r="E11" s="58">
        <v>0</v>
      </c>
      <c r="F11" s="58">
        <v>0</v>
      </c>
      <c r="G11" s="59">
        <f t="shared" si="0"/>
        <v>0</v>
      </c>
      <c r="H11" s="60">
        <v>0</v>
      </c>
      <c r="I11" s="60">
        <v>0</v>
      </c>
      <c r="J11" s="59">
        <f t="shared" si="1"/>
        <v>0</v>
      </c>
      <c r="K11" s="59">
        <f aca="true" t="shared" si="5" ref="K11:K24">H11*0.5</f>
        <v>0</v>
      </c>
      <c r="L11" s="59">
        <f t="shared" si="2"/>
        <v>0</v>
      </c>
      <c r="M11" s="61">
        <v>0.3</v>
      </c>
      <c r="N11" s="59">
        <f t="shared" si="3"/>
        <v>0</v>
      </c>
      <c r="O11" s="59">
        <f t="shared" si="4"/>
        <v>0</v>
      </c>
    </row>
    <row r="12" spans="2:15" ht="12.75">
      <c r="B12" s="55">
        <v>12</v>
      </c>
      <c r="C12" s="56" t="s">
        <v>94</v>
      </c>
      <c r="D12" s="57">
        <f>122697.22-33948.22</f>
        <v>88749</v>
      </c>
      <c r="E12" s="58">
        <v>0</v>
      </c>
      <c r="F12" s="58">
        <v>0</v>
      </c>
      <c r="G12" s="59">
        <f t="shared" si="0"/>
        <v>88749</v>
      </c>
      <c r="H12" s="57">
        <f>'2007 FA Continuity'!E26-'2007 FA Continuity'!G26</f>
        <v>383480.96</v>
      </c>
      <c r="I12" s="60">
        <v>0</v>
      </c>
      <c r="J12" s="59">
        <f t="shared" si="1"/>
        <v>472229.96</v>
      </c>
      <c r="K12" s="59">
        <f t="shared" si="5"/>
        <v>191740.48</v>
      </c>
      <c r="L12" s="59">
        <f t="shared" si="2"/>
        <v>280489.48</v>
      </c>
      <c r="M12" s="61">
        <v>1</v>
      </c>
      <c r="N12" s="59">
        <f t="shared" si="3"/>
        <v>280489.48</v>
      </c>
      <c r="O12" s="59">
        <f t="shared" si="4"/>
        <v>191740.48000000004</v>
      </c>
    </row>
    <row r="13" spans="2:15" ht="12.75">
      <c r="B13" s="55" t="s">
        <v>95</v>
      </c>
      <c r="C13" s="56" t="s">
        <v>96</v>
      </c>
      <c r="D13" s="60">
        <v>0</v>
      </c>
      <c r="E13" s="58">
        <v>0</v>
      </c>
      <c r="F13" s="58">
        <v>0</v>
      </c>
      <c r="G13" s="59">
        <f t="shared" si="0"/>
        <v>0</v>
      </c>
      <c r="H13" s="60">
        <v>0</v>
      </c>
      <c r="I13" s="60">
        <v>0</v>
      </c>
      <c r="J13" s="59">
        <f t="shared" si="1"/>
        <v>0</v>
      </c>
      <c r="K13" s="59">
        <f t="shared" si="5"/>
        <v>0</v>
      </c>
      <c r="L13" s="59">
        <f t="shared" si="2"/>
        <v>0</v>
      </c>
      <c r="M13" s="62">
        <v>0.2</v>
      </c>
      <c r="N13" s="59">
        <f t="shared" si="3"/>
        <v>0</v>
      </c>
      <c r="O13" s="59">
        <f t="shared" si="4"/>
        <v>0</v>
      </c>
    </row>
    <row r="14" spans="2:15" ht="12.75">
      <c r="B14" s="55" t="s">
        <v>97</v>
      </c>
      <c r="C14" s="56" t="s">
        <v>98</v>
      </c>
      <c r="D14" s="60">
        <v>0</v>
      </c>
      <c r="E14" s="58">
        <v>0</v>
      </c>
      <c r="F14" s="58">
        <v>0</v>
      </c>
      <c r="G14" s="59">
        <f t="shared" si="0"/>
        <v>0</v>
      </c>
      <c r="H14" s="60">
        <v>0</v>
      </c>
      <c r="I14" s="60">
        <v>0</v>
      </c>
      <c r="J14" s="59">
        <f t="shared" si="1"/>
        <v>0</v>
      </c>
      <c r="K14" s="59">
        <f t="shared" si="5"/>
        <v>0</v>
      </c>
      <c r="L14" s="59">
        <f t="shared" si="2"/>
        <v>0</v>
      </c>
      <c r="M14" s="58"/>
      <c r="N14" s="57">
        <f t="shared" si="3"/>
        <v>0</v>
      </c>
      <c r="O14" s="59">
        <f t="shared" si="4"/>
        <v>0</v>
      </c>
    </row>
    <row r="15" spans="2:15" ht="12.75">
      <c r="B15" s="55" t="s">
        <v>99</v>
      </c>
      <c r="C15" s="56" t="s">
        <v>100</v>
      </c>
      <c r="D15" s="60">
        <v>0</v>
      </c>
      <c r="E15" s="58">
        <v>0</v>
      </c>
      <c r="F15" s="58">
        <v>0</v>
      </c>
      <c r="G15" s="59">
        <f t="shared" si="0"/>
        <v>0</v>
      </c>
      <c r="H15" s="60">
        <v>0</v>
      </c>
      <c r="I15" s="60">
        <v>0</v>
      </c>
      <c r="J15" s="59">
        <f t="shared" si="1"/>
        <v>0</v>
      </c>
      <c r="K15" s="59">
        <f t="shared" si="5"/>
        <v>0</v>
      </c>
      <c r="L15" s="59">
        <f t="shared" si="2"/>
        <v>0</v>
      </c>
      <c r="M15" s="58"/>
      <c r="N15" s="57">
        <f t="shared" si="3"/>
        <v>0</v>
      </c>
      <c r="O15" s="59">
        <f t="shared" si="4"/>
        <v>0</v>
      </c>
    </row>
    <row r="16" spans="2:15" ht="12.75">
      <c r="B16" s="55" t="s">
        <v>101</v>
      </c>
      <c r="C16" s="56" t="s">
        <v>102</v>
      </c>
      <c r="D16" s="60">
        <v>0</v>
      </c>
      <c r="E16" s="58">
        <v>0</v>
      </c>
      <c r="F16" s="58">
        <v>0</v>
      </c>
      <c r="G16" s="59">
        <f t="shared" si="0"/>
        <v>0</v>
      </c>
      <c r="H16" s="60">
        <v>0</v>
      </c>
      <c r="I16" s="60">
        <v>0</v>
      </c>
      <c r="J16" s="59">
        <f t="shared" si="1"/>
        <v>0</v>
      </c>
      <c r="K16" s="59">
        <f t="shared" si="5"/>
        <v>0</v>
      </c>
      <c r="L16" s="59">
        <f t="shared" si="2"/>
        <v>0</v>
      </c>
      <c r="M16" s="58"/>
      <c r="N16" s="57">
        <f t="shared" si="3"/>
        <v>0</v>
      </c>
      <c r="O16" s="59">
        <f t="shared" si="4"/>
        <v>0</v>
      </c>
    </row>
    <row r="17" spans="2:15" ht="12.75">
      <c r="B17" s="55">
        <v>14</v>
      </c>
      <c r="C17" s="56" t="s">
        <v>103</v>
      </c>
      <c r="D17" s="60">
        <v>0</v>
      </c>
      <c r="E17" s="58">
        <v>0</v>
      </c>
      <c r="F17" s="58">
        <v>0</v>
      </c>
      <c r="G17" s="59">
        <f t="shared" si="0"/>
        <v>0</v>
      </c>
      <c r="H17" s="60">
        <v>0</v>
      </c>
      <c r="I17" s="60">
        <v>0</v>
      </c>
      <c r="J17" s="59">
        <f t="shared" si="1"/>
        <v>0</v>
      </c>
      <c r="K17" s="59">
        <f t="shared" si="5"/>
        <v>0</v>
      </c>
      <c r="L17" s="59">
        <f t="shared" si="2"/>
        <v>0</v>
      </c>
      <c r="M17" s="58"/>
      <c r="N17" s="57">
        <f t="shared" si="3"/>
        <v>0</v>
      </c>
      <c r="O17" s="59">
        <f t="shared" si="4"/>
        <v>0</v>
      </c>
    </row>
    <row r="18" spans="2:15" ht="25.5">
      <c r="B18" s="55">
        <v>17</v>
      </c>
      <c r="C18" s="56" t="s">
        <v>104</v>
      </c>
      <c r="D18" s="57">
        <f>113178</f>
        <v>113178</v>
      </c>
      <c r="E18" s="58">
        <v>0</v>
      </c>
      <c r="F18" s="58">
        <v>0</v>
      </c>
      <c r="G18" s="59">
        <f t="shared" si="0"/>
        <v>113178</v>
      </c>
      <c r="H18" s="60">
        <v>0</v>
      </c>
      <c r="I18" s="60">
        <v>0</v>
      </c>
      <c r="J18" s="59">
        <f t="shared" si="1"/>
        <v>113178</v>
      </c>
      <c r="K18" s="59">
        <f t="shared" si="5"/>
        <v>0</v>
      </c>
      <c r="L18" s="59">
        <f t="shared" si="2"/>
        <v>113178</v>
      </c>
      <c r="M18" s="61">
        <v>0.08</v>
      </c>
      <c r="N18" s="59">
        <f t="shared" si="3"/>
        <v>9054.24</v>
      </c>
      <c r="O18" s="59">
        <f t="shared" si="4"/>
        <v>104123.76</v>
      </c>
    </row>
    <row r="19" spans="2:15" ht="25.5">
      <c r="B19" s="55">
        <v>43.1</v>
      </c>
      <c r="C19" s="56" t="s">
        <v>105</v>
      </c>
      <c r="D19" s="60">
        <v>0</v>
      </c>
      <c r="E19" s="58">
        <v>0</v>
      </c>
      <c r="F19" s="58">
        <v>0</v>
      </c>
      <c r="G19" s="59">
        <f t="shared" si="0"/>
        <v>0</v>
      </c>
      <c r="H19" s="60">
        <v>0</v>
      </c>
      <c r="I19" s="60">
        <v>0</v>
      </c>
      <c r="J19" s="59">
        <f t="shared" si="1"/>
        <v>0</v>
      </c>
      <c r="K19" s="59">
        <f t="shared" si="5"/>
        <v>0</v>
      </c>
      <c r="L19" s="59">
        <f t="shared" si="2"/>
        <v>0</v>
      </c>
      <c r="M19" s="61">
        <v>0.3</v>
      </c>
      <c r="N19" s="59">
        <f t="shared" si="3"/>
        <v>0</v>
      </c>
      <c r="O19" s="59">
        <f t="shared" si="4"/>
        <v>0</v>
      </c>
    </row>
    <row r="20" spans="2:15" ht="25.5">
      <c r="B20" s="55">
        <v>45</v>
      </c>
      <c r="C20" s="56" t="s">
        <v>106</v>
      </c>
      <c r="D20" s="57">
        <f>835331.92-251802.92</f>
        <v>583529</v>
      </c>
      <c r="E20" s="58">
        <v>0</v>
      </c>
      <c r="F20" s="58">
        <v>0</v>
      </c>
      <c r="G20" s="59">
        <f t="shared" si="0"/>
        <v>583529</v>
      </c>
      <c r="H20" s="57">
        <f>'[1]FA Continuity 2007'!E30</f>
        <v>0</v>
      </c>
      <c r="I20" s="60">
        <v>0</v>
      </c>
      <c r="J20" s="59">
        <f t="shared" si="1"/>
        <v>583529</v>
      </c>
      <c r="K20" s="59">
        <f t="shared" si="5"/>
        <v>0</v>
      </c>
      <c r="L20" s="59">
        <f t="shared" si="2"/>
        <v>583529</v>
      </c>
      <c r="M20" s="61">
        <v>0.45</v>
      </c>
      <c r="N20" s="59">
        <f t="shared" si="3"/>
        <v>262588.05</v>
      </c>
      <c r="O20" s="59">
        <f t="shared" si="4"/>
        <v>320940.95</v>
      </c>
    </row>
    <row r="21" spans="2:15" ht="25.5">
      <c r="B21" s="55">
        <v>50</v>
      </c>
      <c r="C21" s="56" t="s">
        <v>129</v>
      </c>
      <c r="D21" s="57">
        <v>0</v>
      </c>
      <c r="E21" s="58">
        <v>0</v>
      </c>
      <c r="F21" s="58">
        <v>0</v>
      </c>
      <c r="G21" s="59">
        <f t="shared" si="0"/>
        <v>0</v>
      </c>
      <c r="H21" s="57">
        <f>'2007 FA Continuity'!E25-'2007 FA Continuity'!G25</f>
        <v>634391.2999999999</v>
      </c>
      <c r="I21" s="60">
        <v>0</v>
      </c>
      <c r="J21" s="59">
        <f t="shared" si="1"/>
        <v>634391.2999999999</v>
      </c>
      <c r="K21" s="59">
        <f t="shared" si="5"/>
        <v>317195.64999999997</v>
      </c>
      <c r="L21" s="59">
        <f t="shared" si="2"/>
        <v>317195.64999999997</v>
      </c>
      <c r="M21" s="61">
        <v>0.55</v>
      </c>
      <c r="N21" s="59">
        <f t="shared" si="3"/>
        <v>174457.60749999998</v>
      </c>
      <c r="O21" s="59">
        <f t="shared" si="4"/>
        <v>459933.69249999995</v>
      </c>
    </row>
    <row r="22" spans="2:15" ht="25.5">
      <c r="B22" s="55">
        <v>52</v>
      </c>
      <c r="C22" s="56" t="s">
        <v>130</v>
      </c>
      <c r="D22" s="57">
        <v>0</v>
      </c>
      <c r="E22" s="58">
        <v>0</v>
      </c>
      <c r="F22" s="58">
        <v>0</v>
      </c>
      <c r="G22" s="59">
        <f t="shared" si="0"/>
        <v>0</v>
      </c>
      <c r="H22" s="57"/>
      <c r="I22" s="60">
        <v>0</v>
      </c>
      <c r="J22" s="59">
        <f t="shared" si="1"/>
        <v>0</v>
      </c>
      <c r="K22" s="59">
        <f t="shared" si="5"/>
        <v>0</v>
      </c>
      <c r="L22" s="59">
        <f t="shared" si="2"/>
        <v>0</v>
      </c>
      <c r="M22" s="61">
        <v>1</v>
      </c>
      <c r="N22" s="59">
        <f t="shared" si="3"/>
        <v>0</v>
      </c>
      <c r="O22" s="59">
        <f t="shared" si="4"/>
        <v>0</v>
      </c>
    </row>
    <row r="23" spans="2:15" ht="25.5">
      <c r="B23" s="55">
        <v>46</v>
      </c>
      <c r="C23" s="56" t="s">
        <v>107</v>
      </c>
      <c r="D23" s="60">
        <v>0</v>
      </c>
      <c r="E23" s="58">
        <v>0</v>
      </c>
      <c r="F23" s="58">
        <v>0</v>
      </c>
      <c r="G23" s="59">
        <f t="shared" si="0"/>
        <v>0</v>
      </c>
      <c r="H23" s="60">
        <v>0</v>
      </c>
      <c r="I23" s="60">
        <v>0</v>
      </c>
      <c r="J23" s="59">
        <f t="shared" si="1"/>
        <v>0</v>
      </c>
      <c r="K23" s="59">
        <f t="shared" si="5"/>
        <v>0</v>
      </c>
      <c r="L23" s="59">
        <f t="shared" si="2"/>
        <v>0</v>
      </c>
      <c r="M23" s="61">
        <v>0.3</v>
      </c>
      <c r="N23" s="59">
        <f t="shared" si="3"/>
        <v>0</v>
      </c>
      <c r="O23" s="59">
        <f t="shared" si="4"/>
        <v>0</v>
      </c>
    </row>
    <row r="24" spans="2:15" ht="12.75">
      <c r="B24" s="55">
        <v>47</v>
      </c>
      <c r="C24" s="56" t="s">
        <v>108</v>
      </c>
      <c r="D24" s="57">
        <f>33974662</f>
        <v>33974662</v>
      </c>
      <c r="E24" s="58"/>
      <c r="F24" s="58"/>
      <c r="G24" s="59">
        <f t="shared" si="0"/>
        <v>33974662</v>
      </c>
      <c r="H24" s="57">
        <f>'2007 FA Continuity'!E8+SUM('2007 FA Continuity'!E10:E18)+'2007 FA Continuity'!E34+'2007 FA Continuity'!E35+'2007 FA Continuity'!E36+'2007 FA Continuity'!E6-'2007 FA Continuity'!G18+'2007 FA Continuity'!E21+'2007 FA Continuity'!E20</f>
        <v>21975986.45</v>
      </c>
      <c r="I24" s="60">
        <v>0</v>
      </c>
      <c r="J24" s="59">
        <f t="shared" si="1"/>
        <v>55950648.45</v>
      </c>
      <c r="K24" s="59">
        <f t="shared" si="5"/>
        <v>10987993.225</v>
      </c>
      <c r="L24" s="59">
        <f t="shared" si="2"/>
        <v>44962655.225</v>
      </c>
      <c r="M24" s="61">
        <v>0.08</v>
      </c>
      <c r="N24" s="63">
        <f t="shared" si="3"/>
        <v>3597012.418</v>
      </c>
      <c r="O24" s="59">
        <f t="shared" si="4"/>
        <v>52353636.032000005</v>
      </c>
    </row>
    <row r="25" spans="2:15" ht="12.75">
      <c r="B25" s="55"/>
      <c r="C25" s="64" t="s">
        <v>109</v>
      </c>
      <c r="D25" s="65">
        <f aca="true" t="shared" si="6" ref="D25:L25">SUM(D6:D24)</f>
        <v>322997807</v>
      </c>
      <c r="E25" s="65">
        <f t="shared" si="6"/>
        <v>0</v>
      </c>
      <c r="F25" s="65">
        <f t="shared" si="6"/>
        <v>0</v>
      </c>
      <c r="G25" s="65">
        <f t="shared" si="6"/>
        <v>322997807</v>
      </c>
      <c r="H25" s="65">
        <f t="shared" si="6"/>
        <v>26408460.599999998</v>
      </c>
      <c r="I25" s="65">
        <f t="shared" si="6"/>
        <v>0</v>
      </c>
      <c r="J25" s="65">
        <f t="shared" si="6"/>
        <v>349406267.59999996</v>
      </c>
      <c r="K25" s="65">
        <f t="shared" si="6"/>
        <v>13204230.299999999</v>
      </c>
      <c r="L25" s="65">
        <f t="shared" si="6"/>
        <v>336202037.3</v>
      </c>
      <c r="M25" s="65"/>
      <c r="N25" s="65">
        <f>SUM(N6:N24)</f>
        <v>19809396.030500002</v>
      </c>
      <c r="O25" s="65">
        <f>SUM(O6:O24)</f>
        <v>329596871.56949997</v>
      </c>
    </row>
    <row r="26" spans="2:7" ht="12.75">
      <c r="B26" s="66"/>
      <c r="C26" s="67"/>
      <c r="D26" s="68"/>
      <c r="E26" s="68"/>
      <c r="F26" s="68"/>
      <c r="G26" s="68"/>
    </row>
    <row r="27" spans="2:7" ht="12.75">
      <c r="B27" s="55" t="s">
        <v>54</v>
      </c>
      <c r="C27" s="56" t="s">
        <v>110</v>
      </c>
      <c r="D27" s="57">
        <v>13990205</v>
      </c>
      <c r="E27" s="58">
        <v>0</v>
      </c>
      <c r="F27" s="58">
        <v>0</v>
      </c>
      <c r="G27" s="59">
        <f>D27-E27-F27</f>
        <v>13990205</v>
      </c>
    </row>
    <row r="28" spans="2:7" ht="12.75">
      <c r="B28" s="55" t="s">
        <v>54</v>
      </c>
      <c r="C28" s="56" t="s">
        <v>18</v>
      </c>
      <c r="D28" s="60">
        <v>0</v>
      </c>
      <c r="E28" s="58">
        <v>0</v>
      </c>
      <c r="F28" s="58">
        <v>0</v>
      </c>
      <c r="G28" s="59">
        <f>D28-E28-F28</f>
        <v>0</v>
      </c>
    </row>
    <row r="29" spans="2:7" ht="12.75">
      <c r="B29" s="55" t="s">
        <v>54</v>
      </c>
      <c r="C29" s="56" t="s">
        <v>111</v>
      </c>
      <c r="D29" s="60">
        <v>0</v>
      </c>
      <c r="E29" s="58">
        <v>0</v>
      </c>
      <c r="F29" s="58">
        <v>0</v>
      </c>
      <c r="G29" s="59">
        <f>D29-E29-F29</f>
        <v>0</v>
      </c>
    </row>
    <row r="30" spans="2:7" ht="12.75">
      <c r="B30" s="55"/>
      <c r="C30" s="64" t="s">
        <v>112</v>
      </c>
      <c r="D30" s="65">
        <f>SUM(D27:D29)</f>
        <v>13990205</v>
      </c>
      <c r="E30" s="65">
        <f>SUM(E27:E29)</f>
        <v>0</v>
      </c>
      <c r="F30" s="65">
        <f>SUM(F27:F29)</f>
        <v>0</v>
      </c>
      <c r="G30" s="65">
        <f>SUM(G27:G29)</f>
        <v>13990205</v>
      </c>
    </row>
    <row r="31" ht="13.5" thickBot="1"/>
    <row r="32" spans="1:9" ht="12.75">
      <c r="A32" s="148"/>
      <c r="B32" s="149"/>
      <c r="C32" s="149"/>
      <c r="D32" s="149"/>
      <c r="E32" s="149"/>
      <c r="F32" s="149"/>
      <c r="G32" s="149"/>
      <c r="H32" s="149"/>
      <c r="I32" s="150"/>
    </row>
    <row r="33" spans="1:9" ht="24" customHeight="1">
      <c r="A33" s="69"/>
      <c r="B33" s="151" t="s">
        <v>113</v>
      </c>
      <c r="C33" s="151"/>
      <c r="D33" s="151"/>
      <c r="E33" s="151"/>
      <c r="F33" s="151"/>
      <c r="G33" s="151"/>
      <c r="H33" s="151"/>
      <c r="I33" s="71"/>
    </row>
    <row r="34" spans="1:9" ht="15.75">
      <c r="A34" s="69"/>
      <c r="B34" s="145" t="s">
        <v>114</v>
      </c>
      <c r="C34" s="145"/>
      <c r="D34" s="145"/>
      <c r="E34" s="70"/>
      <c r="F34" s="70"/>
      <c r="G34" s="70"/>
      <c r="H34" s="73">
        <f>G30</f>
        <v>13990205</v>
      </c>
      <c r="I34" s="71"/>
    </row>
    <row r="35" spans="1:9" ht="15.75">
      <c r="A35" s="69"/>
      <c r="B35" s="145"/>
      <c r="C35" s="145"/>
      <c r="D35" s="145"/>
      <c r="E35" s="70"/>
      <c r="F35" s="70"/>
      <c r="G35" s="70"/>
      <c r="H35" s="73"/>
      <c r="I35" s="71"/>
    </row>
    <row r="36" spans="1:9" ht="12.75">
      <c r="A36" s="69"/>
      <c r="B36" s="152" t="s">
        <v>115</v>
      </c>
      <c r="C36" s="152"/>
      <c r="D36" s="152"/>
      <c r="E36" s="74"/>
      <c r="F36" s="74"/>
      <c r="G36" s="74"/>
      <c r="I36" s="71"/>
    </row>
    <row r="37" spans="1:9" ht="12.75">
      <c r="A37" s="69"/>
      <c r="B37" s="145" t="s">
        <v>116</v>
      </c>
      <c r="C37" s="145"/>
      <c r="D37" s="145"/>
      <c r="E37" s="75">
        <v>0</v>
      </c>
      <c r="F37" s="74"/>
      <c r="G37" s="74"/>
      <c r="H37" s="74"/>
      <c r="I37" s="71"/>
    </row>
    <row r="38" spans="1:9" ht="12.75">
      <c r="A38" s="69"/>
      <c r="B38" s="145"/>
      <c r="C38" s="145"/>
      <c r="D38" s="145"/>
      <c r="E38" s="74"/>
      <c r="F38" s="74"/>
      <c r="G38" s="74"/>
      <c r="H38" s="74"/>
      <c r="I38" s="71"/>
    </row>
    <row r="39" spans="1:9" ht="12.75">
      <c r="A39" s="69"/>
      <c r="B39" s="145" t="s">
        <v>117</v>
      </c>
      <c r="C39" s="145"/>
      <c r="D39" s="145"/>
      <c r="E39" s="75">
        <v>0</v>
      </c>
      <c r="F39" s="74"/>
      <c r="G39" s="74"/>
      <c r="H39" s="74"/>
      <c r="I39" s="71"/>
    </row>
    <row r="40" spans="1:9" ht="12.75">
      <c r="A40" s="69"/>
      <c r="B40" s="145"/>
      <c r="C40" s="145"/>
      <c r="D40" s="145"/>
      <c r="E40" s="74"/>
      <c r="F40" s="74"/>
      <c r="G40" s="74"/>
      <c r="H40" s="74"/>
      <c r="I40" s="71"/>
    </row>
    <row r="41" spans="1:9" ht="12.75">
      <c r="A41" s="69"/>
      <c r="B41" s="145" t="s">
        <v>118</v>
      </c>
      <c r="C41" s="145"/>
      <c r="D41" s="145"/>
      <c r="E41" s="75">
        <f>E37+E39</f>
        <v>0</v>
      </c>
      <c r="F41" s="74" t="s">
        <v>119</v>
      </c>
      <c r="G41" s="74">
        <f>E41*0.75</f>
        <v>0</v>
      </c>
      <c r="H41" s="74"/>
      <c r="I41" s="71"/>
    </row>
    <row r="42" spans="1:9" ht="12.75">
      <c r="A42" s="69"/>
      <c r="B42" s="145"/>
      <c r="C42" s="145"/>
      <c r="D42" s="145"/>
      <c r="E42" s="74"/>
      <c r="F42" s="74"/>
      <c r="G42" s="74"/>
      <c r="H42" s="74"/>
      <c r="I42" s="71"/>
    </row>
    <row r="43" spans="1:9" ht="12.75" customHeight="1">
      <c r="A43" s="69"/>
      <c r="B43" s="153" t="s">
        <v>120</v>
      </c>
      <c r="C43" s="153"/>
      <c r="D43" s="153"/>
      <c r="H43" s="74"/>
      <c r="I43" s="71"/>
    </row>
    <row r="44" spans="1:9" ht="12.75">
      <c r="A44" s="69"/>
      <c r="B44" s="153"/>
      <c r="C44" s="153"/>
      <c r="D44" s="153"/>
      <c r="E44" s="75">
        <v>0</v>
      </c>
      <c r="F44" s="74" t="s">
        <v>121</v>
      </c>
      <c r="G44" s="74">
        <f>E44*0.5</f>
        <v>0</v>
      </c>
      <c r="H44" s="74"/>
      <c r="I44" s="71"/>
    </row>
    <row r="45" spans="1:9" ht="12.75">
      <c r="A45" s="69"/>
      <c r="B45" s="145"/>
      <c r="C45" s="145"/>
      <c r="D45" s="145"/>
      <c r="E45" s="74"/>
      <c r="F45" s="74"/>
      <c r="G45" s="76">
        <f>G41+G44</f>
        <v>0</v>
      </c>
      <c r="H45" s="77">
        <f>G45+H34</f>
        <v>13990205</v>
      </c>
      <c r="I45" s="71"/>
    </row>
    <row r="46" spans="1:9" ht="12.75">
      <c r="A46" s="69"/>
      <c r="B46" s="72"/>
      <c r="C46" s="72"/>
      <c r="D46" s="72"/>
      <c r="E46" s="74"/>
      <c r="F46" s="74"/>
      <c r="G46" s="74"/>
      <c r="H46" s="74"/>
      <c r="I46" s="71"/>
    </row>
    <row r="47" spans="1:9" ht="12.75">
      <c r="A47" s="69"/>
      <c r="B47" s="145" t="s">
        <v>122</v>
      </c>
      <c r="C47" s="145"/>
      <c r="D47" s="145"/>
      <c r="E47" s="75">
        <v>0</v>
      </c>
      <c r="F47" s="74"/>
      <c r="G47" s="74"/>
      <c r="H47" s="78">
        <f>E47</f>
        <v>0</v>
      </c>
      <c r="I47" s="71"/>
    </row>
    <row r="48" spans="1:9" ht="12.75">
      <c r="A48" s="69"/>
      <c r="B48" s="145"/>
      <c r="C48" s="145"/>
      <c r="D48" s="145"/>
      <c r="E48" s="74"/>
      <c r="F48" s="74"/>
      <c r="G48" s="74"/>
      <c r="H48" s="74"/>
      <c r="I48" s="71"/>
    </row>
    <row r="49" spans="1:9" ht="12.75">
      <c r="A49" s="69"/>
      <c r="B49" s="154" t="s">
        <v>118</v>
      </c>
      <c r="C49" s="154"/>
      <c r="D49" s="154" t="s">
        <v>118</v>
      </c>
      <c r="E49" s="74"/>
      <c r="F49" s="74"/>
      <c r="G49" s="74"/>
      <c r="H49" s="77">
        <f>H45+H47</f>
        <v>13990205</v>
      </c>
      <c r="I49" s="71"/>
    </row>
    <row r="50" spans="1:9" ht="12.75">
      <c r="A50" s="69"/>
      <c r="B50" s="145"/>
      <c r="C50" s="145"/>
      <c r="D50" s="145"/>
      <c r="E50" s="74"/>
      <c r="F50" s="74"/>
      <c r="G50" s="74"/>
      <c r="H50" s="74"/>
      <c r="I50" s="71"/>
    </row>
    <row r="51" spans="1:9" ht="12.75">
      <c r="A51" s="69"/>
      <c r="B51" s="152" t="s">
        <v>123</v>
      </c>
      <c r="C51" s="152"/>
      <c r="D51" s="152"/>
      <c r="E51" s="74"/>
      <c r="F51" s="74"/>
      <c r="G51" s="74"/>
      <c r="H51" s="74"/>
      <c r="I51" s="71"/>
    </row>
    <row r="52" spans="1:9" ht="12.75">
      <c r="A52" s="69"/>
      <c r="B52" s="145"/>
      <c r="C52" s="145"/>
      <c r="D52" s="145"/>
      <c r="E52" s="74"/>
      <c r="F52" s="74"/>
      <c r="G52" s="74"/>
      <c r="H52" s="74"/>
      <c r="I52" s="71"/>
    </row>
    <row r="53" spans="1:9" ht="12.75">
      <c r="A53" s="69"/>
      <c r="B53" s="153" t="s">
        <v>124</v>
      </c>
      <c r="C53" s="153"/>
      <c r="D53" s="153"/>
      <c r="E53" s="74"/>
      <c r="F53" s="74"/>
      <c r="G53" s="74"/>
      <c r="H53" s="74"/>
      <c r="I53" s="71"/>
    </row>
    <row r="54" spans="1:9" ht="12.75">
      <c r="A54" s="69"/>
      <c r="B54" s="153"/>
      <c r="C54" s="153"/>
      <c r="D54" s="153"/>
      <c r="E54" s="74"/>
      <c r="F54" s="74"/>
      <c r="G54" s="74"/>
      <c r="H54" s="74"/>
      <c r="I54" s="71"/>
    </row>
    <row r="55" spans="1:9" ht="12.75">
      <c r="A55" s="69"/>
      <c r="B55" s="145"/>
      <c r="C55" s="145"/>
      <c r="D55" s="145"/>
      <c r="E55" s="74"/>
      <c r="F55" s="74"/>
      <c r="G55" s="74"/>
      <c r="H55" s="74"/>
      <c r="I55" s="71"/>
    </row>
    <row r="56" spans="1:9" ht="12.75">
      <c r="A56" s="69"/>
      <c r="B56" s="145" t="s">
        <v>117</v>
      </c>
      <c r="C56" s="145"/>
      <c r="D56" s="145"/>
      <c r="E56" s="75">
        <v>0</v>
      </c>
      <c r="F56" s="74"/>
      <c r="G56" s="74"/>
      <c r="H56" s="74"/>
      <c r="I56" s="71"/>
    </row>
    <row r="57" spans="1:9" ht="12.75">
      <c r="A57" s="69"/>
      <c r="B57" s="145"/>
      <c r="C57" s="145"/>
      <c r="D57" s="145"/>
      <c r="E57" s="74"/>
      <c r="F57" s="74"/>
      <c r="G57" s="74"/>
      <c r="H57" s="74"/>
      <c r="I57" s="71"/>
    </row>
    <row r="58" spans="1:9" ht="12.75">
      <c r="A58" s="69"/>
      <c r="B58" s="154" t="s">
        <v>118</v>
      </c>
      <c r="C58" s="154"/>
      <c r="D58" s="154" t="s">
        <v>118</v>
      </c>
      <c r="E58" s="75">
        <f>E56</f>
        <v>0</v>
      </c>
      <c r="F58" s="74" t="s">
        <v>119</v>
      </c>
      <c r="G58" s="74">
        <f>E58*0.75</f>
        <v>0</v>
      </c>
      <c r="H58" s="77">
        <f>H49+G58</f>
        <v>13990205</v>
      </c>
      <c r="I58" s="71"/>
    </row>
    <row r="59" spans="1:9" ht="12.75">
      <c r="A59" s="69"/>
      <c r="B59" s="145"/>
      <c r="C59" s="145"/>
      <c r="D59" s="145"/>
      <c r="E59" s="74"/>
      <c r="F59" s="74"/>
      <c r="G59" s="74"/>
      <c r="H59" s="74"/>
      <c r="I59" s="71"/>
    </row>
    <row r="60" spans="1:9" ht="12.75">
      <c r="A60" s="69"/>
      <c r="B60" s="145"/>
      <c r="C60" s="145"/>
      <c r="D60" s="145"/>
      <c r="E60" s="74"/>
      <c r="F60" s="74"/>
      <c r="G60" s="74"/>
      <c r="H60" s="74"/>
      <c r="I60" s="71"/>
    </row>
    <row r="61" spans="1:9" ht="12.75">
      <c r="A61" s="69"/>
      <c r="B61" s="145"/>
      <c r="C61" s="145"/>
      <c r="D61" s="145"/>
      <c r="E61" s="74"/>
      <c r="F61" s="74"/>
      <c r="G61" s="74"/>
      <c r="H61" s="74"/>
      <c r="I61" s="71"/>
    </row>
    <row r="62" spans="1:9" ht="12.75">
      <c r="A62" s="69"/>
      <c r="B62" s="145" t="s">
        <v>125</v>
      </c>
      <c r="C62" s="145"/>
      <c r="D62" s="145"/>
      <c r="E62" s="74"/>
      <c r="F62" s="74"/>
      <c r="G62" s="74"/>
      <c r="H62" s="73">
        <f>H58</f>
        <v>13990205</v>
      </c>
      <c r="I62" s="71"/>
    </row>
    <row r="63" spans="1:9" ht="12.75">
      <c r="A63" s="69"/>
      <c r="B63" s="145"/>
      <c r="C63" s="145"/>
      <c r="D63" s="145"/>
      <c r="E63" s="74"/>
      <c r="F63" s="74"/>
      <c r="G63" s="74"/>
      <c r="H63" s="74"/>
      <c r="I63" s="71"/>
    </row>
    <row r="64" spans="1:9" ht="12.75">
      <c r="A64" s="69"/>
      <c r="B64" s="145" t="s">
        <v>126</v>
      </c>
      <c r="C64" s="145"/>
      <c r="D64" s="145"/>
      <c r="E64" s="79">
        <v>0.07</v>
      </c>
      <c r="F64" s="74"/>
      <c r="G64" s="74"/>
      <c r="H64" s="73">
        <f>H62*E64</f>
        <v>979314.3500000001</v>
      </c>
      <c r="I64" s="71"/>
    </row>
    <row r="65" spans="1:9" ht="12.75">
      <c r="A65" s="69"/>
      <c r="B65" s="158"/>
      <c r="C65" s="158"/>
      <c r="D65" s="158"/>
      <c r="E65" s="74"/>
      <c r="F65" s="73"/>
      <c r="G65" s="74"/>
      <c r="H65" s="73"/>
      <c r="I65" s="71"/>
    </row>
    <row r="66" spans="1:9" ht="13.5" thickBot="1">
      <c r="A66" s="69"/>
      <c r="B66" s="145" t="s">
        <v>127</v>
      </c>
      <c r="C66" s="145"/>
      <c r="D66" s="145"/>
      <c r="E66" s="74"/>
      <c r="F66" s="74"/>
      <c r="G66" s="74"/>
      <c r="H66" s="80">
        <f>H62-H64</f>
        <v>13010890.65</v>
      </c>
      <c r="I66" s="71"/>
    </row>
    <row r="67" spans="1:9" ht="14.25" thickBot="1" thickTop="1">
      <c r="A67" s="155"/>
      <c r="B67" s="156"/>
      <c r="C67" s="156"/>
      <c r="D67" s="156"/>
      <c r="E67" s="156"/>
      <c r="F67" s="156"/>
      <c r="G67" s="156"/>
      <c r="H67" s="156"/>
      <c r="I67" s="157"/>
    </row>
  </sheetData>
  <sheetProtection/>
  <mergeCells count="36">
    <mergeCell ref="B60:D60"/>
    <mergeCell ref="B61:D61"/>
    <mergeCell ref="B62:D62"/>
    <mergeCell ref="B63:D63"/>
    <mergeCell ref="B64:D64"/>
    <mergeCell ref="B65:D65"/>
    <mergeCell ref="B49:D49"/>
    <mergeCell ref="B50:D50"/>
    <mergeCell ref="B51:D51"/>
    <mergeCell ref="B52:D52"/>
    <mergeCell ref="B66:D66"/>
    <mergeCell ref="A67:I67"/>
    <mergeCell ref="B56:D56"/>
    <mergeCell ref="B57:D57"/>
    <mergeCell ref="B58:D58"/>
    <mergeCell ref="B59:D59"/>
    <mergeCell ref="B37:D37"/>
    <mergeCell ref="B38:D38"/>
    <mergeCell ref="B53:D54"/>
    <mergeCell ref="B55:D55"/>
    <mergeCell ref="B41:D41"/>
    <mergeCell ref="B42:D42"/>
    <mergeCell ref="B43:D44"/>
    <mergeCell ref="B45:D45"/>
    <mergeCell ref="B47:D47"/>
    <mergeCell ref="B48:D48"/>
    <mergeCell ref="B39:D39"/>
    <mergeCell ref="B40:D40"/>
    <mergeCell ref="A1:O1"/>
    <mergeCell ref="A2:O2"/>
    <mergeCell ref="B4:O4"/>
    <mergeCell ref="A32:I32"/>
    <mergeCell ref="B33:H33"/>
    <mergeCell ref="B34:D34"/>
    <mergeCell ref="B35:D35"/>
    <mergeCell ref="B36:D36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47" r:id="rId3"/>
  <headerFooter alignWithMargins="0">
    <oddFooter>&amp;L&amp;A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E1">
      <selection activeCell="D6" sqref="D6"/>
    </sheetView>
  </sheetViews>
  <sheetFormatPr defaultColWidth="9.140625" defaultRowHeight="15"/>
  <cols>
    <col min="1" max="1" width="1.57421875" style="52" customWidth="1"/>
    <col min="2" max="2" width="6.421875" style="52" customWidth="1"/>
    <col min="3" max="3" width="48.421875" style="52" customWidth="1"/>
    <col min="4" max="4" width="17.421875" style="52" customWidth="1"/>
    <col min="5" max="5" width="21.140625" style="52" customWidth="1"/>
    <col min="6" max="6" width="20.421875" style="52" customWidth="1"/>
    <col min="7" max="7" width="19.28125" style="52" customWidth="1"/>
    <col min="8" max="8" width="13.00390625" style="52" customWidth="1"/>
    <col min="9" max="9" width="13.57421875" style="52" customWidth="1"/>
    <col min="10" max="10" width="18.57421875" style="52" customWidth="1"/>
    <col min="11" max="11" width="26.7109375" style="52" customWidth="1"/>
    <col min="12" max="12" width="13.140625" style="52" bestFit="1" customWidth="1"/>
    <col min="13" max="13" width="9.140625" style="52" customWidth="1"/>
    <col min="14" max="14" width="10.8515625" style="52" bestFit="1" customWidth="1"/>
    <col min="15" max="15" width="15.421875" style="52" customWidth="1"/>
    <col min="16" max="16384" width="9.140625" style="52" customWidth="1"/>
  </cols>
  <sheetData>
    <row r="1" spans="1:15" ht="12.75">
      <c r="A1" s="146" t="str">
        <f>'[1]Trial Balance'!A1:H1</f>
        <v>HORIZON UTILITIES CORPORATION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2.75">
      <c r="A2" s="146" t="str">
        <f>'[1]Trial Balance'!A2:H2</f>
        <v>2008 Forward Test Year Rate Application filed October 22, 2007, License Number ED-2006-0031, File Number EB-2007-0697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ht="6.75" customHeight="1"/>
    <row r="4" spans="2:15" ht="36" customHeight="1">
      <c r="B4" s="147" t="s">
        <v>128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5" s="53" customFormat="1" ht="38.25">
      <c r="B5" s="54" t="s">
        <v>74</v>
      </c>
      <c r="C5" s="54" t="s">
        <v>75</v>
      </c>
      <c r="D5" s="54" t="s">
        <v>76</v>
      </c>
      <c r="E5" s="54" t="s">
        <v>77</v>
      </c>
      <c r="F5" s="54" t="s">
        <v>78</v>
      </c>
      <c r="G5" s="54" t="s">
        <v>79</v>
      </c>
      <c r="H5" s="54" t="s">
        <v>80</v>
      </c>
      <c r="I5" s="54" t="s">
        <v>81</v>
      </c>
      <c r="J5" s="54" t="s">
        <v>82</v>
      </c>
      <c r="K5" s="54" t="s">
        <v>83</v>
      </c>
      <c r="L5" s="54" t="s">
        <v>84</v>
      </c>
      <c r="M5" s="54" t="s">
        <v>85</v>
      </c>
      <c r="N5" s="54" t="s">
        <v>86</v>
      </c>
      <c r="O5" s="54" t="s">
        <v>87</v>
      </c>
    </row>
    <row r="6" spans="2:15" ht="12.75">
      <c r="B6" s="55">
        <v>1</v>
      </c>
      <c r="C6" s="56" t="s">
        <v>88</v>
      </c>
      <c r="D6" s="57">
        <f>'CCA Continuity 2007'!O6</f>
        <v>213802920</v>
      </c>
      <c r="E6" s="58">
        <v>0</v>
      </c>
      <c r="F6" s="58">
        <v>0</v>
      </c>
      <c r="G6" s="59">
        <f aca="true" t="shared" si="0" ref="G6:G24">D6-E6-F6</f>
        <v>213802920</v>
      </c>
      <c r="H6" s="60">
        <v>0</v>
      </c>
      <c r="I6" s="60">
        <v>0</v>
      </c>
      <c r="J6" s="59">
        <f aca="true" t="shared" si="1" ref="J6:J24">G6+H6-I6</f>
        <v>213802920</v>
      </c>
      <c r="K6" s="59">
        <f aca="true" t="shared" si="2" ref="K6:K24">H6*0.5</f>
        <v>0</v>
      </c>
      <c r="L6" s="59">
        <f aca="true" t="shared" si="3" ref="L6:L24">J6-K6</f>
        <v>213802920</v>
      </c>
      <c r="M6" s="61">
        <v>0.04</v>
      </c>
      <c r="N6" s="59">
        <f aca="true" t="shared" si="4" ref="N6:N24">L6*M6</f>
        <v>8552116.8</v>
      </c>
      <c r="O6" s="59">
        <f aca="true" t="shared" si="5" ref="O6:O24">J6-N6</f>
        <v>205250803.2</v>
      </c>
    </row>
    <row r="7" spans="2:15" ht="12.75">
      <c r="B7" s="55">
        <v>2</v>
      </c>
      <c r="C7" s="56" t="s">
        <v>89</v>
      </c>
      <c r="D7" s="57">
        <f>'CCA Continuity 2007'!O7</f>
        <v>50047087.08</v>
      </c>
      <c r="E7" s="58">
        <v>0</v>
      </c>
      <c r="F7" s="58">
        <v>0</v>
      </c>
      <c r="G7" s="59">
        <f t="shared" si="0"/>
        <v>50047087.08</v>
      </c>
      <c r="H7" s="60">
        <v>0</v>
      </c>
      <c r="I7" s="60">
        <v>0</v>
      </c>
      <c r="J7" s="59">
        <f t="shared" si="1"/>
        <v>50047087.08</v>
      </c>
      <c r="K7" s="59">
        <f t="shared" si="2"/>
        <v>0</v>
      </c>
      <c r="L7" s="59">
        <f t="shared" si="3"/>
        <v>50047087.08</v>
      </c>
      <c r="M7" s="61">
        <v>0.06</v>
      </c>
      <c r="N7" s="59">
        <f t="shared" si="4"/>
        <v>3002825.2248</v>
      </c>
      <c r="O7" s="59">
        <f t="shared" si="5"/>
        <v>47044261.8552</v>
      </c>
    </row>
    <row r="8" spans="2:15" ht="12.75">
      <c r="B8" s="55">
        <v>6</v>
      </c>
      <c r="C8" s="56" t="s">
        <v>90</v>
      </c>
      <c r="D8" s="57">
        <f>'CCA Continuity 2007'!O8</f>
        <v>24498.9</v>
      </c>
      <c r="E8" s="58">
        <v>0</v>
      </c>
      <c r="F8" s="58">
        <v>0</v>
      </c>
      <c r="G8" s="59">
        <f t="shared" si="0"/>
        <v>24498.9</v>
      </c>
      <c r="H8" s="60">
        <v>0</v>
      </c>
      <c r="I8" s="60">
        <v>0</v>
      </c>
      <c r="J8" s="59">
        <f>G8+H8-I8</f>
        <v>24498.9</v>
      </c>
      <c r="K8" s="59">
        <f>H8*0.5</f>
        <v>0</v>
      </c>
      <c r="L8" s="59">
        <f>J8-K8</f>
        <v>24498.9</v>
      </c>
      <c r="M8" s="61">
        <v>0.1</v>
      </c>
      <c r="N8" s="59">
        <f>L8*M8</f>
        <v>2449.8900000000003</v>
      </c>
      <c r="O8" s="59">
        <f>J8-N8</f>
        <v>22049.010000000002</v>
      </c>
    </row>
    <row r="9" spans="2:15" ht="12.75">
      <c r="B9" s="55">
        <v>8</v>
      </c>
      <c r="C9" s="56" t="s">
        <v>91</v>
      </c>
      <c r="D9" s="57">
        <f>'CCA Continuity 2007'!O9</f>
        <v>7228097.632999999</v>
      </c>
      <c r="E9" s="58">
        <v>0</v>
      </c>
      <c r="F9" s="58">
        <v>0</v>
      </c>
      <c r="G9" s="59">
        <f t="shared" si="0"/>
        <v>7228097.632999999</v>
      </c>
      <c r="H9" s="57">
        <f>'2008 FA Continuity'!E23+'2008 FA Continuity'!E28+'2008 FA Continuity'!E29+'2008 FA Continuity'!E30+'2008 FA Continuity'!E31+'2008 FA Continuity'!E32+'2008 FA Continuity'!E33-'2008 FA Continuity'!G29</f>
        <v>1017893.14</v>
      </c>
      <c r="I9" s="60">
        <v>0</v>
      </c>
      <c r="J9" s="59">
        <f t="shared" si="1"/>
        <v>8245990.772999999</v>
      </c>
      <c r="K9" s="59">
        <f t="shared" si="2"/>
        <v>508946.57</v>
      </c>
      <c r="L9" s="59">
        <f t="shared" si="3"/>
        <v>7737044.202999999</v>
      </c>
      <c r="M9" s="61">
        <v>0.2</v>
      </c>
      <c r="N9" s="59">
        <f t="shared" si="4"/>
        <v>1547408.8405999998</v>
      </c>
      <c r="O9" s="59">
        <f t="shared" si="5"/>
        <v>6698581.932399999</v>
      </c>
    </row>
    <row r="10" spans="2:15" ht="12.75">
      <c r="B10" s="55">
        <v>10</v>
      </c>
      <c r="C10" s="56" t="s">
        <v>92</v>
      </c>
      <c r="D10" s="57">
        <f>'CCA Continuity 2007'!O10</f>
        <v>5063893.041999999</v>
      </c>
      <c r="E10" s="58">
        <v>0</v>
      </c>
      <c r="F10" s="58">
        <v>0</v>
      </c>
      <c r="G10" s="59">
        <f t="shared" si="0"/>
        <v>5063893.041999999</v>
      </c>
      <c r="H10" s="57">
        <f>'2008 FA Continuity'!E24+'2008 FA Continuity'!E27</f>
        <v>1740111.93</v>
      </c>
      <c r="I10" s="60">
        <v>0</v>
      </c>
      <c r="J10" s="59">
        <f t="shared" si="1"/>
        <v>6804004.971999999</v>
      </c>
      <c r="K10" s="59">
        <f t="shared" si="2"/>
        <v>870055.965</v>
      </c>
      <c r="L10" s="59">
        <f t="shared" si="3"/>
        <v>5933949.006999999</v>
      </c>
      <c r="M10" s="61">
        <v>0.3</v>
      </c>
      <c r="N10" s="59">
        <f t="shared" si="4"/>
        <v>1780184.7020999996</v>
      </c>
      <c r="O10" s="59">
        <f t="shared" si="5"/>
        <v>5023820.2699</v>
      </c>
    </row>
    <row r="11" spans="2:15" ht="12.75">
      <c r="B11" s="55">
        <v>10.1</v>
      </c>
      <c r="C11" s="56" t="s">
        <v>93</v>
      </c>
      <c r="D11" s="57">
        <f>'CCA Continuity 2007'!O11</f>
        <v>0</v>
      </c>
      <c r="E11" s="58">
        <v>0</v>
      </c>
      <c r="F11" s="58">
        <v>0</v>
      </c>
      <c r="G11" s="59">
        <f t="shared" si="0"/>
        <v>0</v>
      </c>
      <c r="H11" s="60">
        <v>0</v>
      </c>
      <c r="I11" s="60">
        <v>0</v>
      </c>
      <c r="J11" s="59">
        <f t="shared" si="1"/>
        <v>0</v>
      </c>
      <c r="K11" s="59">
        <f t="shared" si="2"/>
        <v>0</v>
      </c>
      <c r="L11" s="59">
        <f t="shared" si="3"/>
        <v>0</v>
      </c>
      <c r="M11" s="61">
        <v>0.3</v>
      </c>
      <c r="N11" s="59">
        <f t="shared" si="4"/>
        <v>0</v>
      </c>
      <c r="O11" s="59">
        <f t="shared" si="5"/>
        <v>0</v>
      </c>
    </row>
    <row r="12" spans="2:15" ht="12.75">
      <c r="B12" s="55">
        <v>12</v>
      </c>
      <c r="C12" s="56" t="s">
        <v>94</v>
      </c>
      <c r="D12" s="57">
        <f>'CCA Continuity 2007'!O12</f>
        <v>191740.48000000004</v>
      </c>
      <c r="E12" s="58">
        <v>0</v>
      </c>
      <c r="F12" s="58">
        <v>0</v>
      </c>
      <c r="G12" s="59">
        <f t="shared" si="0"/>
        <v>191740.48000000004</v>
      </c>
      <c r="H12" s="57">
        <f>'2008 FA Continuity'!E26-'2008 FA Continuity'!G26</f>
        <v>5515242.79</v>
      </c>
      <c r="I12" s="60">
        <v>0</v>
      </c>
      <c r="J12" s="59">
        <f t="shared" si="1"/>
        <v>5706983.2700000005</v>
      </c>
      <c r="K12" s="59">
        <f t="shared" si="2"/>
        <v>2757621.395</v>
      </c>
      <c r="L12" s="59">
        <f t="shared" si="3"/>
        <v>2949361.8750000005</v>
      </c>
      <c r="M12" s="61">
        <v>1</v>
      </c>
      <c r="N12" s="59">
        <f t="shared" si="4"/>
        <v>2949361.8750000005</v>
      </c>
      <c r="O12" s="59">
        <f t="shared" si="5"/>
        <v>2757621.395</v>
      </c>
    </row>
    <row r="13" spans="2:15" ht="12.75">
      <c r="B13" s="55" t="s">
        <v>95</v>
      </c>
      <c r="C13" s="56" t="s">
        <v>96</v>
      </c>
      <c r="D13" s="57">
        <f>'CCA Continuity 2007'!O13</f>
        <v>0</v>
      </c>
      <c r="E13" s="58">
        <v>0</v>
      </c>
      <c r="F13" s="58">
        <v>0</v>
      </c>
      <c r="G13" s="59">
        <f t="shared" si="0"/>
        <v>0</v>
      </c>
      <c r="H13" s="60">
        <v>0</v>
      </c>
      <c r="I13" s="60">
        <v>0</v>
      </c>
      <c r="J13" s="59">
        <f t="shared" si="1"/>
        <v>0</v>
      </c>
      <c r="K13" s="59">
        <f t="shared" si="2"/>
        <v>0</v>
      </c>
      <c r="L13" s="59">
        <f t="shared" si="3"/>
        <v>0</v>
      </c>
      <c r="M13" s="61">
        <v>0.2</v>
      </c>
      <c r="N13" s="59">
        <f t="shared" si="4"/>
        <v>0</v>
      </c>
      <c r="O13" s="59">
        <f t="shared" si="5"/>
        <v>0</v>
      </c>
    </row>
    <row r="14" spans="2:15" ht="12.75">
      <c r="B14" s="55" t="s">
        <v>97</v>
      </c>
      <c r="C14" s="56" t="s">
        <v>98</v>
      </c>
      <c r="D14" s="57">
        <f>'CCA Continuity 2007'!O14</f>
        <v>0</v>
      </c>
      <c r="E14" s="58">
        <v>0</v>
      </c>
      <c r="F14" s="58">
        <v>0</v>
      </c>
      <c r="G14" s="59">
        <f t="shared" si="0"/>
        <v>0</v>
      </c>
      <c r="H14" s="60">
        <v>0</v>
      </c>
      <c r="I14" s="60">
        <v>0</v>
      </c>
      <c r="J14" s="59">
        <f t="shared" si="1"/>
        <v>0</v>
      </c>
      <c r="K14" s="59">
        <f t="shared" si="2"/>
        <v>0</v>
      </c>
      <c r="L14" s="59">
        <f t="shared" si="3"/>
        <v>0</v>
      </c>
      <c r="M14" s="58"/>
      <c r="N14" s="57">
        <f t="shared" si="4"/>
        <v>0</v>
      </c>
      <c r="O14" s="59">
        <f t="shared" si="5"/>
        <v>0</v>
      </c>
    </row>
    <row r="15" spans="2:15" ht="12.75">
      <c r="B15" s="55" t="s">
        <v>99</v>
      </c>
      <c r="C15" s="56" t="s">
        <v>100</v>
      </c>
      <c r="D15" s="57">
        <f>'CCA Continuity 2007'!O15</f>
        <v>0</v>
      </c>
      <c r="E15" s="58">
        <v>0</v>
      </c>
      <c r="F15" s="58">
        <v>0</v>
      </c>
      <c r="G15" s="59">
        <f t="shared" si="0"/>
        <v>0</v>
      </c>
      <c r="H15" s="60">
        <v>0</v>
      </c>
      <c r="I15" s="60">
        <v>0</v>
      </c>
      <c r="J15" s="59">
        <f t="shared" si="1"/>
        <v>0</v>
      </c>
      <c r="K15" s="59">
        <f t="shared" si="2"/>
        <v>0</v>
      </c>
      <c r="L15" s="59">
        <f t="shared" si="3"/>
        <v>0</v>
      </c>
      <c r="M15" s="58"/>
      <c r="N15" s="57">
        <f t="shared" si="4"/>
        <v>0</v>
      </c>
      <c r="O15" s="59">
        <f t="shared" si="5"/>
        <v>0</v>
      </c>
    </row>
    <row r="16" spans="2:15" ht="12.75">
      <c r="B16" s="55" t="s">
        <v>101</v>
      </c>
      <c r="C16" s="56" t="s">
        <v>102</v>
      </c>
      <c r="D16" s="57">
        <f>'CCA Continuity 2007'!O16</f>
        <v>0</v>
      </c>
      <c r="E16" s="58">
        <v>0</v>
      </c>
      <c r="F16" s="58">
        <v>0</v>
      </c>
      <c r="G16" s="59">
        <f t="shared" si="0"/>
        <v>0</v>
      </c>
      <c r="H16" s="60">
        <v>0</v>
      </c>
      <c r="I16" s="60">
        <v>0</v>
      </c>
      <c r="J16" s="59">
        <f t="shared" si="1"/>
        <v>0</v>
      </c>
      <c r="K16" s="59">
        <f t="shared" si="2"/>
        <v>0</v>
      </c>
      <c r="L16" s="59">
        <f t="shared" si="3"/>
        <v>0</v>
      </c>
      <c r="M16" s="58"/>
      <c r="N16" s="57">
        <f t="shared" si="4"/>
        <v>0</v>
      </c>
      <c r="O16" s="59">
        <f t="shared" si="5"/>
        <v>0</v>
      </c>
    </row>
    <row r="17" spans="2:15" ht="12.75">
      <c r="B17" s="55">
        <v>14</v>
      </c>
      <c r="C17" s="56" t="s">
        <v>103</v>
      </c>
      <c r="D17" s="57">
        <f>'CCA Continuity 2007'!O17</f>
        <v>0</v>
      </c>
      <c r="E17" s="58">
        <v>0</v>
      </c>
      <c r="F17" s="58">
        <v>0</v>
      </c>
      <c r="G17" s="59">
        <f t="shared" si="0"/>
        <v>0</v>
      </c>
      <c r="H17" s="60">
        <v>0</v>
      </c>
      <c r="I17" s="60">
        <v>0</v>
      </c>
      <c r="J17" s="59">
        <f t="shared" si="1"/>
        <v>0</v>
      </c>
      <c r="K17" s="59">
        <f t="shared" si="2"/>
        <v>0</v>
      </c>
      <c r="L17" s="59">
        <f t="shared" si="3"/>
        <v>0</v>
      </c>
      <c r="M17" s="58"/>
      <c r="N17" s="57">
        <f t="shared" si="4"/>
        <v>0</v>
      </c>
      <c r="O17" s="59">
        <f t="shared" si="5"/>
        <v>0</v>
      </c>
    </row>
    <row r="18" spans="2:15" ht="25.5">
      <c r="B18" s="55">
        <v>17</v>
      </c>
      <c r="C18" s="56" t="s">
        <v>104</v>
      </c>
      <c r="D18" s="57">
        <f>'CCA Continuity 2007'!O18</f>
        <v>104123.76</v>
      </c>
      <c r="E18" s="58">
        <v>0</v>
      </c>
      <c r="F18" s="58">
        <v>0</v>
      </c>
      <c r="G18" s="59">
        <f t="shared" si="0"/>
        <v>104123.76</v>
      </c>
      <c r="H18" s="60">
        <v>0</v>
      </c>
      <c r="I18" s="60">
        <v>0</v>
      </c>
      <c r="J18" s="59">
        <f t="shared" si="1"/>
        <v>104123.76</v>
      </c>
      <c r="K18" s="59">
        <f t="shared" si="2"/>
        <v>0</v>
      </c>
      <c r="L18" s="59">
        <f t="shared" si="3"/>
        <v>104123.76</v>
      </c>
      <c r="M18" s="61">
        <v>0.08</v>
      </c>
      <c r="N18" s="59">
        <f t="shared" si="4"/>
        <v>8329.9008</v>
      </c>
      <c r="O18" s="59">
        <f t="shared" si="5"/>
        <v>95793.85919999999</v>
      </c>
    </row>
    <row r="19" spans="2:15" ht="25.5">
      <c r="B19" s="55">
        <v>43.1</v>
      </c>
      <c r="C19" s="56" t="s">
        <v>105</v>
      </c>
      <c r="D19" s="57">
        <f>'CCA Continuity 2007'!O19</f>
        <v>0</v>
      </c>
      <c r="E19" s="58">
        <v>0</v>
      </c>
      <c r="F19" s="58">
        <v>0</v>
      </c>
      <c r="G19" s="59">
        <f t="shared" si="0"/>
        <v>0</v>
      </c>
      <c r="H19" s="60">
        <v>0</v>
      </c>
      <c r="I19" s="60">
        <v>0</v>
      </c>
      <c r="J19" s="59">
        <f t="shared" si="1"/>
        <v>0</v>
      </c>
      <c r="K19" s="59">
        <f t="shared" si="2"/>
        <v>0</v>
      </c>
      <c r="L19" s="59">
        <f t="shared" si="3"/>
        <v>0</v>
      </c>
      <c r="M19" s="61">
        <v>0.3</v>
      </c>
      <c r="N19" s="59">
        <f t="shared" si="4"/>
        <v>0</v>
      </c>
      <c r="O19" s="59">
        <f t="shared" si="5"/>
        <v>0</v>
      </c>
    </row>
    <row r="20" spans="2:15" ht="25.5">
      <c r="B20" s="55">
        <v>45</v>
      </c>
      <c r="C20" s="56" t="s">
        <v>106</v>
      </c>
      <c r="D20" s="57">
        <f>'CCA Continuity 2007'!O20</f>
        <v>320940.95</v>
      </c>
      <c r="E20" s="58">
        <v>0</v>
      </c>
      <c r="F20" s="58">
        <v>0</v>
      </c>
      <c r="G20" s="59">
        <f t="shared" si="0"/>
        <v>320940.95</v>
      </c>
      <c r="H20" s="57">
        <v>0</v>
      </c>
      <c r="I20" s="60">
        <v>0</v>
      </c>
      <c r="J20" s="59">
        <f t="shared" si="1"/>
        <v>320940.95</v>
      </c>
      <c r="K20" s="59">
        <f t="shared" si="2"/>
        <v>0</v>
      </c>
      <c r="L20" s="59">
        <f t="shared" si="3"/>
        <v>320940.95</v>
      </c>
      <c r="M20" s="61">
        <v>0.45</v>
      </c>
      <c r="N20" s="59">
        <f t="shared" si="4"/>
        <v>144423.42750000002</v>
      </c>
      <c r="O20" s="59">
        <f t="shared" si="5"/>
        <v>176517.5225</v>
      </c>
    </row>
    <row r="21" spans="2:15" ht="25.5">
      <c r="B21" s="55">
        <v>50</v>
      </c>
      <c r="C21" s="56" t="s">
        <v>129</v>
      </c>
      <c r="D21" s="57">
        <f>'CCA Continuity 2007'!O21</f>
        <v>459933.69249999995</v>
      </c>
      <c r="E21" s="58">
        <v>0</v>
      </c>
      <c r="F21" s="58">
        <v>0</v>
      </c>
      <c r="G21" s="59">
        <f t="shared" si="0"/>
        <v>459933.69249999995</v>
      </c>
      <c r="H21" s="57">
        <f>'2008 FA Continuity'!E25-'2008 FA Continuity'!G25</f>
        <v>917963.04</v>
      </c>
      <c r="I21" s="60">
        <v>0</v>
      </c>
      <c r="J21" s="59">
        <f>G21+H21-I21</f>
        <v>1377896.7325</v>
      </c>
      <c r="K21" s="59">
        <f>H21*0.5</f>
        <v>458981.52</v>
      </c>
      <c r="L21" s="59">
        <f>J21-K21</f>
        <v>918915.2124999999</v>
      </c>
      <c r="M21" s="61">
        <v>0.55</v>
      </c>
      <c r="N21" s="59">
        <f>L21*M21</f>
        <v>505403.366875</v>
      </c>
      <c r="O21" s="59">
        <f>J21-N21</f>
        <v>872493.3656249999</v>
      </c>
    </row>
    <row r="22" spans="2:15" ht="25.5">
      <c r="B22" s="55">
        <v>52</v>
      </c>
      <c r="C22" s="56" t="s">
        <v>130</v>
      </c>
      <c r="D22" s="57">
        <f>'CCA Continuity 2007'!O22</f>
        <v>0</v>
      </c>
      <c r="E22" s="58">
        <v>0</v>
      </c>
      <c r="F22" s="58">
        <v>0</v>
      </c>
      <c r="G22" s="59">
        <f>D22-E22-F22</f>
        <v>0</v>
      </c>
      <c r="H22" s="57">
        <v>0</v>
      </c>
      <c r="I22" s="60">
        <v>0</v>
      </c>
      <c r="J22" s="59">
        <f>G22+H22-I22</f>
        <v>0</v>
      </c>
      <c r="K22" s="59">
        <f>H22*0.5</f>
        <v>0</v>
      </c>
      <c r="L22" s="59">
        <f>J22-K22</f>
        <v>0</v>
      </c>
      <c r="M22" s="61">
        <v>1</v>
      </c>
      <c r="N22" s="59">
        <f>L22*M22</f>
        <v>0</v>
      </c>
      <c r="O22" s="59">
        <f>J22-N22</f>
        <v>0</v>
      </c>
    </row>
    <row r="23" spans="2:15" ht="25.5">
      <c r="B23" s="55">
        <v>46</v>
      </c>
      <c r="C23" s="56" t="s">
        <v>107</v>
      </c>
      <c r="D23" s="57">
        <f>'CCA Continuity 2007'!O23</f>
        <v>0</v>
      </c>
      <c r="E23" s="58">
        <v>0</v>
      </c>
      <c r="F23" s="58">
        <v>0</v>
      </c>
      <c r="G23" s="59">
        <f t="shared" si="0"/>
        <v>0</v>
      </c>
      <c r="H23" s="60">
        <v>0</v>
      </c>
      <c r="I23" s="60">
        <v>0</v>
      </c>
      <c r="J23" s="59">
        <f t="shared" si="1"/>
        <v>0</v>
      </c>
      <c r="K23" s="59">
        <f t="shared" si="2"/>
        <v>0</v>
      </c>
      <c r="L23" s="59">
        <f t="shared" si="3"/>
        <v>0</v>
      </c>
      <c r="M23" s="61">
        <v>0.3</v>
      </c>
      <c r="N23" s="59">
        <f t="shared" si="4"/>
        <v>0</v>
      </c>
      <c r="O23" s="59">
        <f t="shared" si="5"/>
        <v>0</v>
      </c>
    </row>
    <row r="24" spans="2:15" ht="12.75">
      <c r="B24" s="55">
        <v>47</v>
      </c>
      <c r="C24" s="56" t="s">
        <v>108</v>
      </c>
      <c r="D24" s="57">
        <f>'CCA Continuity 2007'!O24</f>
        <v>52353636.032000005</v>
      </c>
      <c r="E24" s="58"/>
      <c r="F24" s="58"/>
      <c r="G24" s="59">
        <f t="shared" si="0"/>
        <v>52353636.032000005</v>
      </c>
      <c r="H24" s="57">
        <f>'2008 FA Continuity'!E8+SUM('2008 FA Continuity'!E10:E18)+'2008 FA Continuity'!E34+'2008 FA Continuity'!E35+'2008 FA Continuity'!E36+'2008 FA Continuity'!E6-'2008 FA Continuity'!G18+'2008 FA Continuity'!E21+'2008 FA Continuity'!E20</f>
        <v>25257837.85</v>
      </c>
      <c r="I24" s="60">
        <v>0</v>
      </c>
      <c r="J24" s="59">
        <f t="shared" si="1"/>
        <v>77611473.882</v>
      </c>
      <c r="K24" s="59">
        <f t="shared" si="2"/>
        <v>12628918.925</v>
      </c>
      <c r="L24" s="59">
        <f t="shared" si="3"/>
        <v>64982554.957</v>
      </c>
      <c r="M24" s="61">
        <v>0.08</v>
      </c>
      <c r="N24" s="63">
        <f t="shared" si="4"/>
        <v>5198604.39656</v>
      </c>
      <c r="O24" s="59">
        <f t="shared" si="5"/>
        <v>72412869.48544</v>
      </c>
    </row>
    <row r="25" spans="2:15" ht="12.75">
      <c r="B25" s="55"/>
      <c r="C25" s="64" t="s">
        <v>109</v>
      </c>
      <c r="D25" s="65">
        <f aca="true" t="shared" si="6" ref="D25:L25">SUM(D6:D24)</f>
        <v>329596871.56949997</v>
      </c>
      <c r="E25" s="65">
        <f t="shared" si="6"/>
        <v>0</v>
      </c>
      <c r="F25" s="65">
        <f t="shared" si="6"/>
        <v>0</v>
      </c>
      <c r="G25" s="65">
        <f t="shared" si="6"/>
        <v>329596871.56949997</v>
      </c>
      <c r="H25" s="65">
        <f t="shared" si="6"/>
        <v>34449048.75</v>
      </c>
      <c r="I25" s="65">
        <f t="shared" si="6"/>
        <v>0</v>
      </c>
      <c r="J25" s="65">
        <f t="shared" si="6"/>
        <v>364045920.31949997</v>
      </c>
      <c r="K25" s="65">
        <f t="shared" si="6"/>
        <v>17224524.375</v>
      </c>
      <c r="L25" s="65">
        <f t="shared" si="6"/>
        <v>346821395.9444999</v>
      </c>
      <c r="M25" s="65"/>
      <c r="N25" s="65">
        <f>SUM(N6:N24)</f>
        <v>23691108.424235</v>
      </c>
      <c r="O25" s="65">
        <f>SUM(O6:O24)</f>
        <v>340354811.895265</v>
      </c>
    </row>
    <row r="26" spans="2:7" ht="12.75">
      <c r="B26" s="66"/>
      <c r="C26" s="67"/>
      <c r="D26" s="68"/>
      <c r="E26" s="68"/>
      <c r="F26" s="68"/>
      <c r="G26" s="68"/>
    </row>
    <row r="27" spans="2:7" ht="12.75">
      <c r="B27" s="55" t="s">
        <v>54</v>
      </c>
      <c r="C27" s="56" t="s">
        <v>110</v>
      </c>
      <c r="D27" s="57">
        <f>'CCA Continuity 2007'!H66</f>
        <v>13010890.65</v>
      </c>
      <c r="E27" s="58">
        <v>0</v>
      </c>
      <c r="F27" s="58">
        <v>0</v>
      </c>
      <c r="G27" s="59">
        <f>D27-E27-F27</f>
        <v>13010890.65</v>
      </c>
    </row>
    <row r="28" spans="2:7" ht="12.75">
      <c r="B28" s="55" t="s">
        <v>54</v>
      </c>
      <c r="C28" s="56" t="s">
        <v>18</v>
      </c>
      <c r="D28" s="60">
        <v>0</v>
      </c>
      <c r="E28" s="58">
        <v>0</v>
      </c>
      <c r="F28" s="58">
        <v>0</v>
      </c>
      <c r="G28" s="59">
        <f>D28-E28-F28</f>
        <v>0</v>
      </c>
    </row>
    <row r="29" spans="2:7" ht="12.75">
      <c r="B29" s="55" t="s">
        <v>54</v>
      </c>
      <c r="C29" s="56" t="s">
        <v>111</v>
      </c>
      <c r="D29" s="60">
        <v>0</v>
      </c>
      <c r="E29" s="58">
        <v>0</v>
      </c>
      <c r="F29" s="58">
        <v>0</v>
      </c>
      <c r="G29" s="59">
        <f>D29-E29-F29</f>
        <v>0</v>
      </c>
    </row>
    <row r="30" spans="2:7" ht="12.75">
      <c r="B30" s="55"/>
      <c r="C30" s="64" t="s">
        <v>112</v>
      </c>
      <c r="D30" s="65">
        <f>SUM(D27:D29)</f>
        <v>13010890.65</v>
      </c>
      <c r="E30" s="65">
        <f>SUM(E27:E29)</f>
        <v>0</v>
      </c>
      <c r="F30" s="65">
        <f>SUM(F27:F29)</f>
        <v>0</v>
      </c>
      <c r="G30" s="65">
        <f>SUM(G27:G29)</f>
        <v>13010890.65</v>
      </c>
    </row>
    <row r="31" ht="13.5" thickBot="1"/>
    <row r="32" spans="1:9" ht="12.75">
      <c r="A32" s="148"/>
      <c r="B32" s="149"/>
      <c r="C32" s="149"/>
      <c r="D32" s="149"/>
      <c r="E32" s="149"/>
      <c r="F32" s="149"/>
      <c r="G32" s="149"/>
      <c r="H32" s="149"/>
      <c r="I32" s="150"/>
    </row>
    <row r="33" spans="1:9" ht="24" customHeight="1">
      <c r="A33" s="69"/>
      <c r="B33" s="151" t="s">
        <v>113</v>
      </c>
      <c r="C33" s="151"/>
      <c r="D33" s="151"/>
      <c r="E33" s="151"/>
      <c r="F33" s="151"/>
      <c r="G33" s="151"/>
      <c r="H33" s="151"/>
      <c r="I33" s="71"/>
    </row>
    <row r="34" spans="1:9" ht="15.75">
      <c r="A34" s="69"/>
      <c r="B34" s="145" t="s">
        <v>114</v>
      </c>
      <c r="C34" s="145"/>
      <c r="D34" s="145"/>
      <c r="E34" s="70"/>
      <c r="F34" s="70"/>
      <c r="G34" s="70"/>
      <c r="H34" s="73">
        <f>G30</f>
        <v>13010890.65</v>
      </c>
      <c r="I34" s="71"/>
    </row>
    <row r="35" spans="1:9" ht="15.75">
      <c r="A35" s="69"/>
      <c r="B35" s="145"/>
      <c r="C35" s="145"/>
      <c r="D35" s="145"/>
      <c r="E35" s="70"/>
      <c r="F35" s="70"/>
      <c r="G35" s="70"/>
      <c r="H35" s="73"/>
      <c r="I35" s="71"/>
    </row>
    <row r="36" spans="1:9" ht="12.75">
      <c r="A36" s="69"/>
      <c r="B36" s="152" t="s">
        <v>115</v>
      </c>
      <c r="C36" s="152"/>
      <c r="D36" s="152"/>
      <c r="E36" s="74"/>
      <c r="F36" s="74"/>
      <c r="G36" s="74"/>
      <c r="I36" s="71"/>
    </row>
    <row r="37" spans="1:9" ht="12.75">
      <c r="A37" s="69"/>
      <c r="B37" s="145" t="s">
        <v>116</v>
      </c>
      <c r="C37" s="145"/>
      <c r="D37" s="145"/>
      <c r="E37" s="75">
        <v>0</v>
      </c>
      <c r="F37" s="74"/>
      <c r="G37" s="74"/>
      <c r="H37" s="74"/>
      <c r="I37" s="71"/>
    </row>
    <row r="38" spans="1:9" ht="12.75">
      <c r="A38" s="69"/>
      <c r="B38" s="145"/>
      <c r="C38" s="145"/>
      <c r="D38" s="145"/>
      <c r="E38" s="74"/>
      <c r="F38" s="74"/>
      <c r="G38" s="74"/>
      <c r="H38" s="74"/>
      <c r="I38" s="71"/>
    </row>
    <row r="39" spans="1:9" ht="12.75">
      <c r="A39" s="69"/>
      <c r="B39" s="145" t="s">
        <v>117</v>
      </c>
      <c r="C39" s="145"/>
      <c r="D39" s="145"/>
      <c r="E39" s="75">
        <v>0</v>
      </c>
      <c r="F39" s="74"/>
      <c r="G39" s="74"/>
      <c r="H39" s="74"/>
      <c r="I39" s="71"/>
    </row>
    <row r="40" spans="1:9" ht="12.75">
      <c r="A40" s="69"/>
      <c r="B40" s="145"/>
      <c r="C40" s="145"/>
      <c r="D40" s="145"/>
      <c r="E40" s="74"/>
      <c r="F40" s="74"/>
      <c r="G40" s="74"/>
      <c r="H40" s="74"/>
      <c r="I40" s="71"/>
    </row>
    <row r="41" spans="1:9" ht="12.75">
      <c r="A41" s="69"/>
      <c r="B41" s="145" t="s">
        <v>118</v>
      </c>
      <c r="C41" s="145"/>
      <c r="D41" s="145"/>
      <c r="E41" s="75">
        <f>E37+E39</f>
        <v>0</v>
      </c>
      <c r="F41" s="74" t="s">
        <v>119</v>
      </c>
      <c r="G41" s="74">
        <f>E41*0.75</f>
        <v>0</v>
      </c>
      <c r="H41" s="74"/>
      <c r="I41" s="71"/>
    </row>
    <row r="42" spans="1:9" ht="12.75">
      <c r="A42" s="69"/>
      <c r="B42" s="145"/>
      <c r="C42" s="145"/>
      <c r="D42" s="145"/>
      <c r="E42" s="74"/>
      <c r="F42" s="74"/>
      <c r="G42" s="74"/>
      <c r="H42" s="74"/>
      <c r="I42" s="71"/>
    </row>
    <row r="43" spans="1:9" ht="12.75" customHeight="1">
      <c r="A43" s="69"/>
      <c r="B43" s="153" t="s">
        <v>120</v>
      </c>
      <c r="C43" s="153"/>
      <c r="D43" s="153"/>
      <c r="H43" s="74"/>
      <c r="I43" s="71"/>
    </row>
    <row r="44" spans="1:9" ht="12.75">
      <c r="A44" s="69"/>
      <c r="B44" s="153"/>
      <c r="C44" s="153"/>
      <c r="D44" s="153"/>
      <c r="E44" s="75">
        <v>0</v>
      </c>
      <c r="F44" s="74" t="s">
        <v>121</v>
      </c>
      <c r="G44" s="74">
        <f>E44*0.5</f>
        <v>0</v>
      </c>
      <c r="H44" s="74"/>
      <c r="I44" s="71"/>
    </row>
    <row r="45" spans="1:9" ht="12.75">
      <c r="A45" s="69"/>
      <c r="B45" s="145"/>
      <c r="C45" s="145"/>
      <c r="D45" s="145"/>
      <c r="E45" s="74"/>
      <c r="F45" s="74"/>
      <c r="G45" s="76">
        <f>G41+G44</f>
        <v>0</v>
      </c>
      <c r="H45" s="77">
        <f>G45+H34</f>
        <v>13010890.65</v>
      </c>
      <c r="I45" s="71"/>
    </row>
    <row r="46" spans="1:9" ht="12.75">
      <c r="A46" s="69"/>
      <c r="B46" s="72"/>
      <c r="C46" s="72"/>
      <c r="D46" s="72"/>
      <c r="E46" s="74"/>
      <c r="F46" s="74"/>
      <c r="G46" s="74"/>
      <c r="H46" s="74"/>
      <c r="I46" s="71"/>
    </row>
    <row r="47" spans="1:9" ht="12.75">
      <c r="A47" s="69"/>
      <c r="B47" s="145" t="s">
        <v>122</v>
      </c>
      <c r="C47" s="145"/>
      <c r="D47" s="145"/>
      <c r="E47" s="75">
        <v>0</v>
      </c>
      <c r="F47" s="74"/>
      <c r="G47" s="74"/>
      <c r="H47" s="78">
        <f>E47</f>
        <v>0</v>
      </c>
      <c r="I47" s="71"/>
    </row>
    <row r="48" spans="1:9" ht="12.75">
      <c r="A48" s="69"/>
      <c r="B48" s="145"/>
      <c r="C48" s="145"/>
      <c r="D48" s="145"/>
      <c r="E48" s="74"/>
      <c r="F48" s="74"/>
      <c r="G48" s="74"/>
      <c r="H48" s="74"/>
      <c r="I48" s="71"/>
    </row>
    <row r="49" spans="1:9" ht="12.75">
      <c r="A49" s="69"/>
      <c r="B49" s="154" t="s">
        <v>118</v>
      </c>
      <c r="C49" s="154"/>
      <c r="D49" s="154" t="s">
        <v>118</v>
      </c>
      <c r="E49" s="74"/>
      <c r="F49" s="74"/>
      <c r="G49" s="74"/>
      <c r="H49" s="77">
        <f>H45+H47</f>
        <v>13010890.65</v>
      </c>
      <c r="I49" s="71"/>
    </row>
    <row r="50" spans="1:9" ht="12.75">
      <c r="A50" s="69"/>
      <c r="B50" s="145"/>
      <c r="C50" s="145"/>
      <c r="D50" s="145"/>
      <c r="E50" s="74"/>
      <c r="F50" s="74"/>
      <c r="G50" s="74"/>
      <c r="H50" s="74"/>
      <c r="I50" s="71"/>
    </row>
    <row r="51" spans="1:9" ht="12.75">
      <c r="A51" s="69"/>
      <c r="B51" s="152" t="s">
        <v>123</v>
      </c>
      <c r="C51" s="152"/>
      <c r="D51" s="152"/>
      <c r="E51" s="74"/>
      <c r="F51" s="74"/>
      <c r="G51" s="74"/>
      <c r="H51" s="74"/>
      <c r="I51" s="71"/>
    </row>
    <row r="52" spans="1:9" ht="12.75">
      <c r="A52" s="69"/>
      <c r="B52" s="145"/>
      <c r="C52" s="145"/>
      <c r="D52" s="145"/>
      <c r="E52" s="74"/>
      <c r="F52" s="74"/>
      <c r="G52" s="74"/>
      <c r="H52" s="74"/>
      <c r="I52" s="71"/>
    </row>
    <row r="53" spans="1:9" ht="12.75">
      <c r="A53" s="69"/>
      <c r="B53" s="153" t="s">
        <v>124</v>
      </c>
      <c r="C53" s="153"/>
      <c r="D53" s="153"/>
      <c r="E53" s="74"/>
      <c r="F53" s="74"/>
      <c r="G53" s="74"/>
      <c r="H53" s="74"/>
      <c r="I53" s="71"/>
    </row>
    <row r="54" spans="1:9" ht="12.75">
      <c r="A54" s="69"/>
      <c r="B54" s="153"/>
      <c r="C54" s="153"/>
      <c r="D54" s="153"/>
      <c r="E54" s="74"/>
      <c r="F54" s="74"/>
      <c r="G54" s="74"/>
      <c r="H54" s="74"/>
      <c r="I54" s="71"/>
    </row>
    <row r="55" spans="1:9" ht="12.75">
      <c r="A55" s="69"/>
      <c r="B55" s="145"/>
      <c r="C55" s="145"/>
      <c r="D55" s="145"/>
      <c r="E55" s="74"/>
      <c r="F55" s="74"/>
      <c r="G55" s="74"/>
      <c r="H55" s="74"/>
      <c r="I55" s="71"/>
    </row>
    <row r="56" spans="1:9" ht="12.75">
      <c r="A56" s="69"/>
      <c r="B56" s="145" t="s">
        <v>117</v>
      </c>
      <c r="C56" s="145"/>
      <c r="D56" s="145"/>
      <c r="E56" s="75">
        <v>0</v>
      </c>
      <c r="F56" s="74"/>
      <c r="G56" s="74"/>
      <c r="H56" s="74"/>
      <c r="I56" s="71"/>
    </row>
    <row r="57" spans="1:9" ht="12.75">
      <c r="A57" s="69"/>
      <c r="B57" s="145"/>
      <c r="C57" s="145"/>
      <c r="D57" s="145"/>
      <c r="E57" s="74"/>
      <c r="F57" s="74"/>
      <c r="G57" s="74"/>
      <c r="H57" s="74"/>
      <c r="I57" s="71"/>
    </row>
    <row r="58" spans="1:9" ht="12.75">
      <c r="A58" s="69"/>
      <c r="B58" s="154" t="s">
        <v>118</v>
      </c>
      <c r="C58" s="154"/>
      <c r="D58" s="154" t="s">
        <v>118</v>
      </c>
      <c r="E58" s="75">
        <f>E56</f>
        <v>0</v>
      </c>
      <c r="F58" s="74" t="s">
        <v>119</v>
      </c>
      <c r="G58" s="74">
        <f>E58*0.75</f>
        <v>0</v>
      </c>
      <c r="H58" s="77">
        <f>H49+G58</f>
        <v>13010890.65</v>
      </c>
      <c r="I58" s="71"/>
    </row>
    <row r="59" spans="1:9" ht="12.75">
      <c r="A59" s="69"/>
      <c r="B59" s="145"/>
      <c r="C59" s="145"/>
      <c r="D59" s="145"/>
      <c r="E59" s="74"/>
      <c r="F59" s="74"/>
      <c r="G59" s="74"/>
      <c r="H59" s="74"/>
      <c r="I59" s="71"/>
    </row>
    <row r="60" spans="1:9" ht="12.75">
      <c r="A60" s="69"/>
      <c r="B60" s="145"/>
      <c r="C60" s="145"/>
      <c r="D60" s="145"/>
      <c r="E60" s="74"/>
      <c r="F60" s="74"/>
      <c r="G60" s="74"/>
      <c r="H60" s="74"/>
      <c r="I60" s="71"/>
    </row>
    <row r="61" spans="1:9" ht="12.75">
      <c r="A61" s="69"/>
      <c r="B61" s="145"/>
      <c r="C61" s="145"/>
      <c r="D61" s="145"/>
      <c r="E61" s="74"/>
      <c r="F61" s="74"/>
      <c r="G61" s="74"/>
      <c r="H61" s="74"/>
      <c r="I61" s="71"/>
    </row>
    <row r="62" spans="1:9" ht="12.75">
      <c r="A62" s="69"/>
      <c r="B62" s="145" t="s">
        <v>125</v>
      </c>
      <c r="C62" s="145"/>
      <c r="D62" s="145"/>
      <c r="E62" s="74"/>
      <c r="F62" s="74"/>
      <c r="G62" s="74"/>
      <c r="H62" s="73">
        <f>H58</f>
        <v>13010890.65</v>
      </c>
      <c r="I62" s="71"/>
    </row>
    <row r="63" spans="1:9" ht="12.75">
      <c r="A63" s="69"/>
      <c r="B63" s="145"/>
      <c r="C63" s="145"/>
      <c r="D63" s="145"/>
      <c r="E63" s="74"/>
      <c r="F63" s="74"/>
      <c r="G63" s="74"/>
      <c r="H63" s="74"/>
      <c r="I63" s="71"/>
    </row>
    <row r="64" spans="1:9" ht="12.75">
      <c r="A64" s="69"/>
      <c r="B64" s="145" t="s">
        <v>126</v>
      </c>
      <c r="C64" s="145"/>
      <c r="D64" s="145"/>
      <c r="E64" s="79">
        <v>0.07</v>
      </c>
      <c r="F64" s="74"/>
      <c r="G64" s="74"/>
      <c r="H64" s="73">
        <f>H62*E64</f>
        <v>910762.3455000002</v>
      </c>
      <c r="I64" s="71"/>
    </row>
    <row r="65" spans="1:9" ht="12.75">
      <c r="A65" s="69"/>
      <c r="B65" s="158"/>
      <c r="C65" s="158"/>
      <c r="D65" s="158"/>
      <c r="E65" s="74"/>
      <c r="F65" s="73"/>
      <c r="G65" s="74"/>
      <c r="H65" s="73"/>
      <c r="I65" s="71"/>
    </row>
    <row r="66" spans="1:9" ht="13.5" thickBot="1">
      <c r="A66" s="69"/>
      <c r="B66" s="145" t="s">
        <v>127</v>
      </c>
      <c r="C66" s="145"/>
      <c r="D66" s="145"/>
      <c r="E66" s="74"/>
      <c r="F66" s="74"/>
      <c r="G66" s="74"/>
      <c r="H66" s="80">
        <f>H62-H64</f>
        <v>12100128.3045</v>
      </c>
      <c r="I66" s="71"/>
    </row>
    <row r="67" spans="1:9" ht="14.25" thickBot="1" thickTop="1">
      <c r="A67" s="155"/>
      <c r="B67" s="156"/>
      <c r="C67" s="156"/>
      <c r="D67" s="156"/>
      <c r="E67" s="156"/>
      <c r="F67" s="156"/>
      <c r="G67" s="156"/>
      <c r="H67" s="156"/>
      <c r="I67" s="157"/>
    </row>
  </sheetData>
  <sheetProtection/>
  <mergeCells count="36">
    <mergeCell ref="B60:D60"/>
    <mergeCell ref="B61:D61"/>
    <mergeCell ref="B62:D62"/>
    <mergeCell ref="B63:D63"/>
    <mergeCell ref="B64:D64"/>
    <mergeCell ref="B65:D65"/>
    <mergeCell ref="B49:D49"/>
    <mergeCell ref="B50:D50"/>
    <mergeCell ref="B51:D51"/>
    <mergeCell ref="B52:D52"/>
    <mergeCell ref="B66:D66"/>
    <mergeCell ref="A67:I67"/>
    <mergeCell ref="B56:D56"/>
    <mergeCell ref="B57:D57"/>
    <mergeCell ref="B58:D58"/>
    <mergeCell ref="B59:D59"/>
    <mergeCell ref="B37:D37"/>
    <mergeCell ref="B38:D38"/>
    <mergeCell ref="B53:D54"/>
    <mergeCell ref="B55:D55"/>
    <mergeCell ref="B41:D41"/>
    <mergeCell ref="B42:D42"/>
    <mergeCell ref="B43:D44"/>
    <mergeCell ref="B45:D45"/>
    <mergeCell ref="B47:D47"/>
    <mergeCell ref="B48:D48"/>
    <mergeCell ref="B39:D39"/>
    <mergeCell ref="B40:D40"/>
    <mergeCell ref="A1:O1"/>
    <mergeCell ref="A2:O2"/>
    <mergeCell ref="B4:O4"/>
    <mergeCell ref="A32:I32"/>
    <mergeCell ref="B33:H33"/>
    <mergeCell ref="B34:D34"/>
    <mergeCell ref="B35:D35"/>
    <mergeCell ref="B36:D36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47" r:id="rId3"/>
  <headerFooter alignWithMargins="0">
    <oddFooter>&amp;L&amp;A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D6" sqref="D6:D24"/>
    </sheetView>
  </sheetViews>
  <sheetFormatPr defaultColWidth="9.140625" defaultRowHeight="15"/>
  <cols>
    <col min="1" max="1" width="1.57421875" style="52" customWidth="1"/>
    <col min="2" max="2" width="6.421875" style="52" customWidth="1"/>
    <col min="3" max="3" width="48.421875" style="52" customWidth="1"/>
    <col min="4" max="4" width="17.421875" style="52" customWidth="1"/>
    <col min="5" max="5" width="21.140625" style="52" customWidth="1"/>
    <col min="6" max="6" width="20.421875" style="52" customWidth="1"/>
    <col min="7" max="7" width="19.28125" style="52" customWidth="1"/>
    <col min="8" max="8" width="13.00390625" style="52" customWidth="1"/>
    <col min="9" max="9" width="13.57421875" style="52" customWidth="1"/>
    <col min="10" max="10" width="18.57421875" style="52" customWidth="1"/>
    <col min="11" max="11" width="26.7109375" style="52" customWidth="1"/>
    <col min="12" max="12" width="13.140625" style="52" bestFit="1" customWidth="1"/>
    <col min="13" max="13" width="9.140625" style="52" customWidth="1"/>
    <col min="14" max="14" width="10.8515625" style="52" bestFit="1" customWidth="1"/>
    <col min="15" max="15" width="15.421875" style="52" customWidth="1"/>
    <col min="16" max="16384" width="9.140625" style="52" customWidth="1"/>
  </cols>
  <sheetData>
    <row r="1" spans="1:15" ht="12.75">
      <c r="A1" s="146" t="str">
        <f>'[1]Trial Balance'!A1:H1</f>
        <v>HORIZON UTILITIES CORPORATION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2.75">
      <c r="A2" s="146" t="str">
        <f>'[1]Trial Balance'!A2:H2</f>
        <v>2008 Forward Test Year Rate Application filed October 22, 2007, License Number ED-2006-0031, File Number EB-2007-0697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ht="6.75" customHeight="1"/>
    <row r="4" spans="2:15" ht="36" customHeight="1">
      <c r="B4" s="147" t="s">
        <v>131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5" s="53" customFormat="1" ht="38.25">
      <c r="B5" s="54" t="s">
        <v>74</v>
      </c>
      <c r="C5" s="54" t="s">
        <v>75</v>
      </c>
      <c r="D5" s="54" t="s">
        <v>76</v>
      </c>
      <c r="E5" s="54" t="s">
        <v>77</v>
      </c>
      <c r="F5" s="54" t="s">
        <v>78</v>
      </c>
      <c r="G5" s="54" t="s">
        <v>79</v>
      </c>
      <c r="H5" s="54" t="s">
        <v>80</v>
      </c>
      <c r="I5" s="54" t="s">
        <v>81</v>
      </c>
      <c r="J5" s="54" t="s">
        <v>82</v>
      </c>
      <c r="K5" s="54" t="s">
        <v>83</v>
      </c>
      <c r="L5" s="54" t="s">
        <v>84</v>
      </c>
      <c r="M5" s="54" t="s">
        <v>85</v>
      </c>
      <c r="N5" s="54" t="s">
        <v>86</v>
      </c>
      <c r="O5" s="54" t="s">
        <v>87</v>
      </c>
    </row>
    <row r="6" spans="2:15" ht="12.75">
      <c r="B6" s="55">
        <v>1</v>
      </c>
      <c r="C6" s="56" t="s">
        <v>88</v>
      </c>
      <c r="D6" s="57">
        <f>'CCA Continuity 2008'!O6</f>
        <v>205250803.2</v>
      </c>
      <c r="E6" s="58">
        <v>0</v>
      </c>
      <c r="F6" s="58">
        <v>0</v>
      </c>
      <c r="G6" s="59">
        <f aca="true" t="shared" si="0" ref="G6:G24">D6-E6-F6</f>
        <v>205250803.2</v>
      </c>
      <c r="H6" s="60">
        <v>0</v>
      </c>
      <c r="I6" s="60">
        <v>0</v>
      </c>
      <c r="J6" s="59">
        <f aca="true" t="shared" si="1" ref="J6:J24">G6+H6-I6</f>
        <v>205250803.2</v>
      </c>
      <c r="K6" s="59">
        <f aca="true" t="shared" si="2" ref="K6:K24">H6*0.5</f>
        <v>0</v>
      </c>
      <c r="L6" s="59">
        <f aca="true" t="shared" si="3" ref="L6:L24">J6-K6</f>
        <v>205250803.2</v>
      </c>
      <c r="M6" s="61">
        <v>0.04</v>
      </c>
      <c r="N6" s="59">
        <f aca="true" t="shared" si="4" ref="N6:N24">L6*M6</f>
        <v>8210032.128</v>
      </c>
      <c r="O6" s="59">
        <f aca="true" t="shared" si="5" ref="O6:O24">J6-N6</f>
        <v>197040771.072</v>
      </c>
    </row>
    <row r="7" spans="2:15" ht="12.75">
      <c r="B7" s="55">
        <v>2</v>
      </c>
      <c r="C7" s="56" t="s">
        <v>89</v>
      </c>
      <c r="D7" s="57">
        <f>'CCA Continuity 2008'!O7</f>
        <v>47044261.8552</v>
      </c>
      <c r="E7" s="58">
        <v>0</v>
      </c>
      <c r="F7" s="58">
        <v>0</v>
      </c>
      <c r="G7" s="59">
        <f t="shared" si="0"/>
        <v>47044261.8552</v>
      </c>
      <c r="H7" s="60">
        <v>0</v>
      </c>
      <c r="I7" s="60">
        <v>0</v>
      </c>
      <c r="J7" s="59">
        <f t="shared" si="1"/>
        <v>47044261.8552</v>
      </c>
      <c r="K7" s="59">
        <f t="shared" si="2"/>
        <v>0</v>
      </c>
      <c r="L7" s="59">
        <f t="shared" si="3"/>
        <v>47044261.8552</v>
      </c>
      <c r="M7" s="61">
        <v>0.06</v>
      </c>
      <c r="N7" s="59">
        <f t="shared" si="4"/>
        <v>2822655.7113119997</v>
      </c>
      <c r="O7" s="59">
        <f t="shared" si="5"/>
        <v>44221606.143888</v>
      </c>
    </row>
    <row r="8" spans="2:15" ht="12.75">
      <c r="B8" s="55">
        <v>6</v>
      </c>
      <c r="C8" s="56" t="s">
        <v>90</v>
      </c>
      <c r="D8" s="57">
        <f>'CCA Continuity 2008'!O8</f>
        <v>22049.010000000002</v>
      </c>
      <c r="E8" s="58">
        <v>0</v>
      </c>
      <c r="F8" s="58">
        <v>0</v>
      </c>
      <c r="G8" s="59">
        <f t="shared" si="0"/>
        <v>22049.010000000002</v>
      </c>
      <c r="H8" s="60">
        <v>0</v>
      </c>
      <c r="I8" s="60">
        <v>0</v>
      </c>
      <c r="J8" s="59">
        <f>G8+H8-I8</f>
        <v>22049.010000000002</v>
      </c>
      <c r="K8" s="59">
        <f>H8*0.5</f>
        <v>0</v>
      </c>
      <c r="L8" s="59">
        <f>J8-K8</f>
        <v>22049.010000000002</v>
      </c>
      <c r="M8" s="61">
        <v>0.1</v>
      </c>
      <c r="N8" s="59">
        <f>L8*M8</f>
        <v>2204.9010000000003</v>
      </c>
      <c r="O8" s="59">
        <f>J8-N8</f>
        <v>19844.109</v>
      </c>
    </row>
    <row r="9" spans="2:15" ht="12.75">
      <c r="B9" s="55">
        <v>8</v>
      </c>
      <c r="C9" s="56" t="s">
        <v>91</v>
      </c>
      <c r="D9" s="57">
        <f>'CCA Continuity 2008'!O9</f>
        <v>6698581.932399999</v>
      </c>
      <c r="E9" s="58">
        <v>0</v>
      </c>
      <c r="F9" s="58">
        <v>0</v>
      </c>
      <c r="G9" s="59">
        <f t="shared" si="0"/>
        <v>6698581.932399999</v>
      </c>
      <c r="H9" s="57">
        <f>'2009 FA Continuity'!E23+'2009 FA Continuity'!E28+'2009 FA Continuity'!E29+'2009 FA Continuity'!E30+'2009 FA Continuity'!E31+'2009 FA Continuity'!E32+'2009 FA Continuity'!E33-'2009 FA Continuity'!G29</f>
        <v>1111546.4100000001</v>
      </c>
      <c r="I9" s="60">
        <v>0</v>
      </c>
      <c r="J9" s="59">
        <f t="shared" si="1"/>
        <v>7810128.3423999995</v>
      </c>
      <c r="K9" s="59">
        <f t="shared" si="2"/>
        <v>555773.2050000001</v>
      </c>
      <c r="L9" s="59">
        <f t="shared" si="3"/>
        <v>7254355.137399999</v>
      </c>
      <c r="M9" s="61">
        <v>0.2</v>
      </c>
      <c r="N9" s="59">
        <f t="shared" si="4"/>
        <v>1450871.02748</v>
      </c>
      <c r="O9" s="59">
        <f t="shared" si="5"/>
        <v>6359257.31492</v>
      </c>
    </row>
    <row r="10" spans="2:15" ht="12.75">
      <c r="B10" s="55">
        <v>10</v>
      </c>
      <c r="C10" s="56" t="s">
        <v>92</v>
      </c>
      <c r="D10" s="57">
        <f>'CCA Continuity 2008'!O10</f>
        <v>5023820.2699</v>
      </c>
      <c r="E10" s="58">
        <v>0</v>
      </c>
      <c r="F10" s="58">
        <v>0</v>
      </c>
      <c r="G10" s="59">
        <f t="shared" si="0"/>
        <v>5023820.2699</v>
      </c>
      <c r="H10" s="57">
        <f>'2009 FA Continuity'!E24+'2009 FA Continuity'!E27</f>
        <v>1331784.63</v>
      </c>
      <c r="I10" s="60">
        <v>0</v>
      </c>
      <c r="J10" s="59">
        <f t="shared" si="1"/>
        <v>6355604.8999</v>
      </c>
      <c r="K10" s="59">
        <f t="shared" si="2"/>
        <v>665892.315</v>
      </c>
      <c r="L10" s="59">
        <f t="shared" si="3"/>
        <v>5689712.584899999</v>
      </c>
      <c r="M10" s="61">
        <v>0.3</v>
      </c>
      <c r="N10" s="59">
        <f t="shared" si="4"/>
        <v>1706913.7754699998</v>
      </c>
      <c r="O10" s="59">
        <f t="shared" si="5"/>
        <v>4648691.12443</v>
      </c>
    </row>
    <row r="11" spans="2:15" ht="12.75">
      <c r="B11" s="55">
        <v>10.1</v>
      </c>
      <c r="C11" s="56" t="s">
        <v>93</v>
      </c>
      <c r="D11" s="57">
        <f>'CCA Continuity 2008'!O11</f>
        <v>0</v>
      </c>
      <c r="E11" s="58">
        <v>0</v>
      </c>
      <c r="F11" s="58">
        <v>0</v>
      </c>
      <c r="G11" s="59">
        <f t="shared" si="0"/>
        <v>0</v>
      </c>
      <c r="H11" s="60">
        <v>0</v>
      </c>
      <c r="I11" s="60">
        <v>0</v>
      </c>
      <c r="J11" s="59">
        <f t="shared" si="1"/>
        <v>0</v>
      </c>
      <c r="K11" s="59">
        <f t="shared" si="2"/>
        <v>0</v>
      </c>
      <c r="L11" s="59">
        <f t="shared" si="3"/>
        <v>0</v>
      </c>
      <c r="M11" s="61">
        <v>0.3</v>
      </c>
      <c r="N11" s="59">
        <f t="shared" si="4"/>
        <v>0</v>
      </c>
      <c r="O11" s="59">
        <f t="shared" si="5"/>
        <v>0</v>
      </c>
    </row>
    <row r="12" spans="2:15" ht="12.75">
      <c r="B12" s="55">
        <v>12</v>
      </c>
      <c r="C12" s="56" t="s">
        <v>94</v>
      </c>
      <c r="D12" s="57">
        <f>'CCA Continuity 2008'!O12</f>
        <v>2757621.395</v>
      </c>
      <c r="E12" s="58">
        <v>0</v>
      </c>
      <c r="F12" s="58">
        <v>0</v>
      </c>
      <c r="G12" s="59">
        <f t="shared" si="0"/>
        <v>2757621.395</v>
      </c>
      <c r="H12" s="57">
        <f>'2009 FA Continuity'!E26-'2009 FA Continuity'!G26</f>
        <v>1040201.32</v>
      </c>
      <c r="I12" s="60">
        <v>0</v>
      </c>
      <c r="J12" s="59">
        <f t="shared" si="1"/>
        <v>3797822.715</v>
      </c>
      <c r="K12" s="59">
        <f t="shared" si="2"/>
        <v>520100.66</v>
      </c>
      <c r="L12" s="59">
        <f t="shared" si="3"/>
        <v>3277722.0549999997</v>
      </c>
      <c r="M12" s="61">
        <v>1</v>
      </c>
      <c r="N12" s="59">
        <f t="shared" si="4"/>
        <v>3277722.0549999997</v>
      </c>
      <c r="O12" s="59">
        <f t="shared" si="5"/>
        <v>520100.66000000015</v>
      </c>
    </row>
    <row r="13" spans="2:15" ht="12.75">
      <c r="B13" s="55" t="s">
        <v>95</v>
      </c>
      <c r="C13" s="56" t="s">
        <v>96</v>
      </c>
      <c r="D13" s="57">
        <f>'CCA Continuity 2008'!O13</f>
        <v>0</v>
      </c>
      <c r="E13" s="58">
        <v>0</v>
      </c>
      <c r="F13" s="58">
        <v>0</v>
      </c>
      <c r="G13" s="59">
        <f t="shared" si="0"/>
        <v>0</v>
      </c>
      <c r="H13" s="60">
        <v>0</v>
      </c>
      <c r="I13" s="60">
        <v>0</v>
      </c>
      <c r="J13" s="59">
        <f t="shared" si="1"/>
        <v>0</v>
      </c>
      <c r="K13" s="59">
        <f t="shared" si="2"/>
        <v>0</v>
      </c>
      <c r="L13" s="59">
        <f t="shared" si="3"/>
        <v>0</v>
      </c>
      <c r="M13" s="61">
        <v>0.2</v>
      </c>
      <c r="N13" s="59">
        <f t="shared" si="4"/>
        <v>0</v>
      </c>
      <c r="O13" s="59">
        <f t="shared" si="5"/>
        <v>0</v>
      </c>
    </row>
    <row r="14" spans="2:15" ht="12.75">
      <c r="B14" s="55" t="s">
        <v>97</v>
      </c>
      <c r="C14" s="56" t="s">
        <v>98</v>
      </c>
      <c r="D14" s="57">
        <f>'CCA Continuity 2008'!O14</f>
        <v>0</v>
      </c>
      <c r="E14" s="58">
        <v>0</v>
      </c>
      <c r="F14" s="58">
        <v>0</v>
      </c>
      <c r="G14" s="59">
        <f t="shared" si="0"/>
        <v>0</v>
      </c>
      <c r="H14" s="60">
        <v>0</v>
      </c>
      <c r="I14" s="60">
        <v>0</v>
      </c>
      <c r="J14" s="59">
        <f t="shared" si="1"/>
        <v>0</v>
      </c>
      <c r="K14" s="59">
        <f t="shared" si="2"/>
        <v>0</v>
      </c>
      <c r="L14" s="59">
        <f t="shared" si="3"/>
        <v>0</v>
      </c>
      <c r="M14" s="58"/>
      <c r="N14" s="57">
        <f t="shared" si="4"/>
        <v>0</v>
      </c>
      <c r="O14" s="59">
        <f t="shared" si="5"/>
        <v>0</v>
      </c>
    </row>
    <row r="15" spans="2:15" ht="12.75">
      <c r="B15" s="55" t="s">
        <v>99</v>
      </c>
      <c r="C15" s="56" t="s">
        <v>100</v>
      </c>
      <c r="D15" s="57">
        <f>'CCA Continuity 2008'!O15</f>
        <v>0</v>
      </c>
      <c r="E15" s="58">
        <v>0</v>
      </c>
      <c r="F15" s="58">
        <v>0</v>
      </c>
      <c r="G15" s="59">
        <f t="shared" si="0"/>
        <v>0</v>
      </c>
      <c r="H15" s="60">
        <v>0</v>
      </c>
      <c r="I15" s="60">
        <v>0</v>
      </c>
      <c r="J15" s="59">
        <f t="shared" si="1"/>
        <v>0</v>
      </c>
      <c r="K15" s="59">
        <f t="shared" si="2"/>
        <v>0</v>
      </c>
      <c r="L15" s="59">
        <f t="shared" si="3"/>
        <v>0</v>
      </c>
      <c r="M15" s="58"/>
      <c r="N15" s="57">
        <f t="shared" si="4"/>
        <v>0</v>
      </c>
      <c r="O15" s="59">
        <f t="shared" si="5"/>
        <v>0</v>
      </c>
    </row>
    <row r="16" spans="2:15" ht="12.75">
      <c r="B16" s="55" t="s">
        <v>101</v>
      </c>
      <c r="C16" s="56" t="s">
        <v>102</v>
      </c>
      <c r="D16" s="57">
        <f>'CCA Continuity 2008'!O16</f>
        <v>0</v>
      </c>
      <c r="E16" s="58">
        <v>0</v>
      </c>
      <c r="F16" s="58">
        <v>0</v>
      </c>
      <c r="G16" s="59">
        <f t="shared" si="0"/>
        <v>0</v>
      </c>
      <c r="H16" s="60">
        <v>0</v>
      </c>
      <c r="I16" s="60">
        <v>0</v>
      </c>
      <c r="J16" s="59">
        <f t="shared" si="1"/>
        <v>0</v>
      </c>
      <c r="K16" s="59">
        <f t="shared" si="2"/>
        <v>0</v>
      </c>
      <c r="L16" s="59">
        <f t="shared" si="3"/>
        <v>0</v>
      </c>
      <c r="M16" s="58"/>
      <c r="N16" s="57">
        <f t="shared" si="4"/>
        <v>0</v>
      </c>
      <c r="O16" s="59">
        <f t="shared" si="5"/>
        <v>0</v>
      </c>
    </row>
    <row r="17" spans="2:15" ht="12.75">
      <c r="B17" s="55">
        <v>14</v>
      </c>
      <c r="C17" s="56" t="s">
        <v>103</v>
      </c>
      <c r="D17" s="57">
        <f>'CCA Continuity 2008'!O17</f>
        <v>0</v>
      </c>
      <c r="E17" s="58">
        <v>0</v>
      </c>
      <c r="F17" s="58">
        <v>0</v>
      </c>
      <c r="G17" s="59">
        <f t="shared" si="0"/>
        <v>0</v>
      </c>
      <c r="H17" s="60">
        <v>0</v>
      </c>
      <c r="I17" s="60">
        <v>0</v>
      </c>
      <c r="J17" s="59">
        <f t="shared" si="1"/>
        <v>0</v>
      </c>
      <c r="K17" s="59">
        <f t="shared" si="2"/>
        <v>0</v>
      </c>
      <c r="L17" s="59">
        <f t="shared" si="3"/>
        <v>0</v>
      </c>
      <c r="M17" s="58"/>
      <c r="N17" s="57">
        <f t="shared" si="4"/>
        <v>0</v>
      </c>
      <c r="O17" s="59">
        <f t="shared" si="5"/>
        <v>0</v>
      </c>
    </row>
    <row r="18" spans="2:15" ht="25.5">
      <c r="B18" s="55">
        <v>17</v>
      </c>
      <c r="C18" s="56" t="s">
        <v>104</v>
      </c>
      <c r="D18" s="57">
        <f>'CCA Continuity 2008'!O18</f>
        <v>95793.85919999999</v>
      </c>
      <c r="E18" s="58">
        <v>0</v>
      </c>
      <c r="F18" s="58">
        <v>0</v>
      </c>
      <c r="G18" s="59">
        <f t="shared" si="0"/>
        <v>95793.85919999999</v>
      </c>
      <c r="H18" s="60">
        <v>0</v>
      </c>
      <c r="I18" s="60">
        <v>0</v>
      </c>
      <c r="J18" s="59">
        <f t="shared" si="1"/>
        <v>95793.85919999999</v>
      </c>
      <c r="K18" s="59">
        <f t="shared" si="2"/>
        <v>0</v>
      </c>
      <c r="L18" s="59">
        <f t="shared" si="3"/>
        <v>95793.85919999999</v>
      </c>
      <c r="M18" s="61">
        <v>0.08</v>
      </c>
      <c r="N18" s="59">
        <f t="shared" si="4"/>
        <v>7663.508736</v>
      </c>
      <c r="O18" s="59">
        <f t="shared" si="5"/>
        <v>88130.35046399999</v>
      </c>
    </row>
    <row r="19" spans="2:15" ht="25.5">
      <c r="B19" s="55">
        <v>43.1</v>
      </c>
      <c r="C19" s="56" t="s">
        <v>105</v>
      </c>
      <c r="D19" s="57">
        <f>'CCA Continuity 2008'!O19</f>
        <v>0</v>
      </c>
      <c r="E19" s="58">
        <v>0</v>
      </c>
      <c r="F19" s="58">
        <v>0</v>
      </c>
      <c r="G19" s="59">
        <f t="shared" si="0"/>
        <v>0</v>
      </c>
      <c r="H19" s="60">
        <v>0</v>
      </c>
      <c r="I19" s="60">
        <v>0</v>
      </c>
      <c r="J19" s="59">
        <f t="shared" si="1"/>
        <v>0</v>
      </c>
      <c r="K19" s="59">
        <f t="shared" si="2"/>
        <v>0</v>
      </c>
      <c r="L19" s="59">
        <f t="shared" si="3"/>
        <v>0</v>
      </c>
      <c r="M19" s="61">
        <v>0.3</v>
      </c>
      <c r="N19" s="59">
        <f t="shared" si="4"/>
        <v>0</v>
      </c>
      <c r="O19" s="59">
        <f t="shared" si="5"/>
        <v>0</v>
      </c>
    </row>
    <row r="20" spans="2:15" ht="25.5">
      <c r="B20" s="55">
        <v>45</v>
      </c>
      <c r="C20" s="56" t="s">
        <v>106</v>
      </c>
      <c r="D20" s="57">
        <f>'CCA Continuity 2008'!O20</f>
        <v>176517.5225</v>
      </c>
      <c r="E20" s="58">
        <v>0</v>
      </c>
      <c r="F20" s="58">
        <v>0</v>
      </c>
      <c r="G20" s="59">
        <f t="shared" si="0"/>
        <v>176517.5225</v>
      </c>
      <c r="H20" s="57">
        <v>0</v>
      </c>
      <c r="I20" s="60">
        <v>0</v>
      </c>
      <c r="J20" s="59">
        <f t="shared" si="1"/>
        <v>176517.5225</v>
      </c>
      <c r="K20" s="59">
        <f t="shared" si="2"/>
        <v>0</v>
      </c>
      <c r="L20" s="59">
        <f t="shared" si="3"/>
        <v>176517.5225</v>
      </c>
      <c r="M20" s="61">
        <v>0.45</v>
      </c>
      <c r="N20" s="59">
        <f t="shared" si="4"/>
        <v>79432.885125</v>
      </c>
      <c r="O20" s="59">
        <f t="shared" si="5"/>
        <v>97084.63737499999</v>
      </c>
    </row>
    <row r="21" spans="2:15" ht="25.5">
      <c r="B21" s="55">
        <v>50</v>
      </c>
      <c r="C21" s="56" t="s">
        <v>129</v>
      </c>
      <c r="D21" s="57">
        <f>'CCA Continuity 2008'!O21</f>
        <v>872493.3656249999</v>
      </c>
      <c r="E21" s="58">
        <v>0</v>
      </c>
      <c r="F21" s="58">
        <v>0</v>
      </c>
      <c r="G21" s="59">
        <f t="shared" si="0"/>
        <v>872493.3656249999</v>
      </c>
      <c r="H21" s="57">
        <f>'2009 FA Continuity'!E25-'2009 FA Continuity'!G25</f>
        <v>877837.49</v>
      </c>
      <c r="I21" s="60">
        <v>0</v>
      </c>
      <c r="J21" s="59">
        <f>G21+H21-I21</f>
        <v>1750330.8556249999</v>
      </c>
      <c r="K21" s="59">
        <f>H21*0.5</f>
        <v>438918.745</v>
      </c>
      <c r="L21" s="59">
        <f>J21-K21</f>
        <v>1311412.1106249997</v>
      </c>
      <c r="M21" s="61">
        <v>0.55</v>
      </c>
      <c r="N21" s="59">
        <f>L21*M21</f>
        <v>721276.6608437499</v>
      </c>
      <c r="O21" s="59">
        <f>J21-N21</f>
        <v>1029054.19478125</v>
      </c>
    </row>
    <row r="22" spans="2:15" ht="25.5">
      <c r="B22" s="55">
        <v>52</v>
      </c>
      <c r="C22" s="56" t="s">
        <v>130</v>
      </c>
      <c r="D22" s="57">
        <f>'CCA Continuity 2008'!O22</f>
        <v>0</v>
      </c>
      <c r="E22" s="58">
        <v>0</v>
      </c>
      <c r="F22" s="58">
        <v>0</v>
      </c>
      <c r="G22" s="59">
        <f t="shared" si="0"/>
        <v>0</v>
      </c>
      <c r="H22" s="57">
        <v>0</v>
      </c>
      <c r="I22" s="60">
        <v>0</v>
      </c>
      <c r="J22" s="59">
        <f>G22+H22-I22</f>
        <v>0</v>
      </c>
      <c r="K22" s="59">
        <f>H22*0.5</f>
        <v>0</v>
      </c>
      <c r="L22" s="59">
        <f>J22-K22</f>
        <v>0</v>
      </c>
      <c r="M22" s="61">
        <v>1</v>
      </c>
      <c r="N22" s="59">
        <f>L22*M22</f>
        <v>0</v>
      </c>
      <c r="O22" s="59">
        <f>J22-N22</f>
        <v>0</v>
      </c>
    </row>
    <row r="23" spans="2:15" ht="25.5">
      <c r="B23" s="55">
        <v>46</v>
      </c>
      <c r="C23" s="56" t="s">
        <v>107</v>
      </c>
      <c r="D23" s="57">
        <f>'CCA Continuity 2008'!O23</f>
        <v>0</v>
      </c>
      <c r="E23" s="58">
        <v>0</v>
      </c>
      <c r="F23" s="58">
        <v>0</v>
      </c>
      <c r="G23" s="59">
        <f t="shared" si="0"/>
        <v>0</v>
      </c>
      <c r="H23" s="60">
        <v>0</v>
      </c>
      <c r="I23" s="60">
        <v>0</v>
      </c>
      <c r="J23" s="59">
        <f t="shared" si="1"/>
        <v>0</v>
      </c>
      <c r="K23" s="59">
        <f t="shared" si="2"/>
        <v>0</v>
      </c>
      <c r="L23" s="59">
        <f t="shared" si="3"/>
        <v>0</v>
      </c>
      <c r="M23" s="61">
        <v>0.3</v>
      </c>
      <c r="N23" s="59">
        <f t="shared" si="4"/>
        <v>0</v>
      </c>
      <c r="O23" s="59">
        <f t="shared" si="5"/>
        <v>0</v>
      </c>
    </row>
    <row r="24" spans="2:15" ht="12.75">
      <c r="B24" s="55">
        <v>47</v>
      </c>
      <c r="C24" s="56" t="s">
        <v>108</v>
      </c>
      <c r="D24" s="57">
        <f>'CCA Continuity 2008'!O24</f>
        <v>72412869.48544</v>
      </c>
      <c r="E24" s="58"/>
      <c r="F24" s="58"/>
      <c r="G24" s="59">
        <f t="shared" si="0"/>
        <v>72412869.48544</v>
      </c>
      <c r="H24" s="57">
        <f>'2009 FA Continuity'!E8+SUM('2009 FA Continuity'!E10:E18)+'2009 FA Continuity'!E34+'2009 FA Continuity'!E35+'2009 FA Continuity'!E36-'2009 FA Continuity'!G18+'2009 FA Continuity'!E21+'2009 FA Continuity'!E20-'2009 FA Continuity'!H17</f>
        <v>33123053.520000003</v>
      </c>
      <c r="I24" s="60">
        <v>0</v>
      </c>
      <c r="J24" s="59">
        <f t="shared" si="1"/>
        <v>105535923.00544</v>
      </c>
      <c r="K24" s="59">
        <f t="shared" si="2"/>
        <v>16561526.760000002</v>
      </c>
      <c r="L24" s="59">
        <f t="shared" si="3"/>
        <v>88974396.24543999</v>
      </c>
      <c r="M24" s="61">
        <v>0.08</v>
      </c>
      <c r="N24" s="63">
        <f t="shared" si="4"/>
        <v>7117951.699635199</v>
      </c>
      <c r="O24" s="59">
        <f t="shared" si="5"/>
        <v>98417971.3058048</v>
      </c>
    </row>
    <row r="25" spans="2:15" ht="12.75">
      <c r="B25" s="55"/>
      <c r="C25" s="64" t="s">
        <v>109</v>
      </c>
      <c r="D25" s="65">
        <f aca="true" t="shared" si="6" ref="D25:L25">SUM(D6:D24)</f>
        <v>340354811.895265</v>
      </c>
      <c r="E25" s="65">
        <f t="shared" si="6"/>
        <v>0</v>
      </c>
      <c r="F25" s="65">
        <f t="shared" si="6"/>
        <v>0</v>
      </c>
      <c r="G25" s="65">
        <f t="shared" si="6"/>
        <v>340354811.895265</v>
      </c>
      <c r="H25" s="65">
        <f t="shared" si="6"/>
        <v>37484423.370000005</v>
      </c>
      <c r="I25" s="65">
        <f t="shared" si="6"/>
        <v>0</v>
      </c>
      <c r="J25" s="65">
        <f t="shared" si="6"/>
        <v>377839235.2652649</v>
      </c>
      <c r="K25" s="65">
        <f t="shared" si="6"/>
        <v>18742211.685000002</v>
      </c>
      <c r="L25" s="65">
        <f t="shared" si="6"/>
        <v>359097023.580265</v>
      </c>
      <c r="M25" s="65"/>
      <c r="N25" s="65">
        <f>SUM(N6:N24)</f>
        <v>25396724.352601945</v>
      </c>
      <c r="O25" s="65">
        <f>SUM(O6:O24)</f>
        <v>352442510.91266304</v>
      </c>
    </row>
    <row r="26" spans="2:7" ht="12.75">
      <c r="B26" s="66"/>
      <c r="C26" s="67"/>
      <c r="D26" s="68"/>
      <c r="E26" s="68"/>
      <c r="F26" s="68"/>
      <c r="G26" s="68"/>
    </row>
    <row r="27" spans="2:7" ht="12.75">
      <c r="B27" s="55" t="s">
        <v>54</v>
      </c>
      <c r="C27" s="56" t="s">
        <v>110</v>
      </c>
      <c r="D27" s="57">
        <f>'CCA Continuity 2008'!H66</f>
        <v>12100128.3045</v>
      </c>
      <c r="E27" s="58">
        <v>0</v>
      </c>
      <c r="F27" s="58">
        <v>0</v>
      </c>
      <c r="G27" s="59">
        <f>D27-E27-F27</f>
        <v>12100128.3045</v>
      </c>
    </row>
    <row r="28" spans="2:8" ht="12.75">
      <c r="B28" s="55" t="s">
        <v>54</v>
      </c>
      <c r="C28" s="56" t="s">
        <v>18</v>
      </c>
      <c r="D28" s="60">
        <v>0</v>
      </c>
      <c r="E28" s="58">
        <v>0</v>
      </c>
      <c r="F28" s="58">
        <v>0</v>
      </c>
      <c r="G28" s="59">
        <f>D28-E28-F28</f>
        <v>0</v>
      </c>
      <c r="H28" s="81"/>
    </row>
    <row r="29" spans="2:7" ht="12.75">
      <c r="B29" s="55" t="s">
        <v>54</v>
      </c>
      <c r="C29" s="56" t="s">
        <v>111</v>
      </c>
      <c r="D29" s="60">
        <v>0</v>
      </c>
      <c r="E29" s="58">
        <v>0</v>
      </c>
      <c r="F29" s="58">
        <v>0</v>
      </c>
      <c r="G29" s="59">
        <f>D29-E29-F29</f>
        <v>0</v>
      </c>
    </row>
    <row r="30" spans="2:7" ht="12.75">
      <c r="B30" s="55"/>
      <c r="C30" s="64" t="s">
        <v>112</v>
      </c>
      <c r="D30" s="65">
        <f>SUM(D27:D29)</f>
        <v>12100128.3045</v>
      </c>
      <c r="E30" s="65">
        <f>SUM(E27:E29)</f>
        <v>0</v>
      </c>
      <c r="F30" s="65">
        <f>SUM(F27:F29)</f>
        <v>0</v>
      </c>
      <c r="G30" s="65">
        <f>SUM(G27:G29)</f>
        <v>12100128.3045</v>
      </c>
    </row>
    <row r="31" ht="13.5" thickBot="1"/>
    <row r="32" spans="1:9" ht="12.75">
      <c r="A32" s="148"/>
      <c r="B32" s="149"/>
      <c r="C32" s="149"/>
      <c r="D32" s="149"/>
      <c r="E32" s="149"/>
      <c r="F32" s="149"/>
      <c r="G32" s="149"/>
      <c r="H32" s="149"/>
      <c r="I32" s="150"/>
    </row>
    <row r="33" spans="1:9" ht="24" customHeight="1">
      <c r="A33" s="69"/>
      <c r="B33" s="151" t="s">
        <v>113</v>
      </c>
      <c r="C33" s="151"/>
      <c r="D33" s="151"/>
      <c r="E33" s="151"/>
      <c r="F33" s="151"/>
      <c r="G33" s="151"/>
      <c r="H33" s="151"/>
      <c r="I33" s="71"/>
    </row>
    <row r="34" spans="1:9" ht="15.75">
      <c r="A34" s="69"/>
      <c r="B34" s="145" t="s">
        <v>114</v>
      </c>
      <c r="C34" s="145"/>
      <c r="D34" s="145"/>
      <c r="E34" s="70"/>
      <c r="F34" s="70"/>
      <c r="G34" s="70"/>
      <c r="H34" s="73">
        <f>G30</f>
        <v>12100128.3045</v>
      </c>
      <c r="I34" s="71"/>
    </row>
    <row r="35" spans="1:9" ht="15.75">
      <c r="A35" s="69"/>
      <c r="B35" s="145"/>
      <c r="C35" s="145"/>
      <c r="D35" s="145"/>
      <c r="E35" s="70"/>
      <c r="F35" s="70"/>
      <c r="G35" s="70"/>
      <c r="H35" s="73"/>
      <c r="I35" s="71"/>
    </row>
    <row r="36" spans="1:9" ht="12.75">
      <c r="A36" s="69"/>
      <c r="B36" s="152" t="s">
        <v>115</v>
      </c>
      <c r="C36" s="152"/>
      <c r="D36" s="152"/>
      <c r="E36" s="74"/>
      <c r="F36" s="74"/>
      <c r="G36" s="74"/>
      <c r="I36" s="71"/>
    </row>
    <row r="37" spans="1:9" ht="12.75">
      <c r="A37" s="69"/>
      <c r="B37" s="145" t="s">
        <v>116</v>
      </c>
      <c r="C37" s="145"/>
      <c r="D37" s="145"/>
      <c r="E37" s="75">
        <v>0</v>
      </c>
      <c r="F37" s="74"/>
      <c r="G37" s="74"/>
      <c r="H37" s="74"/>
      <c r="I37" s="71"/>
    </row>
    <row r="38" spans="1:9" ht="12.75">
      <c r="A38" s="69"/>
      <c r="B38" s="145"/>
      <c r="C38" s="145"/>
      <c r="D38" s="145"/>
      <c r="E38" s="74"/>
      <c r="F38" s="74"/>
      <c r="G38" s="74"/>
      <c r="H38" s="74"/>
      <c r="I38" s="71"/>
    </row>
    <row r="39" spans="1:9" ht="12.75">
      <c r="A39" s="69"/>
      <c r="B39" s="145" t="s">
        <v>117</v>
      </c>
      <c r="C39" s="145"/>
      <c r="D39" s="145"/>
      <c r="E39" s="75">
        <v>0</v>
      </c>
      <c r="F39" s="74"/>
      <c r="G39" s="74"/>
      <c r="H39" s="74"/>
      <c r="I39" s="71"/>
    </row>
    <row r="40" spans="1:9" ht="12.75">
      <c r="A40" s="69"/>
      <c r="B40" s="145"/>
      <c r="C40" s="145"/>
      <c r="D40" s="145"/>
      <c r="E40" s="74"/>
      <c r="F40" s="74"/>
      <c r="G40" s="74"/>
      <c r="H40" s="74"/>
      <c r="I40" s="71"/>
    </row>
    <row r="41" spans="1:9" ht="12.75">
      <c r="A41" s="69"/>
      <c r="B41" s="145" t="s">
        <v>118</v>
      </c>
      <c r="C41" s="145"/>
      <c r="D41" s="145"/>
      <c r="E41" s="75">
        <f>E37+E39</f>
        <v>0</v>
      </c>
      <c r="F41" s="74" t="s">
        <v>119</v>
      </c>
      <c r="G41" s="74">
        <f>E41*0.75</f>
        <v>0</v>
      </c>
      <c r="H41" s="74"/>
      <c r="I41" s="71"/>
    </row>
    <row r="42" spans="1:9" ht="12.75">
      <c r="A42" s="69"/>
      <c r="B42" s="145"/>
      <c r="C42" s="145"/>
      <c r="D42" s="145"/>
      <c r="E42" s="74"/>
      <c r="F42" s="74"/>
      <c r="G42" s="74"/>
      <c r="H42" s="74"/>
      <c r="I42" s="71"/>
    </row>
    <row r="43" spans="1:9" ht="12.75" customHeight="1">
      <c r="A43" s="69"/>
      <c r="B43" s="153" t="s">
        <v>120</v>
      </c>
      <c r="C43" s="153"/>
      <c r="D43" s="153"/>
      <c r="H43" s="74"/>
      <c r="I43" s="71"/>
    </row>
    <row r="44" spans="1:9" ht="12.75">
      <c r="A44" s="69"/>
      <c r="B44" s="153"/>
      <c r="C44" s="153"/>
      <c r="D44" s="153"/>
      <c r="E44" s="75">
        <v>0</v>
      </c>
      <c r="F44" s="74" t="s">
        <v>121</v>
      </c>
      <c r="G44" s="74">
        <f>E44*0.5</f>
        <v>0</v>
      </c>
      <c r="H44" s="74"/>
      <c r="I44" s="71"/>
    </row>
    <row r="45" spans="1:9" ht="12.75">
      <c r="A45" s="69"/>
      <c r="B45" s="145"/>
      <c r="C45" s="145"/>
      <c r="D45" s="145"/>
      <c r="E45" s="74"/>
      <c r="F45" s="74"/>
      <c r="G45" s="76">
        <f>G41+G44</f>
        <v>0</v>
      </c>
      <c r="H45" s="77">
        <f>G45+H34</f>
        <v>12100128.3045</v>
      </c>
      <c r="I45" s="71"/>
    </row>
    <row r="46" spans="1:9" ht="12.75">
      <c r="A46" s="69"/>
      <c r="B46" s="72"/>
      <c r="C46" s="72"/>
      <c r="D46" s="72"/>
      <c r="E46" s="74"/>
      <c r="F46" s="74"/>
      <c r="G46" s="74"/>
      <c r="H46" s="74"/>
      <c r="I46" s="71"/>
    </row>
    <row r="47" spans="1:9" ht="12.75">
      <c r="A47" s="69"/>
      <c r="B47" s="145" t="s">
        <v>122</v>
      </c>
      <c r="C47" s="145"/>
      <c r="D47" s="145"/>
      <c r="E47" s="75">
        <v>0</v>
      </c>
      <c r="F47" s="74"/>
      <c r="G47" s="74"/>
      <c r="H47" s="78">
        <f>E47</f>
        <v>0</v>
      </c>
      <c r="I47" s="71"/>
    </row>
    <row r="48" spans="1:9" ht="12.75">
      <c r="A48" s="69"/>
      <c r="B48" s="145"/>
      <c r="C48" s="145"/>
      <c r="D48" s="145"/>
      <c r="E48" s="74"/>
      <c r="F48" s="74"/>
      <c r="G48" s="74"/>
      <c r="H48" s="74"/>
      <c r="I48" s="71"/>
    </row>
    <row r="49" spans="1:9" ht="12.75">
      <c r="A49" s="69"/>
      <c r="B49" s="154" t="s">
        <v>118</v>
      </c>
      <c r="C49" s="154"/>
      <c r="D49" s="154" t="s">
        <v>118</v>
      </c>
      <c r="E49" s="74"/>
      <c r="F49" s="74"/>
      <c r="G49" s="74"/>
      <c r="H49" s="77">
        <f>H45+H47</f>
        <v>12100128.3045</v>
      </c>
      <c r="I49" s="71"/>
    </row>
    <row r="50" spans="1:9" ht="12.75">
      <c r="A50" s="69"/>
      <c r="B50" s="145"/>
      <c r="C50" s="145"/>
      <c r="D50" s="145"/>
      <c r="E50" s="74"/>
      <c r="F50" s="74"/>
      <c r="G50" s="74"/>
      <c r="H50" s="74"/>
      <c r="I50" s="71"/>
    </row>
    <row r="51" spans="1:9" ht="12.75">
      <c r="A51" s="69"/>
      <c r="B51" s="152" t="s">
        <v>123</v>
      </c>
      <c r="C51" s="152"/>
      <c r="D51" s="152"/>
      <c r="E51" s="74"/>
      <c r="F51" s="74"/>
      <c r="G51" s="74"/>
      <c r="H51" s="74"/>
      <c r="I51" s="71"/>
    </row>
    <row r="52" spans="1:9" ht="12.75">
      <c r="A52" s="69"/>
      <c r="B52" s="145"/>
      <c r="C52" s="145"/>
      <c r="D52" s="145"/>
      <c r="E52" s="74"/>
      <c r="F52" s="74"/>
      <c r="G52" s="74"/>
      <c r="H52" s="74"/>
      <c r="I52" s="71"/>
    </row>
    <row r="53" spans="1:9" ht="12.75">
      <c r="A53" s="69"/>
      <c r="B53" s="153" t="s">
        <v>124</v>
      </c>
      <c r="C53" s="153"/>
      <c r="D53" s="153"/>
      <c r="E53" s="74"/>
      <c r="F53" s="74"/>
      <c r="G53" s="74"/>
      <c r="H53" s="74"/>
      <c r="I53" s="71"/>
    </row>
    <row r="54" spans="1:9" ht="12.75">
      <c r="A54" s="69"/>
      <c r="B54" s="153"/>
      <c r="C54" s="153"/>
      <c r="D54" s="153"/>
      <c r="E54" s="74"/>
      <c r="F54" s="74"/>
      <c r="G54" s="74"/>
      <c r="H54" s="74"/>
      <c r="I54" s="71"/>
    </row>
    <row r="55" spans="1:9" ht="12.75">
      <c r="A55" s="69"/>
      <c r="B55" s="145"/>
      <c r="C55" s="145"/>
      <c r="D55" s="145"/>
      <c r="E55" s="74"/>
      <c r="F55" s="74"/>
      <c r="G55" s="74"/>
      <c r="H55" s="74"/>
      <c r="I55" s="71"/>
    </row>
    <row r="56" spans="1:9" ht="12.75">
      <c r="A56" s="69"/>
      <c r="B56" s="145" t="s">
        <v>117</v>
      </c>
      <c r="C56" s="145"/>
      <c r="D56" s="145"/>
      <c r="E56" s="75">
        <v>0</v>
      </c>
      <c r="F56" s="74"/>
      <c r="G56" s="74"/>
      <c r="H56" s="74"/>
      <c r="I56" s="71"/>
    </row>
    <row r="57" spans="1:9" ht="12.75">
      <c r="A57" s="69"/>
      <c r="B57" s="145"/>
      <c r="C57" s="145"/>
      <c r="D57" s="145"/>
      <c r="E57" s="74"/>
      <c r="F57" s="74"/>
      <c r="G57" s="74"/>
      <c r="H57" s="74"/>
      <c r="I57" s="71"/>
    </row>
    <row r="58" spans="1:9" ht="12.75">
      <c r="A58" s="69"/>
      <c r="B58" s="154" t="s">
        <v>118</v>
      </c>
      <c r="C58" s="154"/>
      <c r="D58" s="154" t="s">
        <v>118</v>
      </c>
      <c r="E58" s="75">
        <f>E56</f>
        <v>0</v>
      </c>
      <c r="F58" s="74" t="s">
        <v>119</v>
      </c>
      <c r="G58" s="74">
        <f>E58*0.75</f>
        <v>0</v>
      </c>
      <c r="H58" s="77">
        <f>H49+G58</f>
        <v>12100128.3045</v>
      </c>
      <c r="I58" s="71"/>
    </row>
    <row r="59" spans="1:9" ht="12.75">
      <c r="A59" s="69"/>
      <c r="B59" s="145"/>
      <c r="C59" s="145"/>
      <c r="D59" s="145"/>
      <c r="E59" s="74"/>
      <c r="F59" s="74"/>
      <c r="G59" s="74"/>
      <c r="H59" s="74"/>
      <c r="I59" s="71"/>
    </row>
    <row r="60" spans="1:9" ht="12.75">
      <c r="A60" s="69"/>
      <c r="B60" s="145"/>
      <c r="C60" s="145"/>
      <c r="D60" s="145"/>
      <c r="E60" s="74"/>
      <c r="F60" s="74"/>
      <c r="G60" s="74"/>
      <c r="H60" s="74"/>
      <c r="I60" s="71"/>
    </row>
    <row r="61" spans="1:9" ht="12.75">
      <c r="A61" s="69"/>
      <c r="B61" s="145"/>
      <c r="C61" s="145"/>
      <c r="D61" s="145"/>
      <c r="E61" s="74"/>
      <c r="F61" s="74"/>
      <c r="G61" s="74"/>
      <c r="H61" s="74"/>
      <c r="I61" s="71"/>
    </row>
    <row r="62" spans="1:9" ht="12.75">
      <c r="A62" s="69"/>
      <c r="B62" s="145" t="s">
        <v>125</v>
      </c>
      <c r="C62" s="145"/>
      <c r="D62" s="145"/>
      <c r="E62" s="74"/>
      <c r="F62" s="74"/>
      <c r="G62" s="74"/>
      <c r="H62" s="73">
        <f>H58</f>
        <v>12100128.3045</v>
      </c>
      <c r="I62" s="71"/>
    </row>
    <row r="63" spans="1:9" ht="12.75">
      <c r="A63" s="69"/>
      <c r="B63" s="145"/>
      <c r="C63" s="145"/>
      <c r="D63" s="145"/>
      <c r="E63" s="74"/>
      <c r="F63" s="74"/>
      <c r="G63" s="74"/>
      <c r="H63" s="74"/>
      <c r="I63" s="71"/>
    </row>
    <row r="64" spans="1:9" ht="12.75">
      <c r="A64" s="69"/>
      <c r="B64" s="145" t="s">
        <v>126</v>
      </c>
      <c r="C64" s="145"/>
      <c r="D64" s="145"/>
      <c r="E64" s="79">
        <v>0.07</v>
      </c>
      <c r="F64" s="74"/>
      <c r="G64" s="74"/>
      <c r="H64" s="73">
        <f>H62*E64</f>
        <v>847008.9813150001</v>
      </c>
      <c r="I64" s="71"/>
    </row>
    <row r="65" spans="1:9" ht="12.75">
      <c r="A65" s="69"/>
      <c r="B65" s="158"/>
      <c r="C65" s="158"/>
      <c r="D65" s="158"/>
      <c r="E65" s="74"/>
      <c r="F65" s="73"/>
      <c r="G65" s="74"/>
      <c r="H65" s="73"/>
      <c r="I65" s="71"/>
    </row>
    <row r="66" spans="1:9" ht="13.5" thickBot="1">
      <c r="A66" s="69"/>
      <c r="B66" s="145" t="s">
        <v>127</v>
      </c>
      <c r="C66" s="145"/>
      <c r="D66" s="145"/>
      <c r="E66" s="74"/>
      <c r="F66" s="74"/>
      <c r="G66" s="74"/>
      <c r="H66" s="80">
        <f>H62-H64</f>
        <v>11253119.323185</v>
      </c>
      <c r="I66" s="71"/>
    </row>
    <row r="67" spans="1:9" ht="14.25" thickBot="1" thickTop="1">
      <c r="A67" s="155"/>
      <c r="B67" s="156"/>
      <c r="C67" s="156"/>
      <c r="D67" s="156"/>
      <c r="E67" s="156"/>
      <c r="F67" s="156"/>
      <c r="G67" s="156"/>
      <c r="H67" s="156"/>
      <c r="I67" s="157"/>
    </row>
  </sheetData>
  <sheetProtection/>
  <mergeCells count="36">
    <mergeCell ref="B60:D60"/>
    <mergeCell ref="B61:D61"/>
    <mergeCell ref="B62:D62"/>
    <mergeCell ref="B63:D63"/>
    <mergeCell ref="B64:D64"/>
    <mergeCell ref="B65:D65"/>
    <mergeCell ref="B49:D49"/>
    <mergeCell ref="B50:D50"/>
    <mergeCell ref="B51:D51"/>
    <mergeCell ref="B52:D52"/>
    <mergeCell ref="B66:D66"/>
    <mergeCell ref="A67:I67"/>
    <mergeCell ref="B56:D56"/>
    <mergeCell ref="B57:D57"/>
    <mergeCell ref="B58:D58"/>
    <mergeCell ref="B59:D59"/>
    <mergeCell ref="B37:D37"/>
    <mergeCell ref="B38:D38"/>
    <mergeCell ref="B53:D54"/>
    <mergeCell ref="B55:D55"/>
    <mergeCell ref="B41:D41"/>
    <mergeCell ref="B42:D42"/>
    <mergeCell ref="B43:D44"/>
    <mergeCell ref="B45:D45"/>
    <mergeCell ref="B47:D47"/>
    <mergeCell ref="B48:D48"/>
    <mergeCell ref="B39:D39"/>
    <mergeCell ref="B40:D40"/>
    <mergeCell ref="A1:O1"/>
    <mergeCell ref="A2:O2"/>
    <mergeCell ref="B4:O4"/>
    <mergeCell ref="A32:I32"/>
    <mergeCell ref="B33:H33"/>
    <mergeCell ref="B34:D34"/>
    <mergeCell ref="B35:D35"/>
    <mergeCell ref="B36:D36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47" r:id="rId3"/>
  <headerFooter alignWithMargins="0">
    <oddFooter>&amp;L&amp;A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.57421875" style="52" customWidth="1"/>
    <col min="2" max="2" width="6.421875" style="52" customWidth="1"/>
    <col min="3" max="3" width="48.421875" style="52" customWidth="1"/>
    <col min="4" max="4" width="17.421875" style="52" customWidth="1"/>
    <col min="5" max="5" width="21.140625" style="52" customWidth="1"/>
    <col min="6" max="6" width="20.421875" style="52" customWidth="1"/>
    <col min="7" max="7" width="19.28125" style="52" customWidth="1"/>
    <col min="8" max="8" width="13.00390625" style="52" customWidth="1"/>
    <col min="9" max="9" width="13.57421875" style="52" customWidth="1"/>
    <col min="10" max="10" width="18.57421875" style="52" customWidth="1"/>
    <col min="11" max="11" width="26.7109375" style="52" customWidth="1"/>
    <col min="12" max="12" width="13.140625" style="52" bestFit="1" customWidth="1"/>
    <col min="13" max="13" width="9.140625" style="52" customWidth="1"/>
    <col min="14" max="14" width="10.8515625" style="52" bestFit="1" customWidth="1"/>
    <col min="15" max="15" width="15.421875" style="52" customWidth="1"/>
    <col min="16" max="16384" width="9.140625" style="52" customWidth="1"/>
  </cols>
  <sheetData>
    <row r="1" spans="1:15" ht="12.75">
      <c r="A1" s="146" t="str">
        <f>'[1]Trial Balance'!A1:H1</f>
        <v>HORIZON UTILITIES CORPORATION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2.75">
      <c r="A2" s="146" t="str">
        <f>'[1]Trial Balance'!A2:H2</f>
        <v>2008 Forward Test Year Rate Application filed October 22, 2007, License Number ED-2006-0031, File Number EB-2007-0697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ht="6.75" customHeight="1"/>
    <row r="4" spans="2:15" ht="36" customHeight="1">
      <c r="B4" s="147" t="s">
        <v>132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5" s="53" customFormat="1" ht="38.25">
      <c r="B5" s="54" t="s">
        <v>74</v>
      </c>
      <c r="C5" s="54" t="s">
        <v>75</v>
      </c>
      <c r="D5" s="54" t="s">
        <v>76</v>
      </c>
      <c r="E5" s="54" t="s">
        <v>77</v>
      </c>
      <c r="F5" s="54" t="s">
        <v>78</v>
      </c>
      <c r="G5" s="54" t="s">
        <v>79</v>
      </c>
      <c r="H5" s="54" t="s">
        <v>80</v>
      </c>
      <c r="I5" s="54" t="s">
        <v>81</v>
      </c>
      <c r="J5" s="54" t="s">
        <v>82</v>
      </c>
      <c r="K5" s="54" t="s">
        <v>83</v>
      </c>
      <c r="L5" s="54" t="s">
        <v>84</v>
      </c>
      <c r="M5" s="54" t="s">
        <v>85</v>
      </c>
      <c r="N5" s="54" t="s">
        <v>86</v>
      </c>
      <c r="O5" s="54" t="s">
        <v>87</v>
      </c>
    </row>
    <row r="6" spans="2:15" ht="12.75">
      <c r="B6" s="55">
        <v>1</v>
      </c>
      <c r="C6" s="56" t="s">
        <v>88</v>
      </c>
      <c r="D6" s="57">
        <f>'CCA Continuity 2009'!O6</f>
        <v>197040771.072</v>
      </c>
      <c r="E6" s="58">
        <v>0</v>
      </c>
      <c r="F6" s="58">
        <v>0</v>
      </c>
      <c r="G6" s="59">
        <f aca="true" t="shared" si="0" ref="G6:G24">D6-E6-F6</f>
        <v>197040771.072</v>
      </c>
      <c r="H6" s="60">
        <v>0</v>
      </c>
      <c r="I6" s="60">
        <v>0</v>
      </c>
      <c r="J6" s="59">
        <f aca="true" t="shared" si="1" ref="J6:J24">G6+H6-I6</f>
        <v>197040771.072</v>
      </c>
      <c r="K6" s="59">
        <f aca="true" t="shared" si="2" ref="K6:K24">H6*0.5</f>
        <v>0</v>
      </c>
      <c r="L6" s="59">
        <f aca="true" t="shared" si="3" ref="L6:L24">J6-K6</f>
        <v>197040771.072</v>
      </c>
      <c r="M6" s="61">
        <v>0.04</v>
      </c>
      <c r="N6" s="59">
        <f aca="true" t="shared" si="4" ref="N6:N24">L6*M6</f>
        <v>7881630.84288</v>
      </c>
      <c r="O6" s="59">
        <f aca="true" t="shared" si="5" ref="O6:O24">J6-N6</f>
        <v>189159140.22912</v>
      </c>
    </row>
    <row r="7" spans="2:15" ht="12.75">
      <c r="B7" s="55">
        <v>2</v>
      </c>
      <c r="C7" s="56" t="s">
        <v>89</v>
      </c>
      <c r="D7" s="57">
        <f>'CCA Continuity 2009'!O7</f>
        <v>44221606.143888</v>
      </c>
      <c r="E7" s="58">
        <v>0</v>
      </c>
      <c r="F7" s="58">
        <v>0</v>
      </c>
      <c r="G7" s="59">
        <f t="shared" si="0"/>
        <v>44221606.143888</v>
      </c>
      <c r="H7" s="60">
        <v>0</v>
      </c>
      <c r="I7" s="60">
        <v>0</v>
      </c>
      <c r="J7" s="59">
        <f t="shared" si="1"/>
        <v>44221606.143888</v>
      </c>
      <c r="K7" s="59">
        <f t="shared" si="2"/>
        <v>0</v>
      </c>
      <c r="L7" s="59">
        <f t="shared" si="3"/>
        <v>44221606.143888</v>
      </c>
      <c r="M7" s="61">
        <v>0.06</v>
      </c>
      <c r="N7" s="59">
        <f t="shared" si="4"/>
        <v>2653296.3686332796</v>
      </c>
      <c r="O7" s="59">
        <f t="shared" si="5"/>
        <v>41568309.77525472</v>
      </c>
    </row>
    <row r="8" spans="2:15" ht="12.75">
      <c r="B8" s="55">
        <v>6</v>
      </c>
      <c r="C8" s="56" t="s">
        <v>90</v>
      </c>
      <c r="D8" s="57">
        <f>'CCA Continuity 2009'!O8</f>
        <v>19844.109</v>
      </c>
      <c r="E8" s="58">
        <v>0</v>
      </c>
      <c r="F8" s="58">
        <v>0</v>
      </c>
      <c r="G8" s="59">
        <f t="shared" si="0"/>
        <v>19844.109</v>
      </c>
      <c r="H8" s="60">
        <v>0</v>
      </c>
      <c r="I8" s="60">
        <v>0</v>
      </c>
      <c r="J8" s="59">
        <f>G8+H8-I8</f>
        <v>19844.109</v>
      </c>
      <c r="K8" s="59">
        <f>H8*0.5</f>
        <v>0</v>
      </c>
      <c r="L8" s="59">
        <f>J8-K8</f>
        <v>19844.109</v>
      </c>
      <c r="M8" s="61">
        <v>0.1</v>
      </c>
      <c r="N8" s="59">
        <f>L8*M8</f>
        <v>1984.4109</v>
      </c>
      <c r="O8" s="59">
        <f>J8-N8</f>
        <v>17859.6981</v>
      </c>
    </row>
    <row r="9" spans="2:15" ht="12.75">
      <c r="B9" s="55">
        <v>8</v>
      </c>
      <c r="C9" s="56" t="s">
        <v>91</v>
      </c>
      <c r="D9" s="57">
        <f>'CCA Continuity 2009'!O9</f>
        <v>6359257.31492</v>
      </c>
      <c r="E9" s="58">
        <v>0</v>
      </c>
      <c r="F9" s="58">
        <v>0</v>
      </c>
      <c r="G9" s="59">
        <f t="shared" si="0"/>
        <v>6359257.31492</v>
      </c>
      <c r="H9" s="57">
        <f>'2010 FA Continuity'!E23+'2010 FA Continuity'!E28+'2010 FA Continuity'!E29+'2010 FA Continuity'!E30+'2010 FA Continuity'!E31+'2010 FA Continuity'!E32+'2010 FA Continuity'!E33-'2010 FA Continuity'!G29</f>
        <v>1263169</v>
      </c>
      <c r="I9" s="60">
        <v>0</v>
      </c>
      <c r="J9" s="59">
        <f t="shared" si="1"/>
        <v>7622426.31492</v>
      </c>
      <c r="K9" s="59">
        <f t="shared" si="2"/>
        <v>631584.5</v>
      </c>
      <c r="L9" s="59">
        <f t="shared" si="3"/>
        <v>6990841.81492</v>
      </c>
      <c r="M9" s="61">
        <v>0.2</v>
      </c>
      <c r="N9" s="59">
        <f t="shared" si="4"/>
        <v>1398168.362984</v>
      </c>
      <c r="O9" s="59">
        <f t="shared" si="5"/>
        <v>6224257.951936</v>
      </c>
    </row>
    <row r="10" spans="2:15" ht="12.75">
      <c r="B10" s="55">
        <v>10</v>
      </c>
      <c r="C10" s="56" t="s">
        <v>92</v>
      </c>
      <c r="D10" s="57">
        <f>'CCA Continuity 2009'!O10</f>
        <v>4648691.12443</v>
      </c>
      <c r="E10" s="58">
        <v>0</v>
      </c>
      <c r="F10" s="58">
        <v>0</v>
      </c>
      <c r="G10" s="59">
        <f t="shared" si="0"/>
        <v>4648691.12443</v>
      </c>
      <c r="H10" s="57">
        <f>'2010 FA Continuity'!E24+'2010 FA Continuity'!E27</f>
        <v>1304999.96</v>
      </c>
      <c r="I10" s="60">
        <v>0</v>
      </c>
      <c r="J10" s="59">
        <f t="shared" si="1"/>
        <v>5953691.08443</v>
      </c>
      <c r="K10" s="59">
        <f t="shared" si="2"/>
        <v>652499.98</v>
      </c>
      <c r="L10" s="59">
        <f t="shared" si="3"/>
        <v>5301191.104429999</v>
      </c>
      <c r="M10" s="61">
        <v>0.3</v>
      </c>
      <c r="N10" s="59">
        <f t="shared" si="4"/>
        <v>1590357.3313289997</v>
      </c>
      <c r="O10" s="59">
        <f t="shared" si="5"/>
        <v>4363333.753101001</v>
      </c>
    </row>
    <row r="11" spans="2:15" ht="12.75">
      <c r="B11" s="55">
        <v>10.1</v>
      </c>
      <c r="C11" s="56" t="s">
        <v>93</v>
      </c>
      <c r="D11" s="57">
        <f>'CCA Continuity 2009'!O11</f>
        <v>0</v>
      </c>
      <c r="E11" s="58">
        <v>0</v>
      </c>
      <c r="F11" s="58">
        <v>0</v>
      </c>
      <c r="G11" s="59">
        <f t="shared" si="0"/>
        <v>0</v>
      </c>
      <c r="H11" s="60">
        <v>0</v>
      </c>
      <c r="I11" s="60">
        <v>0</v>
      </c>
      <c r="J11" s="59">
        <f t="shared" si="1"/>
        <v>0</v>
      </c>
      <c r="K11" s="59">
        <f t="shared" si="2"/>
        <v>0</v>
      </c>
      <c r="L11" s="59">
        <f t="shared" si="3"/>
        <v>0</v>
      </c>
      <c r="M11" s="61">
        <v>0.3</v>
      </c>
      <c r="N11" s="59">
        <f t="shared" si="4"/>
        <v>0</v>
      </c>
      <c r="O11" s="59">
        <f t="shared" si="5"/>
        <v>0</v>
      </c>
    </row>
    <row r="12" spans="2:15" ht="12.75">
      <c r="B12" s="55">
        <v>12</v>
      </c>
      <c r="C12" s="56" t="s">
        <v>94</v>
      </c>
      <c r="D12" s="57">
        <f>'CCA Continuity 2009'!O12</f>
        <v>520100.66000000015</v>
      </c>
      <c r="E12" s="58">
        <v>0</v>
      </c>
      <c r="F12" s="58">
        <v>0</v>
      </c>
      <c r="G12" s="59">
        <f t="shared" si="0"/>
        <v>520100.66000000015</v>
      </c>
      <c r="H12" s="57">
        <f>'2010 FA Continuity'!E26-'2010 FA Continuity'!G26</f>
        <v>1600261</v>
      </c>
      <c r="I12" s="60">
        <v>0</v>
      </c>
      <c r="J12" s="59">
        <f t="shared" si="1"/>
        <v>2120361.66</v>
      </c>
      <c r="K12" s="59">
        <f t="shared" si="2"/>
        <v>800130.5</v>
      </c>
      <c r="L12" s="59">
        <f t="shared" si="3"/>
        <v>1320231.1600000001</v>
      </c>
      <c r="M12" s="61">
        <v>1</v>
      </c>
      <c r="N12" s="59">
        <f t="shared" si="4"/>
        <v>1320231.1600000001</v>
      </c>
      <c r="O12" s="59">
        <f t="shared" si="5"/>
        <v>800130.5</v>
      </c>
    </row>
    <row r="13" spans="2:15" ht="12.75">
      <c r="B13" s="55" t="s">
        <v>95</v>
      </c>
      <c r="C13" s="56" t="s">
        <v>96</v>
      </c>
      <c r="D13" s="57">
        <f>'CCA Continuity 2009'!O13</f>
        <v>0</v>
      </c>
      <c r="E13" s="58">
        <v>0</v>
      </c>
      <c r="F13" s="58">
        <v>0</v>
      </c>
      <c r="G13" s="59">
        <f t="shared" si="0"/>
        <v>0</v>
      </c>
      <c r="H13" s="60">
        <v>0</v>
      </c>
      <c r="I13" s="60">
        <v>0</v>
      </c>
      <c r="J13" s="59">
        <f t="shared" si="1"/>
        <v>0</v>
      </c>
      <c r="K13" s="59">
        <f t="shared" si="2"/>
        <v>0</v>
      </c>
      <c r="L13" s="59">
        <f t="shared" si="3"/>
        <v>0</v>
      </c>
      <c r="M13" s="61">
        <v>0.2</v>
      </c>
      <c r="N13" s="59">
        <f t="shared" si="4"/>
        <v>0</v>
      </c>
      <c r="O13" s="59">
        <f t="shared" si="5"/>
        <v>0</v>
      </c>
    </row>
    <row r="14" spans="2:15" ht="12.75">
      <c r="B14" s="55" t="s">
        <v>97</v>
      </c>
      <c r="C14" s="56" t="s">
        <v>98</v>
      </c>
      <c r="D14" s="57">
        <f>'CCA Continuity 2009'!O14</f>
        <v>0</v>
      </c>
      <c r="E14" s="58">
        <v>0</v>
      </c>
      <c r="F14" s="58">
        <v>0</v>
      </c>
      <c r="G14" s="59">
        <f t="shared" si="0"/>
        <v>0</v>
      </c>
      <c r="H14" s="60">
        <v>0</v>
      </c>
      <c r="I14" s="60">
        <v>0</v>
      </c>
      <c r="J14" s="59">
        <f t="shared" si="1"/>
        <v>0</v>
      </c>
      <c r="K14" s="59">
        <f t="shared" si="2"/>
        <v>0</v>
      </c>
      <c r="L14" s="59">
        <f t="shared" si="3"/>
        <v>0</v>
      </c>
      <c r="M14" s="58"/>
      <c r="N14" s="57">
        <f t="shared" si="4"/>
        <v>0</v>
      </c>
      <c r="O14" s="59">
        <f t="shared" si="5"/>
        <v>0</v>
      </c>
    </row>
    <row r="15" spans="2:15" ht="12.75">
      <c r="B15" s="55" t="s">
        <v>99</v>
      </c>
      <c r="C15" s="56" t="s">
        <v>100</v>
      </c>
      <c r="D15" s="57">
        <f>'CCA Continuity 2009'!O15</f>
        <v>0</v>
      </c>
      <c r="E15" s="58">
        <v>0</v>
      </c>
      <c r="F15" s="58">
        <v>0</v>
      </c>
      <c r="G15" s="59">
        <f t="shared" si="0"/>
        <v>0</v>
      </c>
      <c r="H15" s="60">
        <v>0</v>
      </c>
      <c r="I15" s="60">
        <v>0</v>
      </c>
      <c r="J15" s="59">
        <f t="shared" si="1"/>
        <v>0</v>
      </c>
      <c r="K15" s="59">
        <f t="shared" si="2"/>
        <v>0</v>
      </c>
      <c r="L15" s="59">
        <f t="shared" si="3"/>
        <v>0</v>
      </c>
      <c r="M15" s="58"/>
      <c r="N15" s="57">
        <f t="shared" si="4"/>
        <v>0</v>
      </c>
      <c r="O15" s="59">
        <f t="shared" si="5"/>
        <v>0</v>
      </c>
    </row>
    <row r="16" spans="2:15" ht="12.75">
      <c r="B16" s="55" t="s">
        <v>101</v>
      </c>
      <c r="C16" s="56" t="s">
        <v>102</v>
      </c>
      <c r="D16" s="57">
        <f>'CCA Continuity 2009'!O16</f>
        <v>0</v>
      </c>
      <c r="E16" s="58">
        <v>0</v>
      </c>
      <c r="F16" s="58">
        <v>0</v>
      </c>
      <c r="G16" s="59">
        <f t="shared" si="0"/>
        <v>0</v>
      </c>
      <c r="H16" s="60">
        <v>0</v>
      </c>
      <c r="I16" s="60">
        <v>0</v>
      </c>
      <c r="J16" s="59">
        <f t="shared" si="1"/>
        <v>0</v>
      </c>
      <c r="K16" s="59">
        <f t="shared" si="2"/>
        <v>0</v>
      </c>
      <c r="L16" s="59">
        <f t="shared" si="3"/>
        <v>0</v>
      </c>
      <c r="M16" s="58"/>
      <c r="N16" s="57">
        <f t="shared" si="4"/>
        <v>0</v>
      </c>
      <c r="O16" s="59">
        <f t="shared" si="5"/>
        <v>0</v>
      </c>
    </row>
    <row r="17" spans="2:15" ht="12.75">
      <c r="B17" s="55">
        <v>14</v>
      </c>
      <c r="C17" s="56" t="s">
        <v>103</v>
      </c>
      <c r="D17" s="57">
        <f>'CCA Continuity 2009'!O17</f>
        <v>0</v>
      </c>
      <c r="E17" s="58">
        <v>0</v>
      </c>
      <c r="F17" s="58">
        <v>0</v>
      </c>
      <c r="G17" s="59">
        <f t="shared" si="0"/>
        <v>0</v>
      </c>
      <c r="H17" s="60">
        <v>0</v>
      </c>
      <c r="I17" s="60">
        <v>0</v>
      </c>
      <c r="J17" s="59">
        <f t="shared" si="1"/>
        <v>0</v>
      </c>
      <c r="K17" s="59">
        <f t="shared" si="2"/>
        <v>0</v>
      </c>
      <c r="L17" s="59">
        <f t="shared" si="3"/>
        <v>0</v>
      </c>
      <c r="M17" s="58"/>
      <c r="N17" s="57">
        <f t="shared" si="4"/>
        <v>0</v>
      </c>
      <c r="O17" s="59">
        <f t="shared" si="5"/>
        <v>0</v>
      </c>
    </row>
    <row r="18" spans="2:15" ht="25.5">
      <c r="B18" s="55">
        <v>17</v>
      </c>
      <c r="C18" s="56" t="s">
        <v>104</v>
      </c>
      <c r="D18" s="57">
        <f>'CCA Continuity 2009'!O18</f>
        <v>88130.35046399999</v>
      </c>
      <c r="E18" s="58">
        <v>0</v>
      </c>
      <c r="F18" s="58">
        <v>0</v>
      </c>
      <c r="G18" s="59">
        <f t="shared" si="0"/>
        <v>88130.35046399999</v>
      </c>
      <c r="H18" s="60">
        <v>0</v>
      </c>
      <c r="I18" s="60">
        <v>0</v>
      </c>
      <c r="J18" s="59">
        <f t="shared" si="1"/>
        <v>88130.35046399999</v>
      </c>
      <c r="K18" s="59">
        <f t="shared" si="2"/>
        <v>0</v>
      </c>
      <c r="L18" s="59">
        <f t="shared" si="3"/>
        <v>88130.35046399999</v>
      </c>
      <c r="M18" s="61">
        <v>0.08</v>
      </c>
      <c r="N18" s="59">
        <f t="shared" si="4"/>
        <v>7050.428037119999</v>
      </c>
      <c r="O18" s="59">
        <f t="shared" si="5"/>
        <v>81079.92242687999</v>
      </c>
    </row>
    <row r="19" spans="2:15" ht="25.5">
      <c r="B19" s="55">
        <v>43.1</v>
      </c>
      <c r="C19" s="56" t="s">
        <v>105</v>
      </c>
      <c r="D19" s="57">
        <f>'CCA Continuity 2009'!O19</f>
        <v>0</v>
      </c>
      <c r="E19" s="58">
        <v>0</v>
      </c>
      <c r="F19" s="58">
        <v>0</v>
      </c>
      <c r="G19" s="59">
        <f t="shared" si="0"/>
        <v>0</v>
      </c>
      <c r="H19" s="60">
        <v>0</v>
      </c>
      <c r="I19" s="60">
        <v>0</v>
      </c>
      <c r="J19" s="59">
        <f t="shared" si="1"/>
        <v>0</v>
      </c>
      <c r="K19" s="59">
        <f t="shared" si="2"/>
        <v>0</v>
      </c>
      <c r="L19" s="59">
        <f t="shared" si="3"/>
        <v>0</v>
      </c>
      <c r="M19" s="61">
        <v>0.3</v>
      </c>
      <c r="N19" s="59">
        <f t="shared" si="4"/>
        <v>0</v>
      </c>
      <c r="O19" s="59">
        <f t="shared" si="5"/>
        <v>0</v>
      </c>
    </row>
    <row r="20" spans="2:15" ht="25.5">
      <c r="B20" s="55">
        <v>45</v>
      </c>
      <c r="C20" s="56" t="s">
        <v>106</v>
      </c>
      <c r="D20" s="57">
        <f>'CCA Continuity 2009'!O20</f>
        <v>97084.63737499999</v>
      </c>
      <c r="E20" s="58">
        <v>0</v>
      </c>
      <c r="F20" s="58">
        <v>0</v>
      </c>
      <c r="G20" s="59">
        <f t="shared" si="0"/>
        <v>97084.63737499999</v>
      </c>
      <c r="H20" s="57">
        <v>0</v>
      </c>
      <c r="I20" s="60">
        <v>0</v>
      </c>
      <c r="J20" s="59">
        <f t="shared" si="1"/>
        <v>97084.63737499999</v>
      </c>
      <c r="K20" s="59">
        <f t="shared" si="2"/>
        <v>0</v>
      </c>
      <c r="L20" s="59">
        <f t="shared" si="3"/>
        <v>97084.63737499999</v>
      </c>
      <c r="M20" s="61">
        <v>0.45</v>
      </c>
      <c r="N20" s="59">
        <f t="shared" si="4"/>
        <v>43688.086818749995</v>
      </c>
      <c r="O20" s="59">
        <f t="shared" si="5"/>
        <v>53396.55055625</v>
      </c>
    </row>
    <row r="21" spans="2:15" ht="25.5">
      <c r="B21" s="55">
        <v>50</v>
      </c>
      <c r="C21" s="56" t="s">
        <v>129</v>
      </c>
      <c r="D21" s="57">
        <f>'CCA Continuity 2009'!O21</f>
        <v>1029054.19478125</v>
      </c>
      <c r="E21" s="58">
        <v>0</v>
      </c>
      <c r="F21" s="58">
        <v>0</v>
      </c>
      <c r="G21" s="59">
        <f t="shared" si="0"/>
        <v>1029054.19478125</v>
      </c>
      <c r="H21" s="57">
        <f>'2010 FA Continuity'!E25-'2010 FA Continuity'!G25</f>
        <v>1112831</v>
      </c>
      <c r="I21" s="60">
        <v>0</v>
      </c>
      <c r="J21" s="59">
        <f>G21+H21-I21</f>
        <v>2141885.19478125</v>
      </c>
      <c r="K21" s="59">
        <f>H21*0.5</f>
        <v>556415.5</v>
      </c>
      <c r="L21" s="59">
        <f>J21-K21</f>
        <v>1585469.6947812499</v>
      </c>
      <c r="M21" s="61">
        <v>0.55</v>
      </c>
      <c r="N21" s="59">
        <f>L21*M21</f>
        <v>872008.3321296875</v>
      </c>
      <c r="O21" s="59">
        <f>J21-N21</f>
        <v>1269876.8626515623</v>
      </c>
    </row>
    <row r="22" spans="2:15" ht="25.5">
      <c r="B22" s="55">
        <v>52</v>
      </c>
      <c r="C22" s="56" t="s">
        <v>130</v>
      </c>
      <c r="D22" s="57">
        <f>'CCA Continuity 2009'!O22</f>
        <v>0</v>
      </c>
      <c r="E22" s="58">
        <v>0</v>
      </c>
      <c r="F22" s="58">
        <v>0</v>
      </c>
      <c r="G22" s="59">
        <f t="shared" si="0"/>
        <v>0</v>
      </c>
      <c r="H22" s="57">
        <v>0</v>
      </c>
      <c r="I22" s="60">
        <v>0</v>
      </c>
      <c r="J22" s="59">
        <f>G22+H22-I22</f>
        <v>0</v>
      </c>
      <c r="K22" s="59">
        <f>H22*0.5</f>
        <v>0</v>
      </c>
      <c r="L22" s="59">
        <f>J22-K22</f>
        <v>0</v>
      </c>
      <c r="M22" s="61">
        <v>1</v>
      </c>
      <c r="N22" s="59">
        <f>L22*M22</f>
        <v>0</v>
      </c>
      <c r="O22" s="59">
        <f>J22-N22</f>
        <v>0</v>
      </c>
    </row>
    <row r="23" spans="2:15" ht="25.5">
      <c r="B23" s="55">
        <v>46</v>
      </c>
      <c r="C23" s="56" t="s">
        <v>107</v>
      </c>
      <c r="D23" s="57">
        <f>'CCA Continuity 2009'!O23</f>
        <v>0</v>
      </c>
      <c r="E23" s="58">
        <v>0</v>
      </c>
      <c r="F23" s="58">
        <v>0</v>
      </c>
      <c r="G23" s="59">
        <f t="shared" si="0"/>
        <v>0</v>
      </c>
      <c r="H23" s="60">
        <v>0</v>
      </c>
      <c r="I23" s="60">
        <v>0</v>
      </c>
      <c r="J23" s="59">
        <f t="shared" si="1"/>
        <v>0</v>
      </c>
      <c r="K23" s="59">
        <f t="shared" si="2"/>
        <v>0</v>
      </c>
      <c r="L23" s="59">
        <f t="shared" si="3"/>
        <v>0</v>
      </c>
      <c r="M23" s="61">
        <v>0.3</v>
      </c>
      <c r="N23" s="59">
        <f t="shared" si="4"/>
        <v>0</v>
      </c>
      <c r="O23" s="59">
        <f t="shared" si="5"/>
        <v>0</v>
      </c>
    </row>
    <row r="24" spans="2:15" ht="12.75">
      <c r="B24" s="55">
        <v>47</v>
      </c>
      <c r="C24" s="56" t="s">
        <v>108</v>
      </c>
      <c r="D24" s="57">
        <f>'CCA Continuity 2009'!O24</f>
        <v>98417971.3058048</v>
      </c>
      <c r="E24" s="58"/>
      <c r="F24" s="58"/>
      <c r="G24" s="59">
        <f t="shared" si="0"/>
        <v>98417971.3058048</v>
      </c>
      <c r="H24" s="57">
        <f>'2010 FA Continuity'!E8+SUM('2010 FA Continuity'!E10:E18)+'2010 FA Continuity'!E34+'2010 FA Continuity'!E35+'2010 FA Continuity'!E36-'2010 FA Continuity'!G18+'2010 FA Continuity'!E21+'2010 FA Continuity'!E20</f>
        <v>32311739.039999995</v>
      </c>
      <c r="I24" s="60">
        <v>0</v>
      </c>
      <c r="J24" s="59">
        <f t="shared" si="1"/>
        <v>130729710.3458048</v>
      </c>
      <c r="K24" s="59">
        <f t="shared" si="2"/>
        <v>16155869.519999998</v>
      </c>
      <c r="L24" s="59">
        <f t="shared" si="3"/>
        <v>114573840.8258048</v>
      </c>
      <c r="M24" s="61">
        <v>0.08</v>
      </c>
      <c r="N24" s="63">
        <f t="shared" si="4"/>
        <v>9165907.266064385</v>
      </c>
      <c r="O24" s="59">
        <f t="shared" si="5"/>
        <v>121563803.0797404</v>
      </c>
    </row>
    <row r="25" spans="2:15" ht="12.75">
      <c r="B25" s="55"/>
      <c r="C25" s="64" t="s">
        <v>109</v>
      </c>
      <c r="D25" s="65">
        <f aca="true" t="shared" si="6" ref="D25:L25">SUM(D6:D24)</f>
        <v>352442510.91266304</v>
      </c>
      <c r="E25" s="65">
        <f t="shared" si="6"/>
        <v>0</v>
      </c>
      <c r="F25" s="65">
        <f t="shared" si="6"/>
        <v>0</v>
      </c>
      <c r="G25" s="65">
        <f t="shared" si="6"/>
        <v>352442510.91266304</v>
      </c>
      <c r="H25" s="65">
        <f t="shared" si="6"/>
        <v>37592999.99999999</v>
      </c>
      <c r="I25" s="65">
        <f t="shared" si="6"/>
        <v>0</v>
      </c>
      <c r="J25" s="65">
        <f t="shared" si="6"/>
        <v>390035510.91266304</v>
      </c>
      <c r="K25" s="65">
        <f t="shared" si="6"/>
        <v>18796499.999999996</v>
      </c>
      <c r="L25" s="65">
        <f t="shared" si="6"/>
        <v>371239010.912663</v>
      </c>
      <c r="M25" s="65"/>
      <c r="N25" s="65">
        <f>SUM(N6:N24)</f>
        <v>24934322.58977622</v>
      </c>
      <c r="O25" s="65">
        <f>SUM(O6:O24)</f>
        <v>365101188.3228868</v>
      </c>
    </row>
    <row r="26" spans="2:7" ht="12.75">
      <c r="B26" s="66"/>
      <c r="C26" s="67"/>
      <c r="D26" s="68"/>
      <c r="E26" s="68"/>
      <c r="F26" s="68"/>
      <c r="G26" s="68"/>
    </row>
    <row r="27" spans="2:7" ht="12.75">
      <c r="B27" s="55" t="s">
        <v>54</v>
      </c>
      <c r="C27" s="56" t="s">
        <v>110</v>
      </c>
      <c r="D27" s="57">
        <f>'CCA Continuity 2009'!H66</f>
        <v>11253119.323185</v>
      </c>
      <c r="E27" s="58">
        <v>0</v>
      </c>
      <c r="F27" s="58">
        <v>0</v>
      </c>
      <c r="G27" s="59">
        <f>D27-E27-F27</f>
        <v>11253119.323185</v>
      </c>
    </row>
    <row r="28" spans="2:7" ht="12.75">
      <c r="B28" s="55" t="s">
        <v>54</v>
      </c>
      <c r="C28" s="56" t="s">
        <v>18</v>
      </c>
      <c r="D28" s="60">
        <v>0</v>
      </c>
      <c r="E28" s="58">
        <v>0</v>
      </c>
      <c r="F28" s="58">
        <v>0</v>
      </c>
      <c r="G28" s="59">
        <f>D28-E28-F28</f>
        <v>0</v>
      </c>
    </row>
    <row r="29" spans="2:7" ht="12.75">
      <c r="B29" s="55" t="s">
        <v>54</v>
      </c>
      <c r="C29" s="56" t="s">
        <v>111</v>
      </c>
      <c r="D29" s="60">
        <v>0</v>
      </c>
      <c r="E29" s="58">
        <v>0</v>
      </c>
      <c r="F29" s="58">
        <v>0</v>
      </c>
      <c r="G29" s="59">
        <f>D29-E29-F29</f>
        <v>0</v>
      </c>
    </row>
    <row r="30" spans="2:7" ht="12.75">
      <c r="B30" s="55"/>
      <c r="C30" s="64" t="s">
        <v>112</v>
      </c>
      <c r="D30" s="65">
        <f>SUM(D27:D29)</f>
        <v>11253119.323185</v>
      </c>
      <c r="E30" s="65">
        <f>SUM(E27:E29)</f>
        <v>0</v>
      </c>
      <c r="F30" s="65">
        <f>SUM(F27:F29)</f>
        <v>0</v>
      </c>
      <c r="G30" s="65">
        <f>SUM(G27:G29)</f>
        <v>11253119.323185</v>
      </c>
    </row>
    <row r="31" ht="13.5" thickBot="1"/>
    <row r="32" spans="1:9" ht="12.75">
      <c r="A32" s="148"/>
      <c r="B32" s="149"/>
      <c r="C32" s="149"/>
      <c r="D32" s="149"/>
      <c r="E32" s="149"/>
      <c r="F32" s="149"/>
      <c r="G32" s="149"/>
      <c r="H32" s="149"/>
      <c r="I32" s="150"/>
    </row>
    <row r="33" spans="1:9" ht="24" customHeight="1">
      <c r="A33" s="69"/>
      <c r="B33" s="151" t="s">
        <v>113</v>
      </c>
      <c r="C33" s="151"/>
      <c r="D33" s="151"/>
      <c r="E33" s="151"/>
      <c r="F33" s="151"/>
      <c r="G33" s="151"/>
      <c r="H33" s="151"/>
      <c r="I33" s="71"/>
    </row>
    <row r="34" spans="1:9" ht="15.75">
      <c r="A34" s="69"/>
      <c r="B34" s="145" t="s">
        <v>114</v>
      </c>
      <c r="C34" s="145"/>
      <c r="D34" s="145"/>
      <c r="E34" s="70"/>
      <c r="F34" s="70"/>
      <c r="G34" s="70"/>
      <c r="H34" s="73">
        <f>G30</f>
        <v>11253119.323185</v>
      </c>
      <c r="I34" s="71"/>
    </row>
    <row r="35" spans="1:9" ht="15.75">
      <c r="A35" s="69"/>
      <c r="B35" s="145"/>
      <c r="C35" s="145"/>
      <c r="D35" s="145"/>
      <c r="E35" s="70"/>
      <c r="F35" s="70"/>
      <c r="G35" s="70"/>
      <c r="H35" s="73"/>
      <c r="I35" s="71"/>
    </row>
    <row r="36" spans="1:9" ht="12.75">
      <c r="A36" s="69"/>
      <c r="B36" s="152" t="s">
        <v>115</v>
      </c>
      <c r="C36" s="152"/>
      <c r="D36" s="152"/>
      <c r="E36" s="74"/>
      <c r="F36" s="74"/>
      <c r="G36" s="74"/>
      <c r="I36" s="71"/>
    </row>
    <row r="37" spans="1:9" ht="12.75">
      <c r="A37" s="69"/>
      <c r="B37" s="145" t="s">
        <v>116</v>
      </c>
      <c r="C37" s="145"/>
      <c r="D37" s="145"/>
      <c r="E37" s="75">
        <v>0</v>
      </c>
      <c r="F37" s="74"/>
      <c r="G37" s="74"/>
      <c r="H37" s="74"/>
      <c r="I37" s="71"/>
    </row>
    <row r="38" spans="1:9" ht="12.75">
      <c r="A38" s="69"/>
      <c r="B38" s="145"/>
      <c r="C38" s="145"/>
      <c r="D38" s="145"/>
      <c r="E38" s="74"/>
      <c r="F38" s="74"/>
      <c r="G38" s="74"/>
      <c r="H38" s="74"/>
      <c r="I38" s="71"/>
    </row>
    <row r="39" spans="1:9" ht="12.75">
      <c r="A39" s="69"/>
      <c r="B39" s="145" t="s">
        <v>117</v>
      </c>
      <c r="C39" s="145"/>
      <c r="D39" s="145"/>
      <c r="E39" s="75">
        <v>0</v>
      </c>
      <c r="F39" s="74"/>
      <c r="G39" s="74"/>
      <c r="H39" s="74"/>
      <c r="I39" s="71"/>
    </row>
    <row r="40" spans="1:9" ht="12.75">
      <c r="A40" s="69"/>
      <c r="B40" s="145"/>
      <c r="C40" s="145"/>
      <c r="D40" s="145"/>
      <c r="E40" s="74"/>
      <c r="F40" s="74"/>
      <c r="G40" s="74"/>
      <c r="H40" s="74"/>
      <c r="I40" s="71"/>
    </row>
    <row r="41" spans="1:9" ht="12.75">
      <c r="A41" s="69"/>
      <c r="B41" s="145" t="s">
        <v>118</v>
      </c>
      <c r="C41" s="145"/>
      <c r="D41" s="145"/>
      <c r="E41" s="75">
        <f>E37+E39</f>
        <v>0</v>
      </c>
      <c r="F41" s="74" t="s">
        <v>119</v>
      </c>
      <c r="G41" s="74">
        <f>E41*0.75</f>
        <v>0</v>
      </c>
      <c r="H41" s="74"/>
      <c r="I41" s="71"/>
    </row>
    <row r="42" spans="1:9" ht="12.75">
      <c r="A42" s="69"/>
      <c r="B42" s="145"/>
      <c r="C42" s="145"/>
      <c r="D42" s="145"/>
      <c r="E42" s="74"/>
      <c r="F42" s="74"/>
      <c r="G42" s="74"/>
      <c r="H42" s="74"/>
      <c r="I42" s="71"/>
    </row>
    <row r="43" spans="1:9" ht="12.75" customHeight="1">
      <c r="A43" s="69"/>
      <c r="B43" s="153" t="s">
        <v>120</v>
      </c>
      <c r="C43" s="153"/>
      <c r="D43" s="153"/>
      <c r="H43" s="74"/>
      <c r="I43" s="71"/>
    </row>
    <row r="44" spans="1:9" ht="12.75">
      <c r="A44" s="69"/>
      <c r="B44" s="153"/>
      <c r="C44" s="153"/>
      <c r="D44" s="153"/>
      <c r="E44" s="75">
        <v>0</v>
      </c>
      <c r="F44" s="74" t="s">
        <v>121</v>
      </c>
      <c r="G44" s="74">
        <f>E44*0.5</f>
        <v>0</v>
      </c>
      <c r="H44" s="74"/>
      <c r="I44" s="71"/>
    </row>
    <row r="45" spans="1:9" ht="12.75">
      <c r="A45" s="69"/>
      <c r="B45" s="145"/>
      <c r="C45" s="145"/>
      <c r="D45" s="145"/>
      <c r="E45" s="74"/>
      <c r="F45" s="74"/>
      <c r="G45" s="76">
        <f>G41+G44</f>
        <v>0</v>
      </c>
      <c r="H45" s="77">
        <f>G45+H34</f>
        <v>11253119.323185</v>
      </c>
      <c r="I45" s="71"/>
    </row>
    <row r="46" spans="1:9" ht="12.75">
      <c r="A46" s="69"/>
      <c r="B46" s="72"/>
      <c r="C46" s="72"/>
      <c r="D46" s="72"/>
      <c r="E46" s="74"/>
      <c r="F46" s="74"/>
      <c r="G46" s="74"/>
      <c r="H46" s="74"/>
      <c r="I46" s="71"/>
    </row>
    <row r="47" spans="1:9" ht="12.75">
      <c r="A47" s="69"/>
      <c r="B47" s="145" t="s">
        <v>122</v>
      </c>
      <c r="C47" s="145"/>
      <c r="D47" s="145"/>
      <c r="E47" s="75">
        <v>0</v>
      </c>
      <c r="F47" s="74"/>
      <c r="G47" s="74"/>
      <c r="H47" s="78">
        <f>E47</f>
        <v>0</v>
      </c>
      <c r="I47" s="71"/>
    </row>
    <row r="48" spans="1:9" ht="12.75">
      <c r="A48" s="69"/>
      <c r="B48" s="145"/>
      <c r="C48" s="145"/>
      <c r="D48" s="145"/>
      <c r="E48" s="74"/>
      <c r="F48" s="74"/>
      <c r="G48" s="74"/>
      <c r="H48" s="74"/>
      <c r="I48" s="71"/>
    </row>
    <row r="49" spans="1:9" ht="12.75">
      <c r="A49" s="69"/>
      <c r="B49" s="154" t="s">
        <v>118</v>
      </c>
      <c r="C49" s="154"/>
      <c r="D49" s="154" t="s">
        <v>118</v>
      </c>
      <c r="E49" s="74"/>
      <c r="F49" s="74"/>
      <c r="G49" s="74"/>
      <c r="H49" s="77">
        <f>H45+H47</f>
        <v>11253119.323185</v>
      </c>
      <c r="I49" s="71"/>
    </row>
    <row r="50" spans="1:9" ht="12.75">
      <c r="A50" s="69"/>
      <c r="B50" s="145"/>
      <c r="C50" s="145"/>
      <c r="D50" s="145"/>
      <c r="E50" s="74"/>
      <c r="F50" s="74"/>
      <c r="G50" s="74"/>
      <c r="H50" s="74"/>
      <c r="I50" s="71"/>
    </row>
    <row r="51" spans="1:9" ht="12.75">
      <c r="A51" s="69"/>
      <c r="B51" s="152" t="s">
        <v>123</v>
      </c>
      <c r="C51" s="152"/>
      <c r="D51" s="152"/>
      <c r="E51" s="74"/>
      <c r="F51" s="74"/>
      <c r="G51" s="74"/>
      <c r="H51" s="74"/>
      <c r="I51" s="71"/>
    </row>
    <row r="52" spans="1:9" ht="12.75">
      <c r="A52" s="69"/>
      <c r="B52" s="145"/>
      <c r="C52" s="145"/>
      <c r="D52" s="145"/>
      <c r="E52" s="74"/>
      <c r="F52" s="74"/>
      <c r="G52" s="74"/>
      <c r="H52" s="74"/>
      <c r="I52" s="71"/>
    </row>
    <row r="53" spans="1:9" ht="12.75">
      <c r="A53" s="69"/>
      <c r="B53" s="153" t="s">
        <v>124</v>
      </c>
      <c r="C53" s="153"/>
      <c r="D53" s="153"/>
      <c r="E53" s="74"/>
      <c r="F53" s="74"/>
      <c r="G53" s="74"/>
      <c r="H53" s="74"/>
      <c r="I53" s="71"/>
    </row>
    <row r="54" spans="1:9" ht="12.75">
      <c r="A54" s="69"/>
      <c r="B54" s="153"/>
      <c r="C54" s="153"/>
      <c r="D54" s="153"/>
      <c r="E54" s="74"/>
      <c r="F54" s="74"/>
      <c r="G54" s="74"/>
      <c r="H54" s="74"/>
      <c r="I54" s="71"/>
    </row>
    <row r="55" spans="1:9" ht="12.75">
      <c r="A55" s="69"/>
      <c r="B55" s="145"/>
      <c r="C55" s="145"/>
      <c r="D55" s="145"/>
      <c r="E55" s="74"/>
      <c r="F55" s="74"/>
      <c r="G55" s="74"/>
      <c r="H55" s="74"/>
      <c r="I55" s="71"/>
    </row>
    <row r="56" spans="1:9" ht="12.75">
      <c r="A56" s="69"/>
      <c r="B56" s="145" t="s">
        <v>117</v>
      </c>
      <c r="C56" s="145"/>
      <c r="D56" s="145"/>
      <c r="E56" s="75">
        <v>0</v>
      </c>
      <c r="F56" s="74"/>
      <c r="G56" s="74"/>
      <c r="H56" s="74"/>
      <c r="I56" s="71"/>
    </row>
    <row r="57" spans="1:9" ht="12.75">
      <c r="A57" s="69"/>
      <c r="B57" s="145"/>
      <c r="C57" s="145"/>
      <c r="D57" s="145"/>
      <c r="E57" s="74"/>
      <c r="F57" s="74"/>
      <c r="G57" s="74"/>
      <c r="H57" s="74"/>
      <c r="I57" s="71"/>
    </row>
    <row r="58" spans="1:9" ht="12.75">
      <c r="A58" s="69"/>
      <c r="B58" s="154" t="s">
        <v>118</v>
      </c>
      <c r="C58" s="154"/>
      <c r="D58" s="154" t="s">
        <v>118</v>
      </c>
      <c r="E58" s="75">
        <f>E56</f>
        <v>0</v>
      </c>
      <c r="F58" s="74" t="s">
        <v>119</v>
      </c>
      <c r="G58" s="74">
        <f>E58*0.75</f>
        <v>0</v>
      </c>
      <c r="H58" s="77">
        <f>H49+G58</f>
        <v>11253119.323185</v>
      </c>
      <c r="I58" s="71"/>
    </row>
    <row r="59" spans="1:9" ht="12.75">
      <c r="A59" s="69"/>
      <c r="B59" s="145"/>
      <c r="C59" s="145"/>
      <c r="D59" s="145"/>
      <c r="E59" s="74"/>
      <c r="F59" s="74"/>
      <c r="G59" s="74"/>
      <c r="H59" s="74"/>
      <c r="I59" s="71"/>
    </row>
    <row r="60" spans="1:9" ht="12.75">
      <c r="A60" s="69"/>
      <c r="B60" s="145"/>
      <c r="C60" s="145"/>
      <c r="D60" s="145"/>
      <c r="E60" s="74"/>
      <c r="F60" s="74"/>
      <c r="G60" s="74"/>
      <c r="H60" s="74"/>
      <c r="I60" s="71"/>
    </row>
    <row r="61" spans="1:9" ht="12.75">
      <c r="A61" s="69"/>
      <c r="B61" s="145"/>
      <c r="C61" s="145"/>
      <c r="D61" s="145"/>
      <c r="E61" s="74"/>
      <c r="F61" s="74"/>
      <c r="G61" s="74"/>
      <c r="H61" s="74"/>
      <c r="I61" s="71"/>
    </row>
    <row r="62" spans="1:9" ht="12.75">
      <c r="A62" s="69"/>
      <c r="B62" s="145" t="s">
        <v>125</v>
      </c>
      <c r="C62" s="145"/>
      <c r="D62" s="145"/>
      <c r="E62" s="74"/>
      <c r="F62" s="74"/>
      <c r="G62" s="74"/>
      <c r="H62" s="73">
        <f>H58</f>
        <v>11253119.323185</v>
      </c>
      <c r="I62" s="71"/>
    </row>
    <row r="63" spans="1:9" ht="12.75">
      <c r="A63" s="69"/>
      <c r="B63" s="145"/>
      <c r="C63" s="145"/>
      <c r="D63" s="145"/>
      <c r="E63" s="74"/>
      <c r="F63" s="74"/>
      <c r="G63" s="74"/>
      <c r="H63" s="74"/>
      <c r="I63" s="71"/>
    </row>
    <row r="64" spans="1:9" ht="12.75">
      <c r="A64" s="69"/>
      <c r="B64" s="145" t="s">
        <v>126</v>
      </c>
      <c r="C64" s="145"/>
      <c r="D64" s="145"/>
      <c r="E64" s="79">
        <v>0.07</v>
      </c>
      <c r="F64" s="74"/>
      <c r="G64" s="74"/>
      <c r="H64" s="73">
        <f>H62*E64</f>
        <v>787718.3526229501</v>
      </c>
      <c r="I64" s="71"/>
    </row>
    <row r="65" spans="1:9" ht="12.75">
      <c r="A65" s="69"/>
      <c r="B65" s="158"/>
      <c r="C65" s="158"/>
      <c r="D65" s="158"/>
      <c r="E65" s="74"/>
      <c r="F65" s="73"/>
      <c r="G65" s="74"/>
      <c r="H65" s="73"/>
      <c r="I65" s="71"/>
    </row>
    <row r="66" spans="1:9" ht="13.5" thickBot="1">
      <c r="A66" s="69"/>
      <c r="B66" s="145" t="s">
        <v>127</v>
      </c>
      <c r="C66" s="145"/>
      <c r="D66" s="145"/>
      <c r="E66" s="74"/>
      <c r="F66" s="74"/>
      <c r="G66" s="74"/>
      <c r="H66" s="80">
        <f>H62-H64</f>
        <v>10465400.97056205</v>
      </c>
      <c r="I66" s="71"/>
    </row>
    <row r="67" spans="1:9" ht="14.25" thickBot="1" thickTop="1">
      <c r="A67" s="155"/>
      <c r="B67" s="156"/>
      <c r="C67" s="156"/>
      <c r="D67" s="156"/>
      <c r="E67" s="156"/>
      <c r="F67" s="156"/>
      <c r="G67" s="156"/>
      <c r="H67" s="156"/>
      <c r="I67" s="157"/>
    </row>
  </sheetData>
  <sheetProtection/>
  <mergeCells count="36">
    <mergeCell ref="B60:D60"/>
    <mergeCell ref="B61:D61"/>
    <mergeCell ref="B62:D62"/>
    <mergeCell ref="B63:D63"/>
    <mergeCell ref="B64:D64"/>
    <mergeCell ref="B65:D65"/>
    <mergeCell ref="B49:D49"/>
    <mergeCell ref="B50:D50"/>
    <mergeCell ref="B51:D51"/>
    <mergeCell ref="B52:D52"/>
    <mergeCell ref="B66:D66"/>
    <mergeCell ref="A67:I67"/>
    <mergeCell ref="B56:D56"/>
    <mergeCell ref="B57:D57"/>
    <mergeCell ref="B58:D58"/>
    <mergeCell ref="B59:D59"/>
    <mergeCell ref="B37:D37"/>
    <mergeCell ref="B38:D38"/>
    <mergeCell ref="B53:D54"/>
    <mergeCell ref="B55:D55"/>
    <mergeCell ref="B41:D41"/>
    <mergeCell ref="B42:D42"/>
    <mergeCell ref="B43:D44"/>
    <mergeCell ref="B45:D45"/>
    <mergeCell ref="B47:D47"/>
    <mergeCell ref="B48:D48"/>
    <mergeCell ref="B39:D39"/>
    <mergeCell ref="B40:D40"/>
    <mergeCell ref="A1:O1"/>
    <mergeCell ref="A2:O2"/>
    <mergeCell ref="B4:O4"/>
    <mergeCell ref="A32:I32"/>
    <mergeCell ref="B33:H33"/>
    <mergeCell ref="B34:D34"/>
    <mergeCell ref="B35:D35"/>
    <mergeCell ref="B36:D36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47" r:id="rId3"/>
  <headerFooter alignWithMargins="0">
    <oddFooter>&amp;L&amp;A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1.57421875" style="52" customWidth="1"/>
    <col min="2" max="2" width="6.421875" style="52" customWidth="1"/>
    <col min="3" max="3" width="48.421875" style="52" customWidth="1"/>
    <col min="4" max="4" width="17.421875" style="52" customWidth="1"/>
    <col min="5" max="5" width="21.140625" style="52" customWidth="1"/>
    <col min="6" max="6" width="20.421875" style="52" customWidth="1"/>
    <col min="7" max="7" width="19.28125" style="52" customWidth="1"/>
    <col min="8" max="8" width="13.00390625" style="52" customWidth="1"/>
    <col min="9" max="9" width="13.57421875" style="52" customWidth="1"/>
    <col min="10" max="10" width="18.57421875" style="52" customWidth="1"/>
    <col min="11" max="11" width="26.7109375" style="52" customWidth="1"/>
    <col min="12" max="12" width="13.140625" style="52" bestFit="1" customWidth="1"/>
    <col min="13" max="13" width="9.140625" style="52" customWidth="1"/>
    <col min="14" max="14" width="10.8515625" style="52" bestFit="1" customWidth="1"/>
    <col min="15" max="15" width="15.421875" style="52" customWidth="1"/>
    <col min="16" max="16384" width="9.140625" style="52" customWidth="1"/>
  </cols>
  <sheetData>
    <row r="1" spans="1:15" ht="12.75">
      <c r="A1" s="146" t="str">
        <f>'[1]Trial Balance'!A1:H1</f>
        <v>HORIZON UTILITIES CORPORATION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2.75">
      <c r="A2" s="146" t="str">
        <f>'[1]Trial Balance'!A2:H2</f>
        <v>2008 Forward Test Year Rate Application filed October 22, 2007, License Number ED-2006-0031, File Number EB-2007-0697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ht="6.75" customHeight="1"/>
    <row r="4" spans="2:15" ht="36" customHeight="1">
      <c r="B4" s="147" t="s">
        <v>133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5" s="53" customFormat="1" ht="38.25">
      <c r="B5" s="54" t="s">
        <v>74</v>
      </c>
      <c r="C5" s="54" t="s">
        <v>75</v>
      </c>
      <c r="D5" s="54" t="s">
        <v>76</v>
      </c>
      <c r="E5" s="54" t="s">
        <v>77</v>
      </c>
      <c r="F5" s="54" t="s">
        <v>78</v>
      </c>
      <c r="G5" s="54" t="s">
        <v>79</v>
      </c>
      <c r="H5" s="54" t="s">
        <v>80</v>
      </c>
      <c r="I5" s="54" t="s">
        <v>81</v>
      </c>
      <c r="J5" s="54" t="s">
        <v>82</v>
      </c>
      <c r="K5" s="54" t="s">
        <v>83</v>
      </c>
      <c r="L5" s="54" t="s">
        <v>84</v>
      </c>
      <c r="M5" s="54" t="s">
        <v>85</v>
      </c>
      <c r="N5" s="54" t="s">
        <v>86</v>
      </c>
      <c r="O5" s="54" t="s">
        <v>87</v>
      </c>
    </row>
    <row r="6" spans="2:15" ht="12.75">
      <c r="B6" s="55">
        <v>1</v>
      </c>
      <c r="C6" s="56" t="s">
        <v>88</v>
      </c>
      <c r="D6" s="57">
        <f>'CCA Continuity 2010'!O6</f>
        <v>189159140.22912</v>
      </c>
      <c r="E6" s="58">
        <v>0</v>
      </c>
      <c r="F6" s="58">
        <v>0</v>
      </c>
      <c r="G6" s="59">
        <f aca="true" t="shared" si="0" ref="G6:G24">D6-E6-F6</f>
        <v>189159140.22912</v>
      </c>
      <c r="H6" s="60">
        <v>0</v>
      </c>
      <c r="I6" s="60">
        <v>0</v>
      </c>
      <c r="J6" s="59">
        <f aca="true" t="shared" si="1" ref="J6:J24">G6+H6-I6</f>
        <v>189159140.22912</v>
      </c>
      <c r="K6" s="59">
        <f aca="true" t="shared" si="2" ref="K6:K24">H6*0.5</f>
        <v>0</v>
      </c>
      <c r="L6" s="59">
        <f aca="true" t="shared" si="3" ref="L6:L24">J6-K6</f>
        <v>189159140.22912</v>
      </c>
      <c r="M6" s="61">
        <v>0.04</v>
      </c>
      <c r="N6" s="59">
        <f aca="true" t="shared" si="4" ref="N6:N24">L6*M6</f>
        <v>7566365.6091648</v>
      </c>
      <c r="O6" s="59">
        <f aca="true" t="shared" si="5" ref="O6:O24">J6-N6</f>
        <v>181592774.61995518</v>
      </c>
    </row>
    <row r="7" spans="2:15" ht="12.75">
      <c r="B7" s="55">
        <v>2</v>
      </c>
      <c r="C7" s="56" t="s">
        <v>89</v>
      </c>
      <c r="D7" s="57">
        <f>'CCA Continuity 2010'!O7</f>
        <v>41568309.77525472</v>
      </c>
      <c r="E7" s="58">
        <v>0</v>
      </c>
      <c r="F7" s="58">
        <v>0</v>
      </c>
      <c r="G7" s="59">
        <f t="shared" si="0"/>
        <v>41568309.77525472</v>
      </c>
      <c r="H7" s="60">
        <v>0</v>
      </c>
      <c r="I7" s="60">
        <v>0</v>
      </c>
      <c r="J7" s="59">
        <f t="shared" si="1"/>
        <v>41568309.77525472</v>
      </c>
      <c r="K7" s="59">
        <f t="shared" si="2"/>
        <v>0</v>
      </c>
      <c r="L7" s="59">
        <f t="shared" si="3"/>
        <v>41568309.77525472</v>
      </c>
      <c r="M7" s="61">
        <v>0.06</v>
      </c>
      <c r="N7" s="59">
        <f t="shared" si="4"/>
        <v>2494098.586515283</v>
      </c>
      <c r="O7" s="59">
        <f t="shared" si="5"/>
        <v>39074211.188739434</v>
      </c>
    </row>
    <row r="8" spans="2:15" ht="12.75">
      <c r="B8" s="55">
        <v>6</v>
      </c>
      <c r="C8" s="56" t="s">
        <v>90</v>
      </c>
      <c r="D8" s="57">
        <f>'CCA Continuity 2010'!O8</f>
        <v>17859.6981</v>
      </c>
      <c r="E8" s="58">
        <v>0</v>
      </c>
      <c r="F8" s="58">
        <v>0</v>
      </c>
      <c r="G8" s="59">
        <f t="shared" si="0"/>
        <v>17859.6981</v>
      </c>
      <c r="H8" s="60">
        <v>0</v>
      </c>
      <c r="I8" s="60">
        <v>0</v>
      </c>
      <c r="J8" s="59">
        <f>G8+H8-I8</f>
        <v>17859.6981</v>
      </c>
      <c r="K8" s="59">
        <f>H8*0.5</f>
        <v>0</v>
      </c>
      <c r="L8" s="59">
        <f>J8-K8</f>
        <v>17859.6981</v>
      </c>
      <c r="M8" s="61">
        <v>0.1</v>
      </c>
      <c r="N8" s="59">
        <f>L8*M8</f>
        <v>1785.9698100000003</v>
      </c>
      <c r="O8" s="59">
        <f>J8-N8</f>
        <v>16073.728290000001</v>
      </c>
    </row>
    <row r="9" spans="2:15" ht="12.75">
      <c r="B9" s="55">
        <v>8</v>
      </c>
      <c r="C9" s="56" t="s">
        <v>91</v>
      </c>
      <c r="D9" s="57">
        <f>'CCA Continuity 2010'!O9</f>
        <v>6224257.951936</v>
      </c>
      <c r="E9" s="58">
        <v>0</v>
      </c>
      <c r="F9" s="58">
        <v>0</v>
      </c>
      <c r="G9" s="59">
        <f t="shared" si="0"/>
        <v>6224257.951936</v>
      </c>
      <c r="H9" s="57">
        <f>'2011 FA Continuity'!E23+'2011 FA Continuity'!E28+'2011 FA Continuity'!E29+'2011 FA Continuity'!E30+'2011 FA Continuity'!E31+'2011 FA Continuity'!E32+'2011 FA Continuity'!E33-'2011 FA Continuity'!G29</f>
        <v>2241850</v>
      </c>
      <c r="I9" s="60">
        <v>0</v>
      </c>
      <c r="J9" s="59">
        <f t="shared" si="1"/>
        <v>8466107.951936</v>
      </c>
      <c r="K9" s="59">
        <f t="shared" si="2"/>
        <v>1120925</v>
      </c>
      <c r="L9" s="59">
        <f t="shared" si="3"/>
        <v>7345182.951935999</v>
      </c>
      <c r="M9" s="61">
        <v>0.2</v>
      </c>
      <c r="N9" s="59">
        <f t="shared" si="4"/>
        <v>1469036.5903872</v>
      </c>
      <c r="O9" s="59">
        <f t="shared" si="5"/>
        <v>6997071.361548799</v>
      </c>
    </row>
    <row r="10" spans="2:15" ht="12.75">
      <c r="B10" s="55">
        <v>10</v>
      </c>
      <c r="C10" s="56" t="s">
        <v>92</v>
      </c>
      <c r="D10" s="57">
        <f>'CCA Continuity 2010'!O10</f>
        <v>4363333.753101001</v>
      </c>
      <c r="E10" s="58">
        <v>0</v>
      </c>
      <c r="F10" s="58">
        <v>0</v>
      </c>
      <c r="G10" s="59">
        <f t="shared" si="0"/>
        <v>4363333.753101001</v>
      </c>
      <c r="H10" s="57">
        <f>'2011 FA Continuity'!E24+'2011 FA Continuity'!E27</f>
        <v>1445500</v>
      </c>
      <c r="I10" s="60">
        <v>0</v>
      </c>
      <c r="J10" s="59">
        <f t="shared" si="1"/>
        <v>5808833.753101001</v>
      </c>
      <c r="K10" s="59">
        <f t="shared" si="2"/>
        <v>722750</v>
      </c>
      <c r="L10" s="59">
        <f t="shared" si="3"/>
        <v>5086083.753101001</v>
      </c>
      <c r="M10" s="61">
        <v>0.3</v>
      </c>
      <c r="N10" s="59">
        <f t="shared" si="4"/>
        <v>1525825.1259303002</v>
      </c>
      <c r="O10" s="59">
        <f t="shared" si="5"/>
        <v>4283008.627170701</v>
      </c>
    </row>
    <row r="11" spans="2:15" ht="12.75">
      <c r="B11" s="55">
        <v>10.1</v>
      </c>
      <c r="C11" s="56" t="s">
        <v>93</v>
      </c>
      <c r="D11" s="57">
        <f>'CCA Continuity 2010'!O11</f>
        <v>0</v>
      </c>
      <c r="E11" s="58">
        <v>0</v>
      </c>
      <c r="F11" s="58">
        <v>0</v>
      </c>
      <c r="G11" s="59">
        <f t="shared" si="0"/>
        <v>0</v>
      </c>
      <c r="H11" s="60">
        <v>0</v>
      </c>
      <c r="I11" s="60">
        <v>0</v>
      </c>
      <c r="J11" s="59">
        <f t="shared" si="1"/>
        <v>0</v>
      </c>
      <c r="K11" s="59">
        <f t="shared" si="2"/>
        <v>0</v>
      </c>
      <c r="L11" s="59">
        <f t="shared" si="3"/>
        <v>0</v>
      </c>
      <c r="M11" s="61">
        <v>0.3</v>
      </c>
      <c r="N11" s="59">
        <f t="shared" si="4"/>
        <v>0</v>
      </c>
      <c r="O11" s="59">
        <f t="shared" si="5"/>
        <v>0</v>
      </c>
    </row>
    <row r="12" spans="2:15" ht="12.75">
      <c r="B12" s="55">
        <v>12</v>
      </c>
      <c r="C12" s="56" t="s">
        <v>94</v>
      </c>
      <c r="D12" s="57">
        <f>'CCA Continuity 2010'!O12</f>
        <v>800130.5</v>
      </c>
      <c r="E12" s="58">
        <v>0</v>
      </c>
      <c r="F12" s="58">
        <v>0</v>
      </c>
      <c r="G12" s="59">
        <f t="shared" si="0"/>
        <v>800130.5</v>
      </c>
      <c r="H12" s="57">
        <f>'2011 FA Continuity'!E26-'2011 FA Continuity'!G26</f>
        <v>1933577.8241559663</v>
      </c>
      <c r="I12" s="60">
        <v>0</v>
      </c>
      <c r="J12" s="59">
        <f t="shared" si="1"/>
        <v>2733708.3241559663</v>
      </c>
      <c r="K12" s="59">
        <f t="shared" si="2"/>
        <v>966788.9120779831</v>
      </c>
      <c r="L12" s="59">
        <f t="shared" si="3"/>
        <v>1766919.4120779831</v>
      </c>
      <c r="M12" s="61">
        <v>1</v>
      </c>
      <c r="N12" s="59">
        <f t="shared" si="4"/>
        <v>1766919.4120779831</v>
      </c>
      <c r="O12" s="59">
        <f t="shared" si="5"/>
        <v>966788.9120779831</v>
      </c>
    </row>
    <row r="13" spans="2:15" ht="12.75">
      <c r="B13" s="55" t="s">
        <v>95</v>
      </c>
      <c r="C13" s="56" t="s">
        <v>96</v>
      </c>
      <c r="D13" s="57">
        <f>'CCA Continuity 2010'!O13</f>
        <v>0</v>
      </c>
      <c r="E13" s="58">
        <v>0</v>
      </c>
      <c r="F13" s="58">
        <v>0</v>
      </c>
      <c r="G13" s="59">
        <f t="shared" si="0"/>
        <v>0</v>
      </c>
      <c r="H13" s="60">
        <v>0</v>
      </c>
      <c r="I13" s="60">
        <v>0</v>
      </c>
      <c r="J13" s="59">
        <f t="shared" si="1"/>
        <v>0</v>
      </c>
      <c r="K13" s="59">
        <f t="shared" si="2"/>
        <v>0</v>
      </c>
      <c r="L13" s="59">
        <f t="shared" si="3"/>
        <v>0</v>
      </c>
      <c r="M13" s="61">
        <v>0.2</v>
      </c>
      <c r="N13" s="59">
        <f t="shared" si="4"/>
        <v>0</v>
      </c>
      <c r="O13" s="59">
        <f t="shared" si="5"/>
        <v>0</v>
      </c>
    </row>
    <row r="14" spans="2:15" ht="12.75">
      <c r="B14" s="55" t="s">
        <v>97</v>
      </c>
      <c r="C14" s="56" t="s">
        <v>98</v>
      </c>
      <c r="D14" s="57">
        <f>'CCA Continuity 2010'!O14</f>
        <v>0</v>
      </c>
      <c r="E14" s="58">
        <v>0</v>
      </c>
      <c r="F14" s="58">
        <v>0</v>
      </c>
      <c r="G14" s="59">
        <f t="shared" si="0"/>
        <v>0</v>
      </c>
      <c r="H14" s="60">
        <v>0</v>
      </c>
      <c r="I14" s="60">
        <v>0</v>
      </c>
      <c r="J14" s="59">
        <f t="shared" si="1"/>
        <v>0</v>
      </c>
      <c r="K14" s="59">
        <f t="shared" si="2"/>
        <v>0</v>
      </c>
      <c r="L14" s="59">
        <f t="shared" si="3"/>
        <v>0</v>
      </c>
      <c r="M14" s="58"/>
      <c r="N14" s="57">
        <f t="shared" si="4"/>
        <v>0</v>
      </c>
      <c r="O14" s="59">
        <f t="shared" si="5"/>
        <v>0</v>
      </c>
    </row>
    <row r="15" spans="2:15" ht="12.75">
      <c r="B15" s="55" t="s">
        <v>99</v>
      </c>
      <c r="C15" s="56" t="s">
        <v>100</v>
      </c>
      <c r="D15" s="57">
        <f>'CCA Continuity 2010'!O15</f>
        <v>0</v>
      </c>
      <c r="E15" s="58">
        <v>0</v>
      </c>
      <c r="F15" s="58">
        <v>0</v>
      </c>
      <c r="G15" s="59">
        <f t="shared" si="0"/>
        <v>0</v>
      </c>
      <c r="H15" s="60">
        <v>0</v>
      </c>
      <c r="I15" s="60">
        <v>0</v>
      </c>
      <c r="J15" s="59">
        <f t="shared" si="1"/>
        <v>0</v>
      </c>
      <c r="K15" s="59">
        <f t="shared" si="2"/>
        <v>0</v>
      </c>
      <c r="L15" s="59">
        <f t="shared" si="3"/>
        <v>0</v>
      </c>
      <c r="M15" s="58"/>
      <c r="N15" s="57">
        <f t="shared" si="4"/>
        <v>0</v>
      </c>
      <c r="O15" s="59">
        <f t="shared" si="5"/>
        <v>0</v>
      </c>
    </row>
    <row r="16" spans="2:15" ht="12.75">
      <c r="B16" s="55" t="s">
        <v>101</v>
      </c>
      <c r="C16" s="56" t="s">
        <v>102</v>
      </c>
      <c r="D16" s="57">
        <f>'CCA Continuity 2010'!O16</f>
        <v>0</v>
      </c>
      <c r="E16" s="58">
        <v>0</v>
      </c>
      <c r="F16" s="58">
        <v>0</v>
      </c>
      <c r="G16" s="59">
        <f t="shared" si="0"/>
        <v>0</v>
      </c>
      <c r="H16" s="60">
        <v>0</v>
      </c>
      <c r="I16" s="60">
        <v>0</v>
      </c>
      <c r="J16" s="59">
        <f t="shared" si="1"/>
        <v>0</v>
      </c>
      <c r="K16" s="59">
        <f t="shared" si="2"/>
        <v>0</v>
      </c>
      <c r="L16" s="59">
        <f t="shared" si="3"/>
        <v>0</v>
      </c>
      <c r="M16" s="58"/>
      <c r="N16" s="57">
        <f t="shared" si="4"/>
        <v>0</v>
      </c>
      <c r="O16" s="59">
        <f t="shared" si="5"/>
        <v>0</v>
      </c>
    </row>
    <row r="17" spans="2:15" ht="12.75">
      <c r="B17" s="55">
        <v>14</v>
      </c>
      <c r="C17" s="56" t="s">
        <v>103</v>
      </c>
      <c r="D17" s="57">
        <f>'CCA Continuity 2010'!O17</f>
        <v>0</v>
      </c>
      <c r="E17" s="58">
        <v>0</v>
      </c>
      <c r="F17" s="58">
        <v>0</v>
      </c>
      <c r="G17" s="59">
        <f t="shared" si="0"/>
        <v>0</v>
      </c>
      <c r="H17" s="60">
        <v>0</v>
      </c>
      <c r="I17" s="60">
        <v>0</v>
      </c>
      <c r="J17" s="59">
        <f t="shared" si="1"/>
        <v>0</v>
      </c>
      <c r="K17" s="59">
        <f t="shared" si="2"/>
        <v>0</v>
      </c>
      <c r="L17" s="59">
        <f t="shared" si="3"/>
        <v>0</v>
      </c>
      <c r="M17" s="58"/>
      <c r="N17" s="57">
        <f t="shared" si="4"/>
        <v>0</v>
      </c>
      <c r="O17" s="59">
        <f t="shared" si="5"/>
        <v>0</v>
      </c>
    </row>
    <row r="18" spans="2:15" ht="25.5">
      <c r="B18" s="55">
        <v>17</v>
      </c>
      <c r="C18" s="56" t="s">
        <v>104</v>
      </c>
      <c r="D18" s="57">
        <f>'CCA Continuity 2010'!O18</f>
        <v>81079.92242687999</v>
      </c>
      <c r="E18" s="58">
        <v>0</v>
      </c>
      <c r="F18" s="58">
        <v>0</v>
      </c>
      <c r="G18" s="59">
        <f t="shared" si="0"/>
        <v>81079.92242687999</v>
      </c>
      <c r="H18" s="60">
        <v>0</v>
      </c>
      <c r="I18" s="60">
        <v>0</v>
      </c>
      <c r="J18" s="59">
        <f t="shared" si="1"/>
        <v>81079.92242687999</v>
      </c>
      <c r="K18" s="59">
        <f t="shared" si="2"/>
        <v>0</v>
      </c>
      <c r="L18" s="59">
        <f t="shared" si="3"/>
        <v>81079.92242687999</v>
      </c>
      <c r="M18" s="61">
        <v>0.08</v>
      </c>
      <c r="N18" s="59">
        <f t="shared" si="4"/>
        <v>6486.393794150399</v>
      </c>
      <c r="O18" s="59">
        <f t="shared" si="5"/>
        <v>74593.52863272959</v>
      </c>
    </row>
    <row r="19" spans="2:15" ht="25.5">
      <c r="B19" s="55">
        <v>43.1</v>
      </c>
      <c r="C19" s="56" t="s">
        <v>105</v>
      </c>
      <c r="D19" s="57">
        <f>'CCA Continuity 2010'!O19</f>
        <v>0</v>
      </c>
      <c r="E19" s="58">
        <v>0</v>
      </c>
      <c r="F19" s="58">
        <v>0</v>
      </c>
      <c r="G19" s="59">
        <f t="shared" si="0"/>
        <v>0</v>
      </c>
      <c r="H19" s="60">
        <v>0</v>
      </c>
      <c r="I19" s="60">
        <v>0</v>
      </c>
      <c r="J19" s="59">
        <f t="shared" si="1"/>
        <v>0</v>
      </c>
      <c r="K19" s="59">
        <f t="shared" si="2"/>
        <v>0</v>
      </c>
      <c r="L19" s="59">
        <f t="shared" si="3"/>
        <v>0</v>
      </c>
      <c r="M19" s="61">
        <v>0.3</v>
      </c>
      <c r="N19" s="59">
        <f t="shared" si="4"/>
        <v>0</v>
      </c>
      <c r="O19" s="59">
        <f t="shared" si="5"/>
        <v>0</v>
      </c>
    </row>
    <row r="20" spans="2:15" ht="25.5">
      <c r="B20" s="55">
        <v>45</v>
      </c>
      <c r="C20" s="56" t="s">
        <v>106</v>
      </c>
      <c r="D20" s="57">
        <f>'CCA Continuity 2010'!O20</f>
        <v>53396.55055625</v>
      </c>
      <c r="E20" s="58">
        <v>0</v>
      </c>
      <c r="F20" s="58">
        <v>0</v>
      </c>
      <c r="G20" s="59">
        <f t="shared" si="0"/>
        <v>53396.55055625</v>
      </c>
      <c r="H20" s="57">
        <v>0</v>
      </c>
      <c r="I20" s="60">
        <v>0</v>
      </c>
      <c r="J20" s="59">
        <f t="shared" si="1"/>
        <v>53396.55055625</v>
      </c>
      <c r="K20" s="59">
        <f t="shared" si="2"/>
        <v>0</v>
      </c>
      <c r="L20" s="59">
        <f t="shared" si="3"/>
        <v>53396.55055625</v>
      </c>
      <c r="M20" s="61">
        <v>0.45</v>
      </c>
      <c r="N20" s="59">
        <f t="shared" si="4"/>
        <v>24028.447750312498</v>
      </c>
      <c r="O20" s="59">
        <f t="shared" si="5"/>
        <v>29368.1028059375</v>
      </c>
    </row>
    <row r="21" spans="2:15" ht="25.5">
      <c r="B21" s="55">
        <v>50</v>
      </c>
      <c r="C21" s="56" t="s">
        <v>129</v>
      </c>
      <c r="D21" s="57">
        <f>'CCA Continuity 2010'!O21</f>
        <v>1269876.8626515623</v>
      </c>
      <c r="E21" s="58">
        <v>0</v>
      </c>
      <c r="F21" s="58">
        <v>0</v>
      </c>
      <c r="G21" s="59">
        <f t="shared" si="0"/>
        <v>1269876.8626515623</v>
      </c>
      <c r="H21" s="57">
        <v>0</v>
      </c>
      <c r="I21" s="60">
        <v>0</v>
      </c>
      <c r="J21" s="59">
        <f>G21+H21-I21</f>
        <v>1269876.8626515623</v>
      </c>
      <c r="K21" s="59">
        <f>H21*0.5</f>
        <v>0</v>
      </c>
      <c r="L21" s="59">
        <f>J21-K21</f>
        <v>1269876.8626515623</v>
      </c>
      <c r="M21" s="61">
        <v>0.55</v>
      </c>
      <c r="N21" s="59">
        <f>L21*M21</f>
        <v>698432.2744583593</v>
      </c>
      <c r="O21" s="59">
        <f>J21-N21</f>
        <v>571444.588193203</v>
      </c>
    </row>
    <row r="22" spans="2:15" ht="25.5">
      <c r="B22" s="55">
        <v>52</v>
      </c>
      <c r="C22" s="56" t="s">
        <v>130</v>
      </c>
      <c r="D22" s="57">
        <f>'CCA Continuity 2010'!O22</f>
        <v>0</v>
      </c>
      <c r="E22" s="58">
        <v>0</v>
      </c>
      <c r="F22" s="58">
        <v>0</v>
      </c>
      <c r="G22" s="59">
        <f t="shared" si="0"/>
        <v>0</v>
      </c>
      <c r="H22" s="57">
        <f>'2011 FA Continuity'!E25-'2011 FA Continuity'!G25</f>
        <v>1612172.1758440335</v>
      </c>
      <c r="I22" s="60">
        <v>0</v>
      </c>
      <c r="J22" s="59">
        <f>G22+H22-I22</f>
        <v>1612172.1758440335</v>
      </c>
      <c r="K22" s="59">
        <f>H22*0.5</f>
        <v>806086.0879220167</v>
      </c>
      <c r="L22" s="59">
        <f>J22-K22</f>
        <v>806086.0879220167</v>
      </c>
      <c r="M22" s="61">
        <v>1</v>
      </c>
      <c r="N22" s="59">
        <f>L22*M22</f>
        <v>806086.0879220167</v>
      </c>
      <c r="O22" s="59">
        <f>J22-N22</f>
        <v>806086.0879220167</v>
      </c>
    </row>
    <row r="23" spans="2:15" ht="25.5">
      <c r="B23" s="55">
        <v>46</v>
      </c>
      <c r="C23" s="56" t="s">
        <v>107</v>
      </c>
      <c r="D23" s="57">
        <f>'CCA Continuity 2010'!O23</f>
        <v>0</v>
      </c>
      <c r="E23" s="58">
        <v>0</v>
      </c>
      <c r="F23" s="58">
        <v>0</v>
      </c>
      <c r="G23" s="59">
        <f t="shared" si="0"/>
        <v>0</v>
      </c>
      <c r="H23" s="60">
        <v>0</v>
      </c>
      <c r="I23" s="60">
        <v>0</v>
      </c>
      <c r="J23" s="59">
        <f t="shared" si="1"/>
        <v>0</v>
      </c>
      <c r="K23" s="59">
        <f t="shared" si="2"/>
        <v>0</v>
      </c>
      <c r="L23" s="59">
        <f t="shared" si="3"/>
        <v>0</v>
      </c>
      <c r="M23" s="61">
        <v>0.3</v>
      </c>
      <c r="N23" s="59">
        <f t="shared" si="4"/>
        <v>0</v>
      </c>
      <c r="O23" s="59">
        <f t="shared" si="5"/>
        <v>0</v>
      </c>
    </row>
    <row r="24" spans="2:15" ht="12.75">
      <c r="B24" s="55">
        <v>47</v>
      </c>
      <c r="C24" s="56" t="s">
        <v>108</v>
      </c>
      <c r="D24" s="57">
        <f>'CCA Continuity 2010'!O24</f>
        <v>121563803.0797404</v>
      </c>
      <c r="E24" s="58"/>
      <c r="F24" s="58"/>
      <c r="G24" s="59">
        <f t="shared" si="0"/>
        <v>121563803.0797404</v>
      </c>
      <c r="H24" s="57">
        <f>'2011 FA Continuity'!E8+SUM('2011 FA Continuity'!E10:E18)+'2011 FA Continuity'!E34+'2011 FA Continuity'!E35+'2011 FA Continuity'!E36-'2011 FA Continuity'!G18+'2011 FA Continuity'!E21+'2011 FA Continuity'!E20</f>
        <v>36758998.70614909</v>
      </c>
      <c r="I24" s="60">
        <v>0</v>
      </c>
      <c r="J24" s="59">
        <f t="shared" si="1"/>
        <v>158322801.7858895</v>
      </c>
      <c r="K24" s="59">
        <f t="shared" si="2"/>
        <v>18379499.353074543</v>
      </c>
      <c r="L24" s="59">
        <f t="shared" si="3"/>
        <v>139943302.43281496</v>
      </c>
      <c r="M24" s="61">
        <v>0.08</v>
      </c>
      <c r="N24" s="63">
        <f t="shared" si="4"/>
        <v>11195464.194625197</v>
      </c>
      <c r="O24" s="59">
        <f t="shared" si="5"/>
        <v>147127337.5912643</v>
      </c>
    </row>
    <row r="25" spans="2:15" ht="12.75">
      <c r="B25" s="55"/>
      <c r="C25" s="64" t="s">
        <v>109</v>
      </c>
      <c r="D25" s="65">
        <f aca="true" t="shared" si="6" ref="D25:L25">SUM(D6:D24)</f>
        <v>365101188.3228868</v>
      </c>
      <c r="E25" s="65">
        <f t="shared" si="6"/>
        <v>0</v>
      </c>
      <c r="F25" s="65">
        <f t="shared" si="6"/>
        <v>0</v>
      </c>
      <c r="G25" s="65">
        <f t="shared" si="6"/>
        <v>365101188.3228868</v>
      </c>
      <c r="H25" s="65">
        <f t="shared" si="6"/>
        <v>43992098.70614909</v>
      </c>
      <c r="I25" s="65">
        <f t="shared" si="6"/>
        <v>0</v>
      </c>
      <c r="J25" s="65">
        <f t="shared" si="6"/>
        <v>409093287.0290359</v>
      </c>
      <c r="K25" s="65">
        <f t="shared" si="6"/>
        <v>21996049.353074543</v>
      </c>
      <c r="L25" s="65">
        <f t="shared" si="6"/>
        <v>387097237.6759614</v>
      </c>
      <c r="M25" s="65"/>
      <c r="N25" s="65">
        <f>SUM(N6:N24)</f>
        <v>27554528.692435604</v>
      </c>
      <c r="O25" s="65">
        <f>SUM(O6:O24)</f>
        <v>381538758.3366003</v>
      </c>
    </row>
    <row r="26" spans="2:7" ht="12.75">
      <c r="B26" s="66"/>
      <c r="C26" s="67"/>
      <c r="D26" s="68"/>
      <c r="E26" s="68"/>
      <c r="F26" s="68"/>
      <c r="G26" s="68"/>
    </row>
    <row r="27" spans="2:7" ht="12.75">
      <c r="B27" s="55" t="s">
        <v>54</v>
      </c>
      <c r="C27" s="56" t="s">
        <v>110</v>
      </c>
      <c r="D27" s="57">
        <f>'CCA Continuity 2010'!H66</f>
        <v>10465400.97056205</v>
      </c>
      <c r="E27" s="58">
        <v>0</v>
      </c>
      <c r="F27" s="58">
        <v>0</v>
      </c>
      <c r="G27" s="59">
        <f>D27-E27-F27</f>
        <v>10465400.97056205</v>
      </c>
    </row>
    <row r="28" spans="2:7" ht="12.75">
      <c r="B28" s="55" t="s">
        <v>54</v>
      </c>
      <c r="C28" s="56" t="s">
        <v>18</v>
      </c>
      <c r="D28" s="60">
        <v>0</v>
      </c>
      <c r="E28" s="58">
        <v>0</v>
      </c>
      <c r="F28" s="58">
        <v>0</v>
      </c>
      <c r="G28" s="59">
        <f>D28-E28-F28</f>
        <v>0</v>
      </c>
    </row>
    <row r="29" spans="2:7" ht="12.75">
      <c r="B29" s="55" t="s">
        <v>54</v>
      </c>
      <c r="C29" s="56" t="s">
        <v>111</v>
      </c>
      <c r="D29" s="60">
        <v>0</v>
      </c>
      <c r="E29" s="58">
        <v>0</v>
      </c>
      <c r="F29" s="58">
        <v>0</v>
      </c>
      <c r="G29" s="59">
        <f>D29-E29-F29</f>
        <v>0</v>
      </c>
    </row>
    <row r="30" spans="2:7" ht="12.75">
      <c r="B30" s="55"/>
      <c r="C30" s="64" t="s">
        <v>112</v>
      </c>
      <c r="D30" s="65">
        <f>SUM(D27:D29)</f>
        <v>10465400.97056205</v>
      </c>
      <c r="E30" s="65">
        <f>SUM(E27:E29)</f>
        <v>0</v>
      </c>
      <c r="F30" s="65">
        <f>SUM(F27:F29)</f>
        <v>0</v>
      </c>
      <c r="G30" s="65">
        <f>SUM(G27:G29)</f>
        <v>10465400.97056205</v>
      </c>
    </row>
    <row r="31" ht="13.5" thickBot="1"/>
    <row r="32" spans="1:9" ht="12.75">
      <c r="A32" s="148"/>
      <c r="B32" s="149"/>
      <c r="C32" s="149"/>
      <c r="D32" s="149"/>
      <c r="E32" s="149"/>
      <c r="F32" s="149"/>
      <c r="G32" s="149"/>
      <c r="H32" s="149"/>
      <c r="I32" s="150"/>
    </row>
    <row r="33" spans="1:9" ht="24" customHeight="1">
      <c r="A33" s="69"/>
      <c r="B33" s="151" t="s">
        <v>113</v>
      </c>
      <c r="C33" s="151"/>
      <c r="D33" s="151"/>
      <c r="E33" s="151"/>
      <c r="F33" s="151"/>
      <c r="G33" s="151"/>
      <c r="H33" s="151"/>
      <c r="I33" s="71"/>
    </row>
    <row r="34" spans="1:9" ht="15.75">
      <c r="A34" s="69"/>
      <c r="B34" s="145" t="s">
        <v>114</v>
      </c>
      <c r="C34" s="145"/>
      <c r="D34" s="145"/>
      <c r="E34" s="70"/>
      <c r="F34" s="70"/>
      <c r="G34" s="70"/>
      <c r="H34" s="73">
        <f>G30</f>
        <v>10465400.97056205</v>
      </c>
      <c r="I34" s="71"/>
    </row>
    <row r="35" spans="1:9" ht="15.75">
      <c r="A35" s="69"/>
      <c r="B35" s="145"/>
      <c r="C35" s="145"/>
      <c r="D35" s="145"/>
      <c r="E35" s="70"/>
      <c r="F35" s="70"/>
      <c r="G35" s="70"/>
      <c r="H35" s="73"/>
      <c r="I35" s="71"/>
    </row>
    <row r="36" spans="1:9" ht="12.75">
      <c r="A36" s="69"/>
      <c r="B36" s="152" t="s">
        <v>115</v>
      </c>
      <c r="C36" s="152"/>
      <c r="D36" s="152"/>
      <c r="E36" s="74"/>
      <c r="F36" s="74"/>
      <c r="G36" s="74"/>
      <c r="I36" s="71"/>
    </row>
    <row r="37" spans="1:9" ht="12.75">
      <c r="A37" s="69"/>
      <c r="B37" s="145" t="s">
        <v>116</v>
      </c>
      <c r="C37" s="145"/>
      <c r="D37" s="145"/>
      <c r="E37" s="75">
        <v>0</v>
      </c>
      <c r="F37" s="74"/>
      <c r="G37" s="74"/>
      <c r="H37" s="74"/>
      <c r="I37" s="71"/>
    </row>
    <row r="38" spans="1:9" ht="12.75">
      <c r="A38" s="69"/>
      <c r="B38" s="145"/>
      <c r="C38" s="145"/>
      <c r="D38" s="145"/>
      <c r="E38" s="74"/>
      <c r="F38" s="74"/>
      <c r="G38" s="74"/>
      <c r="H38" s="74"/>
      <c r="I38" s="71"/>
    </row>
    <row r="39" spans="1:9" ht="12.75">
      <c r="A39" s="69"/>
      <c r="B39" s="145" t="s">
        <v>117</v>
      </c>
      <c r="C39" s="145"/>
      <c r="D39" s="145"/>
      <c r="E39" s="75">
        <v>0</v>
      </c>
      <c r="F39" s="74"/>
      <c r="G39" s="74"/>
      <c r="H39" s="74"/>
      <c r="I39" s="71"/>
    </row>
    <row r="40" spans="1:9" ht="12.75">
      <c r="A40" s="69"/>
      <c r="B40" s="145"/>
      <c r="C40" s="145"/>
      <c r="D40" s="145"/>
      <c r="E40" s="74"/>
      <c r="F40" s="74"/>
      <c r="G40" s="74"/>
      <c r="H40" s="74"/>
      <c r="I40" s="71"/>
    </row>
    <row r="41" spans="1:9" ht="12.75">
      <c r="A41" s="69"/>
      <c r="B41" s="145" t="s">
        <v>118</v>
      </c>
      <c r="C41" s="145"/>
      <c r="D41" s="145"/>
      <c r="E41" s="75">
        <f>E37+E39</f>
        <v>0</v>
      </c>
      <c r="F41" s="74" t="s">
        <v>119</v>
      </c>
      <c r="G41" s="74">
        <f>E41*0.75</f>
        <v>0</v>
      </c>
      <c r="H41" s="74"/>
      <c r="I41" s="71"/>
    </row>
    <row r="42" spans="1:9" ht="12.75">
      <c r="A42" s="69"/>
      <c r="B42" s="145"/>
      <c r="C42" s="145"/>
      <c r="D42" s="145"/>
      <c r="E42" s="74"/>
      <c r="F42" s="74"/>
      <c r="G42" s="74"/>
      <c r="H42" s="74"/>
      <c r="I42" s="71"/>
    </row>
    <row r="43" spans="1:9" ht="12.75" customHeight="1">
      <c r="A43" s="69"/>
      <c r="B43" s="153" t="s">
        <v>120</v>
      </c>
      <c r="C43" s="153"/>
      <c r="D43" s="153"/>
      <c r="H43" s="74"/>
      <c r="I43" s="71"/>
    </row>
    <row r="44" spans="1:9" ht="12.75">
      <c r="A44" s="69"/>
      <c r="B44" s="153"/>
      <c r="C44" s="153"/>
      <c r="D44" s="153"/>
      <c r="E44" s="75">
        <v>0</v>
      </c>
      <c r="F44" s="74" t="s">
        <v>121</v>
      </c>
      <c r="G44" s="74">
        <f>E44*0.5</f>
        <v>0</v>
      </c>
      <c r="H44" s="74"/>
      <c r="I44" s="71"/>
    </row>
    <row r="45" spans="1:9" ht="12.75">
      <c r="A45" s="69"/>
      <c r="B45" s="145"/>
      <c r="C45" s="145"/>
      <c r="D45" s="145"/>
      <c r="E45" s="74"/>
      <c r="F45" s="74"/>
      <c r="G45" s="76">
        <f>G41+G44</f>
        <v>0</v>
      </c>
      <c r="H45" s="77">
        <f>G45+H34</f>
        <v>10465400.97056205</v>
      </c>
      <c r="I45" s="71"/>
    </row>
    <row r="46" spans="1:9" ht="12.75">
      <c r="A46" s="69"/>
      <c r="B46" s="72"/>
      <c r="C46" s="72"/>
      <c r="D46" s="72"/>
      <c r="E46" s="74"/>
      <c r="F46" s="74"/>
      <c r="G46" s="74"/>
      <c r="H46" s="74"/>
      <c r="I46" s="71"/>
    </row>
    <row r="47" spans="1:9" ht="12.75">
      <c r="A47" s="69"/>
      <c r="B47" s="145" t="s">
        <v>122</v>
      </c>
      <c r="C47" s="145"/>
      <c r="D47" s="145"/>
      <c r="E47" s="75">
        <v>0</v>
      </c>
      <c r="F47" s="74"/>
      <c r="G47" s="74"/>
      <c r="H47" s="78">
        <f>E47</f>
        <v>0</v>
      </c>
      <c r="I47" s="71"/>
    </row>
    <row r="48" spans="1:9" ht="12.75">
      <c r="A48" s="69"/>
      <c r="B48" s="145"/>
      <c r="C48" s="145"/>
      <c r="D48" s="145"/>
      <c r="E48" s="74"/>
      <c r="F48" s="74"/>
      <c r="G48" s="74"/>
      <c r="H48" s="74"/>
      <c r="I48" s="71"/>
    </row>
    <row r="49" spans="1:9" ht="12.75">
      <c r="A49" s="69"/>
      <c r="B49" s="154" t="s">
        <v>118</v>
      </c>
      <c r="C49" s="154"/>
      <c r="D49" s="154" t="s">
        <v>118</v>
      </c>
      <c r="E49" s="74"/>
      <c r="F49" s="74"/>
      <c r="G49" s="74"/>
      <c r="H49" s="77">
        <f>H45+H47</f>
        <v>10465400.97056205</v>
      </c>
      <c r="I49" s="71"/>
    </row>
    <row r="50" spans="1:9" ht="12.75">
      <c r="A50" s="69"/>
      <c r="B50" s="145"/>
      <c r="C50" s="145"/>
      <c r="D50" s="145"/>
      <c r="E50" s="74"/>
      <c r="F50" s="74"/>
      <c r="G50" s="74"/>
      <c r="H50" s="74"/>
      <c r="I50" s="71"/>
    </row>
    <row r="51" spans="1:9" ht="12.75">
      <c r="A51" s="69"/>
      <c r="B51" s="152" t="s">
        <v>123</v>
      </c>
      <c r="C51" s="152"/>
      <c r="D51" s="152"/>
      <c r="E51" s="74"/>
      <c r="F51" s="74"/>
      <c r="G51" s="74"/>
      <c r="H51" s="74"/>
      <c r="I51" s="71"/>
    </row>
    <row r="52" spans="1:9" ht="12.75">
      <c r="A52" s="69"/>
      <c r="B52" s="145"/>
      <c r="C52" s="145"/>
      <c r="D52" s="145"/>
      <c r="E52" s="74"/>
      <c r="F52" s="74"/>
      <c r="G52" s="74"/>
      <c r="H52" s="74"/>
      <c r="I52" s="71"/>
    </row>
    <row r="53" spans="1:9" ht="12.75">
      <c r="A53" s="69"/>
      <c r="B53" s="153" t="s">
        <v>124</v>
      </c>
      <c r="C53" s="153"/>
      <c r="D53" s="153"/>
      <c r="E53" s="74"/>
      <c r="F53" s="74"/>
      <c r="G53" s="74"/>
      <c r="H53" s="74"/>
      <c r="I53" s="71"/>
    </row>
    <row r="54" spans="1:9" ht="12.75">
      <c r="A54" s="69"/>
      <c r="B54" s="153"/>
      <c r="C54" s="153"/>
      <c r="D54" s="153"/>
      <c r="E54" s="74"/>
      <c r="F54" s="74"/>
      <c r="G54" s="74"/>
      <c r="H54" s="74"/>
      <c r="I54" s="71"/>
    </row>
    <row r="55" spans="1:9" ht="12.75">
      <c r="A55" s="69"/>
      <c r="B55" s="145"/>
      <c r="C55" s="145"/>
      <c r="D55" s="145"/>
      <c r="E55" s="74"/>
      <c r="F55" s="74"/>
      <c r="G55" s="74"/>
      <c r="H55" s="74"/>
      <c r="I55" s="71"/>
    </row>
    <row r="56" spans="1:9" ht="12.75">
      <c r="A56" s="69"/>
      <c r="B56" s="145" t="s">
        <v>117</v>
      </c>
      <c r="C56" s="145"/>
      <c r="D56" s="145"/>
      <c r="E56" s="75">
        <v>0</v>
      </c>
      <c r="F56" s="74"/>
      <c r="G56" s="74"/>
      <c r="H56" s="74"/>
      <c r="I56" s="71"/>
    </row>
    <row r="57" spans="1:9" ht="12.75">
      <c r="A57" s="69"/>
      <c r="B57" s="145"/>
      <c r="C57" s="145"/>
      <c r="D57" s="145"/>
      <c r="E57" s="74"/>
      <c r="F57" s="74"/>
      <c r="G57" s="74"/>
      <c r="H57" s="74"/>
      <c r="I57" s="71"/>
    </row>
    <row r="58" spans="1:9" ht="12.75">
      <c r="A58" s="69"/>
      <c r="B58" s="154" t="s">
        <v>118</v>
      </c>
      <c r="C58" s="154"/>
      <c r="D58" s="154" t="s">
        <v>118</v>
      </c>
      <c r="E58" s="75">
        <f>E56</f>
        <v>0</v>
      </c>
      <c r="F58" s="74" t="s">
        <v>119</v>
      </c>
      <c r="G58" s="74">
        <f>E58*0.75</f>
        <v>0</v>
      </c>
      <c r="H58" s="77">
        <f>H49+G58</f>
        <v>10465400.97056205</v>
      </c>
      <c r="I58" s="71"/>
    </row>
    <row r="59" spans="1:9" ht="12.75">
      <c r="A59" s="69"/>
      <c r="B59" s="145"/>
      <c r="C59" s="145"/>
      <c r="D59" s="145"/>
      <c r="E59" s="74"/>
      <c r="F59" s="74"/>
      <c r="G59" s="74"/>
      <c r="H59" s="74"/>
      <c r="I59" s="71"/>
    </row>
    <row r="60" spans="1:9" ht="12.75">
      <c r="A60" s="69"/>
      <c r="B60" s="145"/>
      <c r="C60" s="145"/>
      <c r="D60" s="145"/>
      <c r="E60" s="74"/>
      <c r="F60" s="74"/>
      <c r="G60" s="74"/>
      <c r="H60" s="74"/>
      <c r="I60" s="71"/>
    </row>
    <row r="61" spans="1:9" ht="12.75">
      <c r="A61" s="69"/>
      <c r="B61" s="145"/>
      <c r="C61" s="145"/>
      <c r="D61" s="145"/>
      <c r="E61" s="74"/>
      <c r="F61" s="74"/>
      <c r="G61" s="74"/>
      <c r="H61" s="74"/>
      <c r="I61" s="71"/>
    </row>
    <row r="62" spans="1:9" ht="12.75">
      <c r="A62" s="69"/>
      <c r="B62" s="145" t="s">
        <v>125</v>
      </c>
      <c r="C62" s="145"/>
      <c r="D62" s="145"/>
      <c r="E62" s="74"/>
      <c r="F62" s="74"/>
      <c r="G62" s="74"/>
      <c r="H62" s="73">
        <f>H58</f>
        <v>10465400.97056205</v>
      </c>
      <c r="I62" s="71"/>
    </row>
    <row r="63" spans="1:9" ht="12.75">
      <c r="A63" s="69"/>
      <c r="B63" s="145"/>
      <c r="C63" s="145"/>
      <c r="D63" s="145"/>
      <c r="E63" s="74"/>
      <c r="F63" s="74"/>
      <c r="G63" s="74"/>
      <c r="H63" s="74"/>
      <c r="I63" s="71"/>
    </row>
    <row r="64" spans="1:9" ht="12.75">
      <c r="A64" s="69"/>
      <c r="B64" s="145" t="s">
        <v>126</v>
      </c>
      <c r="C64" s="145"/>
      <c r="D64" s="145"/>
      <c r="E64" s="79">
        <v>0.07</v>
      </c>
      <c r="F64" s="74"/>
      <c r="G64" s="74"/>
      <c r="H64" s="73">
        <f>H62*E64</f>
        <v>732578.0679393436</v>
      </c>
      <c r="I64" s="71"/>
    </row>
    <row r="65" spans="1:9" ht="12.75">
      <c r="A65" s="69"/>
      <c r="B65" s="158"/>
      <c r="C65" s="158"/>
      <c r="D65" s="158"/>
      <c r="E65" s="74"/>
      <c r="F65" s="73"/>
      <c r="G65" s="74"/>
      <c r="H65" s="73"/>
      <c r="I65" s="71"/>
    </row>
    <row r="66" spans="1:9" ht="13.5" thickBot="1">
      <c r="A66" s="69"/>
      <c r="B66" s="145" t="s">
        <v>127</v>
      </c>
      <c r="C66" s="145"/>
      <c r="D66" s="145"/>
      <c r="E66" s="74"/>
      <c r="F66" s="74"/>
      <c r="G66" s="74"/>
      <c r="H66" s="80">
        <f>H62-H64</f>
        <v>9732822.902622707</v>
      </c>
      <c r="I66" s="71"/>
    </row>
    <row r="67" spans="1:9" ht="14.25" thickBot="1" thickTop="1">
      <c r="A67" s="155"/>
      <c r="B67" s="156"/>
      <c r="C67" s="156"/>
      <c r="D67" s="156"/>
      <c r="E67" s="156"/>
      <c r="F67" s="156"/>
      <c r="G67" s="156"/>
      <c r="H67" s="156"/>
      <c r="I67" s="157"/>
    </row>
  </sheetData>
  <sheetProtection/>
  <mergeCells count="36">
    <mergeCell ref="B60:D60"/>
    <mergeCell ref="B61:D61"/>
    <mergeCell ref="B62:D62"/>
    <mergeCell ref="B63:D63"/>
    <mergeCell ref="B64:D64"/>
    <mergeCell ref="B65:D65"/>
    <mergeCell ref="B49:D49"/>
    <mergeCell ref="B50:D50"/>
    <mergeCell ref="B51:D51"/>
    <mergeCell ref="B52:D52"/>
    <mergeCell ref="B66:D66"/>
    <mergeCell ref="A67:I67"/>
    <mergeCell ref="B56:D56"/>
    <mergeCell ref="B57:D57"/>
    <mergeCell ref="B58:D58"/>
    <mergeCell ref="B59:D59"/>
    <mergeCell ref="B37:D37"/>
    <mergeCell ref="B38:D38"/>
    <mergeCell ref="B53:D54"/>
    <mergeCell ref="B55:D55"/>
    <mergeCell ref="B41:D41"/>
    <mergeCell ref="B42:D42"/>
    <mergeCell ref="B43:D44"/>
    <mergeCell ref="B45:D45"/>
    <mergeCell ref="B47:D47"/>
    <mergeCell ref="B48:D48"/>
    <mergeCell ref="B39:D39"/>
    <mergeCell ref="B40:D40"/>
    <mergeCell ref="A1:O1"/>
    <mergeCell ref="A2:O2"/>
    <mergeCell ref="B4:O4"/>
    <mergeCell ref="A32:I32"/>
    <mergeCell ref="B33:H33"/>
    <mergeCell ref="B34:D34"/>
    <mergeCell ref="B35:D35"/>
    <mergeCell ref="B36:D36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47" r:id="rId3"/>
  <headerFooter alignWithMargins="0">
    <oddFooter>&amp;L&amp;A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J3" sqref="J3"/>
    </sheetView>
  </sheetViews>
  <sheetFormatPr defaultColWidth="9.28125" defaultRowHeight="15"/>
  <cols>
    <col min="1" max="1" width="25.140625" style="0" bestFit="1" customWidth="1"/>
    <col min="2" max="2" width="16.00390625" style="0" customWidth="1"/>
    <col min="3" max="3" width="17.7109375" style="0" customWidth="1"/>
    <col min="4" max="4" width="15.7109375" style="0" customWidth="1"/>
    <col min="5" max="6" width="21.8515625" style="0" customWidth="1"/>
    <col min="7" max="7" width="22.140625" style="0" customWidth="1"/>
    <col min="8" max="8" width="14.28125" style="0" customWidth="1"/>
    <col min="9" max="9" width="17.8515625" style="0" customWidth="1"/>
    <col min="10" max="10" width="14.00390625" style="0" customWidth="1"/>
    <col min="11" max="11" width="18.8515625" style="0" customWidth="1"/>
  </cols>
  <sheetData>
    <row r="1" spans="1:11" ht="30">
      <c r="A1" s="86" t="s">
        <v>47</v>
      </c>
      <c r="B1" s="86" t="s">
        <v>199</v>
      </c>
      <c r="C1" s="86" t="s">
        <v>139</v>
      </c>
      <c r="D1" s="86" t="s">
        <v>140</v>
      </c>
      <c r="E1" s="86" t="s">
        <v>141</v>
      </c>
      <c r="F1" s="86" t="s">
        <v>142</v>
      </c>
      <c r="G1" s="86" t="s">
        <v>143</v>
      </c>
      <c r="H1" s="86" t="s">
        <v>196</v>
      </c>
      <c r="I1" s="86" t="s">
        <v>145</v>
      </c>
      <c r="J1" s="86" t="s">
        <v>197</v>
      </c>
      <c r="K1" s="86" t="s">
        <v>198</v>
      </c>
    </row>
    <row r="2" spans="1:11" ht="19.5" customHeight="1">
      <c r="A2" s="87" t="s">
        <v>200</v>
      </c>
      <c r="B2" s="88">
        <f>('2007 FA Continuity'!Q37+'2006 FA Continuity'!Q37)/2</f>
        <v>271377722.4053408</v>
      </c>
      <c r="C2" s="127"/>
      <c r="D2" s="88">
        <f>('2008 FA Continuity'!Q37+'2007 FA Continuity'!Q37)/2</f>
        <v>279033671.3615611</v>
      </c>
      <c r="E2" s="88">
        <f>D2-C2</f>
        <v>279033671.3615611</v>
      </c>
      <c r="F2" s="88">
        <f>('2009 FA Continuity'!Q37+'2008 FA Continuity'!Q37)/2</f>
        <v>290779111.62044454</v>
      </c>
      <c r="G2" s="88">
        <f>F2-D2</f>
        <v>11745440.258883417</v>
      </c>
      <c r="H2" s="88">
        <f>('2010 FA Continuity'!Q37+'2009 FA Continuity'!Q37)/2</f>
        <v>302301148.65183663</v>
      </c>
      <c r="I2" s="88">
        <f>H2-F2</f>
        <v>11522037.031392097</v>
      </c>
      <c r="J2" s="88">
        <f>('2011 FA Continuity'!Q37+'2010 FA Continuity'!Q37)/2</f>
        <v>315023557.60735583</v>
      </c>
      <c r="K2" s="88">
        <f>J2-H2</f>
        <v>12722408.9555192</v>
      </c>
    </row>
    <row r="3" spans="1:11" ht="19.5" customHeight="1">
      <c r="A3" s="87" t="s">
        <v>201</v>
      </c>
      <c r="B3" s="88">
        <f>(SUM('2002-2011 TB'!$J$329:$J$351)+SUM('2002-2011 TB'!$J$352:$J$367)+SUM('2002-2011 TB'!$J$377:$J$384)+SUM('2002-2011 TB'!$J$385:$J$393)+SUM('2002-2011 TB'!$J$394:$J$411)+'2002-2011 TB'!$J$430+SUM('2002-2011 TB'!$J$298:$J$308)-B7)*0.15</f>
        <v>64930843.515</v>
      </c>
      <c r="C3" s="127"/>
      <c r="D3" s="88">
        <f>(SUM('2002-2011 TB'!$K$329:$K$351)+SUM('2002-2011 TB'!$K$352:$K$367)+SUM('2002-2011 TB'!$K$377:$K$384)+SUM('2002-2011 TB'!$K$385:$K$393)+SUM('2002-2011 TB'!$K$394:$K$411)+'2002-2011 TB'!$K$430+SUM('2002-2011 TB'!$K$298:$K$308)-D7)*0.15</f>
        <v>62278977.305999994</v>
      </c>
      <c r="E3" s="88">
        <f>D3-C3</f>
        <v>62278977.305999994</v>
      </c>
      <c r="F3" s="88">
        <f>(SUM('2002-2011 TB'!$L$329:$L$351)+SUM('2002-2011 TB'!$L$352:$L$367)+SUM('2002-2011 TB'!$L$377:$L$384)+SUM('2002-2011 TB'!$L$385:$L$393)+SUM('2002-2011 TB'!$L$394:$L$411)+'2002-2011 TB'!$L$430+SUM('2002-2011 TB'!$L$298:$L$308)-F7)*0.15</f>
        <v>60389779.02900001</v>
      </c>
      <c r="G3" s="88">
        <f>F3-D3</f>
        <v>-1889198.2769999877</v>
      </c>
      <c r="H3" s="88">
        <f>(SUM('2002-2011 TB'!$M$329:$M$351)+SUM('2002-2011 TB'!$M$352:$M$367)+SUM('2002-2011 TB'!$M$377:$M$384)+SUM('2002-2011 TB'!$M$385:$M$393)+SUM('2002-2011 TB'!$M$394:$M$411)+'2002-2011 TB'!$M$430+SUM('2002-2011 TB'!$M$298:$M$308)-H7)*0.15</f>
        <v>60484791.762</v>
      </c>
      <c r="I3" s="88">
        <f>H3-F3</f>
        <v>95012.73299999535</v>
      </c>
      <c r="J3" s="88">
        <f>(SUM('2002-2011 TB'!$N$329:$N$351)+SUM('2002-2011 TB'!$N$352:$N$367)+SUM('2002-2011 TB'!$N$377:$N$384)+SUM('2002-2011 TB'!$N$385:$N$393)+SUM('2002-2011 TB'!$N$394:$N$411)+'2002-2011 TB'!$N$430+SUM('2002-2011 TB'!$N$298:$N$308)-J7)*0.15</f>
        <v>61476168.24646999</v>
      </c>
      <c r="K3" s="88">
        <f>J3-H3</f>
        <v>991376.4844699875</v>
      </c>
    </row>
    <row r="4" spans="1:11" ht="19.5" customHeight="1">
      <c r="A4" s="87" t="s">
        <v>202</v>
      </c>
      <c r="B4" s="88">
        <f>B2+B3</f>
        <v>336308565.9203408</v>
      </c>
      <c r="C4" s="127">
        <f>C2+C3</f>
        <v>0</v>
      </c>
      <c r="D4" s="88">
        <f>D2+D3</f>
        <v>341312648.6675611</v>
      </c>
      <c r="E4" s="88">
        <f>D4-C4</f>
        <v>341312648.6675611</v>
      </c>
      <c r="F4" s="88">
        <f>F2+F3</f>
        <v>351168890.6494445</v>
      </c>
      <c r="G4" s="88">
        <f>F4-D4</f>
        <v>9856241.981883407</v>
      </c>
      <c r="H4" s="88">
        <f>H2+H3</f>
        <v>362785940.41383666</v>
      </c>
      <c r="I4" s="88">
        <f>H4-F4</f>
        <v>11617049.764392138</v>
      </c>
      <c r="J4" s="88">
        <f>J2+J3</f>
        <v>376499725.8538258</v>
      </c>
      <c r="K4" s="88">
        <f>J4-H4</f>
        <v>13713785.43998915</v>
      </c>
    </row>
    <row r="7" spans="1:11" ht="15">
      <c r="A7" t="s">
        <v>677</v>
      </c>
      <c r="B7" s="127"/>
      <c r="C7" s="127"/>
      <c r="D7" s="127"/>
      <c r="E7" s="126"/>
      <c r="F7" s="127"/>
      <c r="G7" s="126"/>
      <c r="H7" s="127"/>
      <c r="I7" s="126"/>
      <c r="J7" s="127"/>
      <c r="K7" s="126"/>
    </row>
  </sheetData>
  <sheetProtection/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11"/>
  <sheetViews>
    <sheetView zoomScalePageLayoutView="0" workbookViewId="0" topLeftCell="A4">
      <selection activeCell="A13" sqref="A13"/>
    </sheetView>
  </sheetViews>
  <sheetFormatPr defaultColWidth="9.140625" defaultRowHeight="15"/>
  <sheetData>
    <row r="3" ht="15">
      <c r="A3" t="s">
        <v>134</v>
      </c>
    </row>
    <row r="5" ht="15">
      <c r="A5" t="s">
        <v>135</v>
      </c>
    </row>
    <row r="7" ht="15">
      <c r="A7" t="s">
        <v>136</v>
      </c>
    </row>
    <row r="9" ht="15">
      <c r="A9" t="s">
        <v>137</v>
      </c>
    </row>
    <row r="11" ht="15">
      <c r="A1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5" sqref="C5"/>
    </sheetView>
  </sheetViews>
  <sheetFormatPr defaultColWidth="9.28125" defaultRowHeight="15"/>
  <cols>
    <col min="1" max="1" width="25.140625" style="0" bestFit="1" customWidth="1"/>
    <col min="2" max="2" width="17.7109375" style="0" customWidth="1"/>
    <col min="3" max="3" width="15.7109375" style="0" customWidth="1"/>
    <col min="4" max="5" width="21.8515625" style="0" customWidth="1"/>
    <col min="6" max="6" width="22.140625" style="0" customWidth="1"/>
    <col min="7" max="7" width="14.28125" style="0" customWidth="1"/>
    <col min="8" max="8" width="17.8515625" style="0" customWidth="1"/>
    <col min="9" max="9" width="15.421875" style="0" bestFit="1" customWidth="1"/>
    <col min="10" max="10" width="18.8515625" style="0" customWidth="1"/>
  </cols>
  <sheetData>
    <row r="1" spans="1:10" ht="30">
      <c r="A1" s="86" t="s">
        <v>47</v>
      </c>
      <c r="B1" s="86" t="s">
        <v>139</v>
      </c>
      <c r="C1" s="86" t="s">
        <v>140</v>
      </c>
      <c r="D1" s="86" t="s">
        <v>141</v>
      </c>
      <c r="E1" s="86" t="s">
        <v>142</v>
      </c>
      <c r="F1" s="86" t="s">
        <v>143</v>
      </c>
      <c r="G1" s="86" t="s">
        <v>196</v>
      </c>
      <c r="H1" s="86" t="s">
        <v>145</v>
      </c>
      <c r="I1" s="86" t="s">
        <v>197</v>
      </c>
      <c r="J1" s="86" t="s">
        <v>198</v>
      </c>
    </row>
    <row r="2" spans="1:10" ht="19.5" customHeight="1">
      <c r="A2" s="87" t="s">
        <v>678</v>
      </c>
      <c r="B2" s="128">
        <f>'Gross Assets Table'!B57</f>
        <v>584522673</v>
      </c>
      <c r="C2" s="128">
        <f>'Gross Assets Table'!C57</f>
        <v>581560964</v>
      </c>
      <c r="D2" s="88">
        <f>C2-B2</f>
        <v>-2961709</v>
      </c>
      <c r="E2" s="88">
        <f>'Gross Assets Table'!E57</f>
        <v>609651887.66</v>
      </c>
      <c r="F2" s="88">
        <f>E2-C2</f>
        <v>28090923.659999967</v>
      </c>
      <c r="G2" s="88">
        <f>'Gross Assets Table'!G57</f>
        <v>647244887.6599998</v>
      </c>
      <c r="H2" s="88">
        <f>G2-E2</f>
        <v>37592999.99999988</v>
      </c>
      <c r="I2" s="88">
        <f>'Gross Assets Table'!I57</f>
        <v>691236986.366149</v>
      </c>
      <c r="J2" s="88">
        <f>I2-G2</f>
        <v>43992098.7061491</v>
      </c>
    </row>
    <row r="3" spans="1:10" ht="19.5" customHeight="1">
      <c r="A3" s="87" t="s">
        <v>679</v>
      </c>
      <c r="B3" s="128">
        <f>'Accumulated Depreciation Table'!B57</f>
        <v>299272402.83</v>
      </c>
      <c r="C3" s="128">
        <f>'Accumulated Depreciation Table'!C57</f>
        <v>297186228.7014166</v>
      </c>
      <c r="D3" s="88">
        <f>C3-B3</f>
        <v>-2086174.1285833716</v>
      </c>
      <c r="E3" s="88">
        <f>'Accumulated Depreciation Table'!E57</f>
        <v>312468399.71591663</v>
      </c>
      <c r="F3" s="88">
        <f>E3-C3</f>
        <v>15282171.014500022</v>
      </c>
      <c r="G3" s="88">
        <f>'Accumulated Depreciation Table'!G57</f>
        <v>339826078.2986323</v>
      </c>
      <c r="H3" s="88">
        <f>G3-E3</f>
        <v>27357678.58271569</v>
      </c>
      <c r="I3" s="88">
        <f>'Accumulated Depreciation Table'!I57</f>
        <v>368608680.51102716</v>
      </c>
      <c r="J3" s="88">
        <f>I3-G3</f>
        <v>28782602.212394834</v>
      </c>
    </row>
    <row r="4" spans="1:10" ht="19.5" customHeight="1">
      <c r="A4" s="87" t="s">
        <v>50</v>
      </c>
      <c r="B4" s="128">
        <f>B2-B3</f>
        <v>285250270.17</v>
      </c>
      <c r="C4" s="128">
        <f>C2-C3</f>
        <v>284374735.2985834</v>
      </c>
      <c r="D4" s="88"/>
      <c r="E4" s="128">
        <f>E2-E3</f>
        <v>297183487.94408333</v>
      </c>
      <c r="F4" s="128"/>
      <c r="G4" s="128">
        <f>G2-G3</f>
        <v>307418809.3613675</v>
      </c>
      <c r="H4" s="128"/>
      <c r="I4" s="128">
        <f>I2-I3</f>
        <v>322628305.8551218</v>
      </c>
      <c r="J4" s="128"/>
    </row>
    <row r="5" spans="1:10" ht="19.5" customHeight="1">
      <c r="A5" s="87" t="s">
        <v>680</v>
      </c>
      <c r="B5" s="128"/>
      <c r="C5" s="88"/>
      <c r="D5" s="88"/>
      <c r="E5" s="88">
        <f>(E4+C4)/2</f>
        <v>290779111.62133336</v>
      </c>
      <c r="F5" s="88"/>
      <c r="G5" s="88">
        <f>(G4+E4)/2</f>
        <v>302301148.65272546</v>
      </c>
      <c r="H5" s="88"/>
      <c r="I5" s="88">
        <f>(I4+G4)/2</f>
        <v>315023557.60824466</v>
      </c>
      <c r="J5" s="88"/>
    </row>
    <row r="6" spans="1:10" ht="19.5" customHeight="1">
      <c r="A6" s="87" t="s">
        <v>681</v>
      </c>
      <c r="B6" s="128"/>
      <c r="C6" s="88">
        <f>(SUM('2002-2011 TB'!$K$329:$K$351)+SUM('2002-2011 TB'!$K$352:$K$367)+SUM('2002-2011 TB'!$K$377:$K$384)+SUM('2002-2011 TB'!$K$385:$K$393)+SUM('2002-2011 TB'!$K$394:$K$411)+'2002-2011 TB'!$K$430+SUM('2002-2011 TB'!$K$298:$K$308)-C10)</f>
        <v>415193182.03999996</v>
      </c>
      <c r="D6" s="88"/>
      <c r="E6" s="88">
        <f>(SUM('2002-2011 TB'!$L$329:$L$351)+SUM('2002-2011 TB'!$L$352:$L$367)+SUM('2002-2011 TB'!$L$377:$L$384)+SUM('2002-2011 TB'!$L$385:$L$393)+SUM('2002-2011 TB'!$L$394:$L$411)+'2002-2011 TB'!$L$430+SUM('2002-2011 TB'!$L$298:$L$308)-E10)</f>
        <v>402598526.8600001</v>
      </c>
      <c r="F6" s="88"/>
      <c r="G6" s="88">
        <f>(SUM('2002-2011 TB'!$M$329:$M$351)+SUM('2002-2011 TB'!$M$352:$M$367)+SUM('2002-2011 TB'!$M$377:$M$384)+SUM('2002-2011 TB'!$M$385:$M$393)+SUM('2002-2011 TB'!$M$394:$M$411)+'2002-2011 TB'!$M$430+SUM('2002-2011 TB'!$M$298:$M$308)-G10)</f>
        <v>403231945.08000004</v>
      </c>
      <c r="H6" s="88"/>
      <c r="I6" s="88">
        <f>(SUM('2002-2011 TB'!$N$329:$N$351)+SUM('2002-2011 TB'!$N$352:$N$367)+SUM('2002-2011 TB'!$N$377:$N$384)+SUM('2002-2011 TB'!$N$385:$N$393)+SUM('2002-2011 TB'!$N$394:$N$411)+'2002-2011 TB'!$N$430+SUM('2002-2011 TB'!$N$298:$N$308)-I10)</f>
        <v>409841121.6431333</v>
      </c>
      <c r="J6" s="88"/>
    </row>
    <row r="7" spans="1:10" ht="19.5" customHeight="1">
      <c r="A7" s="87" t="s">
        <v>201</v>
      </c>
      <c r="B7" s="128">
        <f>'Summary of Rate Base'!C3</f>
        <v>0</v>
      </c>
      <c r="C7" s="88">
        <f>'Summary of Rate Base'!D3</f>
        <v>62278977.305999994</v>
      </c>
      <c r="D7" s="88"/>
      <c r="E7" s="88">
        <f>'Summary of Rate Base'!F3</f>
        <v>60389779.02900001</v>
      </c>
      <c r="F7" s="88"/>
      <c r="G7" s="88">
        <f>'Summary of Rate Base'!H3</f>
        <v>60484791.762</v>
      </c>
      <c r="H7" s="88"/>
      <c r="I7" s="88">
        <f>'Summary of Rate Base'!J3</f>
        <v>61476168.24646999</v>
      </c>
      <c r="J7" s="88"/>
    </row>
    <row r="8" spans="1:10" ht="19.5" customHeight="1">
      <c r="A8" s="87" t="s">
        <v>682</v>
      </c>
      <c r="B8" s="128">
        <f>'Summary of Rate Base'!C4</f>
        <v>0</v>
      </c>
      <c r="C8" s="128">
        <f>'Summary of Rate Base'!D4</f>
        <v>341312648.6675611</v>
      </c>
      <c r="D8" s="88"/>
      <c r="E8" s="88">
        <f>'Summary of Rate Base'!F4</f>
        <v>351168890.6494445</v>
      </c>
      <c r="F8" s="88"/>
      <c r="G8" s="88">
        <f>'Summary of Rate Base'!H4</f>
        <v>362785940.41383666</v>
      </c>
      <c r="H8" s="88"/>
      <c r="I8" s="88">
        <f>'Summary of Rate Base'!J4</f>
        <v>376499725.8538258</v>
      </c>
      <c r="J8" s="88"/>
    </row>
    <row r="11" spans="1:10" ht="15">
      <c r="A11" t="s">
        <v>677</v>
      </c>
      <c r="B11" s="127"/>
      <c r="C11" s="127"/>
      <c r="D11" s="126"/>
      <c r="E11" s="127"/>
      <c r="F11" s="126"/>
      <c r="G11" s="127"/>
      <c r="H11" s="126"/>
      <c r="I11" s="127"/>
      <c r="J11" s="126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9" sqref="B59"/>
    </sheetView>
  </sheetViews>
  <sheetFormatPr defaultColWidth="9.140625" defaultRowHeight="15"/>
  <cols>
    <col min="1" max="1" width="39.8515625" style="0" bestFit="1" customWidth="1"/>
    <col min="2" max="2" width="13.7109375" style="0" customWidth="1"/>
    <col min="3" max="3" width="14.7109375" style="0" customWidth="1"/>
    <col min="4" max="4" width="15.57421875" style="0" customWidth="1"/>
    <col min="5" max="5" width="15.140625" style="0" customWidth="1"/>
    <col min="6" max="6" width="14.28125" style="0" customWidth="1"/>
    <col min="7" max="7" width="19.7109375" style="0" customWidth="1"/>
    <col min="8" max="8" width="16.8515625" style="0" customWidth="1"/>
    <col min="9" max="9" width="18.57421875" style="0" customWidth="1"/>
    <col min="10" max="10" width="17.00390625" style="0" customWidth="1"/>
  </cols>
  <sheetData>
    <row r="1" spans="1:10" s="13" customFormat="1" ht="45">
      <c r="A1" s="86" t="s">
        <v>47</v>
      </c>
      <c r="B1" s="86" t="s">
        <v>139</v>
      </c>
      <c r="C1" s="86" t="s">
        <v>140</v>
      </c>
      <c r="D1" s="86" t="s">
        <v>141</v>
      </c>
      <c r="E1" s="86" t="s">
        <v>142</v>
      </c>
      <c r="F1" s="86" t="s">
        <v>143</v>
      </c>
      <c r="G1" s="86" t="s">
        <v>196</v>
      </c>
      <c r="H1" s="86" t="s">
        <v>145</v>
      </c>
      <c r="I1" s="86" t="s">
        <v>197</v>
      </c>
      <c r="J1" s="86" t="s">
        <v>198</v>
      </c>
    </row>
    <row r="2" spans="1:13" ht="15">
      <c r="A2" s="83" t="s">
        <v>148</v>
      </c>
      <c r="B2" s="133"/>
      <c r="C2" s="133"/>
      <c r="D2" s="133"/>
      <c r="E2" s="133"/>
      <c r="F2" s="133"/>
      <c r="G2" s="133"/>
      <c r="H2" s="133"/>
      <c r="I2" s="133"/>
      <c r="J2" s="133"/>
      <c r="K2" s="84"/>
      <c r="L2" s="84"/>
      <c r="M2" s="84"/>
    </row>
    <row r="3" spans="1:13" ht="15">
      <c r="A3" s="87" t="s">
        <v>149</v>
      </c>
      <c r="B3" s="129">
        <v>415141</v>
      </c>
      <c r="C3" s="129">
        <f>'2008 FA Continuity'!I7</f>
        <v>414741.45</v>
      </c>
      <c r="D3" s="129">
        <f aca="true" t="shared" si="0" ref="D3:D8">C3-B3</f>
        <v>-399.54999999998836</v>
      </c>
      <c r="E3" s="129">
        <f>'2009 FA Continuity'!I7</f>
        <v>414741.45</v>
      </c>
      <c r="F3" s="129">
        <f>E3-C3</f>
        <v>0</v>
      </c>
      <c r="G3" s="129">
        <f>'2010 FA Continuity'!I7</f>
        <v>414741.45</v>
      </c>
      <c r="H3" s="129">
        <f>G3-E3</f>
        <v>0</v>
      </c>
      <c r="I3" s="129">
        <f>'2011 FA Continuity'!I7</f>
        <v>414741.45</v>
      </c>
      <c r="J3" s="129">
        <f>I3-G3</f>
        <v>0</v>
      </c>
      <c r="K3" s="84"/>
      <c r="L3" s="84"/>
      <c r="M3" s="84"/>
    </row>
    <row r="4" spans="1:13" ht="15">
      <c r="A4" s="87" t="s">
        <v>150</v>
      </c>
      <c r="B4" s="129">
        <v>0</v>
      </c>
      <c r="C4" s="129"/>
      <c r="D4" s="129">
        <f t="shared" si="0"/>
        <v>0</v>
      </c>
      <c r="E4" s="129"/>
      <c r="F4" s="129">
        <f aca="true" t="shared" si="1" ref="F4:J8">E4-C4</f>
        <v>0</v>
      </c>
      <c r="G4" s="129"/>
      <c r="H4" s="129">
        <f t="shared" si="1"/>
        <v>0</v>
      </c>
      <c r="I4" s="129"/>
      <c r="J4" s="129">
        <f t="shared" si="1"/>
        <v>0</v>
      </c>
      <c r="K4" s="84"/>
      <c r="L4" s="84"/>
      <c r="M4" s="84"/>
    </row>
    <row r="5" spans="1:13" ht="15">
      <c r="A5" s="87" t="s">
        <v>151</v>
      </c>
      <c r="B5" s="129">
        <v>2359298</v>
      </c>
      <c r="C5" s="129">
        <f>'2008 FA Continuity'!I8+'2008 FA Continuity'!I6</f>
        <v>2134567.23</v>
      </c>
      <c r="D5" s="129">
        <f t="shared" si="0"/>
        <v>-224730.77000000002</v>
      </c>
      <c r="E5" s="129">
        <f>'2009 FA Continuity'!I8+'2009 FA Continuity'!I6</f>
        <v>2138307.23</v>
      </c>
      <c r="F5" s="129">
        <f t="shared" si="1"/>
        <v>3740</v>
      </c>
      <c r="G5" s="129">
        <f>'2010 FA Continuity'!I8+'2010 FA Continuity'!I6</f>
        <v>2138307.23</v>
      </c>
      <c r="H5" s="129">
        <f t="shared" si="1"/>
        <v>0</v>
      </c>
      <c r="I5" s="129">
        <f>'2011 FA Continuity'!I8+'2011 FA Continuity'!I6</f>
        <v>2138307.23</v>
      </c>
      <c r="J5" s="129">
        <f t="shared" si="1"/>
        <v>0</v>
      </c>
      <c r="K5" s="84"/>
      <c r="L5" s="84"/>
      <c r="M5" s="84"/>
    </row>
    <row r="6" spans="1:13" ht="15">
      <c r="A6" s="87" t="s">
        <v>152</v>
      </c>
      <c r="B6" s="129">
        <v>1078176</v>
      </c>
      <c r="C6" s="129">
        <f>'2008 FA Continuity'!I19</f>
        <v>1067629.4100000001</v>
      </c>
      <c r="D6" s="129">
        <f t="shared" si="0"/>
        <v>-10546.589999999851</v>
      </c>
      <c r="E6" s="129">
        <f>'2009 FA Continuity'!I19</f>
        <v>1067629.4100000001</v>
      </c>
      <c r="F6" s="129">
        <f t="shared" si="1"/>
        <v>0</v>
      </c>
      <c r="G6" s="129">
        <f>'2010 FA Continuity'!I19</f>
        <v>1067629.4100000001</v>
      </c>
      <c r="H6" s="129">
        <f t="shared" si="1"/>
        <v>0</v>
      </c>
      <c r="I6" s="129">
        <f>'2011 FA Continuity'!I19</f>
        <v>1067629.4100000001</v>
      </c>
      <c r="J6" s="129">
        <f t="shared" si="1"/>
        <v>0</v>
      </c>
      <c r="K6" s="84"/>
      <c r="L6" s="84"/>
      <c r="M6" s="84"/>
    </row>
    <row r="7" spans="1:13" ht="15">
      <c r="A7" s="87" t="s">
        <v>153</v>
      </c>
      <c r="B7" s="129">
        <v>168877</v>
      </c>
      <c r="C7" s="129">
        <f>'2008 FA Continuity'!I20</f>
        <v>162636.38</v>
      </c>
      <c r="D7" s="129">
        <f t="shared" si="0"/>
        <v>-6240.619999999995</v>
      </c>
      <c r="E7" s="129">
        <f>'2009 FA Continuity'!I20</f>
        <v>162636.38</v>
      </c>
      <c r="F7" s="129">
        <f t="shared" si="1"/>
        <v>0</v>
      </c>
      <c r="G7" s="129">
        <f>'2010 FA Continuity'!I20</f>
        <v>162636.38</v>
      </c>
      <c r="H7" s="129">
        <f t="shared" si="1"/>
        <v>0</v>
      </c>
      <c r="I7" s="129">
        <f>'2011 FA Continuity'!I20</f>
        <v>162636.38</v>
      </c>
      <c r="J7" s="129">
        <f t="shared" si="1"/>
        <v>0</v>
      </c>
      <c r="K7" s="84"/>
      <c r="L7" s="84"/>
      <c r="M7" s="84"/>
    </row>
    <row r="8" spans="1:13" ht="15">
      <c r="A8" s="87" t="s">
        <v>154</v>
      </c>
      <c r="B8" s="129">
        <v>20886</v>
      </c>
      <c r="C8" s="129">
        <f>'2008 FA Continuity'!I9</f>
        <v>20885.65</v>
      </c>
      <c r="D8" s="129">
        <f t="shared" si="0"/>
        <v>-0.3499999999985448</v>
      </c>
      <c r="E8" s="129">
        <f>'2009 FA Continuity'!I9</f>
        <v>20885.65</v>
      </c>
      <c r="F8" s="129">
        <f t="shared" si="1"/>
        <v>0</v>
      </c>
      <c r="G8" s="129">
        <f>'2010 FA Continuity'!I9</f>
        <v>20885.65</v>
      </c>
      <c r="H8" s="129">
        <f t="shared" si="1"/>
        <v>0</v>
      </c>
      <c r="I8" s="129">
        <f>'2011 FA Continuity'!I9</f>
        <v>20885.65</v>
      </c>
      <c r="J8" s="129">
        <f t="shared" si="1"/>
        <v>0</v>
      </c>
      <c r="K8" s="84"/>
      <c r="L8" s="84"/>
      <c r="M8" s="84"/>
    </row>
    <row r="9" spans="1:13" ht="15">
      <c r="A9" s="46" t="s">
        <v>155</v>
      </c>
      <c r="B9" s="134">
        <f>SUM(B3:B8)</f>
        <v>4042378</v>
      </c>
      <c r="C9" s="134">
        <f aca="true" t="shared" si="2" ref="C9:J9">SUM(C3:C8)</f>
        <v>3800460.12</v>
      </c>
      <c r="D9" s="134">
        <f t="shared" si="2"/>
        <v>-241917.87999999986</v>
      </c>
      <c r="E9" s="134">
        <f t="shared" si="2"/>
        <v>3804200.12</v>
      </c>
      <c r="F9" s="134">
        <f t="shared" si="2"/>
        <v>3740</v>
      </c>
      <c r="G9" s="134">
        <f t="shared" si="2"/>
        <v>3804200.12</v>
      </c>
      <c r="H9" s="134">
        <f t="shared" si="2"/>
        <v>0</v>
      </c>
      <c r="I9" s="134">
        <f t="shared" si="2"/>
        <v>3804200.12</v>
      </c>
      <c r="J9" s="134">
        <f t="shared" si="2"/>
        <v>0</v>
      </c>
      <c r="K9" s="84"/>
      <c r="L9" s="84"/>
      <c r="M9" s="84"/>
    </row>
    <row r="10" spans="2:13" ht="15">
      <c r="B10" s="133"/>
      <c r="C10" s="133"/>
      <c r="D10" s="133"/>
      <c r="E10" s="133"/>
      <c r="F10" s="133"/>
      <c r="G10" s="133"/>
      <c r="H10" s="133"/>
      <c r="I10" s="133"/>
      <c r="J10" s="133"/>
      <c r="K10" s="84"/>
      <c r="L10" s="84"/>
      <c r="M10" s="84"/>
    </row>
    <row r="11" spans="1:13" ht="15">
      <c r="A11" s="83" t="s">
        <v>156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84"/>
      <c r="L11" s="84"/>
      <c r="M11" s="84"/>
    </row>
    <row r="12" spans="1:13" ht="15">
      <c r="A12" s="87" t="s">
        <v>157</v>
      </c>
      <c r="B12" s="129">
        <v>11474617</v>
      </c>
      <c r="C12" s="129">
        <f>'2008 FA Continuity'!I10</f>
        <v>11467932.620000001</v>
      </c>
      <c r="D12" s="129">
        <f>C12-B12</f>
        <v>-6684.379999998957</v>
      </c>
      <c r="E12" s="129">
        <f>'2009 FA Continuity'!I10</f>
        <v>11774640.47</v>
      </c>
      <c r="F12" s="129">
        <f>E12-C12</f>
        <v>306707.8499999996</v>
      </c>
      <c r="G12" s="129">
        <f>'2010 FA Continuity'!I10</f>
        <v>11774640.47</v>
      </c>
      <c r="H12" s="129">
        <f>G12-E12</f>
        <v>0</v>
      </c>
      <c r="I12" s="129">
        <f>'2011 FA Continuity'!I10</f>
        <v>11774640.47</v>
      </c>
      <c r="J12" s="129">
        <f>I12-G12</f>
        <v>0</v>
      </c>
      <c r="K12" s="84"/>
      <c r="L12" s="84"/>
      <c r="M12" s="84"/>
    </row>
    <row r="13" spans="1:13" ht="15">
      <c r="A13" s="46" t="s">
        <v>158</v>
      </c>
      <c r="B13" s="134">
        <f>SUM(B12)</f>
        <v>11474617</v>
      </c>
      <c r="C13" s="134">
        <f aca="true" t="shared" si="3" ref="C13:J13">SUM(C12)</f>
        <v>11467932.620000001</v>
      </c>
      <c r="D13" s="134">
        <f t="shared" si="3"/>
        <v>-6684.379999998957</v>
      </c>
      <c r="E13" s="134">
        <f t="shared" si="3"/>
        <v>11774640.47</v>
      </c>
      <c r="F13" s="134">
        <f t="shared" si="3"/>
        <v>306707.8499999996</v>
      </c>
      <c r="G13" s="134">
        <f t="shared" si="3"/>
        <v>11774640.47</v>
      </c>
      <c r="H13" s="134">
        <f t="shared" si="3"/>
        <v>0</v>
      </c>
      <c r="I13" s="134">
        <f t="shared" si="3"/>
        <v>11774640.47</v>
      </c>
      <c r="J13" s="134">
        <f t="shared" si="3"/>
        <v>0</v>
      </c>
      <c r="K13" s="84"/>
      <c r="L13" s="84"/>
      <c r="M13" s="84"/>
    </row>
    <row r="14" spans="2:13" ht="15">
      <c r="B14" s="133"/>
      <c r="C14" s="133"/>
      <c r="D14" s="133"/>
      <c r="E14" s="133"/>
      <c r="F14" s="133"/>
      <c r="G14" s="133"/>
      <c r="H14" s="133"/>
      <c r="I14" s="133"/>
      <c r="J14" s="133"/>
      <c r="K14" s="84"/>
      <c r="L14" s="84"/>
      <c r="M14" s="84"/>
    </row>
    <row r="15" spans="1:13" ht="15">
      <c r="A15" s="83" t="s">
        <v>159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84"/>
      <c r="L15" s="84"/>
      <c r="M15" s="84"/>
    </row>
    <row r="16" spans="1:13" ht="15">
      <c r="A16" s="87" t="s">
        <v>160</v>
      </c>
      <c r="B16" s="129">
        <v>65768422</v>
      </c>
      <c r="C16" s="129">
        <f>'2008 FA Continuity'!I11</f>
        <v>63112003.9</v>
      </c>
      <c r="D16" s="129">
        <f>C16-B16</f>
        <v>-2656418.1000000015</v>
      </c>
      <c r="E16" s="129">
        <f>'2009 FA Continuity'!I11</f>
        <v>69899086.42999999</v>
      </c>
      <c r="F16" s="129">
        <f aca="true" t="shared" si="4" ref="F16:J19">E16-C16</f>
        <v>6787082.529999994</v>
      </c>
      <c r="G16" s="129">
        <f>'2010 FA Continuity'!I11</f>
        <v>78487675.89999999</v>
      </c>
      <c r="H16" s="129">
        <f t="shared" si="4"/>
        <v>8588589.469999999</v>
      </c>
      <c r="I16" s="129">
        <f>'2011 FA Continuity'!I11</f>
        <v>88308742.61512023</v>
      </c>
      <c r="J16" s="129">
        <f t="shared" si="4"/>
        <v>9821066.715120241</v>
      </c>
      <c r="K16" s="84"/>
      <c r="L16" s="84"/>
      <c r="M16" s="84"/>
    </row>
    <row r="17" spans="1:13" ht="15">
      <c r="A17" s="87" t="s">
        <v>161</v>
      </c>
      <c r="B17" s="129">
        <v>67354036</v>
      </c>
      <c r="C17" s="129">
        <f>'2008 FA Continuity'!I12</f>
        <v>68013627.05999999</v>
      </c>
      <c r="D17" s="129">
        <f>C17-B17</f>
        <v>659591.0599999875</v>
      </c>
      <c r="E17" s="129">
        <f>'2009 FA Continuity'!I12</f>
        <v>71233394.75999999</v>
      </c>
      <c r="F17" s="129">
        <f t="shared" si="4"/>
        <v>3219767.700000003</v>
      </c>
      <c r="G17" s="129">
        <f>'2010 FA Continuity'!I12</f>
        <v>76510321.66999999</v>
      </c>
      <c r="H17" s="129">
        <f t="shared" si="4"/>
        <v>5276926.909999996</v>
      </c>
      <c r="I17" s="129">
        <f>'2011 FA Continuity'!I12</f>
        <v>81805324.24427009</v>
      </c>
      <c r="J17" s="129">
        <f t="shared" si="4"/>
        <v>5295002.574270099</v>
      </c>
      <c r="K17" s="84"/>
      <c r="L17" s="84"/>
      <c r="M17" s="84"/>
    </row>
    <row r="18" spans="1:13" ht="15">
      <c r="A18" s="87" t="s">
        <v>162</v>
      </c>
      <c r="B18" s="129">
        <v>111951614</v>
      </c>
      <c r="C18" s="129">
        <f>'2008 FA Continuity'!I13</f>
        <v>110741757.43</v>
      </c>
      <c r="D18" s="129">
        <f>C18-B18</f>
        <v>-1209856.5699999928</v>
      </c>
      <c r="E18" s="129">
        <f>'2009 FA Continuity'!I13</f>
        <v>115114231.17</v>
      </c>
      <c r="F18" s="129">
        <f t="shared" si="4"/>
        <v>4372473.739999995</v>
      </c>
      <c r="G18" s="129">
        <f>'2010 FA Continuity'!I13</f>
        <v>120312759.1</v>
      </c>
      <c r="H18" s="129">
        <f t="shared" si="4"/>
        <v>5198527.929999992</v>
      </c>
      <c r="I18" s="129">
        <f>'2011 FA Continuity'!I13</f>
        <v>126064584.05135652</v>
      </c>
      <c r="J18" s="129">
        <f t="shared" si="4"/>
        <v>5751824.95135653</v>
      </c>
      <c r="K18" s="84"/>
      <c r="L18" s="84"/>
      <c r="M18" s="84"/>
    </row>
    <row r="19" spans="1:13" ht="15">
      <c r="A19" s="87" t="s">
        <v>163</v>
      </c>
      <c r="B19" s="129">
        <v>110613979</v>
      </c>
      <c r="C19" s="129">
        <f>'2008 FA Continuity'!I14</f>
        <v>111676205.68</v>
      </c>
      <c r="D19" s="129">
        <f>C19-B19</f>
        <v>1062226.6800000072</v>
      </c>
      <c r="E19" s="129">
        <f>'2009 FA Continuity'!I14</f>
        <v>117085475.74000001</v>
      </c>
      <c r="F19" s="129">
        <f t="shared" si="4"/>
        <v>5409270.060000002</v>
      </c>
      <c r="G19" s="129">
        <f>'2010 FA Continuity'!I14</f>
        <v>124874594.18</v>
      </c>
      <c r="H19" s="129">
        <f t="shared" si="4"/>
        <v>7789118.439999998</v>
      </c>
      <c r="I19" s="129">
        <f>'2011 FA Continuity'!I14</f>
        <v>131962441.82158467</v>
      </c>
      <c r="J19" s="129">
        <f t="shared" si="4"/>
        <v>7087847.641584665</v>
      </c>
      <c r="K19" s="84"/>
      <c r="L19" s="84"/>
      <c r="M19" s="84"/>
    </row>
    <row r="20" spans="1:13" ht="15">
      <c r="A20" s="46" t="s">
        <v>164</v>
      </c>
      <c r="B20" s="134">
        <f>SUM(B16:B19)</f>
        <v>355688051</v>
      </c>
      <c r="C20" s="134">
        <f aca="true" t="shared" si="5" ref="C20:J20">SUM(C16:C19)</f>
        <v>353543594.07</v>
      </c>
      <c r="D20" s="134">
        <f t="shared" si="5"/>
        <v>-2144456.9299999997</v>
      </c>
      <c r="E20" s="134">
        <f t="shared" si="5"/>
        <v>373332188.1</v>
      </c>
      <c r="F20" s="134">
        <f t="shared" si="5"/>
        <v>19788594.029999994</v>
      </c>
      <c r="G20" s="134">
        <f t="shared" si="5"/>
        <v>400185350.84999996</v>
      </c>
      <c r="H20" s="134">
        <f t="shared" si="5"/>
        <v>26853162.749999985</v>
      </c>
      <c r="I20" s="134">
        <f t="shared" si="5"/>
        <v>428141092.7323315</v>
      </c>
      <c r="J20" s="134">
        <f t="shared" si="5"/>
        <v>27955741.882331535</v>
      </c>
      <c r="K20" s="84"/>
      <c r="L20" s="84"/>
      <c r="M20" s="84"/>
    </row>
    <row r="21" spans="2:13" ht="15">
      <c r="B21" s="133"/>
      <c r="C21" s="133"/>
      <c r="D21" s="133"/>
      <c r="E21" s="133"/>
      <c r="F21" s="133"/>
      <c r="G21" s="133"/>
      <c r="H21" s="133"/>
      <c r="I21" s="133"/>
      <c r="J21" s="133"/>
      <c r="K21" s="84"/>
      <c r="L21" s="84"/>
      <c r="M21" s="84"/>
    </row>
    <row r="22" spans="1:13" ht="15">
      <c r="A22" s="83" t="s">
        <v>13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84"/>
      <c r="L22" s="84"/>
      <c r="M22" s="84"/>
    </row>
    <row r="23" spans="1:13" ht="15">
      <c r="A23" s="87" t="s">
        <v>165</v>
      </c>
      <c r="B23" s="129">
        <v>91833378</v>
      </c>
      <c r="C23" s="129">
        <f>'2008 FA Continuity'!I15</f>
        <v>88428293.99</v>
      </c>
      <c r="D23" s="129">
        <f>C23-B23</f>
        <v>-3405084.0100000054</v>
      </c>
      <c r="E23" s="129">
        <f>'2009 FA Continuity'!I15</f>
        <v>96118395.80999999</v>
      </c>
      <c r="F23" s="129">
        <f>E23-C23</f>
        <v>7690101.819999993</v>
      </c>
      <c r="G23" s="129">
        <f>'2010 FA Continuity'!I15</f>
        <v>101128941.27999999</v>
      </c>
      <c r="H23" s="129">
        <f>G23-E23</f>
        <v>5010545.469999999</v>
      </c>
      <c r="I23" s="129">
        <f>'2011 FA Continuity'!I15</f>
        <v>108173654.17766844</v>
      </c>
      <c r="J23" s="129">
        <f>I23-G23</f>
        <v>7044712.897668451</v>
      </c>
      <c r="K23" s="84"/>
      <c r="L23" s="84"/>
      <c r="M23" s="84"/>
    </row>
    <row r="24" spans="1:13" ht="15">
      <c r="A24" s="46" t="s">
        <v>191</v>
      </c>
      <c r="B24" s="134">
        <f>B23</f>
        <v>91833378</v>
      </c>
      <c r="C24" s="134">
        <f aca="true" t="shared" si="6" ref="C24:J24">C23</f>
        <v>88428293.99</v>
      </c>
      <c r="D24" s="134">
        <f t="shared" si="6"/>
        <v>-3405084.0100000054</v>
      </c>
      <c r="E24" s="134">
        <f t="shared" si="6"/>
        <v>96118395.80999999</v>
      </c>
      <c r="F24" s="134">
        <f t="shared" si="6"/>
        <v>7690101.819999993</v>
      </c>
      <c r="G24" s="134">
        <f t="shared" si="6"/>
        <v>101128941.27999999</v>
      </c>
      <c r="H24" s="134">
        <f t="shared" si="6"/>
        <v>5010545.469999999</v>
      </c>
      <c r="I24" s="134">
        <f t="shared" si="6"/>
        <v>108173654.17766844</v>
      </c>
      <c r="J24" s="134">
        <f t="shared" si="6"/>
        <v>7044712.897668451</v>
      </c>
      <c r="K24" s="84"/>
      <c r="L24" s="84"/>
      <c r="M24" s="84"/>
    </row>
    <row r="25" spans="2:13" ht="15">
      <c r="B25" s="133"/>
      <c r="C25" s="133"/>
      <c r="D25" s="133"/>
      <c r="E25" s="133"/>
      <c r="F25" s="133"/>
      <c r="G25" s="133"/>
      <c r="H25" s="133"/>
      <c r="I25" s="133"/>
      <c r="J25" s="133"/>
      <c r="K25" s="84"/>
      <c r="L25" s="84"/>
      <c r="M25" s="84"/>
    </row>
    <row r="26" spans="1:13" ht="15">
      <c r="A26" s="83" t="s">
        <v>166</v>
      </c>
      <c r="B26" s="133"/>
      <c r="C26" s="133"/>
      <c r="D26" s="133"/>
      <c r="E26" s="133"/>
      <c r="F26" s="133"/>
      <c r="G26" s="133"/>
      <c r="H26" s="133"/>
      <c r="I26" s="133"/>
      <c r="J26" s="133"/>
      <c r="K26" s="84"/>
      <c r="L26" s="84"/>
      <c r="M26" s="84"/>
    </row>
    <row r="27" spans="1:13" ht="15">
      <c r="A27" s="87" t="s">
        <v>167</v>
      </c>
      <c r="B27" s="129">
        <f>21494521-200000-109996</f>
        <v>21184525</v>
      </c>
      <c r="C27" s="129">
        <f>'2008 FA Continuity'!I16</f>
        <v>22420495.07</v>
      </c>
      <c r="D27" s="129">
        <f>C27-B27</f>
        <v>1235970.0700000003</v>
      </c>
      <c r="E27" s="129">
        <f>'2009 FA Continuity'!I16</f>
        <v>24184344.55</v>
      </c>
      <c r="F27" s="129">
        <f aca="true" t="shared" si="7" ref="F27:J28">E27-C27</f>
        <v>1763849.4800000004</v>
      </c>
      <c r="G27" s="129">
        <f>'2010 FA Continuity'!I16</f>
        <v>24651203.66</v>
      </c>
      <c r="H27" s="129">
        <f t="shared" si="7"/>
        <v>466859.1099999994</v>
      </c>
      <c r="I27" s="129">
        <f>'2011 FA Continuity'!I16</f>
        <v>25352707.53918814</v>
      </c>
      <c r="J27" s="129">
        <f t="shared" si="7"/>
        <v>701503.879188139</v>
      </c>
      <c r="K27" s="84"/>
      <c r="L27" s="84"/>
      <c r="M27" s="84"/>
    </row>
    <row r="28" spans="1:13" ht="15">
      <c r="A28" s="87" t="s">
        <v>168</v>
      </c>
      <c r="B28" s="129">
        <v>34871562</v>
      </c>
      <c r="C28" s="129">
        <f>'2008 FA Continuity'!I17</f>
        <v>37307964.19</v>
      </c>
      <c r="D28" s="129">
        <f>C28-B28</f>
        <v>2436402.1899999976</v>
      </c>
      <c r="E28" s="129">
        <f>'2009 FA Continuity'!I17</f>
        <v>37819862.01</v>
      </c>
      <c r="F28" s="129">
        <f t="shared" si="7"/>
        <v>511897.8200000003</v>
      </c>
      <c r="G28" s="129">
        <f>'2010 FA Continuity'!I17</f>
        <v>39556180.769999996</v>
      </c>
      <c r="H28" s="129">
        <f t="shared" si="7"/>
        <v>1736318.759999998</v>
      </c>
      <c r="I28" s="129">
        <f>'2011 FA Continuity'!I17</f>
        <v>40681615.15227345</v>
      </c>
      <c r="J28" s="129">
        <f t="shared" si="7"/>
        <v>1125434.3822734505</v>
      </c>
      <c r="K28" s="84"/>
      <c r="L28" s="84"/>
      <c r="M28" s="84"/>
    </row>
    <row r="29" spans="1:13" ht="15">
      <c r="A29" s="46" t="s">
        <v>169</v>
      </c>
      <c r="B29" s="134">
        <f>SUM(B27:B28)</f>
        <v>56056087</v>
      </c>
      <c r="C29" s="134">
        <f aca="true" t="shared" si="8" ref="C29:J29">SUM(C27:C28)</f>
        <v>59728459.26</v>
      </c>
      <c r="D29" s="134">
        <f t="shared" si="8"/>
        <v>3672372.259999998</v>
      </c>
      <c r="E29" s="134">
        <f t="shared" si="8"/>
        <v>62004206.56</v>
      </c>
      <c r="F29" s="134">
        <f t="shared" si="8"/>
        <v>2275747.3000000007</v>
      </c>
      <c r="G29" s="134">
        <f t="shared" si="8"/>
        <v>64207384.42999999</v>
      </c>
      <c r="H29" s="134">
        <f t="shared" si="8"/>
        <v>2203177.8699999973</v>
      </c>
      <c r="I29" s="134">
        <f t="shared" si="8"/>
        <v>66034322.691461585</v>
      </c>
      <c r="J29" s="134">
        <f t="shared" si="8"/>
        <v>1826938.2614615895</v>
      </c>
      <c r="K29" s="84"/>
      <c r="L29" s="84"/>
      <c r="M29" s="84"/>
    </row>
    <row r="30" spans="2:13" ht="15">
      <c r="B30" s="133"/>
      <c r="C30" s="133"/>
      <c r="D30" s="133"/>
      <c r="E30" s="133"/>
      <c r="F30" s="133"/>
      <c r="G30" s="133"/>
      <c r="H30" s="133"/>
      <c r="I30" s="133"/>
      <c r="J30" s="133"/>
      <c r="K30" s="84"/>
      <c r="L30" s="84"/>
      <c r="M30" s="84"/>
    </row>
    <row r="31" spans="1:13" ht="15">
      <c r="A31" s="83" t="s">
        <v>170</v>
      </c>
      <c r="B31" s="133"/>
      <c r="C31" s="133"/>
      <c r="D31" s="133"/>
      <c r="E31" s="133"/>
      <c r="F31" s="133"/>
      <c r="G31" s="133"/>
      <c r="H31" s="133"/>
      <c r="I31" s="133"/>
      <c r="J31" s="133"/>
      <c r="K31" s="84"/>
      <c r="L31" s="84"/>
      <c r="M31" s="84"/>
    </row>
    <row r="32" spans="1:13" ht="15">
      <c r="A32" s="87" t="s">
        <v>171</v>
      </c>
      <c r="B32" s="129">
        <v>26828779</v>
      </c>
      <c r="C32" s="129">
        <f>'2008 FA Continuity'!I21</f>
        <v>27354034.86</v>
      </c>
      <c r="D32" s="129">
        <f>C32-B32</f>
        <v>525255.8599999994</v>
      </c>
      <c r="E32" s="129">
        <f>'2009 FA Continuity'!I21</f>
        <v>27974291.61</v>
      </c>
      <c r="F32" s="129">
        <f>E32-C32</f>
        <v>620256.75</v>
      </c>
      <c r="G32" s="129">
        <f>'2010 FA Continuity'!I21</f>
        <v>28481791.61</v>
      </c>
      <c r="H32" s="129">
        <f>G32-E32</f>
        <v>507500</v>
      </c>
      <c r="I32" s="129">
        <f>'2011 FA Continuity'!I21</f>
        <v>30022291.61</v>
      </c>
      <c r="J32" s="129">
        <f>I32-G32</f>
        <v>1540500</v>
      </c>
      <c r="K32" s="84"/>
      <c r="L32" s="84"/>
      <c r="M32" s="84"/>
    </row>
    <row r="33" spans="1:13" ht="15">
      <c r="A33" s="46" t="s">
        <v>172</v>
      </c>
      <c r="B33" s="134">
        <f>B32</f>
        <v>26828779</v>
      </c>
      <c r="C33" s="134">
        <f aca="true" t="shared" si="9" ref="C33:J33">C32</f>
        <v>27354034.86</v>
      </c>
      <c r="D33" s="134">
        <f t="shared" si="9"/>
        <v>525255.8599999994</v>
      </c>
      <c r="E33" s="134">
        <f t="shared" si="9"/>
        <v>27974291.61</v>
      </c>
      <c r="F33" s="134">
        <f t="shared" si="9"/>
        <v>620256.75</v>
      </c>
      <c r="G33" s="134">
        <f t="shared" si="9"/>
        <v>28481791.61</v>
      </c>
      <c r="H33" s="134">
        <f t="shared" si="9"/>
        <v>507500</v>
      </c>
      <c r="I33" s="134">
        <f t="shared" si="9"/>
        <v>30022291.61</v>
      </c>
      <c r="J33" s="134">
        <f t="shared" si="9"/>
        <v>1540500</v>
      </c>
      <c r="K33" s="84"/>
      <c r="L33" s="84"/>
      <c r="M33" s="84"/>
    </row>
    <row r="34" spans="2:13" ht="15">
      <c r="B34" s="133"/>
      <c r="C34" s="133"/>
      <c r="D34" s="133"/>
      <c r="E34" s="133"/>
      <c r="F34" s="133"/>
      <c r="G34" s="133"/>
      <c r="H34" s="133"/>
      <c r="I34" s="133"/>
      <c r="J34" s="133"/>
      <c r="K34" s="84"/>
      <c r="L34" s="84"/>
      <c r="M34" s="84"/>
    </row>
    <row r="35" spans="1:13" ht="15">
      <c r="A35" s="83" t="s">
        <v>173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84"/>
      <c r="L35" s="84"/>
      <c r="M35" s="84"/>
    </row>
    <row r="36" spans="1:13" ht="15">
      <c r="A36" s="87" t="s">
        <v>174</v>
      </c>
      <c r="B36" s="129">
        <f>5613068+1066300+2660460-435100-229924</f>
        <v>8674804</v>
      </c>
      <c r="C36" s="129">
        <f>'2008 FA Continuity'!I24+'2008 FA Continuity'!I25</f>
        <v>8231723.23</v>
      </c>
      <c r="D36" s="129">
        <f>C36-B36</f>
        <v>-443080.76999999955</v>
      </c>
      <c r="E36" s="129">
        <f>'2009 FA Continuity'!I24+'2009 FA Continuity'!I25</f>
        <v>9109560.72</v>
      </c>
      <c r="F36" s="129">
        <f aca="true" t="shared" si="10" ref="F36:J37">E36-C36</f>
        <v>877837.4900000002</v>
      </c>
      <c r="G36" s="129">
        <f>'2010 FA Continuity'!I24+'2010 FA Continuity'!I25</f>
        <v>10222391.72</v>
      </c>
      <c r="H36" s="129">
        <f t="shared" si="10"/>
        <v>1112831</v>
      </c>
      <c r="I36" s="129">
        <f>'2011 FA Continuity'!I24+'2011 FA Continuity'!I25</f>
        <v>11834563.895844035</v>
      </c>
      <c r="J36" s="129">
        <f t="shared" si="10"/>
        <v>1612172.1758440342</v>
      </c>
      <c r="K36" s="84"/>
      <c r="L36" s="84"/>
      <c r="M36" s="84"/>
    </row>
    <row r="37" spans="1:13" ht="15">
      <c r="A37" s="87" t="s">
        <v>175</v>
      </c>
      <c r="B37" s="129">
        <f>9077000-150000-9996</f>
        <v>8917004</v>
      </c>
      <c r="C37" s="129">
        <f>'2008 FA Continuity'!I26</f>
        <v>10257632.37</v>
      </c>
      <c r="D37" s="129">
        <f>C37-B37</f>
        <v>1340628.3699999992</v>
      </c>
      <c r="E37" s="129">
        <f>'2009 FA Continuity'!I26</f>
        <v>11297833.69</v>
      </c>
      <c r="F37" s="129">
        <f t="shared" si="10"/>
        <v>1040201.3200000003</v>
      </c>
      <c r="G37" s="129">
        <f>'2010 FA Continuity'!I26</f>
        <v>12898094.69</v>
      </c>
      <c r="H37" s="129">
        <f t="shared" si="10"/>
        <v>1600261</v>
      </c>
      <c r="I37" s="129">
        <f>'2011 FA Continuity'!I26</f>
        <v>14831672.514155965</v>
      </c>
      <c r="J37" s="129">
        <f t="shared" si="10"/>
        <v>1933577.8241559658</v>
      </c>
      <c r="K37" s="84"/>
      <c r="L37" s="84"/>
      <c r="M37" s="84"/>
    </row>
    <row r="38" spans="1:13" ht="15">
      <c r="A38" s="46" t="s">
        <v>176</v>
      </c>
      <c r="B38" s="134">
        <f>SUM(B36:B37)</f>
        <v>17591808</v>
      </c>
      <c r="C38" s="134">
        <f aca="true" t="shared" si="11" ref="C38:J38">SUM(C36:C37)</f>
        <v>18489355.6</v>
      </c>
      <c r="D38" s="134">
        <f t="shared" si="11"/>
        <v>897547.5999999996</v>
      </c>
      <c r="E38" s="134">
        <f t="shared" si="11"/>
        <v>20407394.41</v>
      </c>
      <c r="F38" s="134">
        <f t="shared" si="11"/>
        <v>1918038.8100000005</v>
      </c>
      <c r="G38" s="134">
        <f t="shared" si="11"/>
        <v>23120486.41</v>
      </c>
      <c r="H38" s="134">
        <f t="shared" si="11"/>
        <v>2713092</v>
      </c>
      <c r="I38" s="134">
        <f t="shared" si="11"/>
        <v>26666236.41</v>
      </c>
      <c r="J38" s="134">
        <f t="shared" si="11"/>
        <v>3545750</v>
      </c>
      <c r="K38" s="84"/>
      <c r="L38" s="84"/>
      <c r="M38" s="84"/>
    </row>
    <row r="39" spans="2:13" ht="15">
      <c r="B39" s="133"/>
      <c r="C39" s="133"/>
      <c r="D39" s="133"/>
      <c r="E39" s="133"/>
      <c r="F39" s="133"/>
      <c r="G39" s="133"/>
      <c r="H39" s="133"/>
      <c r="I39" s="133"/>
      <c r="J39" s="133"/>
      <c r="K39" s="84"/>
      <c r="L39" s="84"/>
      <c r="M39" s="84"/>
    </row>
    <row r="40" spans="1:13" ht="15">
      <c r="A40" s="83" t="s">
        <v>177</v>
      </c>
      <c r="B40" s="133"/>
      <c r="C40" s="133"/>
      <c r="D40" s="133"/>
      <c r="E40" s="133"/>
      <c r="F40" s="133"/>
      <c r="G40" s="133"/>
      <c r="H40" s="133"/>
      <c r="I40" s="133"/>
      <c r="J40" s="133"/>
      <c r="K40" s="84"/>
      <c r="L40" s="84"/>
      <c r="M40" s="84"/>
    </row>
    <row r="41" spans="1:13" ht="15">
      <c r="A41" s="87" t="s">
        <v>178</v>
      </c>
      <c r="B41" s="129">
        <v>4520081</v>
      </c>
      <c r="C41" s="129">
        <f>'2008 FA Continuity'!I23</f>
        <v>4392548.09</v>
      </c>
      <c r="D41" s="129">
        <f aca="true" t="shared" si="12" ref="D41:D49">C41-B41</f>
        <v>-127532.91000000015</v>
      </c>
      <c r="E41" s="129">
        <f>'2009 FA Continuity'!I23</f>
        <v>4958697.08</v>
      </c>
      <c r="F41" s="129">
        <f aca="true" t="shared" si="13" ref="F41:J49">E41-C41</f>
        <v>566148.9900000002</v>
      </c>
      <c r="G41" s="129">
        <f>'2010 FA Continuity'!I23</f>
        <v>5370067.08</v>
      </c>
      <c r="H41" s="129">
        <f t="shared" si="13"/>
        <v>411370</v>
      </c>
      <c r="I41" s="129">
        <f>'2011 FA Continuity'!I23</f>
        <v>5754567.08</v>
      </c>
      <c r="J41" s="129">
        <f t="shared" si="13"/>
        <v>384500</v>
      </c>
      <c r="K41" s="84"/>
      <c r="L41" s="84"/>
      <c r="M41" s="84"/>
    </row>
    <row r="42" spans="1:13" ht="15">
      <c r="A42" s="87" t="s">
        <v>179</v>
      </c>
      <c r="B42" s="129">
        <v>18707842</v>
      </c>
      <c r="C42" s="129">
        <f>'2008 FA Continuity'!I27</f>
        <v>17716234.82</v>
      </c>
      <c r="D42" s="129">
        <f t="shared" si="12"/>
        <v>-991607.1799999997</v>
      </c>
      <c r="E42" s="129">
        <f>'2009 FA Continuity'!I27</f>
        <v>17306131</v>
      </c>
      <c r="F42" s="129">
        <f t="shared" si="13"/>
        <v>-410103.8200000003</v>
      </c>
      <c r="G42" s="129">
        <f>'2010 FA Continuity'!I27</f>
        <v>18611130.96</v>
      </c>
      <c r="H42" s="129">
        <f t="shared" si="13"/>
        <v>1304999.960000001</v>
      </c>
      <c r="I42" s="129">
        <f>'2011 FA Continuity'!I27</f>
        <v>20056630.96</v>
      </c>
      <c r="J42" s="129">
        <f t="shared" si="13"/>
        <v>1445500</v>
      </c>
      <c r="K42" s="84"/>
      <c r="L42" s="84"/>
      <c r="M42" s="84"/>
    </row>
    <row r="43" spans="1:13" ht="15">
      <c r="A43" s="87" t="s">
        <v>180</v>
      </c>
      <c r="B43" s="129">
        <f>722327-20000</f>
        <v>702327</v>
      </c>
      <c r="C43" s="129">
        <f>'2008 FA Continuity'!I28</f>
        <v>781069.31</v>
      </c>
      <c r="D43" s="129">
        <f t="shared" si="12"/>
        <v>78742.31000000006</v>
      </c>
      <c r="E43" s="129">
        <f>'2009 FA Continuity'!I28</f>
        <v>892540.18</v>
      </c>
      <c r="F43" s="129">
        <f t="shared" si="13"/>
        <v>111470.87</v>
      </c>
      <c r="G43" s="129">
        <f>'2010 FA Continuity'!I28</f>
        <v>892540.18</v>
      </c>
      <c r="H43" s="129">
        <f t="shared" si="13"/>
        <v>0</v>
      </c>
      <c r="I43" s="129">
        <f>'2011 FA Continuity'!I28</f>
        <v>892540.18</v>
      </c>
      <c r="J43" s="129">
        <f t="shared" si="13"/>
        <v>0</v>
      </c>
      <c r="K43" s="84"/>
      <c r="L43" s="84"/>
      <c r="M43" s="84"/>
    </row>
    <row r="44" spans="1:13" ht="15">
      <c r="A44" s="87" t="s">
        <v>181</v>
      </c>
      <c r="B44" s="129">
        <f>7085111-5600-19005</f>
        <v>7060506</v>
      </c>
      <c r="C44" s="129">
        <f>'2008 FA Continuity'!I29</f>
        <v>7020745.680000001</v>
      </c>
      <c r="D44" s="129">
        <f t="shared" si="12"/>
        <v>-39760.31999999937</v>
      </c>
      <c r="E44" s="129">
        <f>'2009 FA Continuity'!I29</f>
        <v>7346438.350000001</v>
      </c>
      <c r="F44" s="129">
        <f t="shared" si="13"/>
        <v>325692.6699999999</v>
      </c>
      <c r="G44" s="129">
        <f>'2010 FA Continuity'!I29</f>
        <v>7834837.350000001</v>
      </c>
      <c r="H44" s="129">
        <f t="shared" si="13"/>
        <v>488399</v>
      </c>
      <c r="I44" s="129">
        <f>'2011 FA Continuity'!I29</f>
        <v>8384187.350000001</v>
      </c>
      <c r="J44" s="129">
        <f t="shared" si="13"/>
        <v>549350</v>
      </c>
      <c r="K44" s="84"/>
      <c r="L44" s="84"/>
      <c r="M44" s="84"/>
    </row>
    <row r="45" spans="1:13" ht="15">
      <c r="A45" s="87" t="s">
        <v>182</v>
      </c>
      <c r="B45" s="129">
        <v>1439534</v>
      </c>
      <c r="C45" s="129">
        <f>'2008 FA Continuity'!I30</f>
        <v>1389954.5100000002</v>
      </c>
      <c r="D45" s="129">
        <f t="shared" si="12"/>
        <v>-49579.48999999976</v>
      </c>
      <c r="E45" s="129">
        <f>'2009 FA Continuity'!I30</f>
        <v>1458621.3900000001</v>
      </c>
      <c r="F45" s="129">
        <f t="shared" si="13"/>
        <v>68666.87999999989</v>
      </c>
      <c r="G45" s="129">
        <f>'2010 FA Continuity'!I30</f>
        <v>1550171.3900000001</v>
      </c>
      <c r="H45" s="129">
        <f t="shared" si="13"/>
        <v>91550</v>
      </c>
      <c r="I45" s="129">
        <f>'2011 FA Continuity'!I30</f>
        <v>1758671.3900000001</v>
      </c>
      <c r="J45" s="129">
        <f t="shared" si="13"/>
        <v>208500</v>
      </c>
      <c r="K45" s="84"/>
      <c r="L45" s="84"/>
      <c r="M45" s="84"/>
    </row>
    <row r="46" spans="1:13" ht="15">
      <c r="A46" s="87" t="s">
        <v>192</v>
      </c>
      <c r="B46" s="129">
        <v>144035</v>
      </c>
      <c r="C46" s="129">
        <f>'2008 FA Continuity'!I31</f>
        <v>144034.63</v>
      </c>
      <c r="D46" s="129">
        <f t="shared" si="12"/>
        <v>-0.3699999999953434</v>
      </c>
      <c r="E46" s="129">
        <f>'2009 FA Continuity'!I31</f>
        <v>144034.63</v>
      </c>
      <c r="F46" s="129">
        <f t="shared" si="13"/>
        <v>0</v>
      </c>
      <c r="G46" s="129">
        <f>'2010 FA Continuity'!I31</f>
        <v>144034.63</v>
      </c>
      <c r="H46" s="129">
        <f t="shared" si="13"/>
        <v>0</v>
      </c>
      <c r="I46" s="129">
        <f>'2011 FA Continuity'!I31</f>
        <v>144034.63</v>
      </c>
      <c r="J46" s="129">
        <f t="shared" si="13"/>
        <v>0</v>
      </c>
      <c r="K46" s="84"/>
      <c r="L46" s="84"/>
      <c r="M46" s="84"/>
    </row>
    <row r="47" spans="1:13" ht="15">
      <c r="A47" s="87" t="s">
        <v>183</v>
      </c>
      <c r="B47" s="129">
        <v>1601632</v>
      </c>
      <c r="C47" s="129">
        <f>'2008 FA Continuity'!I32</f>
        <v>1310596.26</v>
      </c>
      <c r="D47" s="129">
        <f t="shared" si="12"/>
        <v>-291035.74</v>
      </c>
      <c r="E47" s="129">
        <f>'2009 FA Continuity'!I32</f>
        <v>1350163.26</v>
      </c>
      <c r="F47" s="129">
        <f t="shared" si="13"/>
        <v>39567</v>
      </c>
      <c r="G47" s="129">
        <f>'2010 FA Continuity'!I32</f>
        <v>1622013.26</v>
      </c>
      <c r="H47" s="129">
        <f t="shared" si="13"/>
        <v>271850</v>
      </c>
      <c r="I47" s="129">
        <f>'2011 FA Continuity'!I32</f>
        <v>2721513.26</v>
      </c>
      <c r="J47" s="129">
        <f t="shared" si="13"/>
        <v>1099499.9999999998</v>
      </c>
      <c r="K47" s="84"/>
      <c r="L47" s="84"/>
      <c r="M47" s="84"/>
    </row>
    <row r="48" spans="1:13" ht="15">
      <c r="A48" s="87" t="s">
        <v>195</v>
      </c>
      <c r="B48" s="129">
        <f>192512</f>
        <v>192512</v>
      </c>
      <c r="C48" s="129">
        <f>'2008 FA Continuity'!I33</f>
        <v>515329.99</v>
      </c>
      <c r="D48" s="129">
        <f t="shared" si="12"/>
        <v>322817.99</v>
      </c>
      <c r="E48" s="129">
        <f>'2009 FA Continuity'!I33</f>
        <v>515329.99</v>
      </c>
      <c r="F48" s="129">
        <f t="shared" si="13"/>
        <v>0</v>
      </c>
      <c r="G48" s="129">
        <f>'2010 FA Continuity'!I33</f>
        <v>515329.99</v>
      </c>
      <c r="H48" s="129">
        <f t="shared" si="13"/>
        <v>0</v>
      </c>
      <c r="I48" s="129">
        <f>'2011 FA Continuity'!I33</f>
        <v>515329.99</v>
      </c>
      <c r="J48" s="129">
        <f t="shared" si="13"/>
        <v>0</v>
      </c>
      <c r="K48" s="84"/>
      <c r="L48" s="84"/>
      <c r="M48" s="84"/>
    </row>
    <row r="49" spans="1:13" ht="15">
      <c r="A49" s="87" t="s">
        <v>193</v>
      </c>
      <c r="B49" s="129">
        <v>3350878</v>
      </c>
      <c r="C49" s="129">
        <f>'2008 FA Continuity'!I34</f>
        <v>3315938.6999999997</v>
      </c>
      <c r="D49" s="129">
        <f t="shared" si="12"/>
        <v>-34939.30000000028</v>
      </c>
      <c r="E49" s="129">
        <f>'2009 FA Continuity'!I34</f>
        <v>3777542.26</v>
      </c>
      <c r="F49" s="129">
        <f t="shared" si="13"/>
        <v>461603.56000000006</v>
      </c>
      <c r="G49" s="129">
        <f>'2010 FA Continuity'!I34</f>
        <v>3777542.26</v>
      </c>
      <c r="H49" s="129">
        <f t="shared" si="13"/>
        <v>0</v>
      </c>
      <c r="I49" s="129">
        <f>'2011 FA Continuity'!I34</f>
        <v>4212819.9246875</v>
      </c>
      <c r="J49" s="129">
        <f t="shared" si="13"/>
        <v>435277.66468750034</v>
      </c>
      <c r="K49" s="84"/>
      <c r="L49" s="84"/>
      <c r="M49" s="84"/>
    </row>
    <row r="50" spans="1:13" ht="15">
      <c r="A50" s="46" t="s">
        <v>185</v>
      </c>
      <c r="B50" s="134">
        <f>SUM(B41:B49)</f>
        <v>37719347</v>
      </c>
      <c r="C50" s="134">
        <f aca="true" t="shared" si="14" ref="C50:J50">SUM(C41:C49)</f>
        <v>36586451.99</v>
      </c>
      <c r="D50" s="134">
        <f t="shared" si="14"/>
        <v>-1132895.0099999993</v>
      </c>
      <c r="E50" s="134">
        <f t="shared" si="14"/>
        <v>37749498.14</v>
      </c>
      <c r="F50" s="134">
        <f t="shared" si="14"/>
        <v>1163046.15</v>
      </c>
      <c r="G50" s="134">
        <f t="shared" si="14"/>
        <v>40317667.1</v>
      </c>
      <c r="H50" s="134">
        <f t="shared" si="14"/>
        <v>2568168.960000001</v>
      </c>
      <c r="I50" s="134">
        <f t="shared" si="14"/>
        <v>44440294.7646875</v>
      </c>
      <c r="J50" s="134">
        <f t="shared" si="14"/>
        <v>4122627.6646875003</v>
      </c>
      <c r="K50" s="84"/>
      <c r="L50" s="84"/>
      <c r="M50" s="84"/>
    </row>
    <row r="51" spans="2:13" ht="15">
      <c r="B51" s="133"/>
      <c r="C51" s="133"/>
      <c r="D51" s="133"/>
      <c r="E51" s="133"/>
      <c r="F51" s="133"/>
      <c r="G51" s="133"/>
      <c r="H51" s="133"/>
      <c r="I51" s="133"/>
      <c r="J51" s="133"/>
      <c r="K51" s="84"/>
      <c r="L51" s="84"/>
      <c r="M51" s="84"/>
    </row>
    <row r="52" spans="1:13" ht="15">
      <c r="A52" s="83" t="s">
        <v>186</v>
      </c>
      <c r="B52" s="133"/>
      <c r="C52" s="133"/>
      <c r="D52" s="133"/>
      <c r="E52" s="133"/>
      <c r="F52" s="133"/>
      <c r="G52" s="133"/>
      <c r="H52" s="133"/>
      <c r="I52" s="133"/>
      <c r="J52" s="133"/>
      <c r="K52" s="84"/>
      <c r="L52" s="84"/>
      <c r="M52" s="84"/>
    </row>
    <row r="53" spans="1:13" ht="15">
      <c r="A53" s="87" t="s">
        <v>187</v>
      </c>
      <c r="B53" s="129"/>
      <c r="C53" s="129"/>
      <c r="D53" s="129">
        <f>C53-B53</f>
        <v>0</v>
      </c>
      <c r="E53" s="129"/>
      <c r="F53" s="129">
        <f aca="true" t="shared" si="15" ref="F53:J54">E53-C53</f>
        <v>0</v>
      </c>
      <c r="G53" s="129"/>
      <c r="H53" s="129">
        <f t="shared" si="15"/>
        <v>0</v>
      </c>
      <c r="I53" s="129"/>
      <c r="J53" s="129">
        <f t="shared" si="15"/>
        <v>0</v>
      </c>
      <c r="K53" s="84"/>
      <c r="L53" s="84"/>
      <c r="M53" s="84"/>
    </row>
    <row r="54" spans="1:13" ht="15">
      <c r="A54" s="87" t="s">
        <v>188</v>
      </c>
      <c r="B54" s="129">
        <f>3396683-20108455</f>
        <v>-16711772</v>
      </c>
      <c r="C54" s="129">
        <f>'2008 FA Continuity'!I35+'2008 FA Continuity'!I36</f>
        <v>-17837618.509999998</v>
      </c>
      <c r="D54" s="129">
        <f>C54-B54</f>
        <v>-1125846.509999998</v>
      </c>
      <c r="E54" s="129">
        <f>'2009 FA Continuity'!I35+'2009 FA Continuity'!I36</f>
        <v>-23512927.56</v>
      </c>
      <c r="F54" s="129">
        <f t="shared" si="15"/>
        <v>-5675309.050000001</v>
      </c>
      <c r="G54" s="129">
        <f>'2010 FA Continuity'!I35+'2010 FA Continuity'!I36</f>
        <v>-25775574.609999996</v>
      </c>
      <c r="H54" s="129">
        <f t="shared" si="15"/>
        <v>-2262647.049999997</v>
      </c>
      <c r="I54" s="129">
        <f>'2011 FA Continuity'!I35+'2011 FA Continuity'!I36</f>
        <v>-27819746.609999996</v>
      </c>
      <c r="J54" s="129">
        <f t="shared" si="15"/>
        <v>-2044172</v>
      </c>
      <c r="K54" s="84"/>
      <c r="L54" s="84"/>
      <c r="M54" s="84"/>
    </row>
    <row r="55" spans="1:13" ht="15">
      <c r="A55" s="46" t="s">
        <v>189</v>
      </c>
      <c r="B55" s="134">
        <f>SUM(B53:B54)</f>
        <v>-16711772</v>
      </c>
      <c r="C55" s="134">
        <f aca="true" t="shared" si="16" ref="C55:J55">SUM(C53:C54)</f>
        <v>-17837618.509999998</v>
      </c>
      <c r="D55" s="134">
        <f t="shared" si="16"/>
        <v>-1125846.509999998</v>
      </c>
      <c r="E55" s="134">
        <f t="shared" si="16"/>
        <v>-23512927.56</v>
      </c>
      <c r="F55" s="134">
        <f t="shared" si="16"/>
        <v>-5675309.050000001</v>
      </c>
      <c r="G55" s="134">
        <f t="shared" si="16"/>
        <v>-25775574.609999996</v>
      </c>
      <c r="H55" s="134">
        <f t="shared" si="16"/>
        <v>-2262647.049999997</v>
      </c>
      <c r="I55" s="134">
        <f t="shared" si="16"/>
        <v>-27819746.609999996</v>
      </c>
      <c r="J55" s="134">
        <f t="shared" si="16"/>
        <v>-2044172</v>
      </c>
      <c r="K55" s="84"/>
      <c r="L55" s="84"/>
      <c r="M55" s="84"/>
    </row>
    <row r="56" spans="2:13" ht="15">
      <c r="B56" s="133"/>
      <c r="C56" s="133"/>
      <c r="D56" s="133"/>
      <c r="E56" s="133"/>
      <c r="F56" s="133"/>
      <c r="G56" s="133"/>
      <c r="H56" s="133"/>
      <c r="I56" s="133"/>
      <c r="J56" s="133"/>
      <c r="K56" s="84"/>
      <c r="L56" s="84"/>
      <c r="M56" s="84"/>
    </row>
    <row r="57" spans="1:13" ht="15.75" thickBot="1">
      <c r="A57" s="83" t="s">
        <v>190</v>
      </c>
      <c r="B57" s="85">
        <f aca="true" t="shared" si="17" ref="B57:J57">B9+B13+B20+B24+B29+B33+B38+B50+B55</f>
        <v>584522673</v>
      </c>
      <c r="C57" s="85">
        <f t="shared" si="17"/>
        <v>581560964</v>
      </c>
      <c r="D57" s="85">
        <f t="shared" si="17"/>
        <v>-2961709.000000004</v>
      </c>
      <c r="E57" s="85">
        <f t="shared" si="17"/>
        <v>609651887.66</v>
      </c>
      <c r="F57" s="85">
        <f t="shared" si="17"/>
        <v>28090923.659999985</v>
      </c>
      <c r="G57" s="85">
        <f t="shared" si="17"/>
        <v>647244887.6599998</v>
      </c>
      <c r="H57" s="85">
        <f t="shared" si="17"/>
        <v>37592999.999999985</v>
      </c>
      <c r="I57" s="85">
        <f t="shared" si="17"/>
        <v>691236986.366149</v>
      </c>
      <c r="J57" s="85">
        <f t="shared" si="17"/>
        <v>43992098.70614907</v>
      </c>
      <c r="K57" s="84"/>
      <c r="L57" s="84"/>
      <c r="M57" s="84"/>
    </row>
    <row r="58" spans="2:13" ht="15.75" thickTop="1">
      <c r="B58" s="84">
        <v>17690477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2:13" ht="15">
      <c r="B59" s="84">
        <f>B57+B58</f>
        <v>602213150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1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2:13" ht="1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</row>
    <row r="63" spans="2:13" ht="1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2:13" ht="1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2:13" ht="1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2:13" ht="1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2:13" ht="1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2:13" ht="1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2:13" ht="1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spans="2:13" ht="1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spans="2:13" ht="1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</row>
    <row r="72" spans="2:13" ht="1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2:13" ht="15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spans="2:13" ht="15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</row>
    <row r="75" spans="2:13" ht="15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</row>
    <row r="76" spans="2:13" ht="15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spans="2:13" ht="15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spans="2:13" ht="1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</row>
    <row r="79" spans="2:13" ht="1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spans="2:13" ht="15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spans="2:13" ht="15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spans="2:13" ht="15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2:13" ht="15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</row>
    <row r="84" spans="2:13" ht="15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5" spans="2:13" ht="15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</row>
    <row r="86" spans="2:13" ht="15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spans="2:13" ht="15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spans="2:13" ht="15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15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5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2:13" ht="15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</row>
    <row r="92" spans="2:13" ht="15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spans="2:13" ht="15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</row>
    <row r="94" spans="2:13" ht="15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</row>
    <row r="95" spans="2:13" ht="15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2:13" ht="15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2:13" ht="15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spans="2:13" ht="15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</row>
    <row r="99" spans="2:13" ht="15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</row>
    <row r="100" spans="2:13" ht="15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</row>
    <row r="101" spans="2:13" ht="15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</row>
    <row r="102" spans="2:13" ht="15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</row>
    <row r="103" spans="2:13" ht="15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</row>
    <row r="104" spans="2:13" ht="15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15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5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</row>
    <row r="107" spans="2:13" ht="15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</row>
    <row r="108" spans="2:13" ht="15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</row>
    <row r="109" spans="2:13" ht="15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</row>
    <row r="110" spans="2:13" ht="15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</row>
    <row r="111" spans="2:13" ht="15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</row>
    <row r="112" spans="2:13" ht="15"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</row>
    <row r="113" spans="2:13" ht="15"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</row>
    <row r="114" spans="2:13" ht="15"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</row>
    <row r="115" spans="2:13" ht="15"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</row>
    <row r="116" spans="2:13" ht="15"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</row>
    <row r="117" spans="2:13" ht="15"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</row>
    <row r="118" spans="2:13" ht="15"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</row>
    <row r="119" spans="2:13" ht="15"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</row>
    <row r="120" spans="2:13" ht="15"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</row>
    <row r="121" spans="2:13" ht="15"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</row>
    <row r="122" spans="2:13" ht="15"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</row>
    <row r="123" spans="2:13" ht="15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</row>
    <row r="124" spans="2:13" ht="15"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</row>
    <row r="125" spans="2:13" ht="15"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</row>
    <row r="126" spans="2:13" ht="15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</row>
    <row r="127" spans="2:13" ht="15"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</row>
    <row r="128" spans="2:13" ht="15"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</row>
    <row r="129" spans="2:13" ht="15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</row>
    <row r="130" spans="2:13" ht="15"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</row>
    <row r="131" spans="2:13" ht="15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</row>
    <row r="132" spans="2:13" ht="15"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</row>
    <row r="133" spans="2:13" ht="15"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</row>
    <row r="134" spans="2:13" ht="15"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</row>
    <row r="135" spans="2:13" ht="15"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</row>
    <row r="136" spans="2:13" ht="15"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</row>
    <row r="137" spans="2:13" ht="15"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A1">
      <pane xSplit="1" ySplit="1" topLeftCell="B3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J56"/>
    </sheetView>
  </sheetViews>
  <sheetFormatPr defaultColWidth="9.140625" defaultRowHeight="15"/>
  <cols>
    <col min="1" max="1" width="39.8515625" style="0" bestFit="1" customWidth="1"/>
    <col min="2" max="2" width="13.7109375" style="0" customWidth="1"/>
    <col min="3" max="3" width="14.7109375" style="0" customWidth="1"/>
    <col min="4" max="4" width="15.57421875" style="0" customWidth="1"/>
    <col min="5" max="5" width="15.140625" style="0" customWidth="1"/>
    <col min="6" max="6" width="14.28125" style="0" customWidth="1"/>
    <col min="7" max="7" width="19.7109375" style="0" customWidth="1"/>
    <col min="8" max="8" width="16.8515625" style="0" customWidth="1"/>
    <col min="9" max="9" width="18.57421875" style="0" customWidth="1"/>
    <col min="10" max="10" width="17.00390625" style="0" customWidth="1"/>
  </cols>
  <sheetData>
    <row r="1" spans="1:10" s="13" customFormat="1" ht="60">
      <c r="A1" s="86" t="s">
        <v>47</v>
      </c>
      <c r="B1" s="86" t="s">
        <v>139</v>
      </c>
      <c r="C1" s="86" t="s">
        <v>140</v>
      </c>
      <c r="D1" s="86" t="s">
        <v>141</v>
      </c>
      <c r="E1" s="86" t="s">
        <v>142</v>
      </c>
      <c r="F1" s="86" t="s">
        <v>143</v>
      </c>
      <c r="G1" s="86" t="s">
        <v>144</v>
      </c>
      <c r="H1" s="86" t="s">
        <v>145</v>
      </c>
      <c r="I1" s="86" t="s">
        <v>146</v>
      </c>
      <c r="J1" s="86" t="s">
        <v>147</v>
      </c>
    </row>
    <row r="2" spans="1:13" ht="15">
      <c r="A2" s="83" t="s">
        <v>148</v>
      </c>
      <c r="B2" s="133"/>
      <c r="C2" s="133"/>
      <c r="D2" s="133"/>
      <c r="E2" s="133"/>
      <c r="F2" s="133"/>
      <c r="G2" s="133"/>
      <c r="H2" s="133"/>
      <c r="I2" s="133"/>
      <c r="J2" s="133"/>
      <c r="K2" s="84"/>
      <c r="L2" s="84"/>
      <c r="M2" s="84"/>
    </row>
    <row r="3" spans="1:13" ht="15">
      <c r="A3" s="87" t="s">
        <v>149</v>
      </c>
      <c r="B3" s="129">
        <v>0</v>
      </c>
      <c r="C3" s="129">
        <f>'2008 FA Continuity'!P7</f>
        <v>0</v>
      </c>
      <c r="D3" s="129">
        <f aca="true" t="shared" si="0" ref="D3:D8">C3-B3</f>
        <v>0</v>
      </c>
      <c r="E3" s="129">
        <f>'2009 FA Continuity'!P7</f>
        <v>0</v>
      </c>
      <c r="F3" s="129">
        <f>E3-C3</f>
        <v>0</v>
      </c>
      <c r="G3" s="129">
        <f>'2010 FA Continuity'!P7</f>
        <v>0</v>
      </c>
      <c r="H3" s="129">
        <f>G3-E3</f>
        <v>0</v>
      </c>
      <c r="I3" s="129">
        <f>'2011 FA Continuity'!P7</f>
        <v>0</v>
      </c>
      <c r="J3" s="129">
        <f>I3-G3</f>
        <v>0</v>
      </c>
      <c r="K3" s="84"/>
      <c r="L3" s="84"/>
      <c r="M3" s="84"/>
    </row>
    <row r="4" spans="1:13" ht="15">
      <c r="A4" s="87" t="s">
        <v>150</v>
      </c>
      <c r="B4" s="129">
        <v>0</v>
      </c>
      <c r="C4" s="129"/>
      <c r="D4" s="129">
        <f t="shared" si="0"/>
        <v>0</v>
      </c>
      <c r="E4" s="129"/>
      <c r="F4" s="129">
        <f aca="true" t="shared" si="1" ref="F4:J8">E4-C4</f>
        <v>0</v>
      </c>
      <c r="G4" s="129"/>
      <c r="H4" s="129">
        <f t="shared" si="1"/>
        <v>0</v>
      </c>
      <c r="I4" s="129"/>
      <c r="J4" s="129">
        <f t="shared" si="1"/>
        <v>0</v>
      </c>
      <c r="K4" s="84"/>
      <c r="L4" s="84"/>
      <c r="M4" s="84"/>
    </row>
    <row r="5" spans="1:13" ht="15">
      <c r="A5" s="87" t="s">
        <v>151</v>
      </c>
      <c r="B5" s="129">
        <v>1441051</v>
      </c>
      <c r="C5" s="129">
        <f>'2008 FA Continuity'!P8+'2008 FA Continuity'!P6</f>
        <v>1449616.2899999998</v>
      </c>
      <c r="D5" s="129">
        <f t="shared" si="0"/>
        <v>8565.289999999804</v>
      </c>
      <c r="E5" s="129">
        <f>'2009 FA Continuity'!P8+'2009 FA Continuity'!P6</f>
        <v>1534816.3599999999</v>
      </c>
      <c r="F5" s="129">
        <f t="shared" si="1"/>
        <v>85200.07000000007</v>
      </c>
      <c r="G5" s="129">
        <f>'2010 FA Continuity'!P8+'2010 FA Continuity'!P6</f>
        <v>1610656.812</v>
      </c>
      <c r="H5" s="129">
        <f t="shared" si="1"/>
        <v>75840.45200000005</v>
      </c>
      <c r="I5" s="129">
        <f>'2011 FA Continuity'!P8+'2011 FA Continuity'!P6</f>
        <v>1686406.812</v>
      </c>
      <c r="J5" s="129">
        <f t="shared" si="1"/>
        <v>75750</v>
      </c>
      <c r="K5" s="84"/>
      <c r="L5" s="84"/>
      <c r="M5" s="84"/>
    </row>
    <row r="6" spans="1:13" ht="15">
      <c r="A6" s="87" t="s">
        <v>152</v>
      </c>
      <c r="B6" s="129">
        <v>0</v>
      </c>
      <c r="C6" s="129">
        <f>'2008 FA Continuity'!P19</f>
        <v>0</v>
      </c>
      <c r="D6" s="129">
        <f t="shared" si="0"/>
        <v>0</v>
      </c>
      <c r="E6" s="129">
        <f>'2009 FA Continuity'!P19</f>
        <v>0</v>
      </c>
      <c r="F6" s="129">
        <f t="shared" si="1"/>
        <v>0</v>
      </c>
      <c r="G6" s="129">
        <f>'2010 FA Continuity'!P19</f>
        <v>0</v>
      </c>
      <c r="H6" s="129">
        <f t="shared" si="1"/>
        <v>0</v>
      </c>
      <c r="I6" s="129">
        <f>'2011 FA Continuity'!P19</f>
        <v>0</v>
      </c>
      <c r="J6" s="129">
        <f t="shared" si="1"/>
        <v>0</v>
      </c>
      <c r="K6" s="84"/>
      <c r="L6" s="84"/>
      <c r="M6" s="84"/>
    </row>
    <row r="7" spans="1:13" ht="15">
      <c r="A7" s="87" t="s">
        <v>153</v>
      </c>
      <c r="B7" s="129">
        <v>64901</v>
      </c>
      <c r="C7" s="129">
        <f>'2008 FA Continuity'!P20</f>
        <v>65353.219999999994</v>
      </c>
      <c r="D7" s="129">
        <f t="shared" si="0"/>
        <v>452.2199999999939</v>
      </c>
      <c r="E7" s="129">
        <f>'2009 FA Continuity'!P20</f>
        <v>68811.22</v>
      </c>
      <c r="F7" s="129">
        <f t="shared" si="1"/>
        <v>3458.0000000000073</v>
      </c>
      <c r="G7" s="129">
        <f>'2010 FA Continuity'!P20</f>
        <v>72149.1758</v>
      </c>
      <c r="H7" s="129">
        <f t="shared" si="1"/>
        <v>3337.955799999996</v>
      </c>
      <c r="I7" s="129">
        <f>'2011 FA Continuity'!P20</f>
        <v>75487.1316</v>
      </c>
      <c r="J7" s="129">
        <f t="shared" si="1"/>
        <v>3337.955799999996</v>
      </c>
      <c r="K7" s="84"/>
      <c r="L7" s="84"/>
      <c r="M7" s="84"/>
    </row>
    <row r="8" spans="1:13" ht="15">
      <c r="A8" s="87" t="s">
        <v>154</v>
      </c>
      <c r="B8" s="129">
        <v>23954</v>
      </c>
      <c r="C8" s="129">
        <f>'2008 FA Continuity'!P9</f>
        <v>20885.65</v>
      </c>
      <c r="D8" s="129">
        <f t="shared" si="0"/>
        <v>-3068.3499999999985</v>
      </c>
      <c r="E8" s="129">
        <f>'2009 FA Continuity'!P9</f>
        <v>20885.65</v>
      </c>
      <c r="F8" s="129">
        <f t="shared" si="1"/>
        <v>0</v>
      </c>
      <c r="G8" s="129">
        <f>'2010 FA Continuity'!P9</f>
        <v>20885.65</v>
      </c>
      <c r="H8" s="129">
        <f t="shared" si="1"/>
        <v>0</v>
      </c>
      <c r="I8" s="129">
        <f>'2011 FA Continuity'!P9</f>
        <v>20885.65</v>
      </c>
      <c r="J8" s="129">
        <f t="shared" si="1"/>
        <v>0</v>
      </c>
      <c r="K8" s="84"/>
      <c r="L8" s="84"/>
      <c r="M8" s="84"/>
    </row>
    <row r="9" spans="1:13" ht="15">
      <c r="A9" s="46" t="s">
        <v>155</v>
      </c>
      <c r="B9" s="134">
        <f>SUM(B3:B8)</f>
        <v>1529906</v>
      </c>
      <c r="C9" s="134">
        <f aca="true" t="shared" si="2" ref="C9:J9">SUM(C3:C8)</f>
        <v>1535855.1599999997</v>
      </c>
      <c r="D9" s="134">
        <f t="shared" si="2"/>
        <v>5949.1599999998</v>
      </c>
      <c r="E9" s="134">
        <f t="shared" si="2"/>
        <v>1624513.2299999997</v>
      </c>
      <c r="F9" s="134">
        <f t="shared" si="2"/>
        <v>88658.07000000007</v>
      </c>
      <c r="G9" s="134">
        <f t="shared" si="2"/>
        <v>1703691.6378</v>
      </c>
      <c r="H9" s="134">
        <f t="shared" si="2"/>
        <v>79178.40780000004</v>
      </c>
      <c r="I9" s="134">
        <f t="shared" si="2"/>
        <v>1782779.5935999998</v>
      </c>
      <c r="J9" s="134">
        <f t="shared" si="2"/>
        <v>79087.9558</v>
      </c>
      <c r="K9" s="84"/>
      <c r="L9" s="84"/>
      <c r="M9" s="84"/>
    </row>
    <row r="10" spans="2:13" ht="15">
      <c r="B10" s="133"/>
      <c r="C10" s="133"/>
      <c r="D10" s="133"/>
      <c r="E10" s="133"/>
      <c r="F10" s="133"/>
      <c r="G10" s="133"/>
      <c r="H10" s="133"/>
      <c r="I10" s="133"/>
      <c r="J10" s="133"/>
      <c r="K10" s="84"/>
      <c r="L10" s="84"/>
      <c r="M10" s="84"/>
    </row>
    <row r="11" spans="1:13" ht="15">
      <c r="A11" s="83" t="s">
        <v>156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84"/>
      <c r="L11" s="84"/>
      <c r="M11" s="84"/>
    </row>
    <row r="12" spans="1:13" ht="15">
      <c r="A12" s="87" t="s">
        <v>157</v>
      </c>
      <c r="B12" s="129">
        <v>8849107</v>
      </c>
      <c r="C12" s="129">
        <f>'2008 FA Continuity'!P10</f>
        <v>8847268.67</v>
      </c>
      <c r="D12" s="129">
        <f>C12-B12</f>
        <v>-1838.3300000000745</v>
      </c>
      <c r="E12" s="129">
        <f>'2009 FA Continuity'!P10</f>
        <v>9116218.72</v>
      </c>
      <c r="F12" s="129">
        <f>E12-C12</f>
        <v>268950.05000000075</v>
      </c>
      <c r="G12" s="129">
        <f>'2010 FA Continuity'!P10</f>
        <v>9393227.839594772</v>
      </c>
      <c r="H12" s="129">
        <f>G12-E12</f>
        <v>277009.1195947714</v>
      </c>
      <c r="I12" s="129">
        <f>'2011 FA Continuity'!P10</f>
        <v>9670236.959189544</v>
      </c>
      <c r="J12" s="129">
        <f>I12-G12</f>
        <v>277009.1195947714</v>
      </c>
      <c r="K12" s="84"/>
      <c r="L12" s="84"/>
      <c r="M12" s="84"/>
    </row>
    <row r="13" spans="1:13" ht="15">
      <c r="A13" s="46" t="s">
        <v>158</v>
      </c>
      <c r="B13" s="134">
        <f>SUM(B12)</f>
        <v>8849107</v>
      </c>
      <c r="C13" s="134">
        <f aca="true" t="shared" si="3" ref="C13:J13">SUM(C12)</f>
        <v>8847268.67</v>
      </c>
      <c r="D13" s="134">
        <f t="shared" si="3"/>
        <v>-1838.3300000000745</v>
      </c>
      <c r="E13" s="134">
        <f t="shared" si="3"/>
        <v>9116218.72</v>
      </c>
      <c r="F13" s="134">
        <f t="shared" si="3"/>
        <v>268950.05000000075</v>
      </c>
      <c r="G13" s="134">
        <f t="shared" si="3"/>
        <v>9393227.839594772</v>
      </c>
      <c r="H13" s="134">
        <f t="shared" si="3"/>
        <v>277009.1195947714</v>
      </c>
      <c r="I13" s="134">
        <f t="shared" si="3"/>
        <v>9670236.959189544</v>
      </c>
      <c r="J13" s="134">
        <f t="shared" si="3"/>
        <v>277009.1195947714</v>
      </c>
      <c r="K13" s="84"/>
      <c r="L13" s="84"/>
      <c r="M13" s="84"/>
    </row>
    <row r="14" spans="2:13" ht="15">
      <c r="B14" s="133"/>
      <c r="C14" s="133"/>
      <c r="D14" s="133"/>
      <c r="E14" s="133"/>
      <c r="F14" s="133"/>
      <c r="G14" s="133"/>
      <c r="H14" s="133"/>
      <c r="I14" s="133"/>
      <c r="J14" s="133"/>
      <c r="K14" s="84"/>
      <c r="L14" s="84"/>
      <c r="M14" s="84"/>
    </row>
    <row r="15" spans="1:13" ht="15">
      <c r="A15" s="83" t="s">
        <v>159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84"/>
      <c r="L15" s="84"/>
      <c r="M15" s="84"/>
    </row>
    <row r="16" spans="1:13" ht="15">
      <c r="A16" s="87" t="s">
        <v>160</v>
      </c>
      <c r="B16" s="129">
        <v>23611707</v>
      </c>
      <c r="C16" s="129">
        <f>'2008 FA Continuity'!P11</f>
        <v>24103465.17</v>
      </c>
      <c r="D16" s="129">
        <f>C16-B16</f>
        <v>491758.1700000018</v>
      </c>
      <c r="E16" s="129">
        <f>'2009 FA Continuity'!P11</f>
        <v>26066828.000000004</v>
      </c>
      <c r="F16" s="129">
        <f aca="true" t="shared" si="4" ref="F16:J19">E16-C16</f>
        <v>1963362.830000002</v>
      </c>
      <c r="G16" s="129">
        <f>'2010 FA Continuity'!P11</f>
        <v>29014057.98556675</v>
      </c>
      <c r="H16" s="129">
        <f t="shared" si="4"/>
        <v>2947229.9855667464</v>
      </c>
      <c r="I16" s="129">
        <f>'2011 FA Continuity'!P11</f>
        <v>32268948.98556675</v>
      </c>
      <c r="J16" s="129">
        <f t="shared" si="4"/>
        <v>3254891</v>
      </c>
      <c r="K16" s="84"/>
      <c r="L16" s="84"/>
      <c r="M16" s="84"/>
    </row>
    <row r="17" spans="1:13" ht="15">
      <c r="A17" s="87" t="s">
        <v>161</v>
      </c>
      <c r="B17" s="129">
        <v>29172872</v>
      </c>
      <c r="C17" s="129">
        <f>'2008 FA Continuity'!P12</f>
        <v>28655392.02</v>
      </c>
      <c r="D17" s="129">
        <f>C17-B17</f>
        <v>-517479.98000000045</v>
      </c>
      <c r="E17" s="129">
        <f>'2009 FA Continuity'!P12</f>
        <v>31392269.25</v>
      </c>
      <c r="F17" s="129">
        <f t="shared" si="4"/>
        <v>2736877.2300000004</v>
      </c>
      <c r="G17" s="129">
        <f>'2010 FA Continuity'!P12</f>
        <v>34315605.46776666</v>
      </c>
      <c r="H17" s="129">
        <f t="shared" si="4"/>
        <v>2923336.2177666575</v>
      </c>
      <c r="I17" s="129">
        <f>'2011 FA Continuity'!P12</f>
        <v>37393603.46776666</v>
      </c>
      <c r="J17" s="129">
        <f t="shared" si="4"/>
        <v>3077998</v>
      </c>
      <c r="K17" s="84"/>
      <c r="L17" s="84"/>
      <c r="M17" s="84"/>
    </row>
    <row r="18" spans="1:13" ht="15">
      <c r="A18" s="87" t="s">
        <v>162</v>
      </c>
      <c r="B18" s="129">
        <v>59807959</v>
      </c>
      <c r="C18" s="129">
        <f>'2008 FA Continuity'!P13</f>
        <v>59633838.98</v>
      </c>
      <c r="D18" s="129">
        <f>C18-B18</f>
        <v>-174120.02000000328</v>
      </c>
      <c r="E18" s="129">
        <f>'2009 FA Continuity'!P13</f>
        <v>62741200.83</v>
      </c>
      <c r="F18" s="129">
        <f t="shared" si="4"/>
        <v>3107361.8500000015</v>
      </c>
      <c r="G18" s="129">
        <f>'2010 FA Continuity'!P13</f>
        <v>67397868.46353333</v>
      </c>
      <c r="H18" s="129">
        <f t="shared" si="4"/>
        <v>4656667.633533329</v>
      </c>
      <c r="I18" s="129">
        <f>'2011 FA Continuity'!P13</f>
        <v>72079193.46353333</v>
      </c>
      <c r="J18" s="129">
        <f t="shared" si="4"/>
        <v>4681325</v>
      </c>
      <c r="K18" s="84"/>
      <c r="L18" s="84"/>
      <c r="M18" s="84"/>
    </row>
    <row r="19" spans="1:13" ht="15">
      <c r="A19" s="87" t="s">
        <v>163</v>
      </c>
      <c r="B19" s="129">
        <v>55698366</v>
      </c>
      <c r="C19" s="129">
        <f>'2008 FA Continuity'!P14</f>
        <v>55727446.47</v>
      </c>
      <c r="D19" s="129">
        <f>C19-B19</f>
        <v>29080.469999998808</v>
      </c>
      <c r="E19" s="129">
        <f>'2009 FA Continuity'!P14</f>
        <v>56742929.44</v>
      </c>
      <c r="F19" s="129">
        <f t="shared" si="4"/>
        <v>1015482.9699999988</v>
      </c>
      <c r="G19" s="129">
        <f>'2010 FA Continuity'!P14</f>
        <v>61537601.51488334</v>
      </c>
      <c r="H19" s="129">
        <f t="shared" si="4"/>
        <v>4794672.074883342</v>
      </c>
      <c r="I19" s="129">
        <f>'2011 FA Continuity'!P14</f>
        <v>66507111.51488334</v>
      </c>
      <c r="J19" s="129">
        <f t="shared" si="4"/>
        <v>4969510</v>
      </c>
      <c r="K19" s="84"/>
      <c r="L19" s="84"/>
      <c r="M19" s="84"/>
    </row>
    <row r="20" spans="1:13" ht="15">
      <c r="A20" s="46" t="s">
        <v>164</v>
      </c>
      <c r="B20" s="134">
        <f>SUM(B16:B19)</f>
        <v>168290904</v>
      </c>
      <c r="C20" s="134">
        <f aca="true" t="shared" si="5" ref="C20:J20">SUM(C16:C19)</f>
        <v>168120142.64</v>
      </c>
      <c r="D20" s="134">
        <f t="shared" si="5"/>
        <v>-170761.36000000313</v>
      </c>
      <c r="E20" s="134">
        <f t="shared" si="5"/>
        <v>176943227.51999998</v>
      </c>
      <c r="F20" s="134">
        <f t="shared" si="5"/>
        <v>8823084.880000003</v>
      </c>
      <c r="G20" s="134">
        <f t="shared" si="5"/>
        <v>192265133.43175006</v>
      </c>
      <c r="H20" s="134">
        <f t="shared" si="5"/>
        <v>15321905.911750074</v>
      </c>
      <c r="I20" s="134">
        <f t="shared" si="5"/>
        <v>208248857.43175006</v>
      </c>
      <c r="J20" s="134">
        <f t="shared" si="5"/>
        <v>15983724</v>
      </c>
      <c r="K20" s="84"/>
      <c r="L20" s="84"/>
      <c r="M20" s="84"/>
    </row>
    <row r="21" spans="2:13" ht="15">
      <c r="B21" s="133"/>
      <c r="C21" s="133"/>
      <c r="D21" s="133"/>
      <c r="E21" s="133"/>
      <c r="F21" s="133"/>
      <c r="G21" s="133"/>
      <c r="H21" s="133"/>
      <c r="I21" s="133"/>
      <c r="J21" s="133"/>
      <c r="K21" s="84"/>
      <c r="L21" s="84"/>
      <c r="M21" s="84"/>
    </row>
    <row r="22" spans="1:13" ht="15">
      <c r="A22" s="83" t="s">
        <v>13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84"/>
      <c r="L22" s="84"/>
      <c r="M22" s="84"/>
    </row>
    <row r="23" spans="1:13" ht="15">
      <c r="A23" s="87" t="s">
        <v>165</v>
      </c>
      <c r="B23" s="129">
        <v>44819104</v>
      </c>
      <c r="C23" s="129">
        <f>'2008 FA Continuity'!P15</f>
        <v>44221865.11</v>
      </c>
      <c r="D23" s="129">
        <f>C23-B23</f>
        <v>-597238.8900000006</v>
      </c>
      <c r="E23" s="129">
        <f>'2009 FA Continuity'!P15</f>
        <v>46038177.24</v>
      </c>
      <c r="F23" s="129">
        <f>E23-C23</f>
        <v>1816312.1300000027</v>
      </c>
      <c r="G23" s="129">
        <f>'2010 FA Continuity'!P15</f>
        <v>49897582.76690004</v>
      </c>
      <c r="H23" s="129">
        <f>G23-E23</f>
        <v>3859405.526900038</v>
      </c>
      <c r="I23" s="129">
        <f>'2011 FA Continuity'!P15</f>
        <v>53856857.76690004</v>
      </c>
      <c r="J23" s="129">
        <f>I23-G23</f>
        <v>3959275</v>
      </c>
      <c r="K23" s="84"/>
      <c r="L23" s="84"/>
      <c r="M23" s="84"/>
    </row>
    <row r="24" spans="1:13" ht="15">
      <c r="A24" s="46" t="s">
        <v>191</v>
      </c>
      <c r="B24" s="134">
        <f>B23</f>
        <v>44819104</v>
      </c>
      <c r="C24" s="134">
        <f aca="true" t="shared" si="6" ref="C24:J24">C23</f>
        <v>44221865.11</v>
      </c>
      <c r="D24" s="134">
        <f t="shared" si="6"/>
        <v>-597238.8900000006</v>
      </c>
      <c r="E24" s="134">
        <f t="shared" si="6"/>
        <v>46038177.24</v>
      </c>
      <c r="F24" s="134">
        <f t="shared" si="6"/>
        <v>1816312.1300000027</v>
      </c>
      <c r="G24" s="134">
        <f t="shared" si="6"/>
        <v>49897582.76690004</v>
      </c>
      <c r="H24" s="134">
        <f t="shared" si="6"/>
        <v>3859405.526900038</v>
      </c>
      <c r="I24" s="134">
        <f t="shared" si="6"/>
        <v>53856857.76690004</v>
      </c>
      <c r="J24" s="134">
        <f t="shared" si="6"/>
        <v>3959275</v>
      </c>
      <c r="K24" s="84"/>
      <c r="L24" s="84"/>
      <c r="M24" s="84"/>
    </row>
    <row r="25" spans="2:13" ht="15">
      <c r="B25" s="133"/>
      <c r="C25" s="133"/>
      <c r="D25" s="133"/>
      <c r="E25" s="133"/>
      <c r="F25" s="133"/>
      <c r="G25" s="133"/>
      <c r="H25" s="133"/>
      <c r="I25" s="133"/>
      <c r="J25" s="133"/>
      <c r="K25" s="84"/>
      <c r="L25" s="84"/>
      <c r="M25" s="84"/>
    </row>
    <row r="26" spans="1:13" ht="15">
      <c r="A26" s="83" t="s">
        <v>166</v>
      </c>
      <c r="B26" s="133"/>
      <c r="C26" s="133"/>
      <c r="D26" s="133"/>
      <c r="E26" s="133"/>
      <c r="F26" s="133"/>
      <c r="G26" s="133"/>
      <c r="H26" s="133"/>
      <c r="I26" s="133"/>
      <c r="J26" s="133"/>
      <c r="K26" s="84"/>
      <c r="L26" s="84"/>
      <c r="M26" s="84"/>
    </row>
    <row r="27" spans="1:13" ht="15">
      <c r="A27" s="87" t="s">
        <v>167</v>
      </c>
      <c r="B27" s="129">
        <f>7635910-4000-2199.92</f>
        <v>7629710.08</v>
      </c>
      <c r="C27" s="129">
        <f>'2008 FA Continuity'!P16</f>
        <v>7711616.4399999995</v>
      </c>
      <c r="D27" s="129">
        <f>C27-B27</f>
        <v>81906.3599999994</v>
      </c>
      <c r="E27" s="129">
        <f>'2009 FA Continuity'!P16</f>
        <v>8685690.83</v>
      </c>
      <c r="F27" s="129">
        <f aca="true" t="shared" si="7" ref="F27:J28">E27-C27</f>
        <v>974074.3900000006</v>
      </c>
      <c r="G27" s="129">
        <f>'2010 FA Continuity'!P16</f>
        <v>9700695.325633332</v>
      </c>
      <c r="H27" s="129">
        <f t="shared" si="7"/>
        <v>1015004.4956333321</v>
      </c>
      <c r="I27" s="129">
        <f>'2011 FA Continuity'!P16</f>
        <v>10713723.325633332</v>
      </c>
      <c r="J27" s="129">
        <f t="shared" si="7"/>
        <v>1013028</v>
      </c>
      <c r="K27" s="84"/>
      <c r="L27" s="84"/>
      <c r="M27" s="84"/>
    </row>
    <row r="28" spans="1:13" ht="15">
      <c r="A28" s="87" t="s">
        <v>168</v>
      </c>
      <c r="B28" s="129">
        <v>15905687</v>
      </c>
      <c r="C28" s="129">
        <f>'2008 FA Continuity'!P17</f>
        <v>15941343.79</v>
      </c>
      <c r="D28" s="129">
        <f>C28-B28</f>
        <v>35656.789999999106</v>
      </c>
      <c r="E28" s="129">
        <f>'2009 FA Continuity'!P17</f>
        <v>16605869.6</v>
      </c>
      <c r="F28" s="129">
        <f t="shared" si="7"/>
        <v>664525.8100000005</v>
      </c>
      <c r="G28" s="129">
        <f>'2010 FA Continuity'!P17</f>
        <v>18085285.08062857</v>
      </c>
      <c r="H28" s="129">
        <f t="shared" si="7"/>
        <v>1479415.4806285705</v>
      </c>
      <c r="I28" s="129">
        <f>'2011 FA Continuity'!P17</f>
        <v>19598979.08062857</v>
      </c>
      <c r="J28" s="129">
        <f t="shared" si="7"/>
        <v>1513694</v>
      </c>
      <c r="K28" s="84"/>
      <c r="L28" s="84"/>
      <c r="M28" s="84"/>
    </row>
    <row r="29" spans="1:13" ht="15">
      <c r="A29" s="46" t="s">
        <v>169</v>
      </c>
      <c r="B29" s="134">
        <f>SUM(B27:B28)</f>
        <v>23535397.08</v>
      </c>
      <c r="C29" s="134">
        <f aca="true" t="shared" si="8" ref="C29:J29">SUM(C27:C28)</f>
        <v>23652960.229999997</v>
      </c>
      <c r="D29" s="134">
        <f t="shared" si="8"/>
        <v>117563.14999999851</v>
      </c>
      <c r="E29" s="134">
        <f t="shared" si="8"/>
        <v>25291560.43</v>
      </c>
      <c r="F29" s="134">
        <f t="shared" si="8"/>
        <v>1638600.2000000011</v>
      </c>
      <c r="G29" s="134">
        <f t="shared" si="8"/>
        <v>27785980.406261902</v>
      </c>
      <c r="H29" s="134">
        <f t="shared" si="8"/>
        <v>2494419.9762619026</v>
      </c>
      <c r="I29" s="134">
        <f t="shared" si="8"/>
        <v>30312702.406261902</v>
      </c>
      <c r="J29" s="134">
        <f t="shared" si="8"/>
        <v>2526722</v>
      </c>
      <c r="K29" s="84"/>
      <c r="L29" s="84"/>
      <c r="M29" s="84"/>
    </row>
    <row r="30" spans="2:13" ht="15">
      <c r="B30" s="133"/>
      <c r="C30" s="133"/>
      <c r="D30" s="133"/>
      <c r="E30" s="133"/>
      <c r="F30" s="133"/>
      <c r="G30" s="133"/>
      <c r="H30" s="133"/>
      <c r="I30" s="133"/>
      <c r="J30" s="133"/>
      <c r="K30" s="84"/>
      <c r="L30" s="84"/>
      <c r="M30" s="84"/>
    </row>
    <row r="31" spans="1:13" ht="15">
      <c r="A31" s="83" t="s">
        <v>170</v>
      </c>
      <c r="B31" s="133"/>
      <c r="C31" s="133"/>
      <c r="D31" s="133"/>
      <c r="E31" s="133"/>
      <c r="F31" s="133"/>
      <c r="G31" s="133"/>
      <c r="H31" s="133"/>
      <c r="I31" s="133"/>
      <c r="J31" s="133"/>
      <c r="K31" s="84"/>
      <c r="L31" s="84"/>
      <c r="M31" s="84"/>
    </row>
    <row r="32" spans="1:13" ht="15">
      <c r="A32" s="87" t="s">
        <v>171</v>
      </c>
      <c r="B32" s="129">
        <v>15813032</v>
      </c>
      <c r="C32" s="129">
        <f>'2008 FA Continuity'!P21</f>
        <v>15786762.66</v>
      </c>
      <c r="D32" s="129">
        <f>C32-B32</f>
        <v>-26269.33999999985</v>
      </c>
      <c r="E32" s="129">
        <f>'2009 FA Continuity'!P21</f>
        <v>17025093.37</v>
      </c>
      <c r="F32" s="129">
        <f>E32-C32</f>
        <v>1238330.710000001</v>
      </c>
      <c r="G32" s="129">
        <f>'2010 FA Continuity'!P21</f>
        <v>18293193.49677778</v>
      </c>
      <c r="H32" s="129">
        <f>G32-E32</f>
        <v>1268100.1267777793</v>
      </c>
      <c r="I32" s="129">
        <f>'2011 FA Continuity'!P21</f>
        <v>19590482.61677778</v>
      </c>
      <c r="J32" s="129">
        <f>I32-G32</f>
        <v>1297289.120000001</v>
      </c>
      <c r="K32" s="84"/>
      <c r="L32" s="84"/>
      <c r="M32" s="84"/>
    </row>
    <row r="33" spans="1:13" ht="15">
      <c r="A33" s="46" t="s">
        <v>172</v>
      </c>
      <c r="B33" s="134">
        <f>B32</f>
        <v>15813032</v>
      </c>
      <c r="C33" s="134">
        <f aca="true" t="shared" si="9" ref="C33:J33">C32</f>
        <v>15786762.66</v>
      </c>
      <c r="D33" s="134">
        <f t="shared" si="9"/>
        <v>-26269.33999999985</v>
      </c>
      <c r="E33" s="134">
        <f t="shared" si="9"/>
        <v>17025093.37</v>
      </c>
      <c r="F33" s="134">
        <f t="shared" si="9"/>
        <v>1238330.710000001</v>
      </c>
      <c r="G33" s="134">
        <f t="shared" si="9"/>
        <v>18293193.49677778</v>
      </c>
      <c r="H33" s="134">
        <f t="shared" si="9"/>
        <v>1268100.1267777793</v>
      </c>
      <c r="I33" s="134">
        <f t="shared" si="9"/>
        <v>19590482.61677778</v>
      </c>
      <c r="J33" s="134">
        <f t="shared" si="9"/>
        <v>1297289.120000001</v>
      </c>
      <c r="K33" s="84"/>
      <c r="L33" s="84"/>
      <c r="M33" s="84"/>
    </row>
    <row r="34" spans="2:13" ht="15">
      <c r="B34" s="133"/>
      <c r="C34" s="133"/>
      <c r="D34" s="133"/>
      <c r="E34" s="133"/>
      <c r="F34" s="133"/>
      <c r="G34" s="133"/>
      <c r="H34" s="133"/>
      <c r="I34" s="133"/>
      <c r="J34" s="133"/>
      <c r="K34" s="84"/>
      <c r="L34" s="84"/>
      <c r="M34" s="84"/>
    </row>
    <row r="35" spans="1:13" ht="15">
      <c r="A35" s="83" t="s">
        <v>173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84"/>
      <c r="L35" s="84"/>
      <c r="M35" s="84"/>
    </row>
    <row r="36" spans="1:13" ht="15">
      <c r="A36" s="87" t="s">
        <v>174</v>
      </c>
      <c r="B36" s="129">
        <f>6274651+221321+269800-43510-22992.4</f>
        <v>6699269.6</v>
      </c>
      <c r="C36" s="129">
        <f>'2008 FA Continuity'!P24+'2008 FA Continuity'!P25</f>
        <v>6469598.109999999</v>
      </c>
      <c r="D36" s="129">
        <f>C36-B36</f>
        <v>-229671.49000000022</v>
      </c>
      <c r="E36" s="129">
        <f>'2009 FA Continuity'!P24+'2009 FA Continuity'!P25</f>
        <v>6975885.549999999</v>
      </c>
      <c r="F36" s="129">
        <f aca="true" t="shared" si="10" ref="F36:J37">E36-C36</f>
        <v>506287.4399999995</v>
      </c>
      <c r="G36" s="129">
        <f>'2010 FA Continuity'!P24+'2010 FA Continuity'!P25</f>
        <v>7766697.6406666655</v>
      </c>
      <c r="H36" s="129">
        <f t="shared" si="10"/>
        <v>790812.0906666666</v>
      </c>
      <c r="I36" s="129">
        <f>'2011 FA Continuity'!P24+'2011 FA Continuity'!P25</f>
        <v>8767919.750666667</v>
      </c>
      <c r="J36" s="129">
        <f t="shared" si="10"/>
        <v>1001222.1100000013</v>
      </c>
      <c r="K36" s="84"/>
      <c r="L36" s="84"/>
      <c r="M36" s="84"/>
    </row>
    <row r="37" spans="1:13" ht="15">
      <c r="A37" s="87" t="s">
        <v>175</v>
      </c>
      <c r="B37" s="129">
        <f>5167129-25000-1666</f>
        <v>5140463</v>
      </c>
      <c r="C37" s="129">
        <f>'2008 FA Continuity'!P26</f>
        <v>4923294.399999999</v>
      </c>
      <c r="D37" s="129">
        <f>C37-B37</f>
        <v>-217168.60000000056</v>
      </c>
      <c r="E37" s="129">
        <f>'2009 FA Continuity'!P26</f>
        <v>6275340.059999999</v>
      </c>
      <c r="F37" s="129">
        <f t="shared" si="10"/>
        <v>1352045.6599999992</v>
      </c>
      <c r="G37" s="129">
        <f>'2010 FA Continuity'!P26</f>
        <v>8200278.376888887</v>
      </c>
      <c r="H37" s="129">
        <f t="shared" si="10"/>
        <v>1924938.3168888884</v>
      </c>
      <c r="I37" s="129">
        <f>'2011 FA Continuity'!P26</f>
        <v>10475735.886888886</v>
      </c>
      <c r="J37" s="129">
        <f t="shared" si="10"/>
        <v>2275457.509999999</v>
      </c>
      <c r="K37" s="84"/>
      <c r="L37" s="84"/>
      <c r="M37" s="84"/>
    </row>
    <row r="38" spans="1:13" ht="15">
      <c r="A38" s="46" t="s">
        <v>176</v>
      </c>
      <c r="B38" s="134">
        <f>SUM(B36:B37)</f>
        <v>11839732.6</v>
      </c>
      <c r="C38" s="134">
        <f aca="true" t="shared" si="11" ref="C38:J38">SUM(C36:C37)</f>
        <v>11392892.509999998</v>
      </c>
      <c r="D38" s="134">
        <f t="shared" si="11"/>
        <v>-446840.0900000008</v>
      </c>
      <c r="E38" s="134">
        <f t="shared" si="11"/>
        <v>13251225.609999998</v>
      </c>
      <c r="F38" s="134">
        <f t="shared" si="11"/>
        <v>1858333.0999999987</v>
      </c>
      <c r="G38" s="134">
        <f t="shared" si="11"/>
        <v>15966976.017555553</v>
      </c>
      <c r="H38" s="134">
        <f t="shared" si="11"/>
        <v>2715750.407555555</v>
      </c>
      <c r="I38" s="134">
        <f t="shared" si="11"/>
        <v>19243655.637555555</v>
      </c>
      <c r="J38" s="134">
        <f t="shared" si="11"/>
        <v>3276679.62</v>
      </c>
      <c r="K38" s="84"/>
      <c r="L38" s="84"/>
      <c r="M38" s="84"/>
    </row>
    <row r="39" spans="2:13" ht="15">
      <c r="B39" s="133"/>
      <c r="C39" s="133"/>
      <c r="D39" s="133"/>
      <c r="E39" s="133"/>
      <c r="F39" s="133"/>
      <c r="G39" s="133"/>
      <c r="H39" s="133"/>
      <c r="I39" s="133"/>
      <c r="J39" s="133"/>
      <c r="K39" s="84"/>
      <c r="L39" s="84"/>
      <c r="M39" s="84"/>
    </row>
    <row r="40" spans="1:13" ht="15">
      <c r="A40" s="83" t="s">
        <v>177</v>
      </c>
      <c r="B40" s="133"/>
      <c r="C40" s="133"/>
      <c r="D40" s="133"/>
      <c r="E40" s="133"/>
      <c r="F40" s="133"/>
      <c r="G40" s="133"/>
      <c r="H40" s="133"/>
      <c r="I40" s="133"/>
      <c r="J40" s="133"/>
      <c r="K40" s="84"/>
      <c r="L40" s="84"/>
      <c r="M40" s="84"/>
    </row>
    <row r="41" spans="1:13" ht="15">
      <c r="A41" s="87" t="s">
        <v>178</v>
      </c>
      <c r="B41" s="129">
        <v>3415987</v>
      </c>
      <c r="C41" s="129">
        <f>'2008 FA Continuity'!P23</f>
        <v>3394787.2300000004</v>
      </c>
      <c r="D41" s="129">
        <f aca="true" t="shared" si="12" ref="D41:D49">C41-B41</f>
        <v>-21199.769999999553</v>
      </c>
      <c r="E41" s="129">
        <f>'2009 FA Continuity'!P23</f>
        <v>3572955.6000000006</v>
      </c>
      <c r="F41" s="129">
        <f aca="true" t="shared" si="13" ref="F41:J49">E41-C41</f>
        <v>178168.3700000001</v>
      </c>
      <c r="G41" s="129">
        <f>'2010 FA Continuity'!P23</f>
        <v>3795932.397666667</v>
      </c>
      <c r="H41" s="129">
        <f t="shared" si="13"/>
        <v>222976.79766666656</v>
      </c>
      <c r="I41" s="129">
        <f>'2011 FA Continuity'!P23</f>
        <v>4040031.397666667</v>
      </c>
      <c r="J41" s="129">
        <f t="shared" si="13"/>
        <v>244099</v>
      </c>
      <c r="K41" s="84"/>
      <c r="L41" s="84"/>
      <c r="M41" s="84"/>
    </row>
    <row r="42" spans="1:13" ht="15">
      <c r="A42" s="87" t="s">
        <v>179</v>
      </c>
      <c r="B42" s="129">
        <v>12469592</v>
      </c>
      <c r="C42" s="129">
        <f>'2008 FA Continuity'!P27</f>
        <v>11623709.400000002</v>
      </c>
      <c r="D42" s="129">
        <f t="shared" si="12"/>
        <v>-845882.5999999978</v>
      </c>
      <c r="E42" s="129">
        <f>'2009 FA Continuity'!P27</f>
        <v>11223609.71</v>
      </c>
      <c r="F42" s="129">
        <f t="shared" si="13"/>
        <v>-400099.69000000134</v>
      </c>
      <c r="G42" s="129">
        <f>'2010 FA Continuity'!P27</f>
        <v>12598139.322442308</v>
      </c>
      <c r="H42" s="129">
        <f t="shared" si="13"/>
        <v>1374529.6124423072</v>
      </c>
      <c r="I42" s="129">
        <f>'2011 FA Continuity'!P27</f>
        <v>13963570.322442308</v>
      </c>
      <c r="J42" s="129">
        <f t="shared" si="13"/>
        <v>1365431</v>
      </c>
      <c r="K42" s="84"/>
      <c r="L42" s="84"/>
      <c r="M42" s="84"/>
    </row>
    <row r="43" spans="1:13" ht="15">
      <c r="A43" s="87" t="s">
        <v>180</v>
      </c>
      <c r="B43" s="129">
        <f>483500-1000</f>
        <v>482500</v>
      </c>
      <c r="C43" s="129">
        <f>'2008 FA Continuity'!P28</f>
        <v>470305.73</v>
      </c>
      <c r="D43" s="129">
        <f t="shared" si="12"/>
        <v>-12194.270000000019</v>
      </c>
      <c r="E43" s="129">
        <f>'2009 FA Continuity'!P28</f>
        <v>508718.12</v>
      </c>
      <c r="F43" s="129">
        <f t="shared" si="13"/>
        <v>38412.390000000014</v>
      </c>
      <c r="G43" s="129">
        <f>'2010 FA Continuity'!P28</f>
        <v>555294.704</v>
      </c>
      <c r="H43" s="129">
        <f t="shared" si="13"/>
        <v>46576.58400000003</v>
      </c>
      <c r="I43" s="129">
        <f>'2011 FA Continuity'!P28</f>
        <v>601328.704</v>
      </c>
      <c r="J43" s="129">
        <f t="shared" si="13"/>
        <v>46034</v>
      </c>
      <c r="K43" s="84"/>
      <c r="L43" s="84"/>
      <c r="M43" s="84"/>
    </row>
    <row r="44" spans="1:13" ht="15">
      <c r="A44" s="87" t="s">
        <v>181</v>
      </c>
      <c r="B44" s="129">
        <f>5480110-280-949.85</f>
        <v>5478880.15</v>
      </c>
      <c r="C44" s="129">
        <f>'2008 FA Continuity'!P29</f>
        <v>5461536.540000001</v>
      </c>
      <c r="D44" s="129">
        <f t="shared" si="12"/>
        <v>-17343.609999999404</v>
      </c>
      <c r="E44" s="129">
        <f>'2009 FA Continuity'!P29</f>
        <v>5749616.330000001</v>
      </c>
      <c r="F44" s="129">
        <f t="shared" si="13"/>
        <v>288079.79000000004</v>
      </c>
      <c r="G44" s="129">
        <f>'2010 FA Continuity'!P29</f>
        <v>6060329.601533335</v>
      </c>
      <c r="H44" s="129">
        <f t="shared" si="13"/>
        <v>310713.2715333337</v>
      </c>
      <c r="I44" s="129">
        <f>'2011 FA Continuity'!P29</f>
        <v>6397769.631533335</v>
      </c>
      <c r="J44" s="129">
        <f t="shared" si="13"/>
        <v>337440.03000000026</v>
      </c>
      <c r="K44" s="84"/>
      <c r="L44" s="84"/>
      <c r="M44" s="84"/>
    </row>
    <row r="45" spans="1:13" ht="15">
      <c r="A45" s="87" t="s">
        <v>182</v>
      </c>
      <c r="B45" s="129">
        <v>878663</v>
      </c>
      <c r="C45" s="129">
        <f>'2008 FA Continuity'!P30</f>
        <v>862518.2999999999</v>
      </c>
      <c r="D45" s="129">
        <f t="shared" si="12"/>
        <v>-16144.70000000007</v>
      </c>
      <c r="E45" s="129">
        <f>'2009 FA Continuity'!P30</f>
        <v>947240.1199999999</v>
      </c>
      <c r="F45" s="129">
        <f t="shared" si="13"/>
        <v>84721.81999999995</v>
      </c>
      <c r="G45" s="129">
        <f>'2010 FA Continuity'!P30</f>
        <v>1043386.8783333332</v>
      </c>
      <c r="H45" s="129">
        <f t="shared" si="13"/>
        <v>96146.7583333333</v>
      </c>
      <c r="I45" s="129">
        <f>'2011 FA Continuity'!P30</f>
        <v>1149462.8783333332</v>
      </c>
      <c r="J45" s="129">
        <f t="shared" si="13"/>
        <v>106076</v>
      </c>
      <c r="K45" s="84"/>
      <c r="L45" s="84"/>
      <c r="M45" s="84"/>
    </row>
    <row r="46" spans="1:13" ht="15">
      <c r="A46" s="87" t="s">
        <v>192</v>
      </c>
      <c r="B46" s="129">
        <v>93539</v>
      </c>
      <c r="C46" s="129">
        <f>'2008 FA Continuity'!P31</f>
        <v>85801.83</v>
      </c>
      <c r="D46" s="129">
        <f t="shared" si="12"/>
        <v>-7737.169999999998</v>
      </c>
      <c r="E46" s="129">
        <f>'2009 FA Continuity'!P31</f>
        <v>97238.19</v>
      </c>
      <c r="F46" s="129">
        <f t="shared" si="13"/>
        <v>11436.36</v>
      </c>
      <c r="G46" s="129">
        <f>'2010 FA Continuity'!P31</f>
        <v>108674.558</v>
      </c>
      <c r="H46" s="129">
        <f t="shared" si="13"/>
        <v>11436.368000000002</v>
      </c>
      <c r="I46" s="129">
        <f>'2011 FA Continuity'!P31</f>
        <v>120110.926</v>
      </c>
      <c r="J46" s="129">
        <f t="shared" si="13"/>
        <v>11436.368000000002</v>
      </c>
      <c r="K46" s="84"/>
      <c r="L46" s="84"/>
      <c r="M46" s="84"/>
    </row>
    <row r="47" spans="1:13" ht="15">
      <c r="A47" s="87" t="s">
        <v>183</v>
      </c>
      <c r="B47" s="129">
        <v>418133</v>
      </c>
      <c r="C47" s="129">
        <f>'2008 FA Continuity'!P32</f>
        <v>392639.82</v>
      </c>
      <c r="D47" s="129">
        <f t="shared" si="12"/>
        <v>-25493.179999999993</v>
      </c>
      <c r="E47" s="129">
        <f>'2009 FA Continuity'!P32</f>
        <v>511344.49</v>
      </c>
      <c r="F47" s="129">
        <f t="shared" si="13"/>
        <v>118704.66999999998</v>
      </c>
      <c r="G47" s="129">
        <f>'2010 FA Continuity'!P32</f>
        <v>649002.0916666667</v>
      </c>
      <c r="H47" s="129">
        <f t="shared" si="13"/>
        <v>137657.60166666668</v>
      </c>
      <c r="I47" s="129">
        <f>'2011 FA Continuity'!P32</f>
        <v>855667.0916666667</v>
      </c>
      <c r="J47" s="129">
        <f t="shared" si="13"/>
        <v>206665</v>
      </c>
      <c r="K47" s="84"/>
      <c r="L47" s="84"/>
      <c r="M47" s="84"/>
    </row>
    <row r="48" spans="1:13" ht="15">
      <c r="A48" s="87" t="s">
        <v>184</v>
      </c>
      <c r="B48" s="129">
        <f>0+91184</f>
        <v>91184</v>
      </c>
      <c r="C48" s="129">
        <f>'2008 FA Continuity'!P33</f>
        <v>99926.07</v>
      </c>
      <c r="D48" s="129">
        <f t="shared" si="12"/>
        <v>8742.070000000007</v>
      </c>
      <c r="E48" s="129">
        <f>'2009 FA Continuity'!P33</f>
        <v>151458.99</v>
      </c>
      <c r="F48" s="129">
        <f t="shared" si="13"/>
        <v>51532.919999999984</v>
      </c>
      <c r="G48" s="129">
        <f>'2010 FA Continuity'!P33</f>
        <v>202991.989</v>
      </c>
      <c r="H48" s="129">
        <f t="shared" si="13"/>
        <v>51532.99900000001</v>
      </c>
      <c r="I48" s="129">
        <f>'2011 FA Continuity'!P33</f>
        <v>254524.988</v>
      </c>
      <c r="J48" s="129">
        <f t="shared" si="13"/>
        <v>51532.99900000001</v>
      </c>
      <c r="K48" s="84"/>
      <c r="L48" s="84"/>
      <c r="M48" s="84"/>
    </row>
    <row r="49" spans="1:13" ht="15">
      <c r="A49" s="87" t="s">
        <v>193</v>
      </c>
      <c r="B49" s="129">
        <v>2949017</v>
      </c>
      <c r="C49" s="129">
        <f>'2008 FA Continuity'!P34</f>
        <v>2946815.58</v>
      </c>
      <c r="D49" s="129">
        <f t="shared" si="12"/>
        <v>-2201.4199999999255</v>
      </c>
      <c r="E49" s="129">
        <f>'2009 FA Continuity'!P34</f>
        <v>3026481.7800000003</v>
      </c>
      <c r="F49" s="129">
        <f t="shared" si="13"/>
        <v>79666.20000000019</v>
      </c>
      <c r="G49" s="129">
        <f>'2010 FA Continuity'!P34</f>
        <v>3106630.689066667</v>
      </c>
      <c r="H49" s="129">
        <f t="shared" si="13"/>
        <v>80148.90906666685</v>
      </c>
      <c r="I49" s="129">
        <f>'2011 FA Continuity'!P34</f>
        <v>3184089.689066667</v>
      </c>
      <c r="J49" s="129">
        <f t="shared" si="13"/>
        <v>77459</v>
      </c>
      <c r="K49" s="84"/>
      <c r="L49" s="84"/>
      <c r="M49" s="84"/>
    </row>
    <row r="50" spans="1:13" ht="15">
      <c r="A50" s="46" t="s">
        <v>185</v>
      </c>
      <c r="B50" s="134">
        <f>SUM(B41:B49)</f>
        <v>26277495.15</v>
      </c>
      <c r="C50" s="134">
        <f aca="true" t="shared" si="14" ref="C50:J50">SUM(C41:C49)</f>
        <v>25338040.500000007</v>
      </c>
      <c r="D50" s="134">
        <f t="shared" si="14"/>
        <v>-939454.6499999966</v>
      </c>
      <c r="E50" s="134">
        <f t="shared" si="14"/>
        <v>25788663.330000002</v>
      </c>
      <c r="F50" s="134">
        <f t="shared" si="14"/>
        <v>450622.8299999989</v>
      </c>
      <c r="G50" s="134">
        <f t="shared" si="14"/>
        <v>28120382.231708974</v>
      </c>
      <c r="H50" s="134">
        <f t="shared" si="14"/>
        <v>2331718.901708974</v>
      </c>
      <c r="I50" s="134">
        <f t="shared" si="14"/>
        <v>30566555.628708977</v>
      </c>
      <c r="J50" s="134">
        <f t="shared" si="14"/>
        <v>2446173.397</v>
      </c>
      <c r="K50" s="84"/>
      <c r="L50" s="84"/>
      <c r="M50" s="84"/>
    </row>
    <row r="51" spans="2:13" ht="15">
      <c r="B51" s="133"/>
      <c r="C51" s="133"/>
      <c r="D51" s="133"/>
      <c r="E51" s="133"/>
      <c r="F51" s="133"/>
      <c r="G51" s="133"/>
      <c r="H51" s="133"/>
      <c r="I51" s="133"/>
      <c r="J51" s="133"/>
      <c r="K51" s="84"/>
      <c r="L51" s="84"/>
      <c r="M51" s="84"/>
    </row>
    <row r="52" spans="1:13" ht="15">
      <c r="A52" s="83" t="s">
        <v>186</v>
      </c>
      <c r="B52" s="133"/>
      <c r="C52" s="133"/>
      <c r="D52" s="133"/>
      <c r="E52" s="133"/>
      <c r="F52" s="133"/>
      <c r="G52" s="133"/>
      <c r="H52" s="133"/>
      <c r="I52" s="133"/>
      <c r="J52" s="133"/>
      <c r="K52" s="84"/>
      <c r="L52" s="84"/>
      <c r="M52" s="84"/>
    </row>
    <row r="53" spans="1:13" ht="15">
      <c r="A53" s="87" t="s">
        <v>187</v>
      </c>
      <c r="B53" s="129"/>
      <c r="C53" s="129"/>
      <c r="D53" s="129">
        <f>C53-B53</f>
        <v>0</v>
      </c>
      <c r="E53" s="129"/>
      <c r="F53" s="129">
        <f aca="true" t="shared" si="15" ref="F53:J54">E53-C53</f>
        <v>0</v>
      </c>
      <c r="G53" s="129"/>
      <c r="H53" s="129">
        <f t="shared" si="15"/>
        <v>0</v>
      </c>
      <c r="I53" s="129"/>
      <c r="J53" s="129">
        <f t="shared" si="15"/>
        <v>0</v>
      </c>
      <c r="K53" s="84"/>
      <c r="L53" s="84"/>
      <c r="M53" s="84"/>
    </row>
    <row r="54" spans="1:13" ht="15">
      <c r="A54" s="87" t="s">
        <v>188</v>
      </c>
      <c r="B54" s="129">
        <f>764634-2446909</f>
        <v>-1682275</v>
      </c>
      <c r="C54" s="129">
        <f>'2008 FA Continuity'!P35+'2008 FA Continuity'!P36</f>
        <v>-1709558.7785833331</v>
      </c>
      <c r="D54" s="129">
        <f>C54-B54</f>
        <v>-27283.77858333313</v>
      </c>
      <c r="E54" s="129">
        <f>'2009 FA Continuity'!P35+'2009 FA Continuity'!P36</f>
        <v>-2610279.734083333</v>
      </c>
      <c r="F54" s="129">
        <f t="shared" si="15"/>
        <v>-900720.9554999999</v>
      </c>
      <c r="G54" s="129">
        <f>'2010 FA Continuity'!P35+'2010 FA Continuity'!P36</f>
        <v>-3600089.529716667</v>
      </c>
      <c r="H54" s="129">
        <f t="shared" si="15"/>
        <v>-989809.7956333337</v>
      </c>
      <c r="I54" s="129">
        <f>'2011 FA Continuity'!P35+'2011 FA Continuity'!P36</f>
        <v>-4663447.529716667</v>
      </c>
      <c r="J54" s="129">
        <f t="shared" si="15"/>
        <v>-1063358</v>
      </c>
      <c r="K54" s="84"/>
      <c r="L54" s="84"/>
      <c r="M54" s="84"/>
    </row>
    <row r="55" spans="1:13" ht="15">
      <c r="A55" s="46" t="s">
        <v>189</v>
      </c>
      <c r="B55" s="134">
        <f>SUM(B53:B54)</f>
        <v>-1682275</v>
      </c>
      <c r="C55" s="134">
        <f aca="true" t="shared" si="16" ref="C55:J55">SUM(C53:C54)</f>
        <v>-1709558.7785833331</v>
      </c>
      <c r="D55" s="134">
        <f t="shared" si="16"/>
        <v>-27283.77858333313</v>
      </c>
      <c r="E55" s="134">
        <f t="shared" si="16"/>
        <v>-2610279.734083333</v>
      </c>
      <c r="F55" s="134">
        <f t="shared" si="16"/>
        <v>-900720.9554999999</v>
      </c>
      <c r="G55" s="134">
        <f t="shared" si="16"/>
        <v>-3600089.529716667</v>
      </c>
      <c r="H55" s="134">
        <f t="shared" si="16"/>
        <v>-989809.7956333337</v>
      </c>
      <c r="I55" s="134">
        <f t="shared" si="16"/>
        <v>-4663447.529716667</v>
      </c>
      <c r="J55" s="134">
        <f t="shared" si="16"/>
        <v>-1063358</v>
      </c>
      <c r="K55" s="84"/>
      <c r="L55" s="84"/>
      <c r="M55" s="84"/>
    </row>
    <row r="56" spans="2:13" ht="15">
      <c r="B56" s="133"/>
      <c r="C56" s="133"/>
      <c r="D56" s="133"/>
      <c r="E56" s="133"/>
      <c r="F56" s="133"/>
      <c r="G56" s="133"/>
      <c r="H56" s="133"/>
      <c r="I56" s="133"/>
      <c r="J56" s="133"/>
      <c r="K56" s="84"/>
      <c r="L56" s="84"/>
      <c r="M56" s="84"/>
    </row>
    <row r="57" spans="1:13" ht="15.75" thickBot="1">
      <c r="A57" s="83" t="s">
        <v>194</v>
      </c>
      <c r="B57" s="85">
        <f>B9+B13+B20+B24+B29+B33+B38+B50+B55</f>
        <v>299272402.83</v>
      </c>
      <c r="C57" s="85">
        <f aca="true" t="shared" si="17" ref="C57:J57">C9+C13+C20+C24+C29+C33+C38+C50+C55</f>
        <v>297186228.7014166</v>
      </c>
      <c r="D57" s="85">
        <f t="shared" si="17"/>
        <v>-2086174.128583336</v>
      </c>
      <c r="E57" s="85">
        <f t="shared" si="17"/>
        <v>312468399.71591663</v>
      </c>
      <c r="F57" s="85">
        <f t="shared" si="17"/>
        <v>15282171.014500007</v>
      </c>
      <c r="G57" s="85">
        <f t="shared" si="17"/>
        <v>339826078.2986323</v>
      </c>
      <c r="H57" s="85">
        <f t="shared" si="17"/>
        <v>27357678.58271576</v>
      </c>
      <c r="I57" s="85">
        <f t="shared" si="17"/>
        <v>368608680.51102716</v>
      </c>
      <c r="J57" s="85">
        <f t="shared" si="17"/>
        <v>28782602.212394774</v>
      </c>
      <c r="K57" s="84"/>
      <c r="L57" s="84"/>
      <c r="M57" s="84"/>
    </row>
    <row r="58" spans="2:13" ht="15.75" thickTop="1">
      <c r="B58" s="84">
        <f>1091514</f>
        <v>1091514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2:13" ht="15">
      <c r="B59" s="84">
        <f>B57+B58</f>
        <v>300363916.83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1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2:13" ht="15">
      <c r="B62" s="84"/>
      <c r="C62" s="84"/>
      <c r="D62" s="84">
        <f>293471703-280832772</f>
        <v>12638931</v>
      </c>
      <c r="E62" s="84"/>
      <c r="F62" s="84"/>
      <c r="G62" s="84"/>
      <c r="H62" s="84"/>
      <c r="I62" s="84"/>
      <c r="J62" s="84"/>
      <c r="K62" s="84"/>
      <c r="L62" s="84"/>
      <c r="M62" s="84"/>
    </row>
    <row r="63" spans="2:13" ht="1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2:13" ht="1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2:13" ht="1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2:13" ht="1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2:13" ht="1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2:13" ht="1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2:13" ht="1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spans="2:13" ht="1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spans="2:13" ht="1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</row>
    <row r="72" spans="2:13" ht="1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2:13" ht="15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spans="2:13" ht="15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</row>
    <row r="75" spans="2:13" ht="15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</row>
    <row r="76" spans="2:13" ht="15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spans="2:13" ht="15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spans="2:13" ht="1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</row>
    <row r="79" spans="2:13" ht="1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spans="2:13" ht="15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spans="2:13" ht="15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spans="2:13" ht="15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2:13" ht="15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</row>
    <row r="84" spans="2:13" ht="15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5" spans="2:13" ht="15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</row>
    <row r="86" spans="2:13" ht="15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spans="2:13" ht="15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spans="2:13" ht="15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15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5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2:13" ht="15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</row>
    <row r="92" spans="2:13" ht="15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spans="2:13" ht="15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</row>
    <row r="94" spans="2:13" ht="15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</row>
    <row r="95" spans="2:13" ht="15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2:13" ht="15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2:13" ht="15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spans="2:13" ht="15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</row>
    <row r="99" spans="2:13" ht="15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</row>
    <row r="100" spans="2:13" ht="15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</row>
    <row r="101" spans="2:13" ht="15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</row>
    <row r="102" spans="2:13" ht="15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</row>
    <row r="103" spans="2:13" ht="15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</row>
    <row r="104" spans="2:13" ht="15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15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5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</row>
    <row r="107" spans="2:13" ht="15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</row>
    <row r="108" spans="2:13" ht="15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</row>
    <row r="109" spans="2:13" ht="15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</row>
    <row r="110" spans="2:13" ht="15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</row>
    <row r="111" spans="2:13" ht="15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</row>
    <row r="112" spans="2:13" ht="15"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</row>
    <row r="113" spans="2:13" ht="15"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</row>
    <row r="114" spans="2:13" ht="15"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</row>
    <row r="115" spans="2:13" ht="15"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</row>
    <row r="116" spans="2:13" ht="15"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</row>
    <row r="117" spans="2:13" ht="15"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</row>
    <row r="118" spans="2:13" ht="15"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</row>
    <row r="119" spans="2:13" ht="15"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</row>
    <row r="120" spans="2:13" ht="15"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</row>
    <row r="121" spans="2:13" ht="15"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</row>
    <row r="122" spans="2:13" ht="15"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</row>
    <row r="123" spans="2:13" ht="15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</row>
    <row r="124" spans="2:13" ht="15"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</row>
    <row r="125" spans="2:13" ht="15"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</row>
    <row r="126" spans="2:13" ht="15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</row>
    <row r="127" spans="2:13" ht="15"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</row>
    <row r="128" spans="2:13" ht="15"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</row>
    <row r="129" spans="2:13" ht="15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</row>
    <row r="130" spans="2:13" ht="15"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</row>
    <row r="131" spans="2:13" ht="15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</row>
    <row r="132" spans="2:13" ht="15"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</row>
    <row r="133" spans="2:13" ht="15"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</row>
    <row r="134" spans="2:13" ht="15"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</row>
    <row r="135" spans="2:13" ht="15"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</row>
    <row r="136" spans="2:13" ht="15"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</row>
    <row r="137" spans="2:13" ht="15"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E8" sqref="E8"/>
    </sheetView>
  </sheetViews>
  <sheetFormatPr defaultColWidth="9.140625" defaultRowHeight="15"/>
  <cols>
    <col min="3" max="3" width="34.28125" style="0" bestFit="1" customWidth="1"/>
    <col min="4" max="4" width="12.7109375" style="0" bestFit="1" customWidth="1"/>
    <col min="5" max="5" width="12.57421875" style="0" bestFit="1" customWidth="1"/>
    <col min="6" max="6" width="11.00390625" style="0" bestFit="1" customWidth="1"/>
    <col min="7" max="7" width="12.00390625" style="0" bestFit="1" customWidth="1"/>
    <col min="8" max="8" width="15.140625" style="0" customWidth="1"/>
    <col min="9" max="9" width="30.140625" style="0" bestFit="1" customWidth="1"/>
    <col min="10" max="10" width="0.5625" style="0" customWidth="1"/>
    <col min="11" max="11" width="24.8515625" style="0" bestFit="1" customWidth="1"/>
    <col min="12" max="12" width="12.7109375" style="0" bestFit="1" customWidth="1"/>
    <col min="13" max="13" width="11.00390625" style="0" bestFit="1" customWidth="1"/>
    <col min="14" max="14" width="11.00390625" style="0" customWidth="1"/>
    <col min="15" max="15" width="13.00390625" style="0" customWidth="1"/>
    <col min="16" max="16" width="12.7109375" style="0" bestFit="1" customWidth="1"/>
    <col min="17" max="17" width="18.7109375" style="0" bestFit="1" customWidth="1"/>
    <col min="18" max="19" width="11.140625" style="0" bestFit="1" customWidth="1"/>
  </cols>
  <sheetData>
    <row r="1" spans="2:19" s="2" customFormat="1" ht="15">
      <c r="B1" s="136" t="s">
        <v>28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3"/>
      <c r="S1" s="3"/>
    </row>
    <row r="2" spans="2:19" s="2" customFormat="1" ht="15">
      <c r="B2" s="136" t="s">
        <v>29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3"/>
      <c r="S2" s="3"/>
    </row>
    <row r="3" spans="2:19" s="2" customFormat="1" ht="15">
      <c r="B3" s="137">
        <v>38717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3"/>
      <c r="S3" s="3"/>
    </row>
    <row r="4" spans="3:19" s="2" customFormat="1" ht="15">
      <c r="C4" s="1"/>
      <c r="D4" s="25" t="s">
        <v>0</v>
      </c>
      <c r="E4" s="25"/>
      <c r="F4" s="25"/>
      <c r="G4" s="25"/>
      <c r="H4" s="25"/>
      <c r="I4" s="25"/>
      <c r="J4" s="4"/>
      <c r="K4" s="25" t="s">
        <v>1</v>
      </c>
      <c r="L4" s="25"/>
      <c r="M4" s="25"/>
      <c r="N4" s="25"/>
      <c r="O4" s="25"/>
      <c r="P4" s="25"/>
      <c r="Q4" s="3"/>
      <c r="R4" s="3"/>
      <c r="S4" s="3"/>
    </row>
    <row r="5" spans="1:19" s="2" customFormat="1" ht="45">
      <c r="A5" s="32" t="s">
        <v>45</v>
      </c>
      <c r="B5" s="32" t="s">
        <v>46</v>
      </c>
      <c r="C5" s="32" t="s">
        <v>63</v>
      </c>
      <c r="D5" s="32" t="s">
        <v>48</v>
      </c>
      <c r="E5" s="32" t="s">
        <v>3</v>
      </c>
      <c r="F5" s="32" t="s">
        <v>4</v>
      </c>
      <c r="G5" s="32" t="s">
        <v>61</v>
      </c>
      <c r="H5" s="32" t="s">
        <v>62</v>
      </c>
      <c r="I5" s="32" t="s">
        <v>49</v>
      </c>
      <c r="J5" s="31"/>
      <c r="K5" s="32" t="s">
        <v>48</v>
      </c>
      <c r="L5" s="32" t="s">
        <v>3</v>
      </c>
      <c r="M5" s="32" t="s">
        <v>4</v>
      </c>
      <c r="N5" s="32" t="s">
        <v>61</v>
      </c>
      <c r="O5" s="32" t="s">
        <v>62</v>
      </c>
      <c r="P5" s="32" t="s">
        <v>49</v>
      </c>
      <c r="Q5" s="32" t="s">
        <v>50</v>
      </c>
      <c r="R5" s="32" t="s">
        <v>64</v>
      </c>
      <c r="S5" s="32" t="s">
        <v>65</v>
      </c>
    </row>
    <row r="6" spans="1:19" s="2" customFormat="1" ht="15">
      <c r="A6" s="26"/>
      <c r="B6" s="26">
        <v>1675</v>
      </c>
      <c r="C6" s="27" t="s">
        <v>5</v>
      </c>
      <c r="D6" s="28">
        <v>0</v>
      </c>
      <c r="E6" s="29">
        <v>0</v>
      </c>
      <c r="F6" s="47">
        <v>0</v>
      </c>
      <c r="G6" s="47"/>
      <c r="H6" s="47"/>
      <c r="I6" s="30">
        <f>D6+E6-F6-G6-H6</f>
        <v>0</v>
      </c>
      <c r="J6" s="24"/>
      <c r="K6" s="30">
        <v>0</v>
      </c>
      <c r="L6" s="47">
        <v>0</v>
      </c>
      <c r="M6" s="47">
        <v>0</v>
      </c>
      <c r="N6" s="47"/>
      <c r="O6" s="47"/>
      <c r="P6" s="30">
        <f>K6+L6-M6-N6-O6</f>
        <v>0</v>
      </c>
      <c r="Q6" s="30">
        <f>I6-P6</f>
        <v>0</v>
      </c>
      <c r="R6" s="30">
        <v>0</v>
      </c>
      <c r="S6" s="30">
        <v>0</v>
      </c>
    </row>
    <row r="7" spans="1:19" s="2" customFormat="1" ht="15">
      <c r="A7" s="14" t="s">
        <v>51</v>
      </c>
      <c r="B7" s="26">
        <v>1805</v>
      </c>
      <c r="C7" s="27" t="s">
        <v>6</v>
      </c>
      <c r="D7" s="28">
        <v>415930.32</v>
      </c>
      <c r="E7" s="29">
        <v>-4.551914400963142E-15</v>
      </c>
      <c r="F7" s="47">
        <v>788.87</v>
      </c>
      <c r="G7" s="47"/>
      <c r="H7" s="47"/>
      <c r="I7" s="30">
        <f aca="true" t="shared" si="0" ref="I7:I36">D7+E7-F7-G7-H7</f>
        <v>415141.45</v>
      </c>
      <c r="J7" s="24"/>
      <c r="K7" s="30">
        <v>0</v>
      </c>
      <c r="L7" s="47">
        <v>0</v>
      </c>
      <c r="M7" s="47">
        <v>0</v>
      </c>
      <c r="N7" s="47"/>
      <c r="O7" s="47"/>
      <c r="P7" s="30">
        <f aca="true" t="shared" si="1" ref="P7:P36">K7+L7-M7-N7-O7</f>
        <v>0</v>
      </c>
      <c r="Q7" s="30">
        <f aca="true" t="shared" si="2" ref="Q7:Q36">I7-P7</f>
        <v>415141.45</v>
      </c>
      <c r="R7" s="30">
        <v>0</v>
      </c>
      <c r="S7" s="30">
        <v>0</v>
      </c>
    </row>
    <row r="8" spans="1:19" s="2" customFormat="1" ht="15">
      <c r="A8" s="14">
        <v>47</v>
      </c>
      <c r="B8" s="26">
        <v>1808</v>
      </c>
      <c r="C8" s="27" t="s">
        <v>7</v>
      </c>
      <c r="D8" s="28">
        <v>1805536.37</v>
      </c>
      <c r="E8" s="29">
        <v>178444.38</v>
      </c>
      <c r="F8" s="47">
        <v>0</v>
      </c>
      <c r="G8" s="47"/>
      <c r="H8" s="47"/>
      <c r="I8" s="30">
        <f t="shared" si="0"/>
        <v>1983980.75</v>
      </c>
      <c r="J8" s="24"/>
      <c r="K8" s="30">
        <v>1149137.508</v>
      </c>
      <c r="L8" s="47">
        <v>62260.102</v>
      </c>
      <c r="M8" s="47">
        <v>0</v>
      </c>
      <c r="N8" s="47"/>
      <c r="O8" s="47"/>
      <c r="P8" s="30">
        <f t="shared" si="1"/>
        <v>1211397.6099999999</v>
      </c>
      <c r="Q8" s="30">
        <f t="shared" si="2"/>
        <v>772583.1400000001</v>
      </c>
      <c r="R8" s="30">
        <v>0</v>
      </c>
      <c r="S8" s="30">
        <v>0</v>
      </c>
    </row>
    <row r="9" spans="1:19" s="2" customFormat="1" ht="15">
      <c r="A9" s="14">
        <v>13</v>
      </c>
      <c r="B9" s="26">
        <v>1810</v>
      </c>
      <c r="C9" s="27" t="s">
        <v>8</v>
      </c>
      <c r="D9" s="28">
        <v>20885.65</v>
      </c>
      <c r="E9" s="29">
        <v>0</v>
      </c>
      <c r="F9" s="47">
        <v>0</v>
      </c>
      <c r="G9" s="47"/>
      <c r="H9" s="47"/>
      <c r="I9" s="30">
        <f t="shared" si="0"/>
        <v>20885.65</v>
      </c>
      <c r="J9" s="24"/>
      <c r="K9" s="30">
        <v>20885.61</v>
      </c>
      <c r="L9" s="47">
        <v>0</v>
      </c>
      <c r="M9" s="47">
        <v>0</v>
      </c>
      <c r="N9" s="47"/>
      <c r="O9" s="47"/>
      <c r="P9" s="30">
        <f t="shared" si="1"/>
        <v>20885.61</v>
      </c>
      <c r="Q9" s="30">
        <f t="shared" si="2"/>
        <v>0.040000000000873115</v>
      </c>
      <c r="R9" s="30">
        <v>0</v>
      </c>
      <c r="S9" s="30">
        <v>0</v>
      </c>
    </row>
    <row r="10" spans="1:19" s="2" customFormat="1" ht="15">
      <c r="A10" s="14">
        <v>47</v>
      </c>
      <c r="B10" s="26">
        <v>1820</v>
      </c>
      <c r="C10" s="27" t="s">
        <v>9</v>
      </c>
      <c r="D10" s="28">
        <v>11144869.97</v>
      </c>
      <c r="E10" s="29">
        <v>284453.07</v>
      </c>
      <c r="F10" s="47">
        <v>0</v>
      </c>
      <c r="G10" s="47"/>
      <c r="H10" s="47"/>
      <c r="I10" s="30">
        <f t="shared" si="0"/>
        <v>11429323.040000001</v>
      </c>
      <c r="J10" s="24"/>
      <c r="K10" s="30">
        <v>7738778.94</v>
      </c>
      <c r="L10" s="47">
        <v>378504.8327777778</v>
      </c>
      <c r="M10" s="47">
        <v>0</v>
      </c>
      <c r="N10" s="47"/>
      <c r="O10" s="47"/>
      <c r="P10" s="30">
        <f t="shared" si="1"/>
        <v>8117283.772777778</v>
      </c>
      <c r="Q10" s="30">
        <f t="shared" si="2"/>
        <v>3312039.267222223</v>
      </c>
      <c r="R10" s="30">
        <v>0</v>
      </c>
      <c r="S10" s="30">
        <v>0</v>
      </c>
    </row>
    <row r="11" spans="1:19" s="2" customFormat="1" ht="15">
      <c r="A11" s="14">
        <v>47</v>
      </c>
      <c r="B11" s="26">
        <v>1830</v>
      </c>
      <c r="C11" s="27" t="s">
        <v>10</v>
      </c>
      <c r="D11" s="28">
        <v>48449451.22</v>
      </c>
      <c r="E11" s="29">
        <v>2695158.69</v>
      </c>
      <c r="F11" s="47">
        <v>1570451.98</v>
      </c>
      <c r="G11" s="47"/>
      <c r="H11" s="47"/>
      <c r="I11" s="30">
        <f t="shared" si="0"/>
        <v>49574157.93</v>
      </c>
      <c r="J11" s="24"/>
      <c r="K11" s="30">
        <v>19587947.488166668</v>
      </c>
      <c r="L11" s="47">
        <v>1945451.9683333333</v>
      </c>
      <c r="M11" s="47">
        <v>1570451.98</v>
      </c>
      <c r="N11" s="47"/>
      <c r="O11" s="47"/>
      <c r="P11" s="30">
        <f t="shared" si="1"/>
        <v>19962947.4765</v>
      </c>
      <c r="Q11" s="30">
        <f t="shared" si="2"/>
        <v>29611210.4535</v>
      </c>
      <c r="R11" s="30">
        <v>0</v>
      </c>
      <c r="S11" s="30">
        <v>0</v>
      </c>
    </row>
    <row r="12" spans="1:19" s="2" customFormat="1" ht="15">
      <c r="A12" s="14">
        <v>47</v>
      </c>
      <c r="B12" s="26">
        <v>1835</v>
      </c>
      <c r="C12" s="27" t="s">
        <v>11</v>
      </c>
      <c r="D12" s="28">
        <v>63549857.75</v>
      </c>
      <c r="E12" s="29">
        <v>2407884.96</v>
      </c>
      <c r="F12" s="47">
        <v>1558060.36</v>
      </c>
      <c r="G12" s="47"/>
      <c r="H12" s="47"/>
      <c r="I12" s="30">
        <f t="shared" si="0"/>
        <v>64399682.35</v>
      </c>
      <c r="J12" s="24"/>
      <c r="K12" s="30">
        <v>23981402.957166668</v>
      </c>
      <c r="L12" s="47">
        <v>2538970.5465</v>
      </c>
      <c r="M12" s="47">
        <v>1558060.36</v>
      </c>
      <c r="N12" s="47"/>
      <c r="O12" s="47"/>
      <c r="P12" s="30">
        <f t="shared" si="1"/>
        <v>24962313.14366667</v>
      </c>
      <c r="Q12" s="30">
        <f t="shared" si="2"/>
        <v>39437369.20633333</v>
      </c>
      <c r="R12" s="30">
        <v>0</v>
      </c>
      <c r="S12" s="30">
        <v>0</v>
      </c>
    </row>
    <row r="13" spans="1:19" s="2" customFormat="1" ht="15">
      <c r="A13" s="14">
        <v>47</v>
      </c>
      <c r="B13" s="26">
        <v>1840</v>
      </c>
      <c r="C13" s="27" t="s">
        <v>30</v>
      </c>
      <c r="D13" s="28">
        <v>98554718.68</v>
      </c>
      <c r="E13" s="29">
        <v>2441464.58</v>
      </c>
      <c r="F13" s="47">
        <v>0</v>
      </c>
      <c r="G13" s="47"/>
      <c r="H13" s="47"/>
      <c r="I13" s="30">
        <f t="shared" si="0"/>
        <v>100996183.26</v>
      </c>
      <c r="J13" s="24"/>
      <c r="K13" s="30">
        <v>43505518.5628</v>
      </c>
      <c r="L13" s="47">
        <v>3909047.1155666667</v>
      </c>
      <c r="M13" s="47">
        <v>0</v>
      </c>
      <c r="N13" s="47"/>
      <c r="O13" s="47"/>
      <c r="P13" s="30">
        <f t="shared" si="1"/>
        <v>47414565.67836666</v>
      </c>
      <c r="Q13" s="30">
        <f t="shared" si="2"/>
        <v>53581617.581633344</v>
      </c>
      <c r="R13" s="30">
        <v>0</v>
      </c>
      <c r="S13" s="30">
        <v>0</v>
      </c>
    </row>
    <row r="14" spans="1:19" s="2" customFormat="1" ht="15">
      <c r="A14" s="14">
        <v>47</v>
      </c>
      <c r="B14" s="26">
        <v>1845</v>
      </c>
      <c r="C14" s="27" t="s">
        <v>12</v>
      </c>
      <c r="D14" s="28">
        <v>91193506.13</v>
      </c>
      <c r="E14" s="29">
        <v>2482751.1</v>
      </c>
      <c r="F14" s="47">
        <v>0</v>
      </c>
      <c r="G14" s="47"/>
      <c r="H14" s="47"/>
      <c r="I14" s="30">
        <f t="shared" si="0"/>
        <v>93676257.22999999</v>
      </c>
      <c r="J14" s="24"/>
      <c r="K14" s="30">
        <v>40549907.59583333</v>
      </c>
      <c r="L14" s="47">
        <v>3460819.3907</v>
      </c>
      <c r="M14" s="47">
        <v>0</v>
      </c>
      <c r="N14" s="47"/>
      <c r="O14" s="47"/>
      <c r="P14" s="30">
        <f t="shared" si="1"/>
        <v>44010726.98653333</v>
      </c>
      <c r="Q14" s="30">
        <f t="shared" si="2"/>
        <v>49665530.24346666</v>
      </c>
      <c r="R14" s="30">
        <v>0</v>
      </c>
      <c r="S14" s="30">
        <v>0</v>
      </c>
    </row>
    <row r="15" spans="1:19" s="2" customFormat="1" ht="15">
      <c r="A15" s="14">
        <v>47</v>
      </c>
      <c r="B15" s="26">
        <v>1850</v>
      </c>
      <c r="C15" s="27" t="s">
        <v>13</v>
      </c>
      <c r="D15" s="28">
        <v>74368466.74</v>
      </c>
      <c r="E15" s="29">
        <v>2893010.01</v>
      </c>
      <c r="F15" s="47">
        <v>0</v>
      </c>
      <c r="G15" s="47"/>
      <c r="H15" s="47"/>
      <c r="I15" s="30">
        <f t="shared" si="0"/>
        <v>77261476.75</v>
      </c>
      <c r="J15" s="24"/>
      <c r="K15" s="30">
        <v>33252604.369733334</v>
      </c>
      <c r="L15" s="47">
        <v>2811194.6529</v>
      </c>
      <c r="M15" s="47">
        <v>0</v>
      </c>
      <c r="N15" s="47"/>
      <c r="O15" s="47"/>
      <c r="P15" s="30">
        <f t="shared" si="1"/>
        <v>36063799.02263334</v>
      </c>
      <c r="Q15" s="30">
        <f t="shared" si="2"/>
        <v>41197677.72736666</v>
      </c>
      <c r="R15" s="30">
        <v>0</v>
      </c>
      <c r="S15" s="30">
        <v>0</v>
      </c>
    </row>
    <row r="16" spans="1:19" s="2" customFormat="1" ht="15">
      <c r="A16" s="14">
        <v>47</v>
      </c>
      <c r="B16" s="26">
        <v>1855</v>
      </c>
      <c r="C16" s="27" t="s">
        <v>14</v>
      </c>
      <c r="D16" s="28">
        <v>17068981.51</v>
      </c>
      <c r="E16" s="29">
        <v>1823321.72</v>
      </c>
      <c r="F16" s="47">
        <v>265959.7</v>
      </c>
      <c r="G16" s="47"/>
      <c r="H16" s="47"/>
      <c r="I16" s="30">
        <f t="shared" si="0"/>
        <v>18626343.53</v>
      </c>
      <c r="J16" s="24"/>
      <c r="K16" s="30">
        <v>5542114.870566667</v>
      </c>
      <c r="L16" s="47">
        <v>762688.3939666667</v>
      </c>
      <c r="M16" s="47">
        <v>265959.7</v>
      </c>
      <c r="N16" s="47"/>
      <c r="O16" s="47"/>
      <c r="P16" s="30">
        <f t="shared" si="1"/>
        <v>6038843.564533333</v>
      </c>
      <c r="Q16" s="30">
        <f t="shared" si="2"/>
        <v>12587499.965466667</v>
      </c>
      <c r="R16" s="30">
        <v>0</v>
      </c>
      <c r="S16" s="30">
        <v>0</v>
      </c>
    </row>
    <row r="17" spans="1:19" s="2" customFormat="1" ht="15">
      <c r="A17" s="14">
        <v>47</v>
      </c>
      <c r="B17" s="26">
        <v>1860</v>
      </c>
      <c r="C17" s="27" t="s">
        <v>15</v>
      </c>
      <c r="D17" s="28">
        <v>26249072.33</v>
      </c>
      <c r="E17" s="29">
        <v>1381420.21</v>
      </c>
      <c r="F17" s="47">
        <v>0</v>
      </c>
      <c r="G17" s="47"/>
      <c r="H17" s="47"/>
      <c r="I17" s="30">
        <f t="shared" si="0"/>
        <v>27630492.54</v>
      </c>
      <c r="J17" s="24"/>
      <c r="K17" s="30">
        <v>10907879.612533333</v>
      </c>
      <c r="L17" s="47">
        <v>1184638.0349333333</v>
      </c>
      <c r="M17" s="47">
        <v>0</v>
      </c>
      <c r="N17" s="47"/>
      <c r="O17" s="47"/>
      <c r="P17" s="30">
        <f t="shared" si="1"/>
        <v>12092517.647466667</v>
      </c>
      <c r="Q17" s="30">
        <f t="shared" si="2"/>
        <v>15537974.892533332</v>
      </c>
      <c r="R17" s="30">
        <v>0</v>
      </c>
      <c r="S17" s="30">
        <v>0</v>
      </c>
    </row>
    <row r="18" spans="1:19" s="2" customFormat="1" ht="15">
      <c r="A18" s="14">
        <v>47</v>
      </c>
      <c r="B18" s="26">
        <v>1860</v>
      </c>
      <c r="C18" s="27" t="s">
        <v>16</v>
      </c>
      <c r="D18" s="28">
        <v>0</v>
      </c>
      <c r="E18" s="29">
        <v>0</v>
      </c>
      <c r="F18" s="47">
        <v>0</v>
      </c>
      <c r="G18" s="47"/>
      <c r="H18" s="47"/>
      <c r="I18" s="30">
        <f t="shared" si="0"/>
        <v>0</v>
      </c>
      <c r="J18" s="24"/>
      <c r="K18" s="30">
        <v>0</v>
      </c>
      <c r="L18" s="47"/>
      <c r="M18" s="47"/>
      <c r="N18" s="47"/>
      <c r="O18" s="47"/>
      <c r="P18" s="30">
        <f t="shared" si="1"/>
        <v>0</v>
      </c>
      <c r="Q18" s="30">
        <f t="shared" si="2"/>
        <v>0</v>
      </c>
      <c r="R18" s="30">
        <v>0</v>
      </c>
      <c r="S18" s="30">
        <v>0</v>
      </c>
    </row>
    <row r="19" spans="1:19" s="2" customFormat="1" ht="15">
      <c r="A19" s="14" t="s">
        <v>51</v>
      </c>
      <c r="B19" s="26">
        <v>1905</v>
      </c>
      <c r="C19" s="27" t="s">
        <v>17</v>
      </c>
      <c r="D19" s="28">
        <v>1078176.33</v>
      </c>
      <c r="E19" s="29">
        <v>0</v>
      </c>
      <c r="F19" s="47">
        <v>0</v>
      </c>
      <c r="G19" s="47"/>
      <c r="H19" s="47"/>
      <c r="I19" s="30">
        <f t="shared" si="0"/>
        <v>1078176.33</v>
      </c>
      <c r="J19" s="24"/>
      <c r="K19" s="30">
        <v>0</v>
      </c>
      <c r="L19" s="47">
        <v>0</v>
      </c>
      <c r="M19" s="47">
        <v>0</v>
      </c>
      <c r="N19" s="47"/>
      <c r="O19" s="47"/>
      <c r="P19" s="30">
        <f t="shared" si="1"/>
        <v>0</v>
      </c>
      <c r="Q19" s="30">
        <f t="shared" si="2"/>
        <v>1078176.33</v>
      </c>
      <c r="R19" s="30">
        <v>0</v>
      </c>
      <c r="S19" s="30">
        <v>0</v>
      </c>
    </row>
    <row r="20" spans="1:19" s="2" customFormat="1" ht="15">
      <c r="A20" s="14" t="s">
        <v>54</v>
      </c>
      <c r="B20" s="26">
        <v>1906</v>
      </c>
      <c r="C20" s="27" t="s">
        <v>18</v>
      </c>
      <c r="D20" s="28">
        <v>144877.41</v>
      </c>
      <c r="E20" s="29">
        <v>0</v>
      </c>
      <c r="F20" s="47">
        <v>0</v>
      </c>
      <c r="G20" s="47"/>
      <c r="H20" s="47"/>
      <c r="I20" s="30">
        <f t="shared" si="0"/>
        <v>144877.41</v>
      </c>
      <c r="J20" s="24"/>
      <c r="K20" s="30">
        <v>51268.61</v>
      </c>
      <c r="L20" s="47">
        <v>3411.08</v>
      </c>
      <c r="M20" s="47">
        <v>0</v>
      </c>
      <c r="N20" s="47"/>
      <c r="O20" s="47"/>
      <c r="P20" s="30">
        <f t="shared" si="1"/>
        <v>54679.69</v>
      </c>
      <c r="Q20" s="30">
        <f t="shared" si="2"/>
        <v>90197.72</v>
      </c>
      <c r="R20" s="30">
        <v>0</v>
      </c>
      <c r="S20" s="30">
        <v>0</v>
      </c>
    </row>
    <row r="21" spans="1:19" s="2" customFormat="1" ht="15">
      <c r="A21" s="14" t="s">
        <v>51</v>
      </c>
      <c r="B21" s="26">
        <v>1908</v>
      </c>
      <c r="C21" s="27" t="s">
        <v>19</v>
      </c>
      <c r="D21" s="28">
        <v>21538039.65</v>
      </c>
      <c r="E21" s="29">
        <v>669452.75</v>
      </c>
      <c r="F21" s="47">
        <v>0</v>
      </c>
      <c r="G21" s="47"/>
      <c r="H21" s="47"/>
      <c r="I21" s="30">
        <f t="shared" si="0"/>
        <v>22207492.4</v>
      </c>
      <c r="J21" s="24"/>
      <c r="K21" s="30">
        <v>11844361.23</v>
      </c>
      <c r="L21" s="47">
        <v>809546.47</v>
      </c>
      <c r="M21" s="47">
        <v>0</v>
      </c>
      <c r="N21" s="47"/>
      <c r="O21" s="47"/>
      <c r="P21" s="30">
        <f t="shared" si="1"/>
        <v>12653907.700000001</v>
      </c>
      <c r="Q21" s="30">
        <f t="shared" si="2"/>
        <v>9553584.699999997</v>
      </c>
      <c r="R21" s="30">
        <v>0</v>
      </c>
      <c r="S21" s="30">
        <v>0</v>
      </c>
    </row>
    <row r="22" spans="1:19" s="2" customFormat="1" ht="15">
      <c r="A22" s="14" t="s">
        <v>54</v>
      </c>
      <c r="B22" s="26">
        <v>1910</v>
      </c>
      <c r="C22" s="27" t="s">
        <v>8</v>
      </c>
      <c r="D22" s="28">
        <v>0</v>
      </c>
      <c r="E22" s="29">
        <v>0</v>
      </c>
      <c r="F22" s="47">
        <v>0</v>
      </c>
      <c r="G22" s="47"/>
      <c r="H22" s="47"/>
      <c r="I22" s="30">
        <f t="shared" si="0"/>
        <v>0</v>
      </c>
      <c r="J22" s="24"/>
      <c r="K22" s="30">
        <v>0</v>
      </c>
      <c r="L22" s="47">
        <v>0</v>
      </c>
      <c r="M22" s="47">
        <v>0</v>
      </c>
      <c r="N22" s="47"/>
      <c r="O22" s="47"/>
      <c r="P22" s="30">
        <f t="shared" si="1"/>
        <v>0</v>
      </c>
      <c r="Q22" s="30">
        <f t="shared" si="2"/>
        <v>0</v>
      </c>
      <c r="R22" s="30">
        <v>0</v>
      </c>
      <c r="S22" s="30">
        <v>0</v>
      </c>
    </row>
    <row r="23" spans="1:19" s="2" customFormat="1" ht="15">
      <c r="A23" s="14">
        <v>8</v>
      </c>
      <c r="B23" s="26">
        <v>1915</v>
      </c>
      <c r="C23" s="27" t="s">
        <v>20</v>
      </c>
      <c r="D23" s="28">
        <v>3360234.76</v>
      </c>
      <c r="E23" s="29">
        <v>37175.92</v>
      </c>
      <c r="F23" s="47">
        <v>0</v>
      </c>
      <c r="G23" s="47"/>
      <c r="H23" s="47"/>
      <c r="I23" s="30">
        <f t="shared" si="0"/>
        <v>3397410.6799999997</v>
      </c>
      <c r="J23" s="24"/>
      <c r="K23" s="30">
        <v>2774701.0663333335</v>
      </c>
      <c r="L23" s="47">
        <v>135099.80041666667</v>
      </c>
      <c r="M23" s="47">
        <v>0</v>
      </c>
      <c r="N23" s="47"/>
      <c r="O23" s="47"/>
      <c r="P23" s="30">
        <f t="shared" si="1"/>
        <v>2909800.86675</v>
      </c>
      <c r="Q23" s="30">
        <f t="shared" si="2"/>
        <v>487609.81324999966</v>
      </c>
      <c r="R23" s="30">
        <v>0</v>
      </c>
      <c r="S23" s="30">
        <v>0</v>
      </c>
    </row>
    <row r="24" spans="1:19" s="2" customFormat="1" ht="15">
      <c r="A24" s="14">
        <v>10</v>
      </c>
      <c r="B24" s="26">
        <v>1920</v>
      </c>
      <c r="C24" s="27" t="s">
        <v>21</v>
      </c>
      <c r="D24" s="28">
        <v>5613068.4</v>
      </c>
      <c r="E24" s="29">
        <v>-4.547473508864641E-13</v>
      </c>
      <c r="F24" s="47">
        <v>0</v>
      </c>
      <c r="G24" s="47"/>
      <c r="H24" s="47"/>
      <c r="I24" s="30">
        <f t="shared" si="0"/>
        <v>5613068.4</v>
      </c>
      <c r="J24" s="24"/>
      <c r="K24" s="30">
        <v>4924099.041166667</v>
      </c>
      <c r="L24" s="47">
        <v>321829.517</v>
      </c>
      <c r="M24" s="47">
        <v>1E-06</v>
      </c>
      <c r="N24" s="47"/>
      <c r="O24" s="47"/>
      <c r="P24" s="30">
        <f t="shared" si="1"/>
        <v>5245928.558165667</v>
      </c>
      <c r="Q24" s="30">
        <f t="shared" si="2"/>
        <v>367139.8418343337</v>
      </c>
      <c r="R24" s="30">
        <v>0</v>
      </c>
      <c r="S24" s="30">
        <v>0</v>
      </c>
    </row>
    <row r="25" spans="1:19" s="2" customFormat="1" ht="15">
      <c r="A25" s="14">
        <v>45</v>
      </c>
      <c r="B25" s="26">
        <v>1920</v>
      </c>
      <c r="C25" s="27" t="s">
        <v>22</v>
      </c>
      <c r="D25" s="28">
        <v>184557.15</v>
      </c>
      <c r="E25" s="29">
        <v>393634.97</v>
      </c>
      <c r="F25" s="47">
        <v>0</v>
      </c>
      <c r="G25" s="47"/>
      <c r="H25" s="47"/>
      <c r="I25" s="30">
        <f t="shared" si="0"/>
        <v>578192.12</v>
      </c>
      <c r="J25" s="24"/>
      <c r="K25" s="30">
        <v>6110.001833333334</v>
      </c>
      <c r="L25" s="47">
        <v>60374.85633333334</v>
      </c>
      <c r="M25" s="47">
        <v>0</v>
      </c>
      <c r="N25" s="47"/>
      <c r="O25" s="47"/>
      <c r="P25" s="30">
        <f t="shared" si="1"/>
        <v>66484.85816666667</v>
      </c>
      <c r="Q25" s="30">
        <f t="shared" si="2"/>
        <v>511707.2618333333</v>
      </c>
      <c r="R25" s="30">
        <v>0</v>
      </c>
      <c r="S25" s="30">
        <v>0</v>
      </c>
    </row>
    <row r="26" spans="1:19" s="2" customFormat="1" ht="15">
      <c r="A26" s="14">
        <v>12</v>
      </c>
      <c r="B26" s="26">
        <v>1925</v>
      </c>
      <c r="C26" s="27" t="s">
        <v>23</v>
      </c>
      <c r="D26" s="28">
        <v>3851076.14</v>
      </c>
      <c r="E26" s="29">
        <v>291831.83</v>
      </c>
      <c r="F26" s="47">
        <v>0</v>
      </c>
      <c r="G26" s="47"/>
      <c r="H26" s="47"/>
      <c r="I26" s="30">
        <f t="shared" si="0"/>
        <v>4142907.97</v>
      </c>
      <c r="J26" s="24"/>
      <c r="K26" s="30">
        <v>3332190.8605555557</v>
      </c>
      <c r="L26" s="47">
        <v>291461.7761111111</v>
      </c>
      <c r="M26" s="47">
        <v>0</v>
      </c>
      <c r="N26" s="47"/>
      <c r="O26" s="47"/>
      <c r="P26" s="30">
        <f t="shared" si="1"/>
        <v>3623652.6366666667</v>
      </c>
      <c r="Q26" s="30">
        <f t="shared" si="2"/>
        <v>519255.3333333335</v>
      </c>
      <c r="R26" s="30">
        <v>0</v>
      </c>
      <c r="S26" s="30">
        <v>0</v>
      </c>
    </row>
    <row r="27" spans="1:19" s="2" customFormat="1" ht="15">
      <c r="A27" s="14">
        <v>10</v>
      </c>
      <c r="B27" s="26">
        <v>1930</v>
      </c>
      <c r="C27" s="27" t="s">
        <v>24</v>
      </c>
      <c r="D27" s="28">
        <v>14383017.44</v>
      </c>
      <c r="E27" s="29">
        <v>910363.02</v>
      </c>
      <c r="F27" s="47">
        <v>604564.26</v>
      </c>
      <c r="G27" s="47"/>
      <c r="H27" s="47"/>
      <c r="I27" s="30">
        <f t="shared" si="0"/>
        <v>14688816.2</v>
      </c>
      <c r="J27" s="24"/>
      <c r="K27" s="30">
        <v>10425214.26</v>
      </c>
      <c r="L27" s="47">
        <v>963127.2</v>
      </c>
      <c r="M27" s="47">
        <v>592624.42</v>
      </c>
      <c r="N27" s="47"/>
      <c r="O27" s="47"/>
      <c r="P27" s="30">
        <f t="shared" si="1"/>
        <v>10795717.04</v>
      </c>
      <c r="Q27" s="30">
        <f t="shared" si="2"/>
        <v>3893099.16</v>
      </c>
      <c r="R27" s="30">
        <v>121613.47</v>
      </c>
      <c r="S27" s="30">
        <v>71448.23</v>
      </c>
    </row>
    <row r="28" spans="1:19" s="2" customFormat="1" ht="15">
      <c r="A28" s="14">
        <v>8</v>
      </c>
      <c r="B28" s="26">
        <v>1935</v>
      </c>
      <c r="C28" s="27" t="s">
        <v>25</v>
      </c>
      <c r="D28" s="28">
        <v>499638.75</v>
      </c>
      <c r="E28" s="29">
        <v>7535.74</v>
      </c>
      <c r="F28" s="47">
        <v>0</v>
      </c>
      <c r="G28" s="47"/>
      <c r="H28" s="47"/>
      <c r="I28" s="30">
        <f t="shared" si="0"/>
        <v>507174.49</v>
      </c>
      <c r="J28" s="24"/>
      <c r="K28" s="30">
        <v>417219.764</v>
      </c>
      <c r="L28" s="47">
        <v>15448.018583333333</v>
      </c>
      <c r="M28" s="47">
        <v>0</v>
      </c>
      <c r="N28" s="47"/>
      <c r="O28" s="47"/>
      <c r="P28" s="30">
        <f t="shared" si="1"/>
        <v>432667.7825833334</v>
      </c>
      <c r="Q28" s="30">
        <f t="shared" si="2"/>
        <v>74506.70741666661</v>
      </c>
      <c r="R28" s="30">
        <v>0</v>
      </c>
      <c r="S28" s="30">
        <v>0</v>
      </c>
    </row>
    <row r="29" spans="1:19" s="2" customFormat="1" ht="15">
      <c r="A29" s="14">
        <v>8</v>
      </c>
      <c r="B29" s="26">
        <v>1940</v>
      </c>
      <c r="C29" s="27" t="s">
        <v>26</v>
      </c>
      <c r="D29" s="28">
        <v>5690298.93</v>
      </c>
      <c r="E29" s="29">
        <v>216584.57</v>
      </c>
      <c r="F29" s="47">
        <v>0</v>
      </c>
      <c r="G29" s="47"/>
      <c r="H29" s="47"/>
      <c r="I29" s="30">
        <f t="shared" si="0"/>
        <v>5906883.5</v>
      </c>
      <c r="J29" s="24"/>
      <c r="K29" s="30">
        <v>4242967.80625</v>
      </c>
      <c r="L29" s="47">
        <v>315156.116</v>
      </c>
      <c r="M29" s="47">
        <v>0</v>
      </c>
      <c r="N29" s="47"/>
      <c r="O29" s="47"/>
      <c r="P29" s="30">
        <f t="shared" si="1"/>
        <v>4558123.922250001</v>
      </c>
      <c r="Q29" s="30">
        <f t="shared" si="2"/>
        <v>1348759.5777499992</v>
      </c>
      <c r="R29" s="30">
        <v>0</v>
      </c>
      <c r="S29" s="30">
        <v>0</v>
      </c>
    </row>
    <row r="30" spans="1:19" s="2" customFormat="1" ht="15">
      <c r="A30" s="14">
        <v>8</v>
      </c>
      <c r="B30" s="26">
        <v>1945</v>
      </c>
      <c r="C30" s="27" t="s">
        <v>31</v>
      </c>
      <c r="D30" s="28">
        <v>856384.38</v>
      </c>
      <c r="E30" s="29">
        <v>135810.58</v>
      </c>
      <c r="F30" s="47">
        <v>0</v>
      </c>
      <c r="G30" s="47"/>
      <c r="H30" s="47"/>
      <c r="I30" s="30">
        <f t="shared" si="0"/>
        <v>992194.96</v>
      </c>
      <c r="J30" s="24"/>
      <c r="K30" s="30">
        <v>598305.3179166666</v>
      </c>
      <c r="L30" s="47">
        <v>45502.81525</v>
      </c>
      <c r="M30" s="47">
        <v>0</v>
      </c>
      <c r="N30" s="47"/>
      <c r="O30" s="47"/>
      <c r="P30" s="30">
        <f t="shared" si="1"/>
        <v>643808.1331666666</v>
      </c>
      <c r="Q30" s="30">
        <f t="shared" si="2"/>
        <v>348386.82683333335</v>
      </c>
      <c r="R30" s="30">
        <v>0</v>
      </c>
      <c r="S30" s="30">
        <v>0</v>
      </c>
    </row>
    <row r="31" spans="1:19" s="2" customFormat="1" ht="15">
      <c r="A31" s="14">
        <v>8</v>
      </c>
      <c r="B31" s="26">
        <v>1950</v>
      </c>
      <c r="C31" s="27" t="s">
        <v>32</v>
      </c>
      <c r="D31" s="28">
        <v>144034.63</v>
      </c>
      <c r="E31" s="29">
        <v>0</v>
      </c>
      <c r="F31" s="47">
        <v>0</v>
      </c>
      <c r="G31" s="47"/>
      <c r="H31" s="47"/>
      <c r="I31" s="30">
        <f t="shared" si="0"/>
        <v>144034.63</v>
      </c>
      <c r="J31" s="24"/>
      <c r="K31" s="30">
        <v>25823.601666666666</v>
      </c>
      <c r="L31" s="47">
        <v>14452.7935</v>
      </c>
      <c r="M31" s="47">
        <v>0</v>
      </c>
      <c r="N31" s="47"/>
      <c r="O31" s="47"/>
      <c r="P31" s="30">
        <f t="shared" si="1"/>
        <v>40276.39516666667</v>
      </c>
      <c r="Q31" s="30">
        <f t="shared" si="2"/>
        <v>103758.23483333334</v>
      </c>
      <c r="R31" s="30">
        <v>0</v>
      </c>
      <c r="S31" s="30">
        <v>0</v>
      </c>
    </row>
    <row r="32" spans="1:19" s="2" customFormat="1" ht="15">
      <c r="A32" s="14">
        <v>8</v>
      </c>
      <c r="B32" s="26">
        <v>1955</v>
      </c>
      <c r="C32" s="27" t="s">
        <v>27</v>
      </c>
      <c r="D32" s="28">
        <v>198858.85</v>
      </c>
      <c r="E32" s="29">
        <v>41466.52</v>
      </c>
      <c r="F32" s="47">
        <v>0</v>
      </c>
      <c r="G32" s="47"/>
      <c r="H32" s="47"/>
      <c r="I32" s="30">
        <f t="shared" si="0"/>
        <v>240325.37</v>
      </c>
      <c r="J32" s="24"/>
      <c r="K32" s="30">
        <v>121508.19016666667</v>
      </c>
      <c r="L32" s="47">
        <v>17402.187</v>
      </c>
      <c r="M32" s="47">
        <v>0</v>
      </c>
      <c r="N32" s="47"/>
      <c r="O32" s="47"/>
      <c r="P32" s="30">
        <f t="shared" si="1"/>
        <v>138910.37716666667</v>
      </c>
      <c r="Q32" s="30">
        <f t="shared" si="2"/>
        <v>101414.99283333332</v>
      </c>
      <c r="R32" s="30">
        <v>0</v>
      </c>
      <c r="S32" s="30">
        <v>0</v>
      </c>
    </row>
    <row r="33" spans="1:19" s="2" customFormat="1" ht="15">
      <c r="A33" s="14">
        <v>8</v>
      </c>
      <c r="B33" s="26">
        <v>1960</v>
      </c>
      <c r="C33" s="27" t="s">
        <v>33</v>
      </c>
      <c r="D33" s="28">
        <v>0</v>
      </c>
      <c r="E33" s="29">
        <v>0</v>
      </c>
      <c r="F33" s="47">
        <v>0</v>
      </c>
      <c r="G33" s="47"/>
      <c r="H33" s="47"/>
      <c r="I33" s="30">
        <f t="shared" si="0"/>
        <v>0</v>
      </c>
      <c r="J33" s="24"/>
      <c r="K33" s="30">
        <v>0</v>
      </c>
      <c r="L33" s="47">
        <v>0</v>
      </c>
      <c r="M33" s="47">
        <v>0</v>
      </c>
      <c r="N33" s="47"/>
      <c r="O33" s="47"/>
      <c r="P33" s="30">
        <f t="shared" si="1"/>
        <v>0</v>
      </c>
      <c r="Q33" s="30">
        <f t="shared" si="2"/>
        <v>0</v>
      </c>
      <c r="R33" s="30">
        <v>0</v>
      </c>
      <c r="S33" s="30">
        <v>0</v>
      </c>
    </row>
    <row r="34" spans="1:19" s="2" customFormat="1" ht="15">
      <c r="A34" s="14">
        <v>47</v>
      </c>
      <c r="B34" s="26">
        <v>1980</v>
      </c>
      <c r="C34" s="27" t="s">
        <v>34</v>
      </c>
      <c r="D34" s="28">
        <v>3278949.19</v>
      </c>
      <c r="E34" s="29">
        <v>13269.83</v>
      </c>
      <c r="F34" s="47">
        <v>0</v>
      </c>
      <c r="G34" s="47"/>
      <c r="H34" s="47"/>
      <c r="I34" s="30">
        <f t="shared" si="0"/>
        <v>3292219.02</v>
      </c>
      <c r="J34" s="24"/>
      <c r="K34" s="30">
        <v>2302658.464</v>
      </c>
      <c r="L34" s="47">
        <v>185756.74994444445</v>
      </c>
      <c r="M34" s="47">
        <v>0</v>
      </c>
      <c r="N34" s="47"/>
      <c r="O34" s="47"/>
      <c r="P34" s="30">
        <f t="shared" si="1"/>
        <v>2488415.2139444444</v>
      </c>
      <c r="Q34" s="30">
        <f t="shared" si="2"/>
        <v>803803.8060555556</v>
      </c>
      <c r="R34" s="30">
        <v>0</v>
      </c>
      <c r="S34" s="30">
        <v>0</v>
      </c>
    </row>
    <row r="35" spans="1:19" s="2" customFormat="1" ht="15">
      <c r="A35" s="14">
        <v>47</v>
      </c>
      <c r="B35" s="26">
        <v>1995</v>
      </c>
      <c r="C35" s="27" t="s">
        <v>35</v>
      </c>
      <c r="D35" s="28">
        <v>3396683.12</v>
      </c>
      <c r="E35" s="29">
        <v>0</v>
      </c>
      <c r="F35" s="47">
        <v>0</v>
      </c>
      <c r="G35" s="47"/>
      <c r="H35" s="47"/>
      <c r="I35" s="30">
        <f t="shared" si="0"/>
        <v>3396683.12</v>
      </c>
      <c r="J35" s="24"/>
      <c r="K35" s="30">
        <v>218615.98</v>
      </c>
      <c r="L35" s="47">
        <v>136918.49683333334</v>
      </c>
      <c r="M35" s="47">
        <v>0</v>
      </c>
      <c r="N35" s="47"/>
      <c r="O35" s="47"/>
      <c r="P35" s="30">
        <f t="shared" si="1"/>
        <v>355534.4768333334</v>
      </c>
      <c r="Q35" s="30">
        <f t="shared" si="2"/>
        <v>3041148.643166667</v>
      </c>
      <c r="R35" s="30">
        <v>0</v>
      </c>
      <c r="S35" s="30">
        <v>0</v>
      </c>
    </row>
    <row r="36" spans="1:19" s="2" customFormat="1" ht="15">
      <c r="A36" s="14">
        <v>47</v>
      </c>
      <c r="B36" s="26">
        <v>1995</v>
      </c>
      <c r="C36" s="34" t="s">
        <v>36</v>
      </c>
      <c r="D36" s="35">
        <v>-7288685.59</v>
      </c>
      <c r="E36" s="49">
        <f>-2414686.76-(10321106.51-9703372.35)</f>
        <v>-3032420.92</v>
      </c>
      <c r="F36" s="48">
        <v>0</v>
      </c>
      <c r="G36" s="48"/>
      <c r="H36" s="48"/>
      <c r="I36" s="30">
        <f t="shared" si="0"/>
        <v>-10321106.51</v>
      </c>
      <c r="J36" s="24"/>
      <c r="K36" s="37">
        <v>-431519.92593333335</v>
      </c>
      <c r="L36" s="48">
        <v>-310497.4719666667</v>
      </c>
      <c r="M36" s="48">
        <v>0</v>
      </c>
      <c r="N36" s="48"/>
      <c r="O36" s="48"/>
      <c r="P36" s="37">
        <f t="shared" si="1"/>
        <v>-742017.3979</v>
      </c>
      <c r="Q36" s="37">
        <f t="shared" si="2"/>
        <v>-9579089.1121</v>
      </c>
      <c r="R36" s="37">
        <v>0</v>
      </c>
      <c r="S36" s="37">
        <v>0</v>
      </c>
    </row>
    <row r="37" spans="1:19" s="2" customFormat="1" ht="15">
      <c r="A37" s="2">
        <v>2105</v>
      </c>
      <c r="B37" s="2">
        <v>2105</v>
      </c>
      <c r="C37" s="38" t="s">
        <v>66</v>
      </c>
      <c r="D37" s="39">
        <f aca="true" t="shared" si="3" ref="D37:I37">SUM(D6:D36)</f>
        <v>489750486.21</v>
      </c>
      <c r="E37" s="40">
        <f t="shared" si="3"/>
        <v>16272613.529999992</v>
      </c>
      <c r="F37" s="40">
        <f t="shared" si="3"/>
        <v>3999825.17</v>
      </c>
      <c r="G37" s="40">
        <f t="shared" si="3"/>
        <v>0</v>
      </c>
      <c r="H37" s="40">
        <f t="shared" si="3"/>
        <v>0</v>
      </c>
      <c r="I37" s="40">
        <f t="shared" si="3"/>
        <v>502023274.56999993</v>
      </c>
      <c r="J37" s="41"/>
      <c r="K37" s="39">
        <f aca="true" t="shared" si="4" ref="K37:S37">SUM(K6:K36)</f>
        <v>227089701.78275546</v>
      </c>
      <c r="L37" s="40">
        <f t="shared" si="4"/>
        <v>20058565.44268333</v>
      </c>
      <c r="M37" s="40">
        <f t="shared" si="4"/>
        <v>3987096.4600009997</v>
      </c>
      <c r="N37" s="40">
        <f t="shared" si="4"/>
        <v>0</v>
      </c>
      <c r="O37" s="40">
        <f t="shared" si="4"/>
        <v>0</v>
      </c>
      <c r="P37" s="40">
        <f t="shared" si="4"/>
        <v>243161170.76543784</v>
      </c>
      <c r="Q37" s="40">
        <f t="shared" si="4"/>
        <v>258862103.80456215</v>
      </c>
      <c r="R37" s="40">
        <f t="shared" si="4"/>
        <v>121613.47</v>
      </c>
      <c r="S37" s="40">
        <f t="shared" si="4"/>
        <v>71448.23</v>
      </c>
    </row>
    <row r="38" spans="3:19" s="2" customFormat="1" ht="15">
      <c r="C38" s="1"/>
      <c r="D38" s="3"/>
      <c r="E38" s="3"/>
      <c r="G38" s="3"/>
      <c r="H38" s="3"/>
      <c r="I38" s="3"/>
      <c r="J38" s="24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5">
      <c r="A39" s="2">
        <v>2055</v>
      </c>
      <c r="B39" s="2">
        <v>2055</v>
      </c>
      <c r="C39" s="1" t="s">
        <v>37</v>
      </c>
      <c r="D39" s="3">
        <v>1561876.11</v>
      </c>
      <c r="E39" s="3">
        <v>2264657.52</v>
      </c>
      <c r="F39" s="3">
        <v>0</v>
      </c>
      <c r="G39" s="3"/>
      <c r="H39" s="3"/>
      <c r="I39" s="3">
        <f>D39+E39-F39-G39-H39</f>
        <v>3826533.63</v>
      </c>
      <c r="J39" s="24"/>
      <c r="K39" s="3">
        <v>0</v>
      </c>
      <c r="L39" s="3">
        <v>0</v>
      </c>
      <c r="M39" s="3">
        <v>0</v>
      </c>
      <c r="N39" s="3"/>
      <c r="O39" s="3"/>
      <c r="P39" s="3">
        <f>K39+L39-M39-N39-O39</f>
        <v>0</v>
      </c>
      <c r="Q39" s="3">
        <f>I39-P39</f>
        <v>3826533.63</v>
      </c>
      <c r="R39" s="3">
        <v>0</v>
      </c>
      <c r="S39" s="3">
        <v>0</v>
      </c>
    </row>
    <row r="40" spans="3:19" s="2" customFormat="1" ht="15.75" thickBot="1">
      <c r="C40" s="33" t="s">
        <v>60</v>
      </c>
      <c r="D40" s="5">
        <f aca="true" t="shared" si="5" ref="D40:I40">SUM(D37:D39)</f>
        <v>491312362.32</v>
      </c>
      <c r="E40" s="5">
        <f t="shared" si="5"/>
        <v>18537271.049999993</v>
      </c>
      <c r="F40" s="5">
        <f t="shared" si="5"/>
        <v>3999825.17</v>
      </c>
      <c r="G40" s="5">
        <f t="shared" si="5"/>
        <v>0</v>
      </c>
      <c r="H40" s="5">
        <f t="shared" si="5"/>
        <v>0</v>
      </c>
      <c r="I40" s="5">
        <f t="shared" si="5"/>
        <v>505849808.1999999</v>
      </c>
      <c r="J40" s="24"/>
      <c r="K40" s="5">
        <f aca="true" t="shared" si="6" ref="K40:S40">SUM(K37:K39)</f>
        <v>227089701.78275546</v>
      </c>
      <c r="L40" s="5">
        <f t="shared" si="6"/>
        <v>20058565.44268333</v>
      </c>
      <c r="M40" s="5">
        <f t="shared" si="6"/>
        <v>3987096.4600009997</v>
      </c>
      <c r="N40" s="5">
        <f t="shared" si="6"/>
        <v>0</v>
      </c>
      <c r="O40" s="5">
        <f t="shared" si="6"/>
        <v>0</v>
      </c>
      <c r="P40" s="5">
        <f t="shared" si="6"/>
        <v>243161170.76543784</v>
      </c>
      <c r="Q40" s="5">
        <f t="shared" si="6"/>
        <v>262688637.43456215</v>
      </c>
      <c r="R40" s="5">
        <f t="shared" si="6"/>
        <v>121613.47</v>
      </c>
      <c r="S40" s="5">
        <f t="shared" si="6"/>
        <v>71448.23</v>
      </c>
    </row>
    <row r="41" spans="3:16" s="2" customFormat="1" ht="15.75" thickTop="1">
      <c r="C41" s="1"/>
      <c r="D41" s="3"/>
      <c r="E41" s="3"/>
      <c r="F41" s="3"/>
      <c r="G41" s="3"/>
      <c r="H41" s="3"/>
      <c r="I41" s="3"/>
      <c r="J41" s="24"/>
      <c r="K41" s="3" t="s">
        <v>38</v>
      </c>
      <c r="L41" s="3">
        <f>L27</f>
        <v>963127.2</v>
      </c>
      <c r="M41" s="3"/>
      <c r="N41" s="3"/>
      <c r="O41" s="3"/>
      <c r="P41" s="3"/>
    </row>
    <row r="42" spans="3:16" s="2" customFormat="1" ht="15">
      <c r="C42" s="1"/>
      <c r="D42" s="3"/>
      <c r="E42" s="3"/>
      <c r="F42" s="3"/>
      <c r="G42" s="3"/>
      <c r="H42" s="3"/>
      <c r="I42" s="3"/>
      <c r="J42" s="24"/>
      <c r="K42" s="3" t="s">
        <v>41</v>
      </c>
      <c r="L42" s="3">
        <f>L28</f>
        <v>15448.018583333333</v>
      </c>
      <c r="M42" s="3"/>
      <c r="N42" s="3"/>
      <c r="O42" s="3"/>
      <c r="P42" s="3"/>
    </row>
    <row r="43" spans="3:16" s="2" customFormat="1" ht="15.75" thickBot="1">
      <c r="C43"/>
      <c r="D43"/>
      <c r="E43" s="3"/>
      <c r="F43" s="3"/>
      <c r="G43" s="3"/>
      <c r="H43" s="3"/>
      <c r="I43" s="3"/>
      <c r="J43" s="24"/>
      <c r="K43" s="3" t="s">
        <v>43</v>
      </c>
      <c r="L43" s="5">
        <f>L40-L41-L42</f>
        <v>19079990.224099997</v>
      </c>
      <c r="M43" s="3"/>
      <c r="N43" s="3"/>
      <c r="O43" s="3"/>
      <c r="P43" s="3"/>
    </row>
    <row r="44" ht="15.75" thickTop="1"/>
  </sheetData>
  <sheetProtection/>
  <mergeCells count="3">
    <mergeCell ref="B1:Q1"/>
    <mergeCell ref="B2:Q2"/>
    <mergeCell ref="B3:Q3"/>
  </mergeCells>
  <printOptions/>
  <pageMargins left="0.1968503937007874" right="0.1968503937007874" top="0.7480314960629921" bottom="0.7480314960629921" header="0.31496062992125984" footer="0.31496062992125984"/>
  <pageSetup fitToHeight="1" fitToWidth="1" horizontalDpi="525" verticalDpi="525" orientation="landscape" scale="5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C1">
      <selection activeCell="E8" sqref="E8"/>
    </sheetView>
  </sheetViews>
  <sheetFormatPr defaultColWidth="9.140625" defaultRowHeight="15"/>
  <cols>
    <col min="3" max="3" width="34.28125" style="0" bestFit="1" customWidth="1"/>
    <col min="4" max="4" width="12.7109375" style="0" bestFit="1" customWidth="1"/>
    <col min="5" max="5" width="12.00390625" style="0" bestFit="1" customWidth="1"/>
    <col min="6" max="6" width="11.00390625" style="0" bestFit="1" customWidth="1"/>
    <col min="7" max="7" width="12.00390625" style="0" bestFit="1" customWidth="1"/>
    <col min="8" max="8" width="15.140625" style="0" customWidth="1"/>
    <col min="9" max="9" width="30.140625" style="0" bestFit="1" customWidth="1"/>
    <col min="10" max="10" width="0.5625" style="0" customWidth="1"/>
    <col min="11" max="11" width="24.8515625" style="0" bestFit="1" customWidth="1"/>
    <col min="12" max="12" width="12.7109375" style="0" bestFit="1" customWidth="1"/>
    <col min="13" max="13" width="11.00390625" style="0" bestFit="1" customWidth="1"/>
    <col min="14" max="14" width="11.00390625" style="0" customWidth="1"/>
    <col min="15" max="15" width="13.00390625" style="0" customWidth="1"/>
    <col min="16" max="16" width="12.7109375" style="0" bestFit="1" customWidth="1"/>
    <col min="17" max="17" width="18.7109375" style="0" bestFit="1" customWidth="1"/>
    <col min="18" max="19" width="11.140625" style="0" bestFit="1" customWidth="1"/>
  </cols>
  <sheetData>
    <row r="1" spans="2:19" s="2" customFormat="1" ht="15">
      <c r="B1" s="136" t="s">
        <v>28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3"/>
      <c r="S1" s="3"/>
    </row>
    <row r="2" spans="2:19" s="2" customFormat="1" ht="15">
      <c r="B2" s="136" t="s">
        <v>29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3"/>
      <c r="S2" s="3"/>
    </row>
    <row r="3" spans="2:19" s="2" customFormat="1" ht="15">
      <c r="B3" s="137">
        <v>39082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3"/>
      <c r="S3" s="3"/>
    </row>
    <row r="4" spans="3:19" s="2" customFormat="1" ht="15">
      <c r="C4" s="1"/>
      <c r="D4" s="25" t="s">
        <v>0</v>
      </c>
      <c r="E4" s="25"/>
      <c r="F4" s="25"/>
      <c r="G4" s="25"/>
      <c r="H4" s="25"/>
      <c r="I4" s="25"/>
      <c r="J4" s="4"/>
      <c r="K4" s="25" t="s">
        <v>1</v>
      </c>
      <c r="L4" s="25"/>
      <c r="M4" s="25"/>
      <c r="N4" s="25"/>
      <c r="O4" s="25"/>
      <c r="P4" s="25"/>
      <c r="Q4" s="3"/>
      <c r="R4" s="3"/>
      <c r="S4" s="3"/>
    </row>
    <row r="5" spans="1:19" s="2" customFormat="1" ht="45">
      <c r="A5" s="32" t="s">
        <v>45</v>
      </c>
      <c r="B5" s="32" t="s">
        <v>46</v>
      </c>
      <c r="C5" s="32" t="s">
        <v>63</v>
      </c>
      <c r="D5" s="32" t="s">
        <v>48</v>
      </c>
      <c r="E5" s="32" t="s">
        <v>3</v>
      </c>
      <c r="F5" s="32" t="s">
        <v>4</v>
      </c>
      <c r="G5" s="32" t="s">
        <v>61</v>
      </c>
      <c r="H5" s="32" t="s">
        <v>62</v>
      </c>
      <c r="I5" s="32" t="s">
        <v>49</v>
      </c>
      <c r="J5" s="31"/>
      <c r="K5" s="32" t="s">
        <v>48</v>
      </c>
      <c r="L5" s="32" t="s">
        <v>3</v>
      </c>
      <c r="M5" s="32" t="s">
        <v>4</v>
      </c>
      <c r="N5" s="32" t="s">
        <v>61</v>
      </c>
      <c r="O5" s="32" t="s">
        <v>62</v>
      </c>
      <c r="P5" s="32" t="s">
        <v>49</v>
      </c>
      <c r="Q5" s="32" t="s">
        <v>50</v>
      </c>
      <c r="R5" s="32" t="s">
        <v>64</v>
      </c>
      <c r="S5" s="32" t="s">
        <v>65</v>
      </c>
    </row>
    <row r="6" spans="1:19" s="2" customFormat="1" ht="15">
      <c r="A6" s="26"/>
      <c r="B6" s="26">
        <v>1675</v>
      </c>
      <c r="C6" s="27" t="s">
        <v>5</v>
      </c>
      <c r="D6" s="28">
        <v>0</v>
      </c>
      <c r="E6" s="29">
        <v>0</v>
      </c>
      <c r="F6" s="47">
        <v>0</v>
      </c>
      <c r="G6" s="47"/>
      <c r="H6" s="47"/>
      <c r="I6" s="30">
        <f>D6+E6-F6-G6-H6</f>
        <v>0</v>
      </c>
      <c r="J6" s="24"/>
      <c r="K6" s="30">
        <v>0</v>
      </c>
      <c r="L6" s="47">
        <v>0</v>
      </c>
      <c r="M6" s="47">
        <v>0</v>
      </c>
      <c r="N6" s="47"/>
      <c r="O6" s="47"/>
      <c r="P6" s="30">
        <f>K6+L6-M6-N6-O6</f>
        <v>0</v>
      </c>
      <c r="Q6" s="30">
        <f>I6-P6</f>
        <v>0</v>
      </c>
      <c r="R6" s="30">
        <v>0</v>
      </c>
      <c r="S6" s="30">
        <v>0</v>
      </c>
    </row>
    <row r="7" spans="1:19" s="2" customFormat="1" ht="15">
      <c r="A7" s="14" t="s">
        <v>51</v>
      </c>
      <c r="B7" s="26">
        <v>1805</v>
      </c>
      <c r="C7" s="27" t="s">
        <v>6</v>
      </c>
      <c r="D7" s="28">
        <v>415141.45</v>
      </c>
      <c r="E7" s="29">
        <v>0</v>
      </c>
      <c r="F7" s="47">
        <v>0</v>
      </c>
      <c r="G7" s="47"/>
      <c r="H7" s="47"/>
      <c r="I7" s="30">
        <f aca="true" t="shared" si="0" ref="I7:I36">D7+E7-F7-G7-H7</f>
        <v>415141.45</v>
      </c>
      <c r="J7" s="24"/>
      <c r="K7" s="30">
        <v>0</v>
      </c>
      <c r="L7" s="47">
        <v>0</v>
      </c>
      <c r="M7" s="47">
        <v>0</v>
      </c>
      <c r="N7" s="47"/>
      <c r="O7" s="47"/>
      <c r="P7" s="30">
        <f aca="true" t="shared" si="1" ref="P7:P36">K7+L7-M7-N7-O7</f>
        <v>0</v>
      </c>
      <c r="Q7" s="30">
        <f aca="true" t="shared" si="2" ref="Q7:Q36">I7-P7</f>
        <v>415141.45</v>
      </c>
      <c r="R7" s="30">
        <v>0</v>
      </c>
      <c r="S7" s="30">
        <v>0</v>
      </c>
    </row>
    <row r="8" spans="1:19" s="2" customFormat="1" ht="15">
      <c r="A8" s="14">
        <v>47</v>
      </c>
      <c r="B8" s="26">
        <v>1808</v>
      </c>
      <c r="C8" s="27" t="s">
        <v>7</v>
      </c>
      <c r="D8" s="28">
        <v>1983980.75</v>
      </c>
      <c r="E8" s="29">
        <v>57579.36</v>
      </c>
      <c r="F8" s="47">
        <v>0</v>
      </c>
      <c r="G8" s="47"/>
      <c r="H8" s="47"/>
      <c r="I8" s="30">
        <f t="shared" si="0"/>
        <v>2041560.11</v>
      </c>
      <c r="J8" s="24"/>
      <c r="K8" s="30">
        <v>1211397.61</v>
      </c>
      <c r="L8" s="47">
        <v>72105.192</v>
      </c>
      <c r="M8" s="47">
        <v>0</v>
      </c>
      <c r="N8" s="47"/>
      <c r="O8" s="47"/>
      <c r="P8" s="30">
        <f t="shared" si="1"/>
        <v>1283502.8020000001</v>
      </c>
      <c r="Q8" s="30">
        <f t="shared" si="2"/>
        <v>758057.308</v>
      </c>
      <c r="R8" s="30">
        <v>0</v>
      </c>
      <c r="S8" s="30">
        <v>0</v>
      </c>
    </row>
    <row r="9" spans="1:19" s="2" customFormat="1" ht="15">
      <c r="A9" s="14">
        <v>13</v>
      </c>
      <c r="B9" s="26">
        <v>1810</v>
      </c>
      <c r="C9" s="27" t="s">
        <v>8</v>
      </c>
      <c r="D9" s="28">
        <v>20885.65</v>
      </c>
      <c r="E9" s="29">
        <v>0</v>
      </c>
      <c r="F9" s="47">
        <v>0</v>
      </c>
      <c r="G9" s="47"/>
      <c r="H9" s="47"/>
      <c r="I9" s="30">
        <f t="shared" si="0"/>
        <v>20885.65</v>
      </c>
      <c r="J9" s="24"/>
      <c r="K9" s="30">
        <v>20885.61</v>
      </c>
      <c r="L9" s="47">
        <v>0</v>
      </c>
      <c r="M9" s="47">
        <v>0</v>
      </c>
      <c r="N9" s="47"/>
      <c r="O9" s="47"/>
      <c r="P9" s="30">
        <f t="shared" si="1"/>
        <v>20885.61</v>
      </c>
      <c r="Q9" s="30">
        <f t="shared" si="2"/>
        <v>0.040000000000873115</v>
      </c>
      <c r="R9" s="30">
        <v>0</v>
      </c>
      <c r="S9" s="30">
        <v>0</v>
      </c>
    </row>
    <row r="10" spans="1:19" s="2" customFormat="1" ht="15">
      <c r="A10" s="14">
        <v>47</v>
      </c>
      <c r="B10" s="26">
        <v>1820</v>
      </c>
      <c r="C10" s="27" t="s">
        <v>9</v>
      </c>
      <c r="D10" s="28">
        <v>11429323.04</v>
      </c>
      <c r="E10" s="29">
        <v>156969.13</v>
      </c>
      <c r="F10" s="47">
        <v>217555.56</v>
      </c>
      <c r="G10" s="47"/>
      <c r="H10" s="47"/>
      <c r="I10" s="30">
        <f t="shared" si="0"/>
        <v>11368736.61</v>
      </c>
      <c r="J10" s="24"/>
      <c r="K10" s="30">
        <v>8117283.772777778</v>
      </c>
      <c r="L10" s="47">
        <v>312844.7223415787</v>
      </c>
      <c r="M10" s="47">
        <v>217555.56</v>
      </c>
      <c r="N10" s="47"/>
      <c r="O10" s="47"/>
      <c r="P10" s="30">
        <f t="shared" si="1"/>
        <v>8212572.935119358</v>
      </c>
      <c r="Q10" s="30">
        <f t="shared" si="2"/>
        <v>3156163.6748806415</v>
      </c>
      <c r="R10" s="30">
        <v>0</v>
      </c>
      <c r="S10" s="30">
        <v>0</v>
      </c>
    </row>
    <row r="11" spans="1:19" s="2" customFormat="1" ht="15">
      <c r="A11" s="14">
        <v>47</v>
      </c>
      <c r="B11" s="26">
        <v>1830</v>
      </c>
      <c r="C11" s="27" t="s">
        <v>10</v>
      </c>
      <c r="D11" s="28">
        <v>49574157.93</v>
      </c>
      <c r="E11" s="29">
        <v>5369919.49</v>
      </c>
      <c r="F11" s="47">
        <v>1437905.63</v>
      </c>
      <c r="G11" s="47"/>
      <c r="H11" s="47"/>
      <c r="I11" s="30">
        <f t="shared" si="0"/>
        <v>53506171.79</v>
      </c>
      <c r="J11" s="24"/>
      <c r="K11" s="30">
        <v>19962947.4765</v>
      </c>
      <c r="L11" s="47">
        <v>2068377.6029</v>
      </c>
      <c r="M11" s="47">
        <v>1437905.63</v>
      </c>
      <c r="N11" s="47"/>
      <c r="O11" s="47"/>
      <c r="P11" s="30">
        <f t="shared" si="1"/>
        <v>20593419.4494</v>
      </c>
      <c r="Q11" s="30">
        <f t="shared" si="2"/>
        <v>32912752.3406</v>
      </c>
      <c r="R11" s="30">
        <v>0</v>
      </c>
      <c r="S11" s="30">
        <v>0</v>
      </c>
    </row>
    <row r="12" spans="1:19" s="2" customFormat="1" ht="15">
      <c r="A12" s="14">
        <v>47</v>
      </c>
      <c r="B12" s="26">
        <v>1835</v>
      </c>
      <c r="C12" s="27" t="s">
        <v>11</v>
      </c>
      <c r="D12" s="28">
        <v>64399682.35</v>
      </c>
      <c r="E12" s="29">
        <v>2164380.64</v>
      </c>
      <c r="F12" s="47">
        <v>1639002.25</v>
      </c>
      <c r="G12" s="47"/>
      <c r="H12" s="47"/>
      <c r="I12" s="30">
        <f t="shared" si="0"/>
        <v>64925060.74</v>
      </c>
      <c r="J12" s="24"/>
      <c r="K12" s="30">
        <v>24962313.143666666</v>
      </c>
      <c r="L12" s="47">
        <v>2588413.7769333334</v>
      </c>
      <c r="M12" s="47">
        <v>1639002.25</v>
      </c>
      <c r="N12" s="47"/>
      <c r="O12" s="47"/>
      <c r="P12" s="30">
        <f t="shared" si="1"/>
        <v>25911724.6706</v>
      </c>
      <c r="Q12" s="30">
        <f t="shared" si="2"/>
        <v>39013336.0694</v>
      </c>
      <c r="R12" s="30">
        <v>0</v>
      </c>
      <c r="S12" s="30">
        <v>0</v>
      </c>
    </row>
    <row r="13" spans="1:19" s="2" customFormat="1" ht="15">
      <c r="A13" s="14">
        <v>47</v>
      </c>
      <c r="B13" s="26">
        <v>1840</v>
      </c>
      <c r="C13" s="27" t="s">
        <v>30</v>
      </c>
      <c r="D13" s="28">
        <v>100996183.26</v>
      </c>
      <c r="E13" s="29">
        <v>4061106.22</v>
      </c>
      <c r="F13" s="47">
        <v>0</v>
      </c>
      <c r="G13" s="47"/>
      <c r="H13" s="47"/>
      <c r="I13" s="30">
        <f t="shared" si="0"/>
        <v>105057289.48</v>
      </c>
      <c r="J13" s="24"/>
      <c r="K13" s="30">
        <v>47414565.67836667</v>
      </c>
      <c r="L13" s="47">
        <v>3971725.1458666665</v>
      </c>
      <c r="M13" s="47">
        <v>0</v>
      </c>
      <c r="N13" s="47"/>
      <c r="O13" s="47"/>
      <c r="P13" s="30">
        <f t="shared" si="1"/>
        <v>51386290.82423334</v>
      </c>
      <c r="Q13" s="30">
        <f t="shared" si="2"/>
        <v>53670998.655766666</v>
      </c>
      <c r="R13" s="30">
        <v>0</v>
      </c>
      <c r="S13" s="30">
        <v>0</v>
      </c>
    </row>
    <row r="14" spans="1:19" s="2" customFormat="1" ht="15">
      <c r="A14" s="14">
        <v>47</v>
      </c>
      <c r="B14" s="26">
        <v>1845</v>
      </c>
      <c r="C14" s="27" t="s">
        <v>12</v>
      </c>
      <c r="D14" s="28">
        <v>93676257.23</v>
      </c>
      <c r="E14" s="29">
        <v>7114218.09</v>
      </c>
      <c r="F14" s="47">
        <v>0</v>
      </c>
      <c r="G14" s="47"/>
      <c r="H14" s="47"/>
      <c r="I14" s="30">
        <f t="shared" si="0"/>
        <v>100790475.32000001</v>
      </c>
      <c r="J14" s="24"/>
      <c r="K14" s="30">
        <v>44010726.98653334</v>
      </c>
      <c r="L14" s="47">
        <v>3646771.0723333335</v>
      </c>
      <c r="M14" s="47">
        <v>0</v>
      </c>
      <c r="N14" s="47"/>
      <c r="O14" s="47"/>
      <c r="P14" s="30">
        <f t="shared" si="1"/>
        <v>47657498.05886667</v>
      </c>
      <c r="Q14" s="30">
        <f t="shared" si="2"/>
        <v>53132977.261133336</v>
      </c>
      <c r="R14" s="30">
        <v>0</v>
      </c>
      <c r="S14" s="30">
        <v>0</v>
      </c>
    </row>
    <row r="15" spans="1:19" s="2" customFormat="1" ht="15">
      <c r="A15" s="14">
        <v>47</v>
      </c>
      <c r="B15" s="26">
        <v>1850</v>
      </c>
      <c r="C15" s="27" t="s">
        <v>13</v>
      </c>
      <c r="D15" s="28">
        <v>77261476.75</v>
      </c>
      <c r="E15" s="29">
        <v>5134516.74</v>
      </c>
      <c r="F15" s="47">
        <v>0</v>
      </c>
      <c r="G15" s="47"/>
      <c r="H15" s="47"/>
      <c r="I15" s="30">
        <f t="shared" si="0"/>
        <v>82395993.49</v>
      </c>
      <c r="J15" s="24"/>
      <c r="K15" s="30">
        <v>36063799.02263334</v>
      </c>
      <c r="L15" s="47">
        <v>3012061.2361666667</v>
      </c>
      <c r="M15" s="47">
        <v>0</v>
      </c>
      <c r="N15" s="47"/>
      <c r="O15" s="47"/>
      <c r="P15" s="30">
        <f t="shared" si="1"/>
        <v>39075860.2588</v>
      </c>
      <c r="Q15" s="30">
        <f t="shared" si="2"/>
        <v>43320133.231199995</v>
      </c>
      <c r="R15" s="30">
        <v>0</v>
      </c>
      <c r="S15" s="30">
        <v>0</v>
      </c>
    </row>
    <row r="16" spans="1:19" s="2" customFormat="1" ht="15">
      <c r="A16" s="14">
        <v>47</v>
      </c>
      <c r="B16" s="26">
        <v>1855</v>
      </c>
      <c r="C16" s="27" t="s">
        <v>14</v>
      </c>
      <c r="D16" s="28">
        <v>18626343.53</v>
      </c>
      <c r="E16" s="29">
        <v>1529166.29</v>
      </c>
      <c r="F16" s="47">
        <v>350763.69</v>
      </c>
      <c r="G16" s="47"/>
      <c r="H16" s="47"/>
      <c r="I16" s="30">
        <f t="shared" si="0"/>
        <v>19804746.13</v>
      </c>
      <c r="J16" s="24"/>
      <c r="K16" s="30">
        <v>6038843.564533333</v>
      </c>
      <c r="L16" s="47">
        <v>823845.8587666666</v>
      </c>
      <c r="M16" s="47">
        <v>350763.69</v>
      </c>
      <c r="N16" s="47"/>
      <c r="O16" s="47"/>
      <c r="P16" s="30">
        <f t="shared" si="1"/>
        <v>6511925.7332999995</v>
      </c>
      <c r="Q16" s="30">
        <f t="shared" si="2"/>
        <v>13292820.396699999</v>
      </c>
      <c r="R16" s="30">
        <v>0</v>
      </c>
      <c r="S16" s="30">
        <v>0</v>
      </c>
    </row>
    <row r="17" spans="1:19" s="2" customFormat="1" ht="15">
      <c r="A17" s="14">
        <v>47</v>
      </c>
      <c r="B17" s="26">
        <v>1860</v>
      </c>
      <c r="C17" s="27" t="s">
        <v>15</v>
      </c>
      <c r="D17" s="28">
        <v>27630492.54</v>
      </c>
      <c r="E17" s="29">
        <v>3095391.68</v>
      </c>
      <c r="F17" s="47">
        <v>0</v>
      </c>
      <c r="G17" s="47"/>
      <c r="H17" s="47"/>
      <c r="I17" s="30">
        <f t="shared" si="0"/>
        <v>30725884.22</v>
      </c>
      <c r="J17" s="24"/>
      <c r="K17" s="30">
        <v>12092517.647466667</v>
      </c>
      <c r="L17" s="47">
        <v>1264417.4844666666</v>
      </c>
      <c r="M17" s="47">
        <v>0</v>
      </c>
      <c r="N17" s="47"/>
      <c r="O17" s="47"/>
      <c r="P17" s="30">
        <f t="shared" si="1"/>
        <v>13356935.131933333</v>
      </c>
      <c r="Q17" s="30">
        <f t="shared" si="2"/>
        <v>17368949.088066667</v>
      </c>
      <c r="R17" s="30">
        <v>0</v>
      </c>
      <c r="S17" s="30">
        <v>0</v>
      </c>
    </row>
    <row r="18" spans="1:19" s="2" customFormat="1" ht="15">
      <c r="A18" s="14">
        <v>47</v>
      </c>
      <c r="B18" s="26">
        <v>1860</v>
      </c>
      <c r="C18" s="27" t="s">
        <v>16</v>
      </c>
      <c r="D18" s="28">
        <v>0</v>
      </c>
      <c r="E18" s="29">
        <v>0</v>
      </c>
      <c r="F18" s="47">
        <v>0</v>
      </c>
      <c r="G18" s="47"/>
      <c r="H18" s="47"/>
      <c r="I18" s="30">
        <f t="shared" si="0"/>
        <v>0</v>
      </c>
      <c r="J18" s="24"/>
      <c r="K18" s="30">
        <v>0</v>
      </c>
      <c r="L18" s="47"/>
      <c r="M18" s="47"/>
      <c r="N18" s="47"/>
      <c r="O18" s="47"/>
      <c r="P18" s="30">
        <f t="shared" si="1"/>
        <v>0</v>
      </c>
      <c r="Q18" s="30">
        <f t="shared" si="2"/>
        <v>0</v>
      </c>
      <c r="R18" s="30">
        <v>0</v>
      </c>
      <c r="S18" s="30">
        <v>0</v>
      </c>
    </row>
    <row r="19" spans="1:19" s="2" customFormat="1" ht="15">
      <c r="A19" s="14" t="s">
        <v>51</v>
      </c>
      <c r="B19" s="26">
        <v>1905</v>
      </c>
      <c r="C19" s="27" t="s">
        <v>17</v>
      </c>
      <c r="D19" s="28">
        <v>1078176.33</v>
      </c>
      <c r="E19" s="29">
        <v>0</v>
      </c>
      <c r="F19" s="47">
        <v>0</v>
      </c>
      <c r="G19" s="47"/>
      <c r="H19" s="47"/>
      <c r="I19" s="30">
        <f t="shared" si="0"/>
        <v>1078176.33</v>
      </c>
      <c r="J19" s="24"/>
      <c r="K19" s="30">
        <v>0</v>
      </c>
      <c r="L19" s="47">
        <v>0</v>
      </c>
      <c r="M19" s="47">
        <v>0</v>
      </c>
      <c r="N19" s="47"/>
      <c r="O19" s="47"/>
      <c r="P19" s="30">
        <f t="shared" si="1"/>
        <v>0</v>
      </c>
      <c r="Q19" s="30">
        <f t="shared" si="2"/>
        <v>1078176.33</v>
      </c>
      <c r="R19" s="30">
        <v>0</v>
      </c>
      <c r="S19" s="30">
        <v>0</v>
      </c>
    </row>
    <row r="20" spans="1:19" s="2" customFormat="1" ht="15">
      <c r="A20" s="14">
        <v>47</v>
      </c>
      <c r="B20" s="26">
        <v>1906</v>
      </c>
      <c r="C20" s="27" t="s">
        <v>18</v>
      </c>
      <c r="D20" s="28">
        <v>144877.41</v>
      </c>
      <c r="E20" s="29">
        <v>0</v>
      </c>
      <c r="F20" s="47">
        <v>0</v>
      </c>
      <c r="G20" s="47"/>
      <c r="H20" s="47"/>
      <c r="I20" s="30">
        <f t="shared" si="0"/>
        <v>144877.41</v>
      </c>
      <c r="J20" s="24"/>
      <c r="K20" s="30">
        <v>54679.69</v>
      </c>
      <c r="L20" s="47">
        <v>3220.27</v>
      </c>
      <c r="M20" s="47">
        <v>0</v>
      </c>
      <c r="N20" s="47"/>
      <c r="O20" s="47"/>
      <c r="P20" s="30">
        <f t="shared" si="1"/>
        <v>57899.96</v>
      </c>
      <c r="Q20" s="30">
        <f t="shared" si="2"/>
        <v>86977.45000000001</v>
      </c>
      <c r="R20" s="30">
        <v>0</v>
      </c>
      <c r="S20" s="30">
        <v>0</v>
      </c>
    </row>
    <row r="21" spans="1:19" s="2" customFormat="1" ht="15">
      <c r="A21" s="14">
        <v>47</v>
      </c>
      <c r="B21" s="26">
        <v>1908</v>
      </c>
      <c r="C21" s="27" t="s">
        <v>19</v>
      </c>
      <c r="D21" s="28">
        <v>22207492.4</v>
      </c>
      <c r="E21" s="29">
        <v>1305431.05</v>
      </c>
      <c r="F21" s="47">
        <v>0</v>
      </c>
      <c r="G21" s="47"/>
      <c r="H21" s="47"/>
      <c r="I21" s="30">
        <f t="shared" si="0"/>
        <v>23512923.45</v>
      </c>
      <c r="J21" s="24"/>
      <c r="K21" s="30">
        <v>12653907.7</v>
      </c>
      <c r="L21" s="47">
        <v>929493.4</v>
      </c>
      <c r="M21" s="47">
        <v>0</v>
      </c>
      <c r="N21" s="47"/>
      <c r="O21" s="47"/>
      <c r="P21" s="30">
        <f t="shared" si="1"/>
        <v>13583401.1</v>
      </c>
      <c r="Q21" s="30">
        <f t="shared" si="2"/>
        <v>9929522.35</v>
      </c>
      <c r="R21" s="30">
        <v>0</v>
      </c>
      <c r="S21" s="30">
        <v>0</v>
      </c>
    </row>
    <row r="22" spans="1:19" s="2" customFormat="1" ht="15">
      <c r="A22" s="14">
        <v>13</v>
      </c>
      <c r="B22" s="26">
        <v>1910</v>
      </c>
      <c r="C22" s="27" t="s">
        <v>8</v>
      </c>
      <c r="D22" s="28">
        <v>0</v>
      </c>
      <c r="E22" s="29">
        <v>0</v>
      </c>
      <c r="F22" s="47">
        <v>0</v>
      </c>
      <c r="G22" s="47"/>
      <c r="H22" s="47"/>
      <c r="I22" s="30">
        <f t="shared" si="0"/>
        <v>0</v>
      </c>
      <c r="J22" s="24"/>
      <c r="K22" s="30">
        <v>0</v>
      </c>
      <c r="L22" s="47">
        <v>0</v>
      </c>
      <c r="M22" s="47">
        <v>0</v>
      </c>
      <c r="N22" s="47"/>
      <c r="O22" s="47"/>
      <c r="P22" s="30">
        <f t="shared" si="1"/>
        <v>0</v>
      </c>
      <c r="Q22" s="30">
        <f t="shared" si="2"/>
        <v>0</v>
      </c>
      <c r="R22" s="30">
        <v>0</v>
      </c>
      <c r="S22" s="30">
        <v>0</v>
      </c>
    </row>
    <row r="23" spans="1:19" s="2" customFormat="1" ht="15">
      <c r="A23" s="14">
        <v>8</v>
      </c>
      <c r="B23" s="26">
        <v>1915</v>
      </c>
      <c r="C23" s="27" t="s">
        <v>20</v>
      </c>
      <c r="D23" s="28">
        <v>3397410.68</v>
      </c>
      <c r="E23" s="29">
        <v>388390.09</v>
      </c>
      <c r="F23" s="47">
        <v>0</v>
      </c>
      <c r="G23" s="47"/>
      <c r="H23" s="47"/>
      <c r="I23" s="30">
        <f t="shared" si="0"/>
        <v>3785800.77</v>
      </c>
      <c r="J23" s="24"/>
      <c r="K23" s="30">
        <v>2909800.86675</v>
      </c>
      <c r="L23" s="47">
        <v>147554.03516666667</v>
      </c>
      <c r="M23" s="47">
        <v>0</v>
      </c>
      <c r="N23" s="47"/>
      <c r="O23" s="47"/>
      <c r="P23" s="30">
        <f t="shared" si="1"/>
        <v>3057354.901916667</v>
      </c>
      <c r="Q23" s="30">
        <f t="shared" si="2"/>
        <v>728445.8680833331</v>
      </c>
      <c r="R23" s="30">
        <v>0</v>
      </c>
      <c r="S23" s="30">
        <v>0</v>
      </c>
    </row>
    <row r="24" spans="1:19" s="2" customFormat="1" ht="15">
      <c r="A24" s="14">
        <v>10</v>
      </c>
      <c r="B24" s="26">
        <v>1920</v>
      </c>
      <c r="C24" s="27" t="s">
        <v>21</v>
      </c>
      <c r="D24" s="28">
        <v>5613068.4</v>
      </c>
      <c r="E24" s="29">
        <v>4.547473508864641E-13</v>
      </c>
      <c r="F24" s="47">
        <v>0</v>
      </c>
      <c r="G24" s="47"/>
      <c r="H24" s="47"/>
      <c r="I24" s="30">
        <f t="shared" si="0"/>
        <v>5613068.4</v>
      </c>
      <c r="J24" s="24"/>
      <c r="K24" s="30">
        <v>5245928.558165667</v>
      </c>
      <c r="L24" s="47">
        <v>190371.28</v>
      </c>
      <c r="M24" s="47">
        <v>0</v>
      </c>
      <c r="N24" s="47"/>
      <c r="O24" s="47"/>
      <c r="P24" s="30">
        <f t="shared" si="1"/>
        <v>5436299.838165667</v>
      </c>
      <c r="Q24" s="30">
        <f t="shared" si="2"/>
        <v>176768.56183433346</v>
      </c>
      <c r="R24" s="30">
        <v>0</v>
      </c>
      <c r="S24" s="30">
        <v>0</v>
      </c>
    </row>
    <row r="25" spans="1:19" s="2" customFormat="1" ht="15">
      <c r="A25" s="14">
        <v>45</v>
      </c>
      <c r="B25" s="26">
        <v>1920</v>
      </c>
      <c r="C25" s="27" t="s">
        <v>22</v>
      </c>
      <c r="D25" s="28">
        <v>578192.12</v>
      </c>
      <c r="E25" s="29">
        <v>572594.61</v>
      </c>
      <c r="F25" s="47">
        <v>84486.24</v>
      </c>
      <c r="G25" s="47"/>
      <c r="H25" s="47"/>
      <c r="I25" s="30">
        <f t="shared" si="0"/>
        <v>1066300.49</v>
      </c>
      <c r="J25" s="24"/>
      <c r="K25" s="30">
        <v>66484.85816666667</v>
      </c>
      <c r="L25" s="47">
        <v>159037.58333333334</v>
      </c>
      <c r="M25" s="47">
        <v>66180.9</v>
      </c>
      <c r="N25" s="47"/>
      <c r="O25" s="47"/>
      <c r="P25" s="30">
        <f t="shared" si="1"/>
        <v>159341.54150000002</v>
      </c>
      <c r="Q25" s="30">
        <f t="shared" si="2"/>
        <v>906958.9484999999</v>
      </c>
      <c r="R25" s="30">
        <v>0</v>
      </c>
      <c r="S25" s="30">
        <v>0</v>
      </c>
    </row>
    <row r="26" spans="1:19" s="2" customFormat="1" ht="15">
      <c r="A26" s="14">
        <v>12</v>
      </c>
      <c r="B26" s="26">
        <v>1925</v>
      </c>
      <c r="C26" s="27" t="s">
        <v>23</v>
      </c>
      <c r="D26" s="28">
        <v>4142907.97</v>
      </c>
      <c r="E26" s="29">
        <v>216000.65</v>
      </c>
      <c r="F26" s="47">
        <v>0</v>
      </c>
      <c r="G26" s="47"/>
      <c r="H26" s="47"/>
      <c r="I26" s="30">
        <f t="shared" si="0"/>
        <v>4358908.62</v>
      </c>
      <c r="J26" s="24"/>
      <c r="K26" s="30">
        <v>3623652.6366666667</v>
      </c>
      <c r="L26" s="47">
        <v>287362.86555555556</v>
      </c>
      <c r="M26" s="47">
        <v>0</v>
      </c>
      <c r="N26" s="47"/>
      <c r="O26" s="47"/>
      <c r="P26" s="30">
        <f t="shared" si="1"/>
        <v>3911015.5022222223</v>
      </c>
      <c r="Q26" s="30">
        <f t="shared" si="2"/>
        <v>447893.11777777784</v>
      </c>
      <c r="R26" s="30">
        <v>0</v>
      </c>
      <c r="S26" s="30">
        <v>0</v>
      </c>
    </row>
    <row r="27" spans="1:19" s="2" customFormat="1" ht="15">
      <c r="A27" s="14">
        <v>10</v>
      </c>
      <c r="B27" s="26">
        <v>1930</v>
      </c>
      <c r="C27" s="27" t="s">
        <v>24</v>
      </c>
      <c r="D27" s="28">
        <v>14688816.2</v>
      </c>
      <c r="E27" s="29">
        <v>1880673.23</v>
      </c>
      <c r="F27" s="47">
        <v>952404.76</v>
      </c>
      <c r="G27" s="47"/>
      <c r="H27" s="47"/>
      <c r="I27" s="30">
        <f t="shared" si="0"/>
        <v>15617084.67</v>
      </c>
      <c r="J27" s="24"/>
      <c r="K27" s="30">
        <v>10795717.04</v>
      </c>
      <c r="L27" s="47">
        <v>945174.24</v>
      </c>
      <c r="M27" s="47">
        <v>952404.76</v>
      </c>
      <c r="N27" s="47"/>
      <c r="O27" s="47"/>
      <c r="P27" s="30">
        <f t="shared" si="1"/>
        <v>10788486.52</v>
      </c>
      <c r="Q27" s="30">
        <f t="shared" si="2"/>
        <v>4828598.15</v>
      </c>
      <c r="R27" s="30">
        <v>121613.47</v>
      </c>
      <c r="S27" s="30">
        <v>71448.23</v>
      </c>
    </row>
    <row r="28" spans="1:19" s="2" customFormat="1" ht="15">
      <c r="A28" s="14">
        <v>8</v>
      </c>
      <c r="B28" s="26">
        <v>1935</v>
      </c>
      <c r="C28" s="27" t="s">
        <v>25</v>
      </c>
      <c r="D28" s="28">
        <v>507174.49</v>
      </c>
      <c r="E28" s="29">
        <v>1302.37</v>
      </c>
      <c r="F28" s="47">
        <v>0</v>
      </c>
      <c r="G28" s="47"/>
      <c r="H28" s="47"/>
      <c r="I28" s="30">
        <f t="shared" si="0"/>
        <v>508476.86</v>
      </c>
      <c r="J28" s="24"/>
      <c r="K28" s="30">
        <v>432667.7825833333</v>
      </c>
      <c r="L28" s="47">
        <v>13151.917</v>
      </c>
      <c r="M28" s="47">
        <v>0</v>
      </c>
      <c r="N28" s="47"/>
      <c r="O28" s="47"/>
      <c r="P28" s="30">
        <f t="shared" si="1"/>
        <v>445819.69958333333</v>
      </c>
      <c r="Q28" s="30">
        <f t="shared" si="2"/>
        <v>62657.16041666665</v>
      </c>
      <c r="R28" s="30">
        <v>0</v>
      </c>
      <c r="S28" s="30">
        <v>0</v>
      </c>
    </row>
    <row r="29" spans="1:19" s="2" customFormat="1" ht="15">
      <c r="A29" s="14">
        <v>8</v>
      </c>
      <c r="B29" s="26">
        <v>1940</v>
      </c>
      <c r="C29" s="27" t="s">
        <v>26</v>
      </c>
      <c r="D29" s="28">
        <v>5906883.5</v>
      </c>
      <c r="E29" s="29">
        <v>425142.72</v>
      </c>
      <c r="F29" s="47">
        <v>0</v>
      </c>
      <c r="G29" s="47"/>
      <c r="H29" s="47"/>
      <c r="I29" s="30">
        <f t="shared" si="0"/>
        <v>6332026.22</v>
      </c>
      <c r="J29" s="24"/>
      <c r="K29" s="30">
        <v>4558123.92225</v>
      </c>
      <c r="L29" s="47">
        <v>299294.57016666664</v>
      </c>
      <c r="M29" s="47">
        <v>0</v>
      </c>
      <c r="N29" s="47"/>
      <c r="O29" s="47"/>
      <c r="P29" s="30">
        <f t="shared" si="1"/>
        <v>4857418.492416667</v>
      </c>
      <c r="Q29" s="30">
        <f t="shared" si="2"/>
        <v>1474607.727583333</v>
      </c>
      <c r="R29" s="30">
        <v>0</v>
      </c>
      <c r="S29" s="30">
        <v>0</v>
      </c>
    </row>
    <row r="30" spans="1:19" s="2" customFormat="1" ht="15">
      <c r="A30" s="14">
        <v>8</v>
      </c>
      <c r="B30" s="26">
        <v>1945</v>
      </c>
      <c r="C30" s="27" t="s">
        <v>31</v>
      </c>
      <c r="D30" s="28">
        <v>992194.96</v>
      </c>
      <c r="E30" s="29">
        <v>184131.09</v>
      </c>
      <c r="F30" s="47">
        <v>0</v>
      </c>
      <c r="G30" s="47"/>
      <c r="H30" s="47"/>
      <c r="I30" s="30">
        <f t="shared" si="0"/>
        <v>1176326.05</v>
      </c>
      <c r="J30" s="24"/>
      <c r="K30" s="30">
        <v>643808.1331666667</v>
      </c>
      <c r="L30" s="47">
        <v>63584.16058333333</v>
      </c>
      <c r="M30" s="47">
        <v>0</v>
      </c>
      <c r="N30" s="47"/>
      <c r="O30" s="47"/>
      <c r="P30" s="30">
        <f t="shared" si="1"/>
        <v>707392.2937500001</v>
      </c>
      <c r="Q30" s="30">
        <f t="shared" si="2"/>
        <v>468933.75625</v>
      </c>
      <c r="R30" s="30">
        <v>0</v>
      </c>
      <c r="S30" s="30">
        <v>0</v>
      </c>
    </row>
    <row r="31" spans="1:19" s="2" customFormat="1" ht="15">
      <c r="A31" s="14">
        <v>8</v>
      </c>
      <c r="B31" s="26">
        <v>1950</v>
      </c>
      <c r="C31" s="27" t="s">
        <v>32</v>
      </c>
      <c r="D31" s="28">
        <v>144034.63</v>
      </c>
      <c r="E31" s="29">
        <v>0</v>
      </c>
      <c r="F31" s="47">
        <v>0</v>
      </c>
      <c r="G31" s="47"/>
      <c r="H31" s="47"/>
      <c r="I31" s="30">
        <f t="shared" si="0"/>
        <v>144034.63</v>
      </c>
      <c r="J31" s="24"/>
      <c r="K31" s="30">
        <v>40276.39516666667</v>
      </c>
      <c r="L31" s="47">
        <v>15007.407916666667</v>
      </c>
      <c r="M31" s="47">
        <v>0</v>
      </c>
      <c r="N31" s="47"/>
      <c r="O31" s="47"/>
      <c r="P31" s="30">
        <f t="shared" si="1"/>
        <v>55283.80308333333</v>
      </c>
      <c r="Q31" s="30">
        <f t="shared" si="2"/>
        <v>88750.82691666667</v>
      </c>
      <c r="R31" s="30">
        <v>0</v>
      </c>
      <c r="S31" s="30">
        <v>0</v>
      </c>
    </row>
    <row r="32" spans="1:19" s="2" customFormat="1" ht="15">
      <c r="A32" s="14">
        <v>8</v>
      </c>
      <c r="B32" s="26">
        <v>1955</v>
      </c>
      <c r="C32" s="27" t="s">
        <v>27</v>
      </c>
      <c r="D32" s="28">
        <v>240325.37</v>
      </c>
      <c r="E32" s="29">
        <v>649830.56</v>
      </c>
      <c r="F32" s="47">
        <v>0</v>
      </c>
      <c r="G32" s="47"/>
      <c r="H32" s="47"/>
      <c r="I32" s="30">
        <f t="shared" si="0"/>
        <v>890155.93</v>
      </c>
      <c r="J32" s="24"/>
      <c r="K32" s="30">
        <v>138910.37716666667</v>
      </c>
      <c r="L32" s="47">
        <v>26063.4295</v>
      </c>
      <c r="M32" s="47">
        <v>0</v>
      </c>
      <c r="N32" s="47"/>
      <c r="O32" s="47"/>
      <c r="P32" s="30">
        <f t="shared" si="1"/>
        <v>164973.80666666667</v>
      </c>
      <c r="Q32" s="30">
        <f t="shared" si="2"/>
        <v>725182.1233333334</v>
      </c>
      <c r="R32" s="30">
        <v>0</v>
      </c>
      <c r="S32" s="30">
        <v>0</v>
      </c>
    </row>
    <row r="33" spans="1:19" s="2" customFormat="1" ht="15">
      <c r="A33" s="14">
        <v>8</v>
      </c>
      <c r="B33" s="26">
        <v>1960</v>
      </c>
      <c r="C33" s="27" t="s">
        <v>33</v>
      </c>
      <c r="D33" s="28">
        <v>0</v>
      </c>
      <c r="E33" s="29">
        <v>192511.5</v>
      </c>
      <c r="F33" s="47">
        <v>0</v>
      </c>
      <c r="G33" s="47"/>
      <c r="H33" s="47"/>
      <c r="I33" s="30">
        <f t="shared" si="0"/>
        <v>192511.5</v>
      </c>
      <c r="J33" s="24"/>
      <c r="K33" s="30">
        <v>0</v>
      </c>
      <c r="L33" s="47">
        <v>2818.61</v>
      </c>
      <c r="M33" s="47">
        <v>0</v>
      </c>
      <c r="N33" s="47"/>
      <c r="O33" s="47"/>
      <c r="P33" s="30">
        <f t="shared" si="1"/>
        <v>2818.61</v>
      </c>
      <c r="Q33" s="30">
        <f t="shared" si="2"/>
        <v>189692.89</v>
      </c>
      <c r="R33" s="30">
        <v>0</v>
      </c>
      <c r="S33" s="30">
        <v>0</v>
      </c>
    </row>
    <row r="34" spans="1:19" s="2" customFormat="1" ht="15">
      <c r="A34" s="14">
        <v>47</v>
      </c>
      <c r="B34" s="26">
        <v>1980</v>
      </c>
      <c r="C34" s="27" t="s">
        <v>34</v>
      </c>
      <c r="D34" s="28">
        <v>3292219.02</v>
      </c>
      <c r="E34" s="29">
        <v>10658.84</v>
      </c>
      <c r="F34" s="47">
        <v>0</v>
      </c>
      <c r="G34" s="47"/>
      <c r="H34" s="47"/>
      <c r="I34" s="30">
        <f t="shared" si="0"/>
        <v>3302877.86</v>
      </c>
      <c r="J34" s="24"/>
      <c r="K34" s="30">
        <v>2488415.2139444444</v>
      </c>
      <c r="L34" s="47">
        <v>182376.00044444445</v>
      </c>
      <c r="M34" s="47">
        <v>0</v>
      </c>
      <c r="N34" s="47"/>
      <c r="O34" s="47"/>
      <c r="P34" s="30">
        <f t="shared" si="1"/>
        <v>2670791.214388889</v>
      </c>
      <c r="Q34" s="30">
        <f t="shared" si="2"/>
        <v>632086.6456111111</v>
      </c>
      <c r="R34" s="30">
        <v>0</v>
      </c>
      <c r="S34" s="30">
        <v>0</v>
      </c>
    </row>
    <row r="35" spans="1:19" s="2" customFormat="1" ht="15">
      <c r="A35" s="14">
        <v>47</v>
      </c>
      <c r="B35" s="26">
        <v>1995</v>
      </c>
      <c r="C35" s="27" t="s">
        <v>35</v>
      </c>
      <c r="D35" s="28">
        <v>3396683.12</v>
      </c>
      <c r="E35" s="29">
        <v>0</v>
      </c>
      <c r="F35" s="47">
        <v>0</v>
      </c>
      <c r="G35" s="47"/>
      <c r="H35" s="47"/>
      <c r="I35" s="30">
        <f t="shared" si="0"/>
        <v>3396683.12</v>
      </c>
      <c r="J35" s="24"/>
      <c r="K35" s="30">
        <v>355534.4768333333</v>
      </c>
      <c r="L35" s="47">
        <v>135790.76883333334</v>
      </c>
      <c r="M35" s="47">
        <v>0</v>
      </c>
      <c r="N35" s="47"/>
      <c r="O35" s="47"/>
      <c r="P35" s="30">
        <f t="shared" si="1"/>
        <v>491325.24566666665</v>
      </c>
      <c r="Q35" s="30">
        <f t="shared" si="2"/>
        <v>2905357.874333333</v>
      </c>
      <c r="R35" s="30">
        <v>0</v>
      </c>
      <c r="S35" s="30">
        <v>0</v>
      </c>
    </row>
    <row r="36" spans="1:19" s="2" customFormat="1" ht="15">
      <c r="A36" s="14">
        <v>47</v>
      </c>
      <c r="B36" s="26">
        <v>1995</v>
      </c>
      <c r="C36" s="34" t="s">
        <v>36</v>
      </c>
      <c r="D36" s="35">
        <v>-10321106.51</v>
      </c>
      <c r="E36" s="36">
        <v>-3602924.42</v>
      </c>
      <c r="F36" s="48">
        <v>0</v>
      </c>
      <c r="G36" s="48"/>
      <c r="H36" s="48"/>
      <c r="I36" s="30">
        <f t="shared" si="0"/>
        <v>-13924030.93</v>
      </c>
      <c r="J36" s="24"/>
      <c r="K36" s="37">
        <v>-742017.3979</v>
      </c>
      <c r="L36" s="48">
        <v>-472911.62096666667</v>
      </c>
      <c r="M36" s="48">
        <v>0</v>
      </c>
      <c r="N36" s="48"/>
      <c r="O36" s="48"/>
      <c r="P36" s="37">
        <f t="shared" si="1"/>
        <v>-1214929.0188666666</v>
      </c>
      <c r="Q36" s="37">
        <f t="shared" si="2"/>
        <v>-12709101.911133334</v>
      </c>
      <c r="R36" s="37">
        <v>0</v>
      </c>
      <c r="S36" s="37">
        <v>0</v>
      </c>
    </row>
    <row r="37" spans="1:19" s="2" customFormat="1" ht="15">
      <c r="A37" s="2">
        <v>2105</v>
      </c>
      <c r="B37" s="2">
        <v>2105</v>
      </c>
      <c r="C37" s="38" t="s">
        <v>66</v>
      </c>
      <c r="D37" s="39">
        <f aca="true" t="shared" si="3" ref="D37:I37">SUM(D6:D36)</f>
        <v>502023274.57000005</v>
      </c>
      <c r="E37" s="40">
        <f t="shared" si="3"/>
        <v>30906989.930000007</v>
      </c>
      <c r="F37" s="40">
        <f t="shared" si="3"/>
        <v>4682118.13</v>
      </c>
      <c r="G37" s="40">
        <f t="shared" si="3"/>
        <v>0</v>
      </c>
      <c r="H37" s="40">
        <f t="shared" si="3"/>
        <v>0</v>
      </c>
      <c r="I37" s="40">
        <f t="shared" si="3"/>
        <v>528248146.37000006</v>
      </c>
      <c r="J37" s="41"/>
      <c r="K37" s="39">
        <f aca="true" t="shared" si="4" ref="K37:S37">SUM(K6:K36)</f>
        <v>243161170.76543787</v>
      </c>
      <c r="L37" s="40">
        <f t="shared" si="4"/>
        <v>20687951.009308238</v>
      </c>
      <c r="M37" s="40">
        <f t="shared" si="4"/>
        <v>4663812.79</v>
      </c>
      <c r="N37" s="40">
        <f t="shared" si="4"/>
        <v>0</v>
      </c>
      <c r="O37" s="40">
        <f t="shared" si="4"/>
        <v>0</v>
      </c>
      <c r="P37" s="40">
        <f t="shared" si="4"/>
        <v>259185308.98474613</v>
      </c>
      <c r="Q37" s="40">
        <f t="shared" si="4"/>
        <v>269062837.38525385</v>
      </c>
      <c r="R37" s="40">
        <f t="shared" si="4"/>
        <v>121613.47</v>
      </c>
      <c r="S37" s="40">
        <f t="shared" si="4"/>
        <v>71448.23</v>
      </c>
    </row>
    <row r="38" spans="3:19" s="2" customFormat="1" ht="15">
      <c r="C38" s="1"/>
      <c r="D38" s="3"/>
      <c r="E38" s="3"/>
      <c r="F38" s="3"/>
      <c r="G38" s="3"/>
      <c r="H38" s="3"/>
      <c r="I38" s="3"/>
      <c r="J38" s="24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5">
      <c r="A39" s="2">
        <v>2055</v>
      </c>
      <c r="B39" s="2">
        <v>2055</v>
      </c>
      <c r="C39" s="1" t="s">
        <v>37</v>
      </c>
      <c r="D39" s="3">
        <v>3826533.63</v>
      </c>
      <c r="E39" s="3">
        <v>384048.06</v>
      </c>
      <c r="F39" s="3">
        <v>0</v>
      </c>
      <c r="G39" s="3"/>
      <c r="H39" s="3"/>
      <c r="I39" s="3">
        <f>D39+E39-F39-G39-H39</f>
        <v>4210581.6899999995</v>
      </c>
      <c r="J39" s="24"/>
      <c r="K39" s="3">
        <v>0</v>
      </c>
      <c r="L39" s="3">
        <v>0</v>
      </c>
      <c r="M39" s="3">
        <v>0</v>
      </c>
      <c r="N39" s="3"/>
      <c r="O39" s="3"/>
      <c r="P39" s="3">
        <f>K39+L39-M39-N39-O39</f>
        <v>0</v>
      </c>
      <c r="Q39" s="3">
        <f>I39-P39</f>
        <v>4210581.6899999995</v>
      </c>
      <c r="R39" s="3">
        <v>0</v>
      </c>
      <c r="S39" s="3">
        <v>0</v>
      </c>
    </row>
    <row r="40" spans="3:19" s="2" customFormat="1" ht="15.75" thickBot="1">
      <c r="C40" s="33" t="s">
        <v>60</v>
      </c>
      <c r="D40" s="5">
        <f aca="true" t="shared" si="5" ref="D40:I40">SUM(D37:D39)</f>
        <v>505849808.20000005</v>
      </c>
      <c r="E40" s="5">
        <f t="shared" si="5"/>
        <v>31291037.990000006</v>
      </c>
      <c r="F40" s="5">
        <f t="shared" si="5"/>
        <v>4682118.13</v>
      </c>
      <c r="G40" s="5">
        <f t="shared" si="5"/>
        <v>0</v>
      </c>
      <c r="H40" s="5">
        <f t="shared" si="5"/>
        <v>0</v>
      </c>
      <c r="I40" s="5">
        <f t="shared" si="5"/>
        <v>532458728.06000006</v>
      </c>
      <c r="J40" s="24"/>
      <c r="K40" s="5">
        <f aca="true" t="shared" si="6" ref="K40:S40">SUM(K37:K39)</f>
        <v>243161170.76543787</v>
      </c>
      <c r="L40" s="5">
        <f t="shared" si="6"/>
        <v>20687951.009308238</v>
      </c>
      <c r="M40" s="5">
        <f t="shared" si="6"/>
        <v>4663812.79</v>
      </c>
      <c r="N40" s="5">
        <f t="shared" si="6"/>
        <v>0</v>
      </c>
      <c r="O40" s="5">
        <f t="shared" si="6"/>
        <v>0</v>
      </c>
      <c r="P40" s="5">
        <f t="shared" si="6"/>
        <v>259185308.98474613</v>
      </c>
      <c r="Q40" s="5">
        <f t="shared" si="6"/>
        <v>273273419.07525384</v>
      </c>
      <c r="R40" s="5">
        <f t="shared" si="6"/>
        <v>121613.47</v>
      </c>
      <c r="S40" s="5">
        <f t="shared" si="6"/>
        <v>71448.23</v>
      </c>
    </row>
    <row r="41" spans="3:16" s="2" customFormat="1" ht="15.75" thickTop="1">
      <c r="C41" s="1"/>
      <c r="D41" s="3"/>
      <c r="E41" s="3"/>
      <c r="F41" s="3"/>
      <c r="G41" s="3"/>
      <c r="H41" s="3"/>
      <c r="I41" s="3"/>
      <c r="J41" s="24"/>
      <c r="K41" s="3" t="s">
        <v>38</v>
      </c>
      <c r="L41" s="3">
        <f>L27</f>
        <v>945174.24</v>
      </c>
      <c r="M41" s="3"/>
      <c r="N41" s="3"/>
      <c r="O41" s="3"/>
      <c r="P41" s="3"/>
    </row>
    <row r="42" spans="3:16" s="2" customFormat="1" ht="15">
      <c r="C42" s="1"/>
      <c r="D42" s="3"/>
      <c r="E42" s="3"/>
      <c r="F42" s="3"/>
      <c r="G42" s="3"/>
      <c r="H42" s="3"/>
      <c r="I42" s="3"/>
      <c r="J42" s="24"/>
      <c r="K42" s="3" t="s">
        <v>41</v>
      </c>
      <c r="L42" s="3">
        <f>L28</f>
        <v>13151.917</v>
      </c>
      <c r="M42" s="3"/>
      <c r="N42" s="3"/>
      <c r="O42" s="3"/>
      <c r="P42" s="3"/>
    </row>
    <row r="43" spans="3:16" s="2" customFormat="1" ht="15.75" thickBot="1">
      <c r="C43"/>
      <c r="D43"/>
      <c r="E43" s="3"/>
      <c r="F43" s="3"/>
      <c r="G43" s="3"/>
      <c r="H43" s="3"/>
      <c r="I43" s="3"/>
      <c r="J43" s="24"/>
      <c r="K43" s="3" t="s">
        <v>43</v>
      </c>
      <c r="L43" s="5">
        <f>L40-L41-L42</f>
        <v>19729624.85230824</v>
      </c>
      <c r="M43" s="3"/>
      <c r="N43" s="3"/>
      <c r="O43" s="3"/>
      <c r="P43" s="3"/>
    </row>
    <row r="44" ht="15.75" thickTop="1"/>
  </sheetData>
  <sheetProtection/>
  <mergeCells count="3">
    <mergeCell ref="B1:Q1"/>
    <mergeCell ref="B2:Q2"/>
    <mergeCell ref="B3:Q3"/>
  </mergeCells>
  <printOptions/>
  <pageMargins left="0.1968503937007874" right="0.1968503937007874" top="0.7480314960629921" bottom="0.7480314960629921" header="0.31496062992125984" footer="0.31496062992125984"/>
  <pageSetup fitToHeight="1" fitToWidth="1" horizontalDpi="525" verticalDpi="525" orientation="landscape" scale="5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D19">
      <selection activeCell="L8" sqref="L8"/>
    </sheetView>
  </sheetViews>
  <sheetFormatPr defaultColWidth="9.140625" defaultRowHeight="15"/>
  <cols>
    <col min="3" max="3" width="34.28125" style="0" bestFit="1" customWidth="1"/>
    <col min="4" max="4" width="12.7109375" style="0" bestFit="1" customWidth="1"/>
    <col min="5" max="5" width="12.00390625" style="0" bestFit="1" customWidth="1"/>
    <col min="6" max="6" width="11.00390625" style="0" bestFit="1" customWidth="1"/>
    <col min="7" max="7" width="12.00390625" style="0" bestFit="1" customWidth="1"/>
    <col min="8" max="8" width="15.140625" style="0" customWidth="1"/>
    <col min="9" max="9" width="30.140625" style="0" bestFit="1" customWidth="1"/>
    <col min="10" max="10" width="0.5625" style="0" customWidth="1"/>
    <col min="11" max="11" width="24.8515625" style="0" bestFit="1" customWidth="1"/>
    <col min="12" max="12" width="12.7109375" style="0" bestFit="1" customWidth="1"/>
    <col min="13" max="13" width="11.00390625" style="0" bestFit="1" customWidth="1"/>
    <col min="14" max="14" width="11.00390625" style="0" customWidth="1"/>
    <col min="15" max="15" width="13.00390625" style="0" customWidth="1"/>
    <col min="16" max="16" width="12.7109375" style="0" bestFit="1" customWidth="1"/>
    <col min="17" max="17" width="18.7109375" style="0" bestFit="1" customWidth="1"/>
    <col min="18" max="19" width="11.140625" style="0" bestFit="1" customWidth="1"/>
  </cols>
  <sheetData>
    <row r="1" spans="2:19" s="2" customFormat="1" ht="15">
      <c r="B1" s="136" t="s">
        <v>28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3"/>
      <c r="S1" s="3"/>
    </row>
    <row r="2" spans="2:19" s="2" customFormat="1" ht="15">
      <c r="B2" s="136" t="s">
        <v>29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3"/>
      <c r="S2" s="3"/>
    </row>
    <row r="3" spans="2:19" s="2" customFormat="1" ht="15">
      <c r="B3" s="137">
        <v>39447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3"/>
      <c r="S3" s="3"/>
    </row>
    <row r="4" spans="3:19" s="2" customFormat="1" ht="15">
      <c r="C4" s="1"/>
      <c r="D4" s="25" t="s">
        <v>0</v>
      </c>
      <c r="E4" s="25"/>
      <c r="F4" s="25"/>
      <c r="G4" s="25"/>
      <c r="H4" s="25"/>
      <c r="I4" s="25"/>
      <c r="J4" s="4"/>
      <c r="K4" s="25" t="s">
        <v>1</v>
      </c>
      <c r="L4" s="25"/>
      <c r="M4" s="25"/>
      <c r="N4" s="25"/>
      <c r="O4" s="25"/>
      <c r="P4" s="25"/>
      <c r="Q4" s="3"/>
      <c r="R4" s="3"/>
      <c r="S4" s="3"/>
    </row>
    <row r="5" spans="1:19" s="2" customFormat="1" ht="45">
      <c r="A5" s="32" t="s">
        <v>45</v>
      </c>
      <c r="B5" s="32" t="s">
        <v>46</v>
      </c>
      <c r="C5" s="32" t="s">
        <v>63</v>
      </c>
      <c r="D5" s="32" t="s">
        <v>48</v>
      </c>
      <c r="E5" s="32" t="s">
        <v>3</v>
      </c>
      <c r="F5" s="32" t="s">
        <v>4</v>
      </c>
      <c r="G5" s="32" t="s">
        <v>61</v>
      </c>
      <c r="H5" s="32" t="s">
        <v>62</v>
      </c>
      <c r="I5" s="32" t="s">
        <v>49</v>
      </c>
      <c r="J5" s="31"/>
      <c r="K5" s="32" t="s">
        <v>48</v>
      </c>
      <c r="L5" s="32" t="s">
        <v>3</v>
      </c>
      <c r="M5" s="32" t="s">
        <v>4</v>
      </c>
      <c r="N5" s="32" t="s">
        <v>61</v>
      </c>
      <c r="O5" s="32" t="s">
        <v>62</v>
      </c>
      <c r="P5" s="32" t="s">
        <v>49</v>
      </c>
      <c r="Q5" s="32" t="s">
        <v>50</v>
      </c>
      <c r="R5" s="32" t="s">
        <v>64</v>
      </c>
      <c r="S5" s="32" t="s">
        <v>65</v>
      </c>
    </row>
    <row r="6" spans="1:19" s="2" customFormat="1" ht="15">
      <c r="A6" s="82">
        <v>47</v>
      </c>
      <c r="B6" s="26">
        <v>1675</v>
      </c>
      <c r="C6" s="27" t="s">
        <v>5</v>
      </c>
      <c r="D6" s="28">
        <f>'2006 FA Continuity'!I6</f>
        <v>0</v>
      </c>
      <c r="E6" s="29"/>
      <c r="F6" s="47">
        <v>0</v>
      </c>
      <c r="G6" s="47"/>
      <c r="H6" s="47"/>
      <c r="I6" s="30">
        <f>D6+E6-F6-G6-H6</f>
        <v>0</v>
      </c>
      <c r="J6" s="24"/>
      <c r="K6" s="30">
        <v>0</v>
      </c>
      <c r="L6" s="47">
        <v>0</v>
      </c>
      <c r="M6" s="47">
        <v>0</v>
      </c>
      <c r="N6" s="47"/>
      <c r="O6" s="47"/>
      <c r="P6" s="30">
        <f>K6+L6-M6-N6-O6</f>
        <v>0</v>
      </c>
      <c r="Q6" s="30">
        <f>I6-P6</f>
        <v>0</v>
      </c>
      <c r="R6" s="30">
        <v>0</v>
      </c>
      <c r="S6" s="30">
        <v>0</v>
      </c>
    </row>
    <row r="7" spans="1:19" s="2" customFormat="1" ht="15">
      <c r="A7" s="14" t="s">
        <v>51</v>
      </c>
      <c r="B7" s="26">
        <v>1805</v>
      </c>
      <c r="C7" s="27" t="s">
        <v>6</v>
      </c>
      <c r="D7" s="28">
        <f>'2006 FA Continuity'!I7</f>
        <v>415141.45</v>
      </c>
      <c r="E7" s="29">
        <v>0</v>
      </c>
      <c r="F7" s="47">
        <v>0</v>
      </c>
      <c r="G7" s="47"/>
      <c r="H7" s="47"/>
      <c r="I7" s="30">
        <f aca="true" t="shared" si="0" ref="I7:I36">D7+E7-F7-G7-H7</f>
        <v>415141.45</v>
      </c>
      <c r="J7" s="24"/>
      <c r="K7" s="30">
        <v>0</v>
      </c>
      <c r="L7" s="47">
        <v>0</v>
      </c>
      <c r="M7" s="47">
        <v>0</v>
      </c>
      <c r="N7" s="47"/>
      <c r="O7" s="47"/>
      <c r="P7" s="30">
        <f aca="true" t="shared" si="1" ref="P7:P36">K7+L7-M7-N7-O7</f>
        <v>0</v>
      </c>
      <c r="Q7" s="30">
        <f aca="true" t="shared" si="2" ref="Q7:Q36">I7-P7</f>
        <v>415141.45</v>
      </c>
      <c r="R7" s="30">
        <v>0</v>
      </c>
      <c r="S7" s="30">
        <v>0</v>
      </c>
    </row>
    <row r="8" spans="1:19" s="2" customFormat="1" ht="15">
      <c r="A8" s="14">
        <v>47</v>
      </c>
      <c r="B8" s="26">
        <v>1808</v>
      </c>
      <c r="C8" s="27" t="s">
        <v>7</v>
      </c>
      <c r="D8" s="28">
        <f>'2006 FA Continuity'!I8</f>
        <v>2041560.11</v>
      </c>
      <c r="E8" s="29">
        <f>83043.18</f>
        <v>83043.18</v>
      </c>
      <c r="F8" s="47">
        <v>0</v>
      </c>
      <c r="G8" s="47"/>
      <c r="H8" s="47"/>
      <c r="I8" s="30">
        <f t="shared" si="0"/>
        <v>2124603.29</v>
      </c>
      <c r="J8" s="24"/>
      <c r="K8" s="30">
        <v>1283502.802</v>
      </c>
      <c r="L8" s="47">
        <v>78908.038</v>
      </c>
      <c r="M8" s="47">
        <v>0</v>
      </c>
      <c r="N8" s="47"/>
      <c r="O8" s="47"/>
      <c r="P8" s="30">
        <f t="shared" si="1"/>
        <v>1362410.8399999999</v>
      </c>
      <c r="Q8" s="30">
        <f t="shared" si="2"/>
        <v>762192.4500000002</v>
      </c>
      <c r="R8" s="30">
        <v>0</v>
      </c>
      <c r="S8" s="30">
        <v>0</v>
      </c>
    </row>
    <row r="9" spans="1:19" s="2" customFormat="1" ht="15">
      <c r="A9" s="14">
        <v>13</v>
      </c>
      <c r="B9" s="26">
        <v>1810</v>
      </c>
      <c r="C9" s="27" t="s">
        <v>8</v>
      </c>
      <c r="D9" s="28">
        <f>'2006 FA Continuity'!I9</f>
        <v>20885.65</v>
      </c>
      <c r="E9" s="29">
        <v>0</v>
      </c>
      <c r="F9" s="47">
        <v>0</v>
      </c>
      <c r="G9" s="47"/>
      <c r="H9" s="47"/>
      <c r="I9" s="30">
        <f t="shared" si="0"/>
        <v>20885.65</v>
      </c>
      <c r="J9" s="24"/>
      <c r="K9" s="30">
        <v>20885.61</v>
      </c>
      <c r="L9" s="47">
        <v>0</v>
      </c>
      <c r="M9" s="47">
        <v>0</v>
      </c>
      <c r="N9" s="47"/>
      <c r="O9" s="47"/>
      <c r="P9" s="30">
        <f t="shared" si="1"/>
        <v>20885.61</v>
      </c>
      <c r="Q9" s="30">
        <f t="shared" si="2"/>
        <v>0.040000000000873115</v>
      </c>
      <c r="R9" s="30">
        <v>0</v>
      </c>
      <c r="S9" s="30">
        <v>0</v>
      </c>
    </row>
    <row r="10" spans="1:19" s="2" customFormat="1" ht="15">
      <c r="A10" s="14">
        <v>47</v>
      </c>
      <c r="B10" s="26">
        <v>1820</v>
      </c>
      <c r="C10" s="27" t="s">
        <v>9</v>
      </c>
      <c r="D10" s="28">
        <f>'2006 FA Continuity'!I10</f>
        <v>11368736.61</v>
      </c>
      <c r="E10" s="29">
        <v>81750.21</v>
      </c>
      <c r="F10" s="47">
        <v>0</v>
      </c>
      <c r="G10" s="47"/>
      <c r="H10" s="47"/>
      <c r="I10" s="30">
        <f t="shared" si="0"/>
        <v>11450486.82</v>
      </c>
      <c r="J10" s="24"/>
      <c r="K10" s="30">
        <v>8212572.93511936</v>
      </c>
      <c r="L10" s="47">
        <v>316778.3523415787</v>
      </c>
      <c r="M10" s="47">
        <v>0</v>
      </c>
      <c r="N10" s="47"/>
      <c r="O10" s="47"/>
      <c r="P10" s="30">
        <f t="shared" si="1"/>
        <v>8529351.287460938</v>
      </c>
      <c r="Q10" s="30">
        <f t="shared" si="2"/>
        <v>2921135.532539062</v>
      </c>
      <c r="R10" s="30">
        <v>0</v>
      </c>
      <c r="S10" s="30">
        <v>0</v>
      </c>
    </row>
    <row r="11" spans="1:19" s="2" customFormat="1" ht="15">
      <c r="A11" s="14">
        <v>47</v>
      </c>
      <c r="B11" s="26">
        <v>1830</v>
      </c>
      <c r="C11" s="27" t="s">
        <v>10</v>
      </c>
      <c r="D11" s="28">
        <f>'2006 FA Continuity'!I11</f>
        <v>53506171.79</v>
      </c>
      <c r="E11" s="29">
        <v>5008004.86</v>
      </c>
      <c r="F11" s="47">
        <v>833193.52</v>
      </c>
      <c r="G11" s="47"/>
      <c r="H11" s="47"/>
      <c r="I11" s="30">
        <f t="shared" si="0"/>
        <v>57680983.129999995</v>
      </c>
      <c r="J11" s="24"/>
      <c r="K11" s="30">
        <v>20593419.4494</v>
      </c>
      <c r="L11" s="47">
        <v>2204464.3863</v>
      </c>
      <c r="M11" s="47">
        <v>833193.52</v>
      </c>
      <c r="N11" s="47"/>
      <c r="O11" s="47"/>
      <c r="P11" s="30">
        <f t="shared" si="1"/>
        <v>21964690.315700002</v>
      </c>
      <c r="Q11" s="30">
        <f t="shared" si="2"/>
        <v>35716292.81429999</v>
      </c>
      <c r="R11" s="30">
        <v>0</v>
      </c>
      <c r="S11" s="30">
        <v>0</v>
      </c>
    </row>
    <row r="12" spans="1:19" s="2" customFormat="1" ht="15">
      <c r="A12" s="14">
        <v>47</v>
      </c>
      <c r="B12" s="26">
        <v>1835</v>
      </c>
      <c r="C12" s="27" t="s">
        <v>11</v>
      </c>
      <c r="D12" s="28">
        <f>'2006 FA Continuity'!I12</f>
        <v>64925060.74</v>
      </c>
      <c r="E12" s="29">
        <v>2880569.45</v>
      </c>
      <c r="F12" s="47">
        <v>908466.5</v>
      </c>
      <c r="G12" s="47"/>
      <c r="H12" s="47"/>
      <c r="I12" s="30">
        <f t="shared" si="0"/>
        <v>66897163.69</v>
      </c>
      <c r="J12" s="24"/>
      <c r="K12" s="30">
        <v>25911724.67060003</v>
      </c>
      <c r="L12" s="47">
        <v>2608040.0257333335</v>
      </c>
      <c r="M12" s="47">
        <v>908466.5</v>
      </c>
      <c r="N12" s="47"/>
      <c r="O12" s="47"/>
      <c r="P12" s="30">
        <f t="shared" si="1"/>
        <v>27611298.196333364</v>
      </c>
      <c r="Q12" s="30">
        <f t="shared" si="2"/>
        <v>39285865.493666634</v>
      </c>
      <c r="R12" s="30">
        <v>0</v>
      </c>
      <c r="S12" s="30">
        <v>0</v>
      </c>
    </row>
    <row r="13" spans="1:19" s="2" customFormat="1" ht="15">
      <c r="A13" s="14">
        <v>47</v>
      </c>
      <c r="B13" s="26">
        <v>1840</v>
      </c>
      <c r="C13" s="27" t="s">
        <v>30</v>
      </c>
      <c r="D13" s="28">
        <f>'2006 FA Continuity'!I13</f>
        <v>105057289.48</v>
      </c>
      <c r="E13" s="29">
        <v>3060535.34</v>
      </c>
      <c r="F13" s="47">
        <v>0</v>
      </c>
      <c r="G13" s="47"/>
      <c r="H13" s="47"/>
      <c r="I13" s="30">
        <f t="shared" si="0"/>
        <v>108117824.82000001</v>
      </c>
      <c r="J13" s="24"/>
      <c r="K13" s="30">
        <v>51386290.82423337</v>
      </c>
      <c r="L13" s="47">
        <v>4142187.329866667</v>
      </c>
      <c r="M13" s="47">
        <v>0</v>
      </c>
      <c r="N13" s="47"/>
      <c r="O13" s="47"/>
      <c r="P13" s="30">
        <f t="shared" si="1"/>
        <v>55528478.15410004</v>
      </c>
      <c r="Q13" s="30">
        <f t="shared" si="2"/>
        <v>52589346.66589997</v>
      </c>
      <c r="R13" s="30">
        <v>0</v>
      </c>
      <c r="S13" s="30">
        <v>0</v>
      </c>
    </row>
    <row r="14" spans="1:19" s="2" customFormat="1" ht="15">
      <c r="A14" s="14">
        <v>47</v>
      </c>
      <c r="B14" s="26">
        <v>1845</v>
      </c>
      <c r="C14" s="27" t="s">
        <v>12</v>
      </c>
      <c r="D14" s="28">
        <f>'2006 FA Continuity'!I14</f>
        <v>100790475.32000001</v>
      </c>
      <c r="E14" s="29">
        <v>4984166.45</v>
      </c>
      <c r="F14" s="47">
        <v>0</v>
      </c>
      <c r="G14" s="47"/>
      <c r="H14" s="47"/>
      <c r="I14" s="30">
        <f t="shared" si="0"/>
        <v>105774641.77000001</v>
      </c>
      <c r="J14" s="24"/>
      <c r="K14" s="30">
        <v>47657498.05886663</v>
      </c>
      <c r="L14" s="47">
        <v>3929617.2421333333</v>
      </c>
      <c r="M14" s="47">
        <v>0</v>
      </c>
      <c r="N14" s="47"/>
      <c r="O14" s="47"/>
      <c r="P14" s="30">
        <f t="shared" si="1"/>
        <v>51587115.30099996</v>
      </c>
      <c r="Q14" s="30">
        <f t="shared" si="2"/>
        <v>54187526.46900005</v>
      </c>
      <c r="R14" s="30">
        <v>0</v>
      </c>
      <c r="S14" s="30">
        <v>0</v>
      </c>
    </row>
    <row r="15" spans="1:19" s="2" customFormat="1" ht="15">
      <c r="A15" s="14">
        <v>47</v>
      </c>
      <c r="B15" s="26">
        <v>1850</v>
      </c>
      <c r="C15" s="27" t="s">
        <v>13</v>
      </c>
      <c r="D15" s="28">
        <f>'2006 FA Continuity'!I15</f>
        <v>82395993.49</v>
      </c>
      <c r="E15" s="29">
        <v>3262931.7</v>
      </c>
      <c r="F15" s="47">
        <v>0</v>
      </c>
      <c r="G15" s="47"/>
      <c r="H15" s="47"/>
      <c r="I15" s="30">
        <f t="shared" si="0"/>
        <v>85658925.19</v>
      </c>
      <c r="J15" s="24"/>
      <c r="K15" s="30">
        <v>39075860.25880003</v>
      </c>
      <c r="L15" s="47">
        <v>3198310.2406666665</v>
      </c>
      <c r="M15" s="47">
        <v>0</v>
      </c>
      <c r="N15" s="47"/>
      <c r="O15" s="47"/>
      <c r="P15" s="30">
        <f t="shared" si="1"/>
        <v>42274170.499466695</v>
      </c>
      <c r="Q15" s="30">
        <f t="shared" si="2"/>
        <v>43384754.6905333</v>
      </c>
      <c r="R15" s="30">
        <v>0</v>
      </c>
      <c r="S15" s="30">
        <v>0</v>
      </c>
    </row>
    <row r="16" spans="1:19" s="2" customFormat="1" ht="15">
      <c r="A16" s="14">
        <v>47</v>
      </c>
      <c r="B16" s="26">
        <v>1855</v>
      </c>
      <c r="C16" s="27" t="s">
        <v>14</v>
      </c>
      <c r="D16" s="28">
        <f>'2006 FA Continuity'!I16</f>
        <v>19804746.13</v>
      </c>
      <c r="E16" s="29">
        <v>1497253.21</v>
      </c>
      <c r="F16" s="47">
        <v>319988.36</v>
      </c>
      <c r="G16" s="47"/>
      <c r="H16" s="47"/>
      <c r="I16" s="30">
        <f t="shared" si="0"/>
        <v>20982010.98</v>
      </c>
      <c r="J16" s="24"/>
      <c r="K16" s="30">
        <v>6511925.7333</v>
      </c>
      <c r="L16" s="47">
        <v>876487.9566333333</v>
      </c>
      <c r="M16" s="47">
        <v>319988.36</v>
      </c>
      <c r="N16" s="47"/>
      <c r="O16" s="47"/>
      <c r="P16" s="30">
        <f t="shared" si="1"/>
        <v>7068425.329933333</v>
      </c>
      <c r="Q16" s="30">
        <f t="shared" si="2"/>
        <v>13913585.650066666</v>
      </c>
      <c r="R16" s="30">
        <v>0</v>
      </c>
      <c r="S16" s="30">
        <v>0</v>
      </c>
    </row>
    <row r="17" spans="1:19" s="2" customFormat="1" ht="15">
      <c r="A17" s="14">
        <v>47</v>
      </c>
      <c r="B17" s="26">
        <v>1860</v>
      </c>
      <c r="C17" s="27" t="s">
        <v>15</v>
      </c>
      <c r="D17" s="28">
        <f>'2006 FA Continuity'!I17</f>
        <v>30725884.22</v>
      </c>
      <c r="E17" s="29">
        <v>1178884.45</v>
      </c>
      <c r="F17" s="47">
        <v>0</v>
      </c>
      <c r="G17" s="47"/>
      <c r="H17" s="47"/>
      <c r="I17" s="30">
        <f t="shared" si="0"/>
        <v>31904768.669999998</v>
      </c>
      <c r="J17" s="24"/>
      <c r="K17" s="30">
        <v>13356935.1319333</v>
      </c>
      <c r="L17" s="47">
        <v>1206773.4303333333</v>
      </c>
      <c r="M17" s="47">
        <v>0</v>
      </c>
      <c r="N17" s="47"/>
      <c r="O17" s="47"/>
      <c r="P17" s="30">
        <f t="shared" si="1"/>
        <v>14563708.562266633</v>
      </c>
      <c r="Q17" s="30">
        <f t="shared" si="2"/>
        <v>17341060.107733365</v>
      </c>
      <c r="R17" s="30">
        <v>0</v>
      </c>
      <c r="S17" s="30">
        <v>0</v>
      </c>
    </row>
    <row r="18" spans="1:19" s="2" customFormat="1" ht="15">
      <c r="A18" s="14">
        <v>47</v>
      </c>
      <c r="B18" s="26">
        <v>1860</v>
      </c>
      <c r="C18" s="27" t="s">
        <v>16</v>
      </c>
      <c r="D18" s="28">
        <f>'2006 FA Continuity'!I18</f>
        <v>0</v>
      </c>
      <c r="E18" s="29">
        <v>7528822.31</v>
      </c>
      <c r="F18" s="47">
        <v>0</v>
      </c>
      <c r="G18" s="47">
        <v>7528822.31</v>
      </c>
      <c r="H18" s="47"/>
      <c r="I18" s="30">
        <f t="shared" si="0"/>
        <v>0</v>
      </c>
      <c r="J18" s="24"/>
      <c r="K18" s="30">
        <v>0</v>
      </c>
      <c r="L18" s="47">
        <v>197829.2508888889</v>
      </c>
      <c r="M18" s="47">
        <v>0</v>
      </c>
      <c r="N18" s="47">
        <v>197829.25</v>
      </c>
      <c r="O18" s="47"/>
      <c r="P18" s="30">
        <f t="shared" si="1"/>
        <v>0.0008888888987712562</v>
      </c>
      <c r="Q18" s="30">
        <f t="shared" si="2"/>
        <v>-0.0008888888987712562</v>
      </c>
      <c r="R18" s="30">
        <v>0</v>
      </c>
      <c r="S18" s="30">
        <v>0</v>
      </c>
    </row>
    <row r="19" spans="1:19" s="2" customFormat="1" ht="15">
      <c r="A19" s="14" t="s">
        <v>51</v>
      </c>
      <c r="B19" s="26">
        <v>1905</v>
      </c>
      <c r="C19" s="27" t="s">
        <v>17</v>
      </c>
      <c r="D19" s="28">
        <f>'2006 FA Continuity'!I19</f>
        <v>1078176.33</v>
      </c>
      <c r="E19" s="29">
        <v>-1.5987211554602254E-14</v>
      </c>
      <c r="F19" s="47">
        <v>10546.92</v>
      </c>
      <c r="G19" s="47"/>
      <c r="H19" s="47"/>
      <c r="I19" s="30">
        <f t="shared" si="0"/>
        <v>1067629.4100000001</v>
      </c>
      <c r="J19" s="24"/>
      <c r="K19" s="30">
        <v>0</v>
      </c>
      <c r="L19" s="47">
        <v>0</v>
      </c>
      <c r="M19" s="47">
        <v>0</v>
      </c>
      <c r="N19" s="47"/>
      <c r="O19" s="47"/>
      <c r="P19" s="30">
        <f t="shared" si="1"/>
        <v>0</v>
      </c>
      <c r="Q19" s="30">
        <f t="shared" si="2"/>
        <v>1067629.4100000001</v>
      </c>
      <c r="R19" s="30">
        <v>0</v>
      </c>
      <c r="S19" s="30">
        <v>0</v>
      </c>
    </row>
    <row r="20" spans="1:19" s="2" customFormat="1" ht="15">
      <c r="A20" s="14">
        <v>47</v>
      </c>
      <c r="B20" s="26">
        <v>1906</v>
      </c>
      <c r="C20" s="27" t="s">
        <v>18</v>
      </c>
      <c r="D20" s="28">
        <f>'2006 FA Continuity'!I20</f>
        <v>144877.41</v>
      </c>
      <c r="E20" s="29">
        <v>12668.3</v>
      </c>
      <c r="F20" s="47">
        <v>0</v>
      </c>
      <c r="G20" s="47"/>
      <c r="H20" s="47"/>
      <c r="I20" s="30">
        <f t="shared" si="0"/>
        <v>157545.71</v>
      </c>
      <c r="J20" s="24"/>
      <c r="K20" s="30">
        <v>57899.96</v>
      </c>
      <c r="L20" s="47">
        <v>3370.2392234848485</v>
      </c>
      <c r="M20" s="47">
        <v>0</v>
      </c>
      <c r="N20" s="47"/>
      <c r="O20" s="47"/>
      <c r="P20" s="30">
        <f t="shared" si="1"/>
        <v>61270.199223484844</v>
      </c>
      <c r="Q20" s="30">
        <f t="shared" si="2"/>
        <v>96275.51077651515</v>
      </c>
      <c r="R20" s="30">
        <v>0</v>
      </c>
      <c r="S20" s="30">
        <v>0</v>
      </c>
    </row>
    <row r="21" spans="1:19" s="2" customFormat="1" ht="15">
      <c r="A21" s="14">
        <v>47</v>
      </c>
      <c r="B21" s="26">
        <v>1908</v>
      </c>
      <c r="C21" s="27" t="s">
        <v>19</v>
      </c>
      <c r="D21" s="28">
        <f>'2006 FA Continuity'!I21</f>
        <v>23512923.45</v>
      </c>
      <c r="E21" s="29">
        <f>1992984.45+1321818.07</f>
        <v>3314802.52</v>
      </c>
      <c r="F21" s="47">
        <v>0</v>
      </c>
      <c r="G21" s="47"/>
      <c r="H21" s="47"/>
      <c r="I21" s="30">
        <f t="shared" si="0"/>
        <v>26827725.97</v>
      </c>
      <c r="J21" s="24"/>
      <c r="K21" s="30">
        <v>13583401.1</v>
      </c>
      <c r="L21" s="47">
        <v>982267.52</v>
      </c>
      <c r="M21" s="47">
        <v>0</v>
      </c>
      <c r="N21" s="47"/>
      <c r="O21" s="47"/>
      <c r="P21" s="30">
        <f t="shared" si="1"/>
        <v>14565668.62</v>
      </c>
      <c r="Q21" s="30">
        <f t="shared" si="2"/>
        <v>12262057.35</v>
      </c>
      <c r="R21" s="30">
        <v>0</v>
      </c>
      <c r="S21" s="30">
        <v>0</v>
      </c>
    </row>
    <row r="22" spans="1:19" s="2" customFormat="1" ht="15">
      <c r="A22" s="14">
        <v>13</v>
      </c>
      <c r="B22" s="26">
        <v>1910</v>
      </c>
      <c r="C22" s="27" t="s">
        <v>8</v>
      </c>
      <c r="D22" s="28">
        <f>'2006 FA Continuity'!I22</f>
        <v>0</v>
      </c>
      <c r="E22" s="29">
        <v>0</v>
      </c>
      <c r="F22" s="47">
        <v>0</v>
      </c>
      <c r="G22" s="47"/>
      <c r="H22" s="47"/>
      <c r="I22" s="30">
        <f t="shared" si="0"/>
        <v>0</v>
      </c>
      <c r="J22" s="24"/>
      <c r="K22" s="30">
        <v>0</v>
      </c>
      <c r="L22" s="47">
        <v>0</v>
      </c>
      <c r="M22" s="47">
        <v>0</v>
      </c>
      <c r="N22" s="47"/>
      <c r="O22" s="47"/>
      <c r="P22" s="30">
        <f t="shared" si="1"/>
        <v>0</v>
      </c>
      <c r="Q22" s="30">
        <f t="shared" si="2"/>
        <v>0</v>
      </c>
      <c r="R22" s="30">
        <v>0</v>
      </c>
      <c r="S22" s="30">
        <v>0</v>
      </c>
    </row>
    <row r="23" spans="1:19" s="2" customFormat="1" ht="15">
      <c r="A23" s="14">
        <v>8</v>
      </c>
      <c r="B23" s="26">
        <v>1915</v>
      </c>
      <c r="C23" s="27" t="s">
        <v>20</v>
      </c>
      <c r="D23" s="28">
        <f>'2006 FA Continuity'!I23</f>
        <v>3785800.77</v>
      </c>
      <c r="E23" s="29">
        <v>318709.1</v>
      </c>
      <c r="F23" s="47">
        <v>0</v>
      </c>
      <c r="G23" s="47"/>
      <c r="H23" s="47"/>
      <c r="I23" s="30">
        <f t="shared" si="0"/>
        <v>4104509.87</v>
      </c>
      <c r="J23" s="24"/>
      <c r="K23" s="30">
        <v>3057354.901916663</v>
      </c>
      <c r="L23" s="47">
        <v>153296.30141666665</v>
      </c>
      <c r="M23" s="47">
        <v>0</v>
      </c>
      <c r="N23" s="47"/>
      <c r="O23" s="47"/>
      <c r="P23" s="30">
        <f t="shared" si="1"/>
        <v>3210651.20333333</v>
      </c>
      <c r="Q23" s="30">
        <f t="shared" si="2"/>
        <v>893858.6666666702</v>
      </c>
      <c r="R23" s="30">
        <v>0</v>
      </c>
      <c r="S23" s="30">
        <v>0</v>
      </c>
    </row>
    <row r="24" spans="1:19" s="2" customFormat="1" ht="15">
      <c r="A24" s="14">
        <v>10</v>
      </c>
      <c r="B24" s="26">
        <v>1920</v>
      </c>
      <c r="C24" s="27" t="s">
        <v>21</v>
      </c>
      <c r="D24" s="28">
        <f>'2006 FA Continuity'!I24</f>
        <v>5613068.4</v>
      </c>
      <c r="E24" s="29">
        <v>0</v>
      </c>
      <c r="F24" s="47">
        <v>0</v>
      </c>
      <c r="G24" s="47"/>
      <c r="H24" s="47"/>
      <c r="I24" s="30">
        <f t="shared" si="0"/>
        <v>5613068.4</v>
      </c>
      <c r="J24" s="24"/>
      <c r="K24" s="30">
        <v>5436299.83816567</v>
      </c>
      <c r="L24" s="47">
        <v>96920.81</v>
      </c>
      <c r="M24" s="47">
        <v>0</v>
      </c>
      <c r="N24" s="47"/>
      <c r="O24" s="47"/>
      <c r="P24" s="30">
        <f t="shared" si="1"/>
        <v>5533220.648165669</v>
      </c>
      <c r="Q24" s="30">
        <f t="shared" si="2"/>
        <v>79847.75183433108</v>
      </c>
      <c r="R24" s="30">
        <v>0</v>
      </c>
      <c r="S24" s="30">
        <v>0</v>
      </c>
    </row>
    <row r="25" spans="1:19" s="2" customFormat="1" ht="15">
      <c r="A25" s="14">
        <v>45</v>
      </c>
      <c r="B25" s="26">
        <v>1920</v>
      </c>
      <c r="C25" s="27" t="s">
        <v>22</v>
      </c>
      <c r="D25" s="28">
        <f>'2006 FA Continuity'!I25</f>
        <v>1066300.49</v>
      </c>
      <c r="E25" s="29">
        <v>748258.96</v>
      </c>
      <c r="F25" s="47">
        <v>0</v>
      </c>
      <c r="G25" s="47">
        <v>113867.66</v>
      </c>
      <c r="H25" s="47"/>
      <c r="I25" s="30">
        <f t="shared" si="0"/>
        <v>1700691.79</v>
      </c>
      <c r="J25" s="24"/>
      <c r="K25" s="30">
        <v>159341.5414999997</v>
      </c>
      <c r="L25" s="47">
        <v>307124.429</v>
      </c>
      <c r="M25" s="47">
        <v>0</v>
      </c>
      <c r="N25" s="47">
        <v>9101.3</v>
      </c>
      <c r="O25" s="47"/>
      <c r="P25" s="30">
        <f t="shared" si="1"/>
        <v>457364.6704999997</v>
      </c>
      <c r="Q25" s="30">
        <f t="shared" si="2"/>
        <v>1243327.1195000003</v>
      </c>
      <c r="R25" s="30">
        <v>0</v>
      </c>
      <c r="S25" s="30">
        <v>0</v>
      </c>
    </row>
    <row r="26" spans="1:19" s="2" customFormat="1" ht="15">
      <c r="A26" s="14">
        <v>12</v>
      </c>
      <c r="B26" s="26">
        <v>1925</v>
      </c>
      <c r="C26" s="27" t="s">
        <v>23</v>
      </c>
      <c r="D26" s="28">
        <f>'2006 FA Continuity'!I26</f>
        <v>4358908.62</v>
      </c>
      <c r="E26" s="29">
        <v>419834.58</v>
      </c>
      <c r="F26" s="47">
        <v>0</v>
      </c>
      <c r="G26" s="47">
        <v>36353.62</v>
      </c>
      <c r="H26" s="47"/>
      <c r="I26" s="30">
        <f t="shared" si="0"/>
        <v>4742389.58</v>
      </c>
      <c r="J26" s="24"/>
      <c r="K26" s="30">
        <v>3911015.50222223</v>
      </c>
      <c r="L26" s="47">
        <v>289580.6011111111</v>
      </c>
      <c r="M26" s="47">
        <v>0</v>
      </c>
      <c r="N26" s="47">
        <v>10098.23</v>
      </c>
      <c r="O26" s="47"/>
      <c r="P26" s="30">
        <f t="shared" si="1"/>
        <v>4190497.873333341</v>
      </c>
      <c r="Q26" s="30">
        <f t="shared" si="2"/>
        <v>551891.7066666591</v>
      </c>
      <c r="R26" s="30">
        <v>0</v>
      </c>
      <c r="S26" s="30">
        <v>0</v>
      </c>
    </row>
    <row r="27" spans="1:19" s="2" customFormat="1" ht="15">
      <c r="A27" s="14">
        <v>10</v>
      </c>
      <c r="B27" s="26">
        <v>1930</v>
      </c>
      <c r="C27" s="27" t="s">
        <v>24</v>
      </c>
      <c r="D27" s="28">
        <f>'2006 FA Continuity'!I27</f>
        <v>15617084.67</v>
      </c>
      <c r="E27" s="29">
        <v>1907548.52</v>
      </c>
      <c r="F27" s="47">
        <v>948694.86</v>
      </c>
      <c r="G27" s="47"/>
      <c r="H27" s="47"/>
      <c r="I27" s="30">
        <f t="shared" si="0"/>
        <v>16575938.330000002</v>
      </c>
      <c r="J27" s="24"/>
      <c r="K27" s="30">
        <v>10788486.52</v>
      </c>
      <c r="L27" s="47">
        <v>1021865.13</v>
      </c>
      <c r="M27" s="47">
        <v>948694.86</v>
      </c>
      <c r="N27" s="47"/>
      <c r="O27" s="47"/>
      <c r="P27" s="30">
        <f t="shared" si="1"/>
        <v>10861656.790000001</v>
      </c>
      <c r="Q27" s="30">
        <f t="shared" si="2"/>
        <v>5714281.540000001</v>
      </c>
      <c r="R27" s="30">
        <v>121613.47</v>
      </c>
      <c r="S27" s="30">
        <v>71448.23</v>
      </c>
    </row>
    <row r="28" spans="1:19" s="2" customFormat="1" ht="15">
      <c r="A28" s="14">
        <v>8</v>
      </c>
      <c r="B28" s="26">
        <v>1935</v>
      </c>
      <c r="C28" s="27" t="s">
        <v>25</v>
      </c>
      <c r="D28" s="28">
        <f>'2006 FA Continuity'!I28</f>
        <v>508476.86</v>
      </c>
      <c r="E28" s="29">
        <v>4648</v>
      </c>
      <c r="F28" s="47">
        <v>0</v>
      </c>
      <c r="G28" s="47"/>
      <c r="H28" s="47"/>
      <c r="I28" s="30">
        <f t="shared" si="0"/>
        <v>513124.86</v>
      </c>
      <c r="J28" s="24"/>
      <c r="K28" s="30">
        <v>445819.699583333</v>
      </c>
      <c r="L28" s="47">
        <v>13507.56</v>
      </c>
      <c r="M28" s="47">
        <v>0</v>
      </c>
      <c r="N28" s="47"/>
      <c r="O28" s="47"/>
      <c r="P28" s="30">
        <f t="shared" si="1"/>
        <v>459327.259583333</v>
      </c>
      <c r="Q28" s="30">
        <f t="shared" si="2"/>
        <v>53797.600416667</v>
      </c>
      <c r="R28" s="30">
        <v>0</v>
      </c>
      <c r="S28" s="30">
        <v>0</v>
      </c>
    </row>
    <row r="29" spans="1:19" s="2" customFormat="1" ht="15">
      <c r="A29" s="14">
        <v>8</v>
      </c>
      <c r="B29" s="26">
        <v>1940</v>
      </c>
      <c r="C29" s="27" t="s">
        <v>26</v>
      </c>
      <c r="D29" s="28">
        <f>'2006 FA Continuity'!I29</f>
        <v>6332026.22</v>
      </c>
      <c r="E29" s="29">
        <v>352183.58</v>
      </c>
      <c r="F29" s="47">
        <v>0</v>
      </c>
      <c r="G29" s="47">
        <v>905.31</v>
      </c>
      <c r="H29" s="47"/>
      <c r="I29" s="30">
        <f t="shared" si="0"/>
        <v>6683304.49</v>
      </c>
      <c r="J29" s="24"/>
      <c r="K29" s="30">
        <v>4857418.49241667</v>
      </c>
      <c r="L29" s="47">
        <v>305600.96575</v>
      </c>
      <c r="M29" s="47">
        <v>0</v>
      </c>
      <c r="N29" s="47">
        <v>45.27</v>
      </c>
      <c r="O29" s="47"/>
      <c r="P29" s="30">
        <f t="shared" si="1"/>
        <v>5162974.1881666705</v>
      </c>
      <c r="Q29" s="30">
        <f t="shared" si="2"/>
        <v>1520330.3018333297</v>
      </c>
      <c r="R29" s="30">
        <v>0</v>
      </c>
      <c r="S29" s="30">
        <v>0</v>
      </c>
    </row>
    <row r="30" spans="1:19" s="2" customFormat="1" ht="15">
      <c r="A30" s="14">
        <v>8</v>
      </c>
      <c r="B30" s="26">
        <v>1945</v>
      </c>
      <c r="C30" s="27" t="s">
        <v>31</v>
      </c>
      <c r="D30" s="28">
        <f>'2006 FA Continuity'!I30</f>
        <v>1176326.05</v>
      </c>
      <c r="E30" s="29">
        <v>134323.33</v>
      </c>
      <c r="F30" s="47">
        <v>0</v>
      </c>
      <c r="G30" s="47"/>
      <c r="H30" s="47"/>
      <c r="I30" s="30">
        <f t="shared" si="0"/>
        <v>1310649.3800000001</v>
      </c>
      <c r="J30" s="24"/>
      <c r="K30" s="30">
        <v>707392.29375</v>
      </c>
      <c r="L30" s="47">
        <v>78399.07233333333</v>
      </c>
      <c r="M30" s="47">
        <v>0</v>
      </c>
      <c r="N30" s="47"/>
      <c r="O30" s="47"/>
      <c r="P30" s="30">
        <f t="shared" si="1"/>
        <v>785791.3660833333</v>
      </c>
      <c r="Q30" s="30">
        <f t="shared" si="2"/>
        <v>524858.0139166669</v>
      </c>
      <c r="R30" s="30">
        <v>0</v>
      </c>
      <c r="S30" s="30">
        <v>0</v>
      </c>
    </row>
    <row r="31" spans="1:19" s="2" customFormat="1" ht="15">
      <c r="A31" s="14">
        <v>8</v>
      </c>
      <c r="B31" s="26">
        <v>1950</v>
      </c>
      <c r="C31" s="27" t="s">
        <v>32</v>
      </c>
      <c r="D31" s="28">
        <f>'2006 FA Continuity'!I31</f>
        <v>144034.63</v>
      </c>
      <c r="E31" s="29">
        <v>0</v>
      </c>
      <c r="F31" s="47">
        <v>0</v>
      </c>
      <c r="G31" s="47"/>
      <c r="H31" s="47"/>
      <c r="I31" s="30">
        <f t="shared" si="0"/>
        <v>144034.63</v>
      </c>
      <c r="J31" s="24"/>
      <c r="K31" s="30">
        <v>55283.8030833334</v>
      </c>
      <c r="L31" s="47">
        <v>17496.525</v>
      </c>
      <c r="M31" s="47">
        <v>0</v>
      </c>
      <c r="N31" s="47"/>
      <c r="O31" s="47"/>
      <c r="P31" s="30">
        <f t="shared" si="1"/>
        <v>72780.3280833334</v>
      </c>
      <c r="Q31" s="30">
        <f t="shared" si="2"/>
        <v>71254.3019166666</v>
      </c>
      <c r="R31" s="30">
        <v>0</v>
      </c>
      <c r="S31" s="30">
        <v>0</v>
      </c>
    </row>
    <row r="32" spans="1:19" s="2" customFormat="1" ht="15">
      <c r="A32" s="14">
        <v>8</v>
      </c>
      <c r="B32" s="26">
        <v>1955</v>
      </c>
      <c r="C32" s="27" t="s">
        <v>27</v>
      </c>
      <c r="D32" s="28">
        <f>'2006 FA Continuity'!I32</f>
        <v>890155.93</v>
      </c>
      <c r="E32" s="29">
        <v>375276.18</v>
      </c>
      <c r="F32" s="47">
        <v>0</v>
      </c>
      <c r="G32" s="47"/>
      <c r="H32" s="47"/>
      <c r="I32" s="30">
        <f t="shared" si="0"/>
        <v>1265432.11</v>
      </c>
      <c r="J32" s="24"/>
      <c r="K32" s="30">
        <v>164973.8066666667</v>
      </c>
      <c r="L32" s="47">
        <v>107162.94083333333</v>
      </c>
      <c r="M32" s="47">
        <v>0</v>
      </c>
      <c r="N32" s="47"/>
      <c r="O32" s="47"/>
      <c r="P32" s="30">
        <f t="shared" si="1"/>
        <v>272136.74750000006</v>
      </c>
      <c r="Q32" s="30">
        <f t="shared" si="2"/>
        <v>993295.3625</v>
      </c>
      <c r="R32" s="30">
        <v>0</v>
      </c>
      <c r="S32" s="30">
        <v>0</v>
      </c>
    </row>
    <row r="33" spans="1:19" s="2" customFormat="1" ht="15">
      <c r="A33" s="14">
        <v>8</v>
      </c>
      <c r="B33" s="26">
        <v>1960</v>
      </c>
      <c r="C33" s="27" t="s">
        <v>33</v>
      </c>
      <c r="D33" s="28">
        <f>'2006 FA Continuity'!I33</f>
        <v>192511.5</v>
      </c>
      <c r="E33" s="29">
        <v>322818.49</v>
      </c>
      <c r="F33" s="47">
        <v>0</v>
      </c>
      <c r="G33" s="47"/>
      <c r="H33" s="47"/>
      <c r="I33" s="30">
        <f t="shared" si="0"/>
        <v>515329.99</v>
      </c>
      <c r="J33" s="24"/>
      <c r="K33" s="30">
        <v>2818.61</v>
      </c>
      <c r="L33" s="47">
        <v>45574.45183333333</v>
      </c>
      <c r="M33" s="47">
        <v>0</v>
      </c>
      <c r="N33" s="47"/>
      <c r="O33" s="47"/>
      <c r="P33" s="30">
        <f t="shared" si="1"/>
        <v>48393.06183333333</v>
      </c>
      <c r="Q33" s="30">
        <f t="shared" si="2"/>
        <v>466936.92816666665</v>
      </c>
      <c r="R33" s="30">
        <v>0</v>
      </c>
      <c r="S33" s="30">
        <v>0</v>
      </c>
    </row>
    <row r="34" spans="1:19" s="2" customFormat="1" ht="15">
      <c r="A34" s="14">
        <v>47</v>
      </c>
      <c r="B34" s="26">
        <v>1980</v>
      </c>
      <c r="C34" s="27" t="s">
        <v>34</v>
      </c>
      <c r="D34" s="28">
        <f>'2006 FA Continuity'!I34</f>
        <v>3302877.86</v>
      </c>
      <c r="E34" s="29">
        <v>13060.84</v>
      </c>
      <c r="F34" s="47">
        <v>0</v>
      </c>
      <c r="G34" s="47"/>
      <c r="H34" s="47"/>
      <c r="I34" s="30">
        <f t="shared" si="0"/>
        <v>3315938.6999999997</v>
      </c>
      <c r="J34" s="24"/>
      <c r="K34" s="30">
        <v>2670791.21438889</v>
      </c>
      <c r="L34" s="47">
        <v>166544.81627777778</v>
      </c>
      <c r="M34" s="47">
        <v>0</v>
      </c>
      <c r="N34" s="47"/>
      <c r="O34" s="47"/>
      <c r="P34" s="30">
        <f t="shared" si="1"/>
        <v>2837336.030666668</v>
      </c>
      <c r="Q34" s="30">
        <f t="shared" si="2"/>
        <v>478602.66933333175</v>
      </c>
      <c r="R34" s="30">
        <v>0</v>
      </c>
      <c r="S34" s="30">
        <v>0</v>
      </c>
    </row>
    <row r="35" spans="1:19" s="2" customFormat="1" ht="15">
      <c r="A35" s="14">
        <v>47</v>
      </c>
      <c r="B35" s="26">
        <v>1995</v>
      </c>
      <c r="C35" s="27" t="s">
        <v>35</v>
      </c>
      <c r="D35" s="28">
        <f>'2006 FA Continuity'!I35</f>
        <v>3396683.12</v>
      </c>
      <c r="E35" s="29">
        <v>0</v>
      </c>
      <c r="F35" s="47">
        <v>0</v>
      </c>
      <c r="G35" s="47"/>
      <c r="H35" s="47"/>
      <c r="I35" s="30">
        <f t="shared" si="0"/>
        <v>3396683.12</v>
      </c>
      <c r="J35" s="24"/>
      <c r="K35" s="30">
        <v>491325.24566666665</v>
      </c>
      <c r="L35" s="47">
        <v>136119.66575</v>
      </c>
      <c r="M35" s="47">
        <v>0</v>
      </c>
      <c r="N35" s="47"/>
      <c r="O35" s="47"/>
      <c r="P35" s="30">
        <f t="shared" si="1"/>
        <v>627444.9114166666</v>
      </c>
      <c r="Q35" s="30">
        <f t="shared" si="2"/>
        <v>2769238.2085833335</v>
      </c>
      <c r="R35" s="30">
        <v>0</v>
      </c>
      <c r="S35" s="30">
        <v>0</v>
      </c>
    </row>
    <row r="36" spans="1:19" s="2" customFormat="1" ht="15">
      <c r="A36" s="14">
        <v>47</v>
      </c>
      <c r="B36" s="26">
        <v>1995</v>
      </c>
      <c r="C36" s="34" t="s">
        <v>36</v>
      </c>
      <c r="D36" s="28">
        <f>'2006 FA Continuity'!I36</f>
        <v>-13924030.93</v>
      </c>
      <c r="E36" s="36">
        <v>-3401684.06</v>
      </c>
      <c r="F36" s="48">
        <v>0</v>
      </c>
      <c r="G36" s="48"/>
      <c r="H36" s="48"/>
      <c r="I36" s="30">
        <f t="shared" si="0"/>
        <v>-17325714.99</v>
      </c>
      <c r="J36" s="24"/>
      <c r="K36" s="37">
        <v>-1214929.018866667</v>
      </c>
      <c r="L36" s="48">
        <v>-499009.5916</v>
      </c>
      <c r="M36" s="48">
        <v>0</v>
      </c>
      <c r="N36" s="48"/>
      <c r="O36" s="48"/>
      <c r="P36" s="37">
        <f t="shared" si="1"/>
        <v>-1713938.610466667</v>
      </c>
      <c r="Q36" s="37">
        <f t="shared" si="2"/>
        <v>-15611776.379533332</v>
      </c>
      <c r="R36" s="37">
        <v>0</v>
      </c>
      <c r="S36" s="37">
        <v>0</v>
      </c>
    </row>
    <row r="37" spans="1:19" s="2" customFormat="1" ht="15">
      <c r="A37" s="2">
        <v>2105</v>
      </c>
      <c r="B37" s="2">
        <v>2105</v>
      </c>
      <c r="C37" s="38" t="s">
        <v>66</v>
      </c>
      <c r="D37" s="39">
        <f aca="true" t="shared" si="3" ref="D37:I37">SUM(D6:D36)</f>
        <v>528248146.37000006</v>
      </c>
      <c r="E37" s="40">
        <f t="shared" si="3"/>
        <v>34088409.5</v>
      </c>
      <c r="F37" s="40">
        <f t="shared" si="3"/>
        <v>3020890.1599999997</v>
      </c>
      <c r="G37" s="40">
        <f t="shared" si="3"/>
        <v>7679948.899999999</v>
      </c>
      <c r="H37" s="40">
        <f t="shared" si="3"/>
        <v>0</v>
      </c>
      <c r="I37" s="40">
        <f t="shared" si="3"/>
        <v>551635716.8100002</v>
      </c>
      <c r="J37" s="41"/>
      <c r="K37" s="39">
        <f aca="true" t="shared" si="4" ref="K37:S37">SUM(K6:K36)</f>
        <v>259185308.9847462</v>
      </c>
      <c r="L37" s="40">
        <f t="shared" si="4"/>
        <v>21985217.68982617</v>
      </c>
      <c r="M37" s="40">
        <f t="shared" si="4"/>
        <v>3010343.2399999998</v>
      </c>
      <c r="N37" s="40">
        <f t="shared" si="4"/>
        <v>217074.05</v>
      </c>
      <c r="O37" s="40">
        <f t="shared" si="4"/>
        <v>0</v>
      </c>
      <c r="P37" s="40">
        <f t="shared" si="4"/>
        <v>277943109.3845723</v>
      </c>
      <c r="Q37" s="40">
        <f t="shared" si="4"/>
        <v>273692607.42542773</v>
      </c>
      <c r="R37" s="40">
        <f t="shared" si="4"/>
        <v>121613.47</v>
      </c>
      <c r="S37" s="40">
        <f t="shared" si="4"/>
        <v>71448.23</v>
      </c>
    </row>
    <row r="38" spans="3:19" s="2" customFormat="1" ht="15">
      <c r="C38" s="1"/>
      <c r="D38" s="3"/>
      <c r="E38" s="3"/>
      <c r="F38" s="3"/>
      <c r="G38" s="3"/>
      <c r="H38" s="3"/>
      <c r="I38" s="3"/>
      <c r="J38" s="24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5">
      <c r="A39" s="2">
        <v>2055</v>
      </c>
      <c r="B39" s="2">
        <v>2055</v>
      </c>
      <c r="C39" s="1" t="s">
        <v>37</v>
      </c>
      <c r="D39" s="3">
        <v>4210581.69</v>
      </c>
      <c r="E39" s="3">
        <v>4414204.35</v>
      </c>
      <c r="F39" s="3">
        <v>0</v>
      </c>
      <c r="G39" s="3"/>
      <c r="H39" s="3"/>
      <c r="I39" s="3">
        <f>D39+E39-F39-G39-H39</f>
        <v>8624786.04</v>
      </c>
      <c r="J39" s="24"/>
      <c r="K39" s="3">
        <v>0</v>
      </c>
      <c r="L39" s="3">
        <v>0</v>
      </c>
      <c r="M39" s="3">
        <v>0</v>
      </c>
      <c r="N39" s="3"/>
      <c r="O39" s="3"/>
      <c r="P39" s="3">
        <f>K39+L39-M39-N39-O39</f>
        <v>0</v>
      </c>
      <c r="Q39" s="3">
        <f>I39-P39</f>
        <v>8624786.04</v>
      </c>
      <c r="R39" s="3">
        <v>0</v>
      </c>
      <c r="S39" s="3">
        <v>0</v>
      </c>
    </row>
    <row r="40" spans="3:19" s="2" customFormat="1" ht="15.75" thickBot="1">
      <c r="C40" s="33" t="s">
        <v>60</v>
      </c>
      <c r="D40" s="5">
        <f aca="true" t="shared" si="5" ref="D40:I40">SUM(D37:D39)</f>
        <v>532458728.06000006</v>
      </c>
      <c r="E40" s="5">
        <f t="shared" si="5"/>
        <v>38502613.85</v>
      </c>
      <c r="F40" s="5">
        <f t="shared" si="5"/>
        <v>3020890.1599999997</v>
      </c>
      <c r="G40" s="5">
        <f t="shared" si="5"/>
        <v>7679948.899999999</v>
      </c>
      <c r="H40" s="5">
        <f t="shared" si="5"/>
        <v>0</v>
      </c>
      <c r="I40" s="5">
        <f t="shared" si="5"/>
        <v>560260502.8500001</v>
      </c>
      <c r="J40" s="24"/>
      <c r="K40" s="5">
        <f aca="true" t="shared" si="6" ref="K40:S40">SUM(K37:K39)</f>
        <v>259185308.9847462</v>
      </c>
      <c r="L40" s="5">
        <f t="shared" si="6"/>
        <v>21985217.68982617</v>
      </c>
      <c r="M40" s="5">
        <f t="shared" si="6"/>
        <v>3010343.2399999998</v>
      </c>
      <c r="N40" s="5">
        <f t="shared" si="6"/>
        <v>217074.05</v>
      </c>
      <c r="O40" s="5">
        <f t="shared" si="6"/>
        <v>0</v>
      </c>
      <c r="P40" s="5">
        <f t="shared" si="6"/>
        <v>277943109.3845723</v>
      </c>
      <c r="Q40" s="5">
        <f t="shared" si="6"/>
        <v>282317393.46542776</v>
      </c>
      <c r="R40" s="5">
        <f t="shared" si="6"/>
        <v>121613.47</v>
      </c>
      <c r="S40" s="5">
        <f t="shared" si="6"/>
        <v>71448.23</v>
      </c>
    </row>
    <row r="41" spans="3:16" s="2" customFormat="1" ht="15.75" thickTop="1">
      <c r="C41" s="1"/>
      <c r="D41" s="3"/>
      <c r="E41" s="3"/>
      <c r="F41" s="3"/>
      <c r="G41" s="3"/>
      <c r="H41" s="3"/>
      <c r="I41" s="3"/>
      <c r="J41" s="24"/>
      <c r="K41" s="3" t="s">
        <v>38</v>
      </c>
      <c r="L41" s="3">
        <f>L27</f>
        <v>1021865.13</v>
      </c>
      <c r="M41" s="3"/>
      <c r="N41" s="3"/>
      <c r="O41" s="3"/>
      <c r="P41" s="3"/>
    </row>
    <row r="42" spans="3:16" s="2" customFormat="1" ht="15">
      <c r="C42" s="1"/>
      <c r="D42" s="3"/>
      <c r="E42" s="3"/>
      <c r="F42" s="3"/>
      <c r="G42" s="3"/>
      <c r="H42" s="3"/>
      <c r="I42" s="3"/>
      <c r="J42" s="24"/>
      <c r="K42" s="3" t="s">
        <v>41</v>
      </c>
      <c r="L42" s="3">
        <f>L28</f>
        <v>13507.56</v>
      </c>
      <c r="M42" s="3"/>
      <c r="N42" s="3"/>
      <c r="O42" s="3"/>
      <c r="P42" s="3"/>
    </row>
    <row r="43" spans="3:16" s="2" customFormat="1" ht="15.75" thickBot="1">
      <c r="C43"/>
      <c r="D43"/>
      <c r="E43" s="3"/>
      <c r="F43" s="3"/>
      <c r="G43" s="3"/>
      <c r="H43" s="3"/>
      <c r="I43" s="3"/>
      <c r="J43" s="24"/>
      <c r="K43" s="3" t="s">
        <v>43</v>
      </c>
      <c r="L43" s="5">
        <f>L40-L41-L42</f>
        <v>20949844.999826174</v>
      </c>
      <c r="M43" s="3"/>
      <c r="N43" s="3"/>
      <c r="O43" s="3"/>
      <c r="P43" s="3"/>
    </row>
    <row r="44" ht="15.75" thickTop="1"/>
  </sheetData>
  <sheetProtection/>
  <mergeCells count="3">
    <mergeCell ref="B1:Q1"/>
    <mergeCell ref="B2:Q2"/>
    <mergeCell ref="B3:Q3"/>
  </mergeCells>
  <printOptions/>
  <pageMargins left="0.1968503937007874" right="0.1968503937007874" top="0.7480314960629921" bottom="0.7480314960629921" header="0.31496062992125984" footer="0.31496062992125984"/>
  <pageSetup fitToHeight="1" fitToWidth="1" horizontalDpi="525" verticalDpi="525" orientation="landscape" scale="5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selection activeCell="B1" sqref="B1:Q1"/>
    </sheetView>
  </sheetViews>
  <sheetFormatPr defaultColWidth="9.140625" defaultRowHeight="15"/>
  <cols>
    <col min="3" max="3" width="34.28125" style="0" bestFit="1" customWidth="1"/>
    <col min="4" max="4" width="12.7109375" style="0" bestFit="1" customWidth="1"/>
    <col min="5" max="5" width="12.00390625" style="0" bestFit="1" customWidth="1"/>
    <col min="6" max="6" width="11.00390625" style="0" bestFit="1" customWidth="1"/>
    <col min="7" max="7" width="14.28125" style="0" bestFit="1" customWidth="1"/>
    <col min="8" max="8" width="15.140625" style="0" customWidth="1"/>
    <col min="9" max="9" width="30.140625" style="0" bestFit="1" customWidth="1"/>
    <col min="10" max="10" width="0.5625" style="0" customWidth="1"/>
    <col min="11" max="11" width="24.8515625" style="0" bestFit="1" customWidth="1"/>
    <col min="12" max="12" width="12.7109375" style="0" bestFit="1" customWidth="1"/>
    <col min="13" max="13" width="11.00390625" style="0" bestFit="1" customWidth="1"/>
    <col min="14" max="14" width="11.00390625" style="0" customWidth="1"/>
    <col min="15" max="15" width="13.00390625" style="0" customWidth="1"/>
    <col min="16" max="16" width="12.7109375" style="0" bestFit="1" customWidth="1"/>
    <col min="17" max="17" width="18.7109375" style="0" bestFit="1" customWidth="1"/>
    <col min="18" max="19" width="11.140625" style="0" bestFit="1" customWidth="1"/>
    <col min="22" max="22" width="15.00390625" style="0" bestFit="1" customWidth="1"/>
  </cols>
  <sheetData>
    <row r="1" spans="2:19" s="2" customFormat="1" ht="15">
      <c r="B1" s="136" t="s">
        <v>28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3"/>
      <c r="S1" s="3"/>
    </row>
    <row r="2" spans="2:19" s="2" customFormat="1" ht="15">
      <c r="B2" s="136" t="s">
        <v>29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3"/>
      <c r="S2" s="3"/>
    </row>
    <row r="3" spans="2:19" s="2" customFormat="1" ht="15">
      <c r="B3" s="137">
        <v>40178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3"/>
      <c r="S3" s="3"/>
    </row>
    <row r="4" spans="3:19" s="2" customFormat="1" ht="15">
      <c r="C4" s="1"/>
      <c r="D4" s="25" t="s">
        <v>0</v>
      </c>
      <c r="E4" s="25"/>
      <c r="F4" s="25"/>
      <c r="G4" s="25"/>
      <c r="H4" s="25"/>
      <c r="I4" s="25"/>
      <c r="J4" s="4"/>
      <c r="K4" s="25" t="s">
        <v>1</v>
      </c>
      <c r="L4" s="25"/>
      <c r="M4" s="25"/>
      <c r="N4" s="25"/>
      <c r="O4" s="25"/>
      <c r="P4" s="25"/>
      <c r="Q4" s="3"/>
      <c r="R4" s="3"/>
      <c r="S4" s="3"/>
    </row>
    <row r="5" spans="1:19" s="2" customFormat="1" ht="45">
      <c r="A5" s="32" t="s">
        <v>45</v>
      </c>
      <c r="B5" s="32" t="s">
        <v>46</v>
      </c>
      <c r="C5" s="32" t="s">
        <v>63</v>
      </c>
      <c r="D5" s="32" t="s">
        <v>48</v>
      </c>
      <c r="E5" s="32" t="s">
        <v>3</v>
      </c>
      <c r="F5" s="32" t="s">
        <v>4</v>
      </c>
      <c r="G5" s="32" t="s">
        <v>61</v>
      </c>
      <c r="H5" s="32" t="s">
        <v>62</v>
      </c>
      <c r="I5" s="32" t="s">
        <v>49</v>
      </c>
      <c r="J5" s="31"/>
      <c r="K5" s="32" t="s">
        <v>48</v>
      </c>
      <c r="L5" s="32" t="s">
        <v>3</v>
      </c>
      <c r="M5" s="32" t="s">
        <v>4</v>
      </c>
      <c r="N5" s="32" t="s">
        <v>61</v>
      </c>
      <c r="O5" s="32" t="s">
        <v>62</v>
      </c>
      <c r="P5" s="32" t="s">
        <v>49</v>
      </c>
      <c r="Q5" s="32" t="s">
        <v>50</v>
      </c>
      <c r="R5" s="32" t="s">
        <v>64</v>
      </c>
      <c r="S5" s="32" t="s">
        <v>65</v>
      </c>
    </row>
    <row r="6" spans="1:22" s="2" customFormat="1" ht="15">
      <c r="A6" s="82">
        <v>47</v>
      </c>
      <c r="B6" s="26">
        <v>1675</v>
      </c>
      <c r="C6" s="27" t="s">
        <v>5</v>
      </c>
      <c r="D6" s="28">
        <f>'2007 FA Continuity'!I6</f>
        <v>0</v>
      </c>
      <c r="E6" s="29">
        <v>0</v>
      </c>
      <c r="F6" s="47">
        <v>0</v>
      </c>
      <c r="G6" s="47"/>
      <c r="H6" s="47"/>
      <c r="I6" s="30">
        <f>D6+E6-F6-G6-H6</f>
        <v>0</v>
      </c>
      <c r="J6" s="24"/>
      <c r="K6" s="30">
        <f>'2007 FA Continuity'!P6</f>
        <v>0</v>
      </c>
      <c r="L6" s="47">
        <v>0</v>
      </c>
      <c r="M6" s="47">
        <v>0</v>
      </c>
      <c r="N6" s="47"/>
      <c r="O6" s="47"/>
      <c r="P6" s="30">
        <f>K6+L6-M6-N6-O6</f>
        <v>0</v>
      </c>
      <c r="Q6" s="30">
        <f>I6-P6</f>
        <v>0</v>
      </c>
      <c r="R6" s="30">
        <v>0</v>
      </c>
      <c r="S6" s="30">
        <v>0</v>
      </c>
      <c r="V6" s="50"/>
    </row>
    <row r="7" spans="1:22" s="2" customFormat="1" ht="15">
      <c r="A7" s="14" t="s">
        <v>51</v>
      </c>
      <c r="B7" s="26">
        <v>1805</v>
      </c>
      <c r="C7" s="27" t="s">
        <v>6</v>
      </c>
      <c r="D7" s="28">
        <f>'2007 FA Continuity'!I7</f>
        <v>415141.45</v>
      </c>
      <c r="E7" s="29">
        <v>0</v>
      </c>
      <c r="F7" s="47">
        <v>400</v>
      </c>
      <c r="G7" s="47"/>
      <c r="H7" s="47"/>
      <c r="I7" s="30">
        <f aca="true" t="shared" si="0" ref="I7:I36">D7+E7-F7-G7-H7</f>
        <v>414741.45</v>
      </c>
      <c r="J7" s="24"/>
      <c r="K7" s="30">
        <f>'2007 FA Continuity'!P7</f>
        <v>0</v>
      </c>
      <c r="L7" s="47">
        <v>0</v>
      </c>
      <c r="M7" s="47">
        <v>0</v>
      </c>
      <c r="N7" s="47"/>
      <c r="O7" s="47"/>
      <c r="P7" s="30">
        <f aca="true" t="shared" si="1" ref="P7:P36">K7+L7-M7-N7-O7</f>
        <v>0</v>
      </c>
      <c r="Q7" s="30">
        <f aca="true" t="shared" si="2" ref="Q7:Q36">I7-P7</f>
        <v>414741.45</v>
      </c>
      <c r="R7" s="30">
        <v>0</v>
      </c>
      <c r="S7" s="30">
        <v>0</v>
      </c>
      <c r="V7" s="50"/>
    </row>
    <row r="8" spans="1:22" s="2" customFormat="1" ht="15">
      <c r="A8" s="14">
        <v>47</v>
      </c>
      <c r="B8" s="26">
        <v>1808</v>
      </c>
      <c r="C8" s="27" t="s">
        <v>7</v>
      </c>
      <c r="D8" s="28">
        <f>'2007 FA Continuity'!I8</f>
        <v>2124603.29</v>
      </c>
      <c r="E8" s="29">
        <f>9963.94</f>
        <v>9963.94</v>
      </c>
      <c r="F8" s="47">
        <v>0</v>
      </c>
      <c r="G8" s="47"/>
      <c r="H8" s="47"/>
      <c r="I8" s="30">
        <f t="shared" si="0"/>
        <v>2134567.23</v>
      </c>
      <c r="J8" s="24"/>
      <c r="K8" s="30">
        <f>'2007 FA Continuity'!P8</f>
        <v>1362410.8399999999</v>
      </c>
      <c r="L8" s="47">
        <f>87205.45</f>
        <v>87205.45</v>
      </c>
      <c r="M8" s="47">
        <v>0</v>
      </c>
      <c r="N8" s="47"/>
      <c r="O8" s="47"/>
      <c r="P8" s="30">
        <f t="shared" si="1"/>
        <v>1449616.2899999998</v>
      </c>
      <c r="Q8" s="30">
        <f t="shared" si="2"/>
        <v>684950.9400000002</v>
      </c>
      <c r="R8" s="30">
        <v>0</v>
      </c>
      <c r="S8" s="30">
        <v>0</v>
      </c>
      <c r="V8" s="50"/>
    </row>
    <row r="9" spans="1:22" s="2" customFormat="1" ht="15">
      <c r="A9" s="14">
        <v>13</v>
      </c>
      <c r="B9" s="26">
        <v>1810</v>
      </c>
      <c r="C9" s="27" t="s">
        <v>8</v>
      </c>
      <c r="D9" s="28">
        <f>'2007 FA Continuity'!I9</f>
        <v>20885.65</v>
      </c>
      <c r="E9" s="29">
        <v>0</v>
      </c>
      <c r="F9" s="47">
        <v>0</v>
      </c>
      <c r="G9" s="47"/>
      <c r="H9" s="47"/>
      <c r="I9" s="30">
        <f t="shared" si="0"/>
        <v>20885.65</v>
      </c>
      <c r="J9" s="24"/>
      <c r="K9" s="30">
        <f>'2007 FA Continuity'!P9</f>
        <v>20885.61</v>
      </c>
      <c r="L9" s="47">
        <v>0.040000000000000924</v>
      </c>
      <c r="M9" s="47">
        <v>0</v>
      </c>
      <c r="N9" s="47"/>
      <c r="O9" s="47"/>
      <c r="P9" s="30">
        <f t="shared" si="1"/>
        <v>20885.65</v>
      </c>
      <c r="Q9" s="30">
        <f t="shared" si="2"/>
        <v>0</v>
      </c>
      <c r="R9" s="30">
        <v>0</v>
      </c>
      <c r="S9" s="30">
        <v>0</v>
      </c>
      <c r="V9" s="50"/>
    </row>
    <row r="10" spans="1:22" s="2" customFormat="1" ht="15">
      <c r="A10" s="14">
        <v>47</v>
      </c>
      <c r="B10" s="26">
        <v>1820</v>
      </c>
      <c r="C10" s="27" t="s">
        <v>9</v>
      </c>
      <c r="D10" s="28">
        <f>'2007 FA Continuity'!I10</f>
        <v>11450486.82</v>
      </c>
      <c r="E10" s="29">
        <v>17445.8</v>
      </c>
      <c r="F10" s="47">
        <v>0</v>
      </c>
      <c r="G10" s="47"/>
      <c r="H10" s="47"/>
      <c r="I10" s="30">
        <f t="shared" si="0"/>
        <v>11467932.620000001</v>
      </c>
      <c r="J10" s="24"/>
      <c r="K10" s="30">
        <f>'2007 FA Continuity'!P10</f>
        <v>8529351.287460938</v>
      </c>
      <c r="L10" s="47">
        <v>317917.3825390613</v>
      </c>
      <c r="M10" s="47">
        <v>0</v>
      </c>
      <c r="N10" s="47"/>
      <c r="O10" s="47"/>
      <c r="P10" s="30">
        <f t="shared" si="1"/>
        <v>8847268.67</v>
      </c>
      <c r="Q10" s="30">
        <f t="shared" si="2"/>
        <v>2620663.950000001</v>
      </c>
      <c r="R10" s="30">
        <v>0</v>
      </c>
      <c r="S10" s="30">
        <v>0</v>
      </c>
      <c r="V10" s="50"/>
    </row>
    <row r="11" spans="1:22" s="2" customFormat="1" ht="15">
      <c r="A11" s="14">
        <v>47</v>
      </c>
      <c r="B11" s="26">
        <v>1830</v>
      </c>
      <c r="C11" s="27" t="s">
        <v>10</v>
      </c>
      <c r="D11" s="28">
        <f>'2007 FA Continuity'!I11</f>
        <v>57680983.129999995</v>
      </c>
      <c r="E11" s="29">
        <v>5694014.88</v>
      </c>
      <c r="F11" s="47">
        <v>262994.11</v>
      </c>
      <c r="G11" s="47"/>
      <c r="H11" s="47"/>
      <c r="I11" s="30">
        <f t="shared" si="0"/>
        <v>63112003.9</v>
      </c>
      <c r="J11" s="24"/>
      <c r="K11" s="30">
        <f>'2007 FA Continuity'!P11</f>
        <v>21964690.315700002</v>
      </c>
      <c r="L11" s="47">
        <v>2401768.9643</v>
      </c>
      <c r="M11" s="47">
        <v>262994.11</v>
      </c>
      <c r="N11" s="47"/>
      <c r="O11" s="47"/>
      <c r="P11" s="30">
        <f t="shared" si="1"/>
        <v>24103465.17</v>
      </c>
      <c r="Q11" s="30">
        <f t="shared" si="2"/>
        <v>39008538.73</v>
      </c>
      <c r="R11" s="30">
        <v>0</v>
      </c>
      <c r="S11" s="30">
        <v>0</v>
      </c>
      <c r="V11" s="50"/>
    </row>
    <row r="12" spans="1:22" s="2" customFormat="1" ht="15">
      <c r="A12" s="14">
        <v>47</v>
      </c>
      <c r="B12" s="26">
        <v>1835</v>
      </c>
      <c r="C12" s="27" t="s">
        <v>11</v>
      </c>
      <c r="D12" s="28">
        <f>'2007 FA Continuity'!I12</f>
        <v>66897163.69</v>
      </c>
      <c r="E12" s="29">
        <v>2763187.63</v>
      </c>
      <c r="F12" s="47">
        <v>1646724.26</v>
      </c>
      <c r="G12" s="47"/>
      <c r="H12" s="47"/>
      <c r="I12" s="30">
        <f t="shared" si="0"/>
        <v>68013627.05999999</v>
      </c>
      <c r="J12" s="24"/>
      <c r="K12" s="30">
        <f>'2007 FA Continuity'!P12</f>
        <v>27611298.196333364</v>
      </c>
      <c r="L12" s="47">
        <v>2690818.0836666366</v>
      </c>
      <c r="M12" s="47">
        <v>1646724.26</v>
      </c>
      <c r="N12" s="47"/>
      <c r="O12" s="47"/>
      <c r="P12" s="30">
        <f t="shared" si="1"/>
        <v>28655392.02</v>
      </c>
      <c r="Q12" s="30">
        <f t="shared" si="2"/>
        <v>39358235.03999999</v>
      </c>
      <c r="R12" s="30">
        <v>0</v>
      </c>
      <c r="S12" s="30">
        <v>0</v>
      </c>
      <c r="V12" s="50"/>
    </row>
    <row r="13" spans="1:22" s="2" customFormat="1" ht="15">
      <c r="A13" s="14">
        <v>47</v>
      </c>
      <c r="B13" s="26">
        <v>1840</v>
      </c>
      <c r="C13" s="27" t="s">
        <v>30</v>
      </c>
      <c r="D13" s="28">
        <f>'2007 FA Continuity'!I13</f>
        <v>108117824.82000001</v>
      </c>
      <c r="E13" s="29">
        <v>2821545.28</v>
      </c>
      <c r="F13" s="47">
        <v>197612.67</v>
      </c>
      <c r="G13" s="47"/>
      <c r="H13" s="47"/>
      <c r="I13" s="30">
        <f t="shared" si="0"/>
        <v>110741757.43</v>
      </c>
      <c r="J13" s="24"/>
      <c r="K13" s="30">
        <f>'2007 FA Continuity'!P13</f>
        <v>55528478.15410004</v>
      </c>
      <c r="L13" s="47">
        <v>4302973.495899963</v>
      </c>
      <c r="M13" s="47">
        <v>197612.67</v>
      </c>
      <c r="N13" s="47"/>
      <c r="O13" s="47"/>
      <c r="P13" s="30">
        <f t="shared" si="1"/>
        <v>59633838.98</v>
      </c>
      <c r="Q13" s="30">
        <f t="shared" si="2"/>
        <v>51107918.45000001</v>
      </c>
      <c r="R13" s="30">
        <v>0</v>
      </c>
      <c r="S13" s="30">
        <v>0</v>
      </c>
      <c r="V13" s="50"/>
    </row>
    <row r="14" spans="1:22" s="2" customFormat="1" ht="15">
      <c r="A14" s="14">
        <v>47</v>
      </c>
      <c r="B14" s="26">
        <v>1845</v>
      </c>
      <c r="C14" s="27" t="s">
        <v>12</v>
      </c>
      <c r="D14" s="28">
        <f>'2007 FA Continuity'!I14</f>
        <v>105774641.77000001</v>
      </c>
      <c r="E14" s="29">
        <v>5901654.92</v>
      </c>
      <c r="F14" s="47">
        <v>91.01</v>
      </c>
      <c r="G14" s="47"/>
      <c r="H14" s="47"/>
      <c r="I14" s="30">
        <f t="shared" si="0"/>
        <v>111676205.68</v>
      </c>
      <c r="J14" s="24"/>
      <c r="K14" s="30">
        <f>'2007 FA Continuity'!P14</f>
        <v>51587115.30099996</v>
      </c>
      <c r="L14" s="47">
        <v>4140422.179000037</v>
      </c>
      <c r="M14" s="47">
        <v>91.01</v>
      </c>
      <c r="N14" s="47"/>
      <c r="O14" s="47"/>
      <c r="P14" s="30">
        <f t="shared" si="1"/>
        <v>55727446.47</v>
      </c>
      <c r="Q14" s="30">
        <f t="shared" si="2"/>
        <v>55948759.21000001</v>
      </c>
      <c r="R14" s="30">
        <v>0</v>
      </c>
      <c r="S14" s="30">
        <v>0</v>
      </c>
      <c r="V14" s="50"/>
    </row>
    <row r="15" spans="1:22" s="2" customFormat="1" ht="15">
      <c r="A15" s="14">
        <v>47</v>
      </c>
      <c r="B15" s="26">
        <v>1850</v>
      </c>
      <c r="C15" s="27" t="s">
        <v>13</v>
      </c>
      <c r="D15" s="28">
        <f>'2007 FA Continuity'!I15</f>
        <v>85658925.19</v>
      </c>
      <c r="E15" s="29">
        <v>4234436.6</v>
      </c>
      <c r="F15" s="47">
        <v>1465067.8</v>
      </c>
      <c r="G15" s="47"/>
      <c r="H15" s="47"/>
      <c r="I15" s="30">
        <f t="shared" si="0"/>
        <v>88428293.99</v>
      </c>
      <c r="J15" s="24"/>
      <c r="K15" s="30">
        <f>'2007 FA Continuity'!P15</f>
        <v>42274170.499466695</v>
      </c>
      <c r="L15" s="47">
        <v>3412762.4105333034</v>
      </c>
      <c r="M15" s="47">
        <v>1465067.8</v>
      </c>
      <c r="N15" s="47"/>
      <c r="O15" s="47"/>
      <c r="P15" s="30">
        <f t="shared" si="1"/>
        <v>44221865.11</v>
      </c>
      <c r="Q15" s="30">
        <f t="shared" si="2"/>
        <v>44206428.879999995</v>
      </c>
      <c r="R15" s="30">
        <v>0</v>
      </c>
      <c r="S15" s="30">
        <v>0</v>
      </c>
      <c r="V15" s="50"/>
    </row>
    <row r="16" spans="1:22" s="2" customFormat="1" ht="15">
      <c r="A16" s="14">
        <v>47</v>
      </c>
      <c r="B16" s="26">
        <v>1855</v>
      </c>
      <c r="C16" s="27" t="s">
        <v>14</v>
      </c>
      <c r="D16" s="28">
        <f>'2007 FA Continuity'!I16</f>
        <v>20982010.98</v>
      </c>
      <c r="E16" s="29">
        <v>1789580.36</v>
      </c>
      <c r="F16" s="47">
        <v>351096.27</v>
      </c>
      <c r="G16" s="47"/>
      <c r="H16" s="47"/>
      <c r="I16" s="30">
        <f t="shared" si="0"/>
        <v>22420495.07</v>
      </c>
      <c r="J16" s="24"/>
      <c r="K16" s="30">
        <f>'2007 FA Continuity'!P16</f>
        <v>7068425.329933333</v>
      </c>
      <c r="L16" s="47">
        <v>994287.3800666666</v>
      </c>
      <c r="M16" s="47">
        <v>351096.27</v>
      </c>
      <c r="N16" s="47"/>
      <c r="O16" s="47"/>
      <c r="P16" s="30">
        <f t="shared" si="1"/>
        <v>7711616.4399999995</v>
      </c>
      <c r="Q16" s="30">
        <f t="shared" si="2"/>
        <v>14708878.63</v>
      </c>
      <c r="R16" s="30">
        <v>0</v>
      </c>
      <c r="S16" s="30">
        <v>0</v>
      </c>
      <c r="V16" s="50"/>
    </row>
    <row r="17" spans="1:22" s="2" customFormat="1" ht="15">
      <c r="A17" s="14">
        <v>47</v>
      </c>
      <c r="B17" s="26">
        <v>1860</v>
      </c>
      <c r="C17" s="27" t="s">
        <v>15</v>
      </c>
      <c r="D17" s="28">
        <f>'2007 FA Continuity'!I17</f>
        <v>31904768.669999998</v>
      </c>
      <c r="E17" s="29">
        <v>5403195.52</v>
      </c>
      <c r="F17" s="47">
        <v>0</v>
      </c>
      <c r="G17" s="47"/>
      <c r="H17" s="47"/>
      <c r="I17" s="30">
        <f t="shared" si="0"/>
        <v>37307964.19</v>
      </c>
      <c r="J17" s="24"/>
      <c r="K17" s="30">
        <f>'2007 FA Continuity'!P17</f>
        <v>14563708.562266633</v>
      </c>
      <c r="L17" s="47">
        <v>1377635.2277333667</v>
      </c>
      <c r="M17" s="47">
        <v>0</v>
      </c>
      <c r="N17" s="47"/>
      <c r="O17" s="47"/>
      <c r="P17" s="30">
        <f t="shared" si="1"/>
        <v>15941343.79</v>
      </c>
      <c r="Q17" s="30">
        <f t="shared" si="2"/>
        <v>21366620.4</v>
      </c>
      <c r="R17" s="30">
        <v>0</v>
      </c>
      <c r="S17" s="30">
        <v>0</v>
      </c>
      <c r="V17" s="50"/>
    </row>
    <row r="18" spans="1:22" s="2" customFormat="1" ht="15">
      <c r="A18" s="14">
        <v>47</v>
      </c>
      <c r="B18" s="26">
        <v>1860</v>
      </c>
      <c r="C18" s="27" t="s">
        <v>16</v>
      </c>
      <c r="D18" s="28">
        <f>'2007 FA Continuity'!I18</f>
        <v>0</v>
      </c>
      <c r="E18" s="29">
        <v>10419279.83</v>
      </c>
      <c r="F18" s="47">
        <v>0</v>
      </c>
      <c r="G18" s="47">
        <f>E18</f>
        <v>10419279.83</v>
      </c>
      <c r="H18" s="47"/>
      <c r="I18" s="30">
        <f t="shared" si="0"/>
        <v>0</v>
      </c>
      <c r="J18" s="24"/>
      <c r="K18" s="30">
        <f>'2007 FA Continuity'!P18</f>
        <v>0.0008888888987712562</v>
      </c>
      <c r="L18" s="47">
        <v>651478.1191111112</v>
      </c>
      <c r="M18" s="47">
        <v>0</v>
      </c>
      <c r="N18" s="47">
        <f>L18</f>
        <v>651478.1191111112</v>
      </c>
      <c r="O18" s="47"/>
      <c r="P18" s="30">
        <f t="shared" si="1"/>
        <v>0.0008888889569789171</v>
      </c>
      <c r="Q18" s="30">
        <f t="shared" si="2"/>
        <v>-0.0008888889569789171</v>
      </c>
      <c r="R18" s="30">
        <v>0</v>
      </c>
      <c r="S18" s="30">
        <v>0</v>
      </c>
      <c r="V18" s="50"/>
    </row>
    <row r="19" spans="1:22" s="2" customFormat="1" ht="15">
      <c r="A19" s="14" t="s">
        <v>51</v>
      </c>
      <c r="B19" s="26">
        <v>1905</v>
      </c>
      <c r="C19" s="27" t="s">
        <v>17</v>
      </c>
      <c r="D19" s="28">
        <f>'2007 FA Continuity'!I19</f>
        <v>1067629.4100000001</v>
      </c>
      <c r="E19" s="29">
        <v>0</v>
      </c>
      <c r="F19" s="47">
        <v>0</v>
      </c>
      <c r="G19" s="47"/>
      <c r="H19" s="47"/>
      <c r="I19" s="30">
        <f t="shared" si="0"/>
        <v>1067629.4100000001</v>
      </c>
      <c r="J19" s="24"/>
      <c r="K19" s="30">
        <f>'2007 FA Continuity'!P19</f>
        <v>0</v>
      </c>
      <c r="L19" s="47">
        <v>0</v>
      </c>
      <c r="M19" s="47">
        <v>0</v>
      </c>
      <c r="N19" s="47"/>
      <c r="O19" s="47"/>
      <c r="P19" s="30">
        <f t="shared" si="1"/>
        <v>0</v>
      </c>
      <c r="Q19" s="30">
        <f t="shared" si="2"/>
        <v>1067629.4100000001</v>
      </c>
      <c r="R19" s="30">
        <v>0</v>
      </c>
      <c r="S19" s="30">
        <v>0</v>
      </c>
      <c r="V19" s="50"/>
    </row>
    <row r="20" spans="1:22" s="2" customFormat="1" ht="15">
      <c r="A20" s="14">
        <v>47</v>
      </c>
      <c r="B20" s="26">
        <v>1906</v>
      </c>
      <c r="C20" s="27" t="s">
        <v>18</v>
      </c>
      <c r="D20" s="28">
        <f>'2007 FA Continuity'!I20</f>
        <v>157545.71</v>
      </c>
      <c r="E20" s="29">
        <v>5090.67</v>
      </c>
      <c r="F20" s="47">
        <v>0</v>
      </c>
      <c r="G20" s="47"/>
      <c r="H20" s="47"/>
      <c r="I20" s="30">
        <f t="shared" si="0"/>
        <v>162636.38</v>
      </c>
      <c r="J20" s="24"/>
      <c r="K20" s="30">
        <f>'2007 FA Continuity'!P20</f>
        <v>61270.199223484844</v>
      </c>
      <c r="L20" s="47">
        <v>4083.0207765151517</v>
      </c>
      <c r="M20" s="47">
        <v>0</v>
      </c>
      <c r="N20" s="47"/>
      <c r="O20" s="47"/>
      <c r="P20" s="30">
        <f t="shared" si="1"/>
        <v>65353.219999999994</v>
      </c>
      <c r="Q20" s="30">
        <f t="shared" si="2"/>
        <v>97283.16</v>
      </c>
      <c r="R20" s="30">
        <v>0</v>
      </c>
      <c r="S20" s="30">
        <v>0</v>
      </c>
      <c r="V20" s="50"/>
    </row>
    <row r="21" spans="1:22" s="2" customFormat="1" ht="15">
      <c r="A21" s="14">
        <v>47</v>
      </c>
      <c r="B21" s="26">
        <v>1908</v>
      </c>
      <c r="C21" s="27" t="s">
        <v>19</v>
      </c>
      <c r="D21" s="28">
        <f>'2007 FA Continuity'!I21</f>
        <v>26827725.97</v>
      </c>
      <c r="E21" s="29">
        <f>551440.04-25131.15</f>
        <v>526308.89</v>
      </c>
      <c r="F21" s="47">
        <v>0</v>
      </c>
      <c r="G21" s="47"/>
      <c r="H21" s="47"/>
      <c r="I21" s="30">
        <f t="shared" si="0"/>
        <v>27354034.86</v>
      </c>
      <c r="J21" s="24"/>
      <c r="K21" s="30">
        <f>'2007 FA Continuity'!P21</f>
        <v>14565668.62</v>
      </c>
      <c r="L21" s="47">
        <f>1168059.2+53034.84</f>
        <v>1221094.04</v>
      </c>
      <c r="M21" s="47">
        <v>0</v>
      </c>
      <c r="N21" s="47"/>
      <c r="O21" s="47"/>
      <c r="P21" s="30">
        <f t="shared" si="1"/>
        <v>15786762.66</v>
      </c>
      <c r="Q21" s="30">
        <f t="shared" si="2"/>
        <v>11567272.2</v>
      </c>
      <c r="R21" s="30">
        <v>0</v>
      </c>
      <c r="S21" s="30">
        <v>0</v>
      </c>
      <c r="V21" s="50"/>
    </row>
    <row r="22" spans="1:22" s="2" customFormat="1" ht="15">
      <c r="A22" s="14">
        <v>13</v>
      </c>
      <c r="B22" s="26">
        <v>1910</v>
      </c>
      <c r="C22" s="27" t="s">
        <v>8</v>
      </c>
      <c r="D22" s="28">
        <f>'2007 FA Continuity'!I22</f>
        <v>0</v>
      </c>
      <c r="E22" s="29">
        <v>0</v>
      </c>
      <c r="F22" s="47">
        <v>0</v>
      </c>
      <c r="G22" s="47"/>
      <c r="H22" s="47"/>
      <c r="I22" s="30">
        <f t="shared" si="0"/>
        <v>0</v>
      </c>
      <c r="J22" s="24"/>
      <c r="K22" s="30">
        <f>'2007 FA Continuity'!P22</f>
        <v>0</v>
      </c>
      <c r="L22" s="47">
        <v>0</v>
      </c>
      <c r="M22" s="47">
        <v>0</v>
      </c>
      <c r="N22" s="47"/>
      <c r="O22" s="47"/>
      <c r="P22" s="30">
        <f t="shared" si="1"/>
        <v>0</v>
      </c>
      <c r="Q22" s="30">
        <f t="shared" si="2"/>
        <v>0</v>
      </c>
      <c r="R22" s="30">
        <v>0</v>
      </c>
      <c r="S22" s="30">
        <v>0</v>
      </c>
      <c r="V22" s="50"/>
    </row>
    <row r="23" spans="1:22" s="2" customFormat="1" ht="15">
      <c r="A23" s="14">
        <v>8</v>
      </c>
      <c r="B23" s="26">
        <v>1915</v>
      </c>
      <c r="C23" s="27" t="s">
        <v>20</v>
      </c>
      <c r="D23" s="28">
        <f>'2007 FA Continuity'!I23</f>
        <v>4104509.87</v>
      </c>
      <c r="E23" s="29">
        <v>288038.22</v>
      </c>
      <c r="F23" s="47">
        <v>0</v>
      </c>
      <c r="G23" s="47"/>
      <c r="H23" s="47"/>
      <c r="I23" s="30">
        <f t="shared" si="0"/>
        <v>4392548.09</v>
      </c>
      <c r="J23" s="24"/>
      <c r="K23" s="30">
        <f>'2007 FA Continuity'!P23</f>
        <v>3210651.20333333</v>
      </c>
      <c r="L23" s="47">
        <v>184136.02666667034</v>
      </c>
      <c r="M23" s="47">
        <v>0</v>
      </c>
      <c r="N23" s="47"/>
      <c r="O23" s="47"/>
      <c r="P23" s="30">
        <f t="shared" si="1"/>
        <v>3394787.2300000004</v>
      </c>
      <c r="Q23" s="30">
        <f t="shared" si="2"/>
        <v>997760.8599999994</v>
      </c>
      <c r="R23" s="30">
        <v>0</v>
      </c>
      <c r="S23" s="30">
        <v>0</v>
      </c>
      <c r="V23" s="50"/>
    </row>
    <row r="24" spans="1:22" s="2" customFormat="1" ht="15">
      <c r="A24" s="14">
        <v>10</v>
      </c>
      <c r="B24" s="26">
        <v>1920</v>
      </c>
      <c r="C24" s="27" t="s">
        <v>21</v>
      </c>
      <c r="D24" s="28">
        <f>'2007 FA Continuity'!I24</f>
        <v>5613068.4</v>
      </c>
      <c r="E24" s="29">
        <v>0</v>
      </c>
      <c r="F24" s="47">
        <v>0</v>
      </c>
      <c r="G24" s="47"/>
      <c r="H24" s="47"/>
      <c r="I24" s="30">
        <f t="shared" si="0"/>
        <v>5613068.4</v>
      </c>
      <c r="J24" s="24"/>
      <c r="K24" s="30">
        <f>'2007 FA Continuity'!P24</f>
        <v>5533220.648165669</v>
      </c>
      <c r="L24" s="47">
        <v>36136.68183433</v>
      </c>
      <c r="M24" s="47">
        <v>0</v>
      </c>
      <c r="N24" s="47"/>
      <c r="O24" s="47"/>
      <c r="P24" s="30">
        <f t="shared" si="1"/>
        <v>5569357.329999999</v>
      </c>
      <c r="Q24" s="30">
        <f t="shared" si="2"/>
        <v>43711.07000000123</v>
      </c>
      <c r="R24" s="30">
        <v>0</v>
      </c>
      <c r="S24" s="30">
        <v>0</v>
      </c>
      <c r="V24" s="50"/>
    </row>
    <row r="25" spans="1:22" s="2" customFormat="1" ht="15">
      <c r="A25" s="14">
        <v>45</v>
      </c>
      <c r="B25" s="26">
        <v>1920</v>
      </c>
      <c r="C25" s="27" t="s">
        <v>22</v>
      </c>
      <c r="D25" s="28">
        <f>'2007 FA Continuity'!I25</f>
        <v>1700691.79</v>
      </c>
      <c r="E25" s="29">
        <v>987459.11</v>
      </c>
      <c r="F25" s="47">
        <v>0</v>
      </c>
      <c r="G25" s="47">
        <v>69496.07</v>
      </c>
      <c r="H25" s="47"/>
      <c r="I25" s="30">
        <f t="shared" si="0"/>
        <v>2618654.83</v>
      </c>
      <c r="J25" s="24"/>
      <c r="K25" s="30">
        <f>'2007 FA Continuity'!P25</f>
        <v>457364.6704999997</v>
      </c>
      <c r="L25" s="47">
        <v>478246.7595000003</v>
      </c>
      <c r="M25" s="47">
        <v>0</v>
      </c>
      <c r="N25" s="47">
        <v>35370.649999999994</v>
      </c>
      <c r="O25" s="47"/>
      <c r="P25" s="30">
        <f t="shared" si="1"/>
        <v>900240.7799999999</v>
      </c>
      <c r="Q25" s="30">
        <f t="shared" si="2"/>
        <v>1718414.0500000003</v>
      </c>
      <c r="R25" s="30">
        <v>0</v>
      </c>
      <c r="S25" s="30">
        <v>0</v>
      </c>
      <c r="V25" s="50"/>
    </row>
    <row r="26" spans="1:22" s="2" customFormat="1" ht="15">
      <c r="A26" s="14">
        <v>12</v>
      </c>
      <c r="B26" s="26">
        <v>1925</v>
      </c>
      <c r="C26" s="27" t="s">
        <v>23</v>
      </c>
      <c r="D26" s="28">
        <f>'2007 FA Continuity'!I26</f>
        <v>4742389.58</v>
      </c>
      <c r="E26" s="29">
        <v>5566172.64</v>
      </c>
      <c r="F26" s="47">
        <v>0</v>
      </c>
      <c r="G26" s="47">
        <v>50929.85</v>
      </c>
      <c r="H26" s="47"/>
      <c r="I26" s="30">
        <f t="shared" si="0"/>
        <v>10257632.37</v>
      </c>
      <c r="J26" s="24"/>
      <c r="K26" s="30">
        <f>'2007 FA Continuity'!P26</f>
        <v>4190497.873333341</v>
      </c>
      <c r="L26" s="47">
        <v>756195.2566666589</v>
      </c>
      <c r="M26" s="47">
        <v>0</v>
      </c>
      <c r="N26" s="47">
        <v>23398.73</v>
      </c>
      <c r="O26" s="47"/>
      <c r="P26" s="30">
        <f t="shared" si="1"/>
        <v>4923294.399999999</v>
      </c>
      <c r="Q26" s="30">
        <f t="shared" si="2"/>
        <v>5334337.97</v>
      </c>
      <c r="R26" s="30">
        <v>0</v>
      </c>
      <c r="S26" s="30">
        <v>0</v>
      </c>
      <c r="V26" s="50"/>
    </row>
    <row r="27" spans="1:22" s="2" customFormat="1" ht="15">
      <c r="A27" s="14">
        <v>10</v>
      </c>
      <c r="B27" s="26">
        <v>1930</v>
      </c>
      <c r="C27" s="27" t="s">
        <v>24</v>
      </c>
      <c r="D27" s="28">
        <f>'2007 FA Continuity'!I27</f>
        <v>16575938.330000002</v>
      </c>
      <c r="E27" s="29">
        <v>1740111.93</v>
      </c>
      <c r="F27" s="47">
        <v>599815.44</v>
      </c>
      <c r="G27" s="47"/>
      <c r="H27" s="47"/>
      <c r="I27" s="30">
        <f t="shared" si="0"/>
        <v>17716234.82</v>
      </c>
      <c r="J27" s="24"/>
      <c r="K27" s="30">
        <f>'2007 FA Continuity'!P27</f>
        <v>10861656.790000001</v>
      </c>
      <c r="L27" s="47">
        <v>1361868.05</v>
      </c>
      <c r="M27" s="47">
        <v>599815.44</v>
      </c>
      <c r="N27" s="47"/>
      <c r="O27" s="47"/>
      <c r="P27" s="30">
        <f t="shared" si="1"/>
        <v>11623709.400000002</v>
      </c>
      <c r="Q27" s="30">
        <f t="shared" si="2"/>
        <v>6092525.419999998</v>
      </c>
      <c r="R27" s="30">
        <v>121613.47</v>
      </c>
      <c r="S27" s="30">
        <v>71448.23</v>
      </c>
      <c r="V27" s="50"/>
    </row>
    <row r="28" spans="1:22" s="2" customFormat="1" ht="15">
      <c r="A28" s="14">
        <v>8</v>
      </c>
      <c r="B28" s="26">
        <v>1935</v>
      </c>
      <c r="C28" s="27" t="s">
        <v>25</v>
      </c>
      <c r="D28" s="28">
        <f>'2007 FA Continuity'!I28</f>
        <v>513124.86</v>
      </c>
      <c r="E28" s="29">
        <v>267944.45</v>
      </c>
      <c r="F28" s="47">
        <v>0</v>
      </c>
      <c r="G28" s="47"/>
      <c r="H28" s="47"/>
      <c r="I28" s="30">
        <f t="shared" si="0"/>
        <v>781069.31</v>
      </c>
      <c r="J28" s="24"/>
      <c r="K28" s="30">
        <f>'2007 FA Continuity'!P28</f>
        <v>459327.259583333</v>
      </c>
      <c r="L28" s="47">
        <v>10978.470416667</v>
      </c>
      <c r="M28" s="47">
        <v>0</v>
      </c>
      <c r="N28" s="47"/>
      <c r="O28" s="47"/>
      <c r="P28" s="30">
        <f t="shared" si="1"/>
        <v>470305.73</v>
      </c>
      <c r="Q28" s="30">
        <f t="shared" si="2"/>
        <v>310763.5800000001</v>
      </c>
      <c r="R28" s="30">
        <v>0</v>
      </c>
      <c r="S28" s="30">
        <v>0</v>
      </c>
      <c r="V28" s="50"/>
    </row>
    <row r="29" spans="1:22" s="2" customFormat="1" ht="15">
      <c r="A29" s="14">
        <v>8</v>
      </c>
      <c r="B29" s="26">
        <v>1940</v>
      </c>
      <c r="C29" s="27" t="s">
        <v>26</v>
      </c>
      <c r="D29" s="28">
        <f>'2007 FA Continuity'!I29</f>
        <v>6683304.49</v>
      </c>
      <c r="E29" s="29">
        <v>345395.53</v>
      </c>
      <c r="F29" s="47">
        <v>0</v>
      </c>
      <c r="G29" s="47">
        <v>7954.34</v>
      </c>
      <c r="H29" s="47"/>
      <c r="I29" s="30">
        <f t="shared" si="0"/>
        <v>7020745.680000001</v>
      </c>
      <c r="J29" s="24"/>
      <c r="K29" s="30">
        <f>'2007 FA Continuity'!P29</f>
        <v>5162974.1881666705</v>
      </c>
      <c r="L29" s="47">
        <v>299175.41183333</v>
      </c>
      <c r="M29" s="47">
        <v>0</v>
      </c>
      <c r="N29" s="47">
        <v>613.0600000000001</v>
      </c>
      <c r="O29" s="47"/>
      <c r="P29" s="30">
        <f t="shared" si="1"/>
        <v>5461536.540000001</v>
      </c>
      <c r="Q29" s="30">
        <f t="shared" si="2"/>
        <v>1559209.1399999997</v>
      </c>
      <c r="R29" s="30">
        <v>0</v>
      </c>
      <c r="S29" s="30">
        <v>0</v>
      </c>
      <c r="V29" s="50"/>
    </row>
    <row r="30" spans="1:22" s="2" customFormat="1" ht="15">
      <c r="A30" s="14">
        <v>8</v>
      </c>
      <c r="B30" s="26">
        <v>1945</v>
      </c>
      <c r="C30" s="27" t="s">
        <v>31</v>
      </c>
      <c r="D30" s="28">
        <f>'2007 FA Continuity'!I30</f>
        <v>1310649.3800000001</v>
      </c>
      <c r="E30" s="29">
        <v>79305.13</v>
      </c>
      <c r="F30" s="47">
        <v>0</v>
      </c>
      <c r="G30" s="47"/>
      <c r="H30" s="47"/>
      <c r="I30" s="30">
        <f t="shared" si="0"/>
        <v>1389954.5100000002</v>
      </c>
      <c r="J30" s="24"/>
      <c r="K30" s="30">
        <f>'2007 FA Continuity'!P30</f>
        <v>785791.3660833333</v>
      </c>
      <c r="L30" s="47">
        <v>76726.93391666666</v>
      </c>
      <c r="M30" s="47">
        <v>0</v>
      </c>
      <c r="N30" s="47"/>
      <c r="O30" s="47"/>
      <c r="P30" s="30">
        <f t="shared" si="1"/>
        <v>862518.2999999999</v>
      </c>
      <c r="Q30" s="30">
        <f t="shared" si="2"/>
        <v>527436.2100000003</v>
      </c>
      <c r="R30" s="30">
        <v>0</v>
      </c>
      <c r="S30" s="30">
        <v>0</v>
      </c>
      <c r="V30" s="50"/>
    </row>
    <row r="31" spans="1:22" s="2" customFormat="1" ht="15">
      <c r="A31" s="14">
        <v>8</v>
      </c>
      <c r="B31" s="26">
        <v>1950</v>
      </c>
      <c r="C31" s="27" t="s">
        <v>32</v>
      </c>
      <c r="D31" s="28">
        <f>'2007 FA Continuity'!I31</f>
        <v>144034.63</v>
      </c>
      <c r="E31" s="29">
        <v>0</v>
      </c>
      <c r="F31" s="47">
        <v>0</v>
      </c>
      <c r="G31" s="47"/>
      <c r="H31" s="47"/>
      <c r="I31" s="30">
        <f t="shared" si="0"/>
        <v>144034.63</v>
      </c>
      <c r="J31" s="24"/>
      <c r="K31" s="30">
        <f>'2007 FA Continuity'!P31</f>
        <v>72780.3280833334</v>
      </c>
      <c r="L31" s="47">
        <v>13021.5019166666</v>
      </c>
      <c r="M31" s="47">
        <v>0</v>
      </c>
      <c r="N31" s="47"/>
      <c r="O31" s="47"/>
      <c r="P31" s="30">
        <f t="shared" si="1"/>
        <v>85801.83</v>
      </c>
      <c r="Q31" s="30">
        <f t="shared" si="2"/>
        <v>58232.8</v>
      </c>
      <c r="R31" s="30">
        <v>0</v>
      </c>
      <c r="S31" s="30">
        <v>0</v>
      </c>
      <c r="V31" s="50"/>
    </row>
    <row r="32" spans="1:22" s="2" customFormat="1" ht="15">
      <c r="A32" s="14">
        <v>8</v>
      </c>
      <c r="B32" s="26">
        <v>1955</v>
      </c>
      <c r="C32" s="27" t="s">
        <v>27</v>
      </c>
      <c r="D32" s="28">
        <f>'2007 FA Continuity'!I32</f>
        <v>1265432.11</v>
      </c>
      <c r="E32" s="29">
        <v>45164.15</v>
      </c>
      <c r="F32" s="47">
        <v>0</v>
      </c>
      <c r="G32" s="47"/>
      <c r="H32" s="47"/>
      <c r="I32" s="30">
        <f t="shared" si="0"/>
        <v>1310596.26</v>
      </c>
      <c r="J32" s="24"/>
      <c r="K32" s="30">
        <f>'2007 FA Continuity'!P32</f>
        <v>272136.74750000006</v>
      </c>
      <c r="L32" s="47">
        <v>120503.07249999997</v>
      </c>
      <c r="M32" s="47">
        <v>0</v>
      </c>
      <c r="N32" s="47"/>
      <c r="O32" s="47"/>
      <c r="P32" s="30">
        <f t="shared" si="1"/>
        <v>392639.82</v>
      </c>
      <c r="Q32" s="30">
        <f t="shared" si="2"/>
        <v>917956.44</v>
      </c>
      <c r="R32" s="30">
        <v>0</v>
      </c>
      <c r="S32" s="30">
        <v>0</v>
      </c>
      <c r="V32" s="50"/>
    </row>
    <row r="33" spans="1:22" s="2" customFormat="1" ht="15">
      <c r="A33" s="14">
        <v>8</v>
      </c>
      <c r="B33" s="26">
        <v>1960</v>
      </c>
      <c r="C33" s="27" t="s">
        <v>33</v>
      </c>
      <c r="D33" s="28">
        <f>'2007 FA Continuity'!I33</f>
        <v>515329.99</v>
      </c>
      <c r="E33" s="29">
        <v>0</v>
      </c>
      <c r="F33" s="47">
        <v>0</v>
      </c>
      <c r="G33" s="47"/>
      <c r="H33" s="47"/>
      <c r="I33" s="30">
        <f t="shared" si="0"/>
        <v>515329.99</v>
      </c>
      <c r="J33" s="24"/>
      <c r="K33" s="30">
        <f>'2007 FA Continuity'!P33</f>
        <v>48393.06183333333</v>
      </c>
      <c r="L33" s="47">
        <v>51533.00816666667</v>
      </c>
      <c r="M33" s="47">
        <v>0</v>
      </c>
      <c r="N33" s="47"/>
      <c r="O33" s="47"/>
      <c r="P33" s="30">
        <f t="shared" si="1"/>
        <v>99926.07</v>
      </c>
      <c r="Q33" s="30">
        <f t="shared" si="2"/>
        <v>415403.92</v>
      </c>
      <c r="R33" s="30">
        <v>0</v>
      </c>
      <c r="S33" s="30">
        <v>0</v>
      </c>
      <c r="V33" s="50"/>
    </row>
    <row r="34" spans="1:22" s="2" customFormat="1" ht="15">
      <c r="A34" s="14">
        <v>47</v>
      </c>
      <c r="B34" s="26">
        <v>1980</v>
      </c>
      <c r="C34" s="27" t="s">
        <v>34</v>
      </c>
      <c r="D34" s="28">
        <f>'2007 FA Continuity'!I34</f>
        <v>3315938.6999999997</v>
      </c>
      <c r="E34" s="29">
        <v>0</v>
      </c>
      <c r="F34" s="47">
        <v>0</v>
      </c>
      <c r="G34" s="47"/>
      <c r="H34" s="47"/>
      <c r="I34" s="30">
        <f t="shared" si="0"/>
        <v>3315938.6999999997</v>
      </c>
      <c r="J34" s="24"/>
      <c r="K34" s="30">
        <f>'2007 FA Continuity'!P34</f>
        <v>2837336.030666668</v>
      </c>
      <c r="L34" s="47">
        <v>109479.54933333222</v>
      </c>
      <c r="M34" s="47">
        <v>0</v>
      </c>
      <c r="N34" s="47"/>
      <c r="O34" s="47"/>
      <c r="P34" s="30">
        <f t="shared" si="1"/>
        <v>2946815.58</v>
      </c>
      <c r="Q34" s="30">
        <f t="shared" si="2"/>
        <v>369123.11999999965</v>
      </c>
      <c r="R34" s="30">
        <v>0</v>
      </c>
      <c r="S34" s="30">
        <v>0</v>
      </c>
      <c r="V34" s="50"/>
    </row>
    <row r="35" spans="1:22" s="2" customFormat="1" ht="15">
      <c r="A35" s="14">
        <v>47</v>
      </c>
      <c r="B35" s="26">
        <v>1995</v>
      </c>
      <c r="C35" s="27" t="s">
        <v>35</v>
      </c>
      <c r="D35" s="28">
        <f>'2007 FA Continuity'!I35</f>
        <v>3396683.12</v>
      </c>
      <c r="E35" s="29">
        <v>2289371.43</v>
      </c>
      <c r="F35" s="47">
        <v>0</v>
      </c>
      <c r="G35" s="47"/>
      <c r="H35" s="47"/>
      <c r="I35" s="30">
        <f t="shared" si="0"/>
        <v>5686054.550000001</v>
      </c>
      <c r="J35" s="24"/>
      <c r="K35" s="30">
        <f>'2007 FA Continuity'!P35</f>
        <v>627444.9114166666</v>
      </c>
      <c r="L35" s="47">
        <v>150555.32</v>
      </c>
      <c r="M35" s="47">
        <v>0</v>
      </c>
      <c r="N35" s="47"/>
      <c r="O35" s="47"/>
      <c r="P35" s="30">
        <f t="shared" si="1"/>
        <v>778000.2314166666</v>
      </c>
      <c r="Q35" s="30">
        <f t="shared" si="2"/>
        <v>4908054.318583334</v>
      </c>
      <c r="R35" s="30">
        <v>0</v>
      </c>
      <c r="S35" s="30">
        <v>0</v>
      </c>
      <c r="V35" s="50"/>
    </row>
    <row r="36" spans="1:22" s="2" customFormat="1" ht="15">
      <c r="A36" s="14">
        <v>47</v>
      </c>
      <c r="B36" s="26">
        <v>1995</v>
      </c>
      <c r="C36" s="34" t="s">
        <v>36</v>
      </c>
      <c r="D36" s="28">
        <f>'2007 FA Continuity'!I36</f>
        <v>-17325714.99</v>
      </c>
      <c r="E36" s="36">
        <v>-6197958.07</v>
      </c>
      <c r="F36" s="48">
        <v>0</v>
      </c>
      <c r="G36" s="48"/>
      <c r="H36" s="48"/>
      <c r="I36" s="30">
        <f t="shared" si="0"/>
        <v>-23523673.06</v>
      </c>
      <c r="J36" s="24"/>
      <c r="K36" s="30">
        <f>'2007 FA Continuity'!P36</f>
        <v>-1713938.610466667</v>
      </c>
      <c r="L36" s="48">
        <v>-773620.399533333</v>
      </c>
      <c r="M36" s="48">
        <v>0</v>
      </c>
      <c r="N36" s="48"/>
      <c r="O36" s="48"/>
      <c r="P36" s="37">
        <f t="shared" si="1"/>
        <v>-2487559.01</v>
      </c>
      <c r="Q36" s="37">
        <f t="shared" si="2"/>
        <v>-21036114.049999997</v>
      </c>
      <c r="R36" s="37">
        <v>0</v>
      </c>
      <c r="S36" s="37">
        <v>0</v>
      </c>
      <c r="V36" s="50"/>
    </row>
    <row r="37" spans="1:19" s="2" customFormat="1" ht="15">
      <c r="A37" s="2">
        <v>2105</v>
      </c>
      <c r="B37" s="2">
        <v>2105</v>
      </c>
      <c r="C37" s="38" t="s">
        <v>66</v>
      </c>
      <c r="D37" s="39">
        <f aca="true" t="shared" si="3" ref="D37:I37">SUM(D6:D36)</f>
        <v>551635716.8100002</v>
      </c>
      <c r="E37" s="40">
        <f t="shared" si="3"/>
        <v>44996708.84</v>
      </c>
      <c r="F37" s="40">
        <f t="shared" si="3"/>
        <v>4523801.56</v>
      </c>
      <c r="G37" s="40">
        <f t="shared" si="3"/>
        <v>10547660.09</v>
      </c>
      <c r="H37" s="40">
        <f t="shared" si="3"/>
        <v>0</v>
      </c>
      <c r="I37" s="40">
        <f t="shared" si="3"/>
        <v>581560964</v>
      </c>
      <c r="J37" s="41"/>
      <c r="K37" s="39">
        <f aca="true" t="shared" si="4" ref="K37:S37">SUM(K6:K36)</f>
        <v>277943109.3845723</v>
      </c>
      <c r="L37" s="40">
        <f t="shared" si="4"/>
        <v>24477381.43684432</v>
      </c>
      <c r="M37" s="40">
        <f t="shared" si="4"/>
        <v>4523401.56</v>
      </c>
      <c r="N37" s="40">
        <f t="shared" si="4"/>
        <v>710860.5591111112</v>
      </c>
      <c r="O37" s="40">
        <f t="shared" si="4"/>
        <v>0</v>
      </c>
      <c r="P37" s="40">
        <f t="shared" si="4"/>
        <v>297186228.70230544</v>
      </c>
      <c r="Q37" s="40">
        <f t="shared" si="4"/>
        <v>284374735.2976945</v>
      </c>
      <c r="R37" s="40">
        <f t="shared" si="4"/>
        <v>121613.47</v>
      </c>
      <c r="S37" s="40">
        <f t="shared" si="4"/>
        <v>71448.23</v>
      </c>
    </row>
    <row r="38" spans="3:19" s="2" customFormat="1" ht="15">
      <c r="C38" s="1"/>
      <c r="D38" s="3"/>
      <c r="E38" s="3"/>
      <c r="F38" s="3"/>
      <c r="G38" s="3"/>
      <c r="H38" s="3"/>
      <c r="I38" s="3"/>
      <c r="J38" s="24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5">
      <c r="A39" s="2">
        <v>2055</v>
      </c>
      <c r="B39" s="2">
        <v>2055</v>
      </c>
      <c r="C39" s="1" t="s">
        <v>37</v>
      </c>
      <c r="D39" s="3">
        <f>'2007 FA Continuity'!I39</f>
        <v>8624786.04</v>
      </c>
      <c r="E39" s="3">
        <v>-3252914.28</v>
      </c>
      <c r="F39" s="3">
        <v>0</v>
      </c>
      <c r="G39" s="3"/>
      <c r="H39" s="3"/>
      <c r="I39" s="3">
        <f>D39+E39-F39-G39-H39</f>
        <v>5371871.76</v>
      </c>
      <c r="J39" s="24"/>
      <c r="K39" s="3">
        <v>0</v>
      </c>
      <c r="L39" s="3">
        <v>0</v>
      </c>
      <c r="M39" s="3">
        <v>0</v>
      </c>
      <c r="N39" s="3"/>
      <c r="O39" s="3"/>
      <c r="P39" s="3">
        <f>K39+L39-M39-N39-O39</f>
        <v>0</v>
      </c>
      <c r="Q39" s="3">
        <f>I39-P39</f>
        <v>5371871.76</v>
      </c>
      <c r="R39" s="3">
        <v>0</v>
      </c>
      <c r="S39" s="3">
        <v>0</v>
      </c>
    </row>
    <row r="40" spans="3:19" s="2" customFormat="1" ht="15.75" thickBot="1">
      <c r="C40" s="33" t="s">
        <v>60</v>
      </c>
      <c r="D40" s="5">
        <f aca="true" t="shared" si="5" ref="D40:I40">SUM(D37:D39)</f>
        <v>560260502.8500001</v>
      </c>
      <c r="E40" s="5">
        <f t="shared" si="5"/>
        <v>41743794.56</v>
      </c>
      <c r="F40" s="5">
        <f t="shared" si="5"/>
        <v>4523801.56</v>
      </c>
      <c r="G40" s="5">
        <f t="shared" si="5"/>
        <v>10547660.09</v>
      </c>
      <c r="H40" s="5">
        <f t="shared" si="5"/>
        <v>0</v>
      </c>
      <c r="I40" s="5">
        <f t="shared" si="5"/>
        <v>586932835.76</v>
      </c>
      <c r="J40" s="24"/>
      <c r="K40" s="5">
        <f aca="true" t="shared" si="6" ref="K40:S40">SUM(K37:K39)</f>
        <v>277943109.3845723</v>
      </c>
      <c r="L40" s="5">
        <f t="shared" si="6"/>
        <v>24477381.43684432</v>
      </c>
      <c r="M40" s="5">
        <f t="shared" si="6"/>
        <v>4523401.56</v>
      </c>
      <c r="N40" s="5">
        <f t="shared" si="6"/>
        <v>710860.5591111112</v>
      </c>
      <c r="O40" s="5">
        <f t="shared" si="6"/>
        <v>0</v>
      </c>
      <c r="P40" s="5">
        <f t="shared" si="6"/>
        <v>297186228.70230544</v>
      </c>
      <c r="Q40" s="5">
        <f t="shared" si="6"/>
        <v>289746607.0576945</v>
      </c>
      <c r="R40" s="5">
        <f t="shared" si="6"/>
        <v>121613.47</v>
      </c>
      <c r="S40" s="5">
        <f t="shared" si="6"/>
        <v>71448.23</v>
      </c>
    </row>
    <row r="41" spans="3:16" s="2" customFormat="1" ht="15.75" thickTop="1">
      <c r="C41" s="1"/>
      <c r="D41" s="3"/>
      <c r="E41" s="3"/>
      <c r="F41" s="3"/>
      <c r="G41" s="3"/>
      <c r="H41" s="3"/>
      <c r="I41" s="3"/>
      <c r="J41" s="24"/>
      <c r="K41" s="3" t="s">
        <v>38</v>
      </c>
      <c r="L41" s="3">
        <v>1361868.05</v>
      </c>
      <c r="M41" s="3"/>
      <c r="N41" s="3"/>
      <c r="O41" s="3"/>
      <c r="P41" s="3"/>
    </row>
    <row r="42" spans="3:16" s="2" customFormat="1" ht="15">
      <c r="C42" s="1"/>
      <c r="D42" s="3"/>
      <c r="E42" s="3"/>
      <c r="F42" s="3"/>
      <c r="G42" s="3"/>
      <c r="H42" s="3"/>
      <c r="I42" s="3"/>
      <c r="J42" s="24"/>
      <c r="K42" s="3" t="s">
        <v>41</v>
      </c>
      <c r="L42" s="3">
        <v>10978.470416667</v>
      </c>
      <c r="M42" s="3"/>
      <c r="N42" s="3"/>
      <c r="O42" s="3"/>
      <c r="P42" s="3"/>
    </row>
    <row r="43" spans="3:16" s="2" customFormat="1" ht="15.75" thickBot="1">
      <c r="C43"/>
      <c r="D43"/>
      <c r="E43" s="3"/>
      <c r="F43" s="3"/>
      <c r="G43" s="3"/>
      <c r="H43" s="3"/>
      <c r="I43" s="3"/>
      <c r="J43" s="24"/>
      <c r="K43" s="3" t="s">
        <v>43</v>
      </c>
      <c r="L43" s="5">
        <f>L40-L41-L42</f>
        <v>23104534.91642765</v>
      </c>
      <c r="M43" s="3"/>
      <c r="N43" s="3"/>
      <c r="O43" s="3"/>
      <c r="P43" s="3"/>
    </row>
    <row r="44" ht="15.75" thickTop="1">
      <c r="G44" s="51"/>
    </row>
  </sheetData>
  <sheetProtection/>
  <mergeCells count="3">
    <mergeCell ref="B1:Q1"/>
    <mergeCell ref="B2:Q2"/>
    <mergeCell ref="B3:Q3"/>
  </mergeCells>
  <printOptions/>
  <pageMargins left="0.1968503937007874" right="0.1968503937007874" top="0.7480314960629921" bottom="0.7480314960629921" header="0.31496062992125984" footer="0.31496062992125984"/>
  <pageSetup fitToHeight="1" fitToWidth="1" horizontalDpi="525" verticalDpi="525" orientation="landscape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</dc:creator>
  <cp:keywords/>
  <dc:description/>
  <cp:lastModifiedBy>Jill Bada</cp:lastModifiedBy>
  <cp:lastPrinted>2010-06-03T13:24:53Z</cp:lastPrinted>
  <dcterms:created xsi:type="dcterms:W3CDTF">2010-04-21T18:36:58Z</dcterms:created>
  <dcterms:modified xsi:type="dcterms:W3CDTF">2010-08-25T14:28:09Z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