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000" windowWidth="14220" windowHeight="6015" firstSheet="9" activeTab="15"/>
  </bookViews>
  <sheets>
    <sheet name="Inputs" sheetId="1" r:id="rId1"/>
    <sheet name="Rev Req 06" sheetId="2" r:id="rId2"/>
    <sheet name="PILs 06" sheetId="3" r:id="rId3"/>
    <sheet name="Avg Assets 06" sheetId="4" r:id="rId4"/>
    <sheet name="Rev Req 07" sheetId="5" r:id="rId5"/>
    <sheet name="PILs 07" sheetId="6" r:id="rId6"/>
    <sheet name="Avg Assets 07" sheetId="7" r:id="rId7"/>
    <sheet name="Rev Req 08" sheetId="8" r:id="rId8"/>
    <sheet name="PILs 08" sheetId="9" r:id="rId9"/>
    <sheet name="Avg Assets 08" sheetId="10" r:id="rId10"/>
    <sheet name="Rev Req 09" sheetId="11" r:id="rId11"/>
    <sheet name="PILs 09" sheetId="12" r:id="rId12"/>
    <sheet name="Avg Assets 09" sheetId="13" r:id="rId13"/>
    <sheet name="Rev Req 10" sheetId="14" r:id="rId14"/>
    <sheet name="PILs 10" sheetId="15" r:id="rId15"/>
    <sheet name="Avg Assets 10" sheetId="16" r:id="rId16"/>
  </sheets>
  <definedNames>
    <definedName name="_xlnm.Print_Area" localSheetId="3">'Avg Assets 06'!$A$1:$C$110</definedName>
    <definedName name="_xlnm.Print_Area" localSheetId="12">'Avg Assets 09'!$A$1:$X$110</definedName>
    <definedName name="_xlnm.Print_Area" localSheetId="15">'Avg Assets 10'!$A$1:$Y$110</definedName>
    <definedName name="_xlnm.Print_Area" localSheetId="0">'Inputs'!$A$1:$N$34</definedName>
    <definedName name="_xlnm.Print_Area" localSheetId="4">'Rev Req 07'!$A$1:$R$72</definedName>
    <definedName name="_xlnm.Print_Area" localSheetId="7">'Rev Req 08'!$A$1:$U$75</definedName>
    <definedName name="_xlnm.Print_Area" localSheetId="10">'Rev Req 09'!$A$1:$U$75</definedName>
    <definedName name="_xlnm.Print_Area" localSheetId="13">'Rev Req 10'!$A$1:$U$88</definedName>
    <definedName name="_xlnm.Print_Titles" localSheetId="3">'Avg Assets 06'!$1:$4</definedName>
    <definedName name="_xlnm.Print_Titles" localSheetId="6">'Avg Assets 07'!$1:$4</definedName>
    <definedName name="_xlnm.Print_Titles" localSheetId="4">'Rev Req 07'!$1:$3</definedName>
    <definedName name="_xlnm.Print_Titles" localSheetId="10">'Rev Req 09'!$3:$3</definedName>
  </definedNames>
  <calcPr calcMode="manual" fullCalcOnLoad="1"/>
</workbook>
</file>

<file path=xl/sharedStrings.xml><?xml version="1.0" encoding="utf-8"?>
<sst xmlns="http://schemas.openxmlformats.org/spreadsheetml/2006/main" count="1021" uniqueCount="210">
  <si>
    <t>Weighted Average Cost of Capital</t>
  </si>
  <si>
    <t>Total</t>
  </si>
  <si>
    <t>LDC Amortization Policy:</t>
  </si>
  <si>
    <t>Years</t>
  </si>
  <si>
    <t>Operating Expense Data:</t>
  </si>
  <si>
    <t>Computer Software</t>
  </si>
  <si>
    <t>Average Asset Values</t>
  </si>
  <si>
    <t>Total Net Fixed Assets</t>
  </si>
  <si>
    <t>Working Capital</t>
  </si>
  <si>
    <t>Operation Expense</t>
  </si>
  <si>
    <t>15 % Working Capital</t>
  </si>
  <si>
    <t>Smart Meters included in Rate Base</t>
  </si>
  <si>
    <t>Return on Rate Base</t>
  </si>
  <si>
    <t>Operating Expenses</t>
  </si>
  <si>
    <t>Amortization Expenses</t>
  </si>
  <si>
    <t>Total Amortization Expenses</t>
  </si>
  <si>
    <t>Revenue Requirement Before PILs</t>
  </si>
  <si>
    <t>Calculation of Taxable Income</t>
  </si>
  <si>
    <t>Incremental Operating Expenses</t>
  </si>
  <si>
    <t>Depreciation Expenses</t>
  </si>
  <si>
    <t>Interest Expense</t>
  </si>
  <si>
    <t>Taxable Income For PILs</t>
  </si>
  <si>
    <t>Revenue Requirement for Smart Meters</t>
  </si>
  <si>
    <t>INCOME TAX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</si>
  <si>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</si>
  <si>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</si>
  <si>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</si>
  <si>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</si>
  <si>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</si>
  <si>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</si>
  <si>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</si>
  <si>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</si>
  <si>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</si>
  <si>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</si>
  <si>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Grossed Up PILs</t>
  </si>
  <si>
    <t>Change in Income Taxes Payable</t>
  </si>
  <si>
    <t>Change in OCT</t>
  </si>
  <si>
    <t>PIL's</t>
  </si>
  <si>
    <t>Net Income</t>
  </si>
  <si>
    <t>Amortization</t>
  </si>
  <si>
    <t>CCA - Class 47 (8%) Smart Meters</t>
  </si>
  <si>
    <t>CCA - Class 45 (45%) Computers</t>
  </si>
  <si>
    <t>Tax Rate</t>
  </si>
  <si>
    <t>Smart Meters</t>
  </si>
  <si>
    <t>Computer Hardware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</si>
  <si>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</si>
  <si>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</si>
  <si>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</si>
  <si>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</si>
  <si>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</si>
  <si>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</si>
  <si>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</si>
  <si>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</si>
  <si>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</si>
  <si>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</si>
  <si>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For PILs Calculation</t>
  </si>
  <si>
    <t>UCC - Smart Meters</t>
  </si>
  <si>
    <t>CCA Class 47 (8%)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</si>
  <si>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</si>
  <si>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</si>
  <si>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</si>
  <si>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</si>
  <si>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</si>
  <si>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  47</t>
  </si>
  <si>
    <t>CCA</t>
  </si>
  <si>
    <t>Closing UCC</t>
  </si>
  <si>
    <t>UCC - Computer Equipment</t>
  </si>
  <si>
    <t>CCA Class 45 (45%)</t>
  </si>
  <si>
    <t>Capital Additions Hardware</t>
  </si>
  <si>
    <t>Capital Additions Software</t>
  </si>
  <si>
    <t>CCA Rate Class  45</t>
  </si>
  <si>
    <t>Proposed ROE</t>
  </si>
  <si>
    <t>Total Incremental Operating Expense</t>
  </si>
  <si>
    <t>Amortization Expenses - Computer Hardware</t>
  </si>
  <si>
    <t>Net Fixed Assets Smart Meters</t>
  </si>
  <si>
    <t>Net Fixed Assets Computer Hardware</t>
  </si>
  <si>
    <t>Net Fixed Assets Computer Software</t>
  </si>
  <si>
    <t>Deemed Debt</t>
  </si>
  <si>
    <t>Deemed Equity</t>
  </si>
  <si>
    <t>Weighted Debt Rate</t>
  </si>
  <si>
    <t>Grossed up PILs</t>
  </si>
  <si>
    <t>Capital Investment Year 1</t>
  </si>
  <si>
    <t>Capital Investment Year 2</t>
  </si>
  <si>
    <t>Total Fixed Assets</t>
  </si>
  <si>
    <t>Total Accumulated Amortization</t>
  </si>
  <si>
    <t>Total Assets</t>
  </si>
  <si>
    <t>Tools and Equipment</t>
  </si>
  <si>
    <t>Amortization Expenses - Tools and equirement</t>
  </si>
  <si>
    <t>CCA Class 8 (20%)</t>
  </si>
  <si>
    <t>UCC - Tools and Equipment</t>
  </si>
  <si>
    <t>CCA Rate Class  8</t>
  </si>
  <si>
    <t>CCA - Class 8 (20%) Tools and Equipment</t>
  </si>
  <si>
    <t>Net Fixed Assets - Tools and Equipment</t>
  </si>
  <si>
    <t>Amortization Year 1 (10 Years  Straight Line)</t>
  </si>
  <si>
    <t>Amortization Year 2 (10 Years  Straight Line)</t>
  </si>
  <si>
    <t>Net Fixed Assets Tools and Equipment</t>
  </si>
  <si>
    <t>Subtotal</t>
  </si>
  <si>
    <t>Total 2007</t>
  </si>
  <si>
    <t>Incremental OM&amp;A Expenses</t>
  </si>
  <si>
    <t>to April 30, 2007</t>
  </si>
  <si>
    <t>to 30-Apr-07</t>
  </si>
  <si>
    <t xml:space="preserve"> to 31-Dec-07</t>
  </si>
  <si>
    <t>to 31-Dec-07</t>
  </si>
  <si>
    <t>Amortization Year 1 (15 Years  Straight Line)</t>
  </si>
  <si>
    <t>Amortization Year 2 (15 Years  Straight Line)</t>
  </si>
  <si>
    <t>Amortization Year 1 (5 Years  Straight Line)</t>
  </si>
  <si>
    <t>Amortization Year 2 (5 Years  Straight Line)</t>
  </si>
  <si>
    <t>Variance Account Entries</t>
  </si>
  <si>
    <t>Account 1555</t>
  </si>
  <si>
    <t xml:space="preserve">   Return on rate base</t>
  </si>
  <si>
    <t xml:space="preserve">   Revenue Collected from Rate Adder</t>
  </si>
  <si>
    <t xml:space="preserve">   Amount to clear from variance accounts</t>
  </si>
  <si>
    <t xml:space="preserve">   Interest</t>
  </si>
  <si>
    <t>Total balances to clear</t>
  </si>
  <si>
    <t>Account 1556</t>
  </si>
  <si>
    <t xml:space="preserve">   Grossed up PILs</t>
  </si>
  <si>
    <t>Total additions to Account 1555</t>
  </si>
  <si>
    <t>Total additions to Account 1556</t>
  </si>
  <si>
    <t>Total 2007 addditions 1555 and 1556 combined</t>
  </si>
  <si>
    <t>Total 2006 addditions 1555 and 1556 combined</t>
  </si>
  <si>
    <t xml:space="preserve">CIP </t>
  </si>
  <si>
    <t xml:space="preserve"> 31-Dec-07</t>
  </si>
  <si>
    <t>Capital Investment Year 1 (2006)</t>
  </si>
  <si>
    <t>Capital Investment Year 2 (2007), Year 3 (2008)</t>
  </si>
  <si>
    <t>Q1</t>
  </si>
  <si>
    <t xml:space="preserve"> to 31-Dec-08</t>
  </si>
  <si>
    <t>Total Year</t>
  </si>
  <si>
    <t>Q2</t>
  </si>
  <si>
    <t>Q3</t>
  </si>
  <si>
    <t>Q4</t>
  </si>
  <si>
    <t xml:space="preserve">   Interest rate</t>
  </si>
  <si>
    <t>2008 Yearly Estimate</t>
  </si>
  <si>
    <t>Previous Spend</t>
  </si>
  <si>
    <t>Monthly closing Balance</t>
  </si>
  <si>
    <t>Monthly Dep Prev year</t>
  </si>
  <si>
    <t>Monthly Dep this year</t>
  </si>
  <si>
    <t>New Monthly Spend</t>
  </si>
  <si>
    <t>2008 Spend</t>
  </si>
  <si>
    <t>Total New balances to clear</t>
  </si>
  <si>
    <t>Total Historical balances to clear</t>
  </si>
  <si>
    <t>In rates in 2008</t>
  </si>
  <si>
    <t>Up to April 2007 in rates in 2008</t>
  </si>
  <si>
    <t>12.5 % Working Capital</t>
  </si>
  <si>
    <t>to 31-Dec-08</t>
  </si>
  <si>
    <t xml:space="preserve"> to 31-Dec-09</t>
  </si>
  <si>
    <t>to 31-Dec-09</t>
  </si>
  <si>
    <t>2009 Yearly Estimate</t>
  </si>
  <si>
    <t>For the Quarter</t>
  </si>
  <si>
    <t># customers</t>
  </si>
  <si>
    <t>Long Term Debt</t>
  </si>
  <si>
    <t>Deemed Debt - Short Term</t>
  </si>
  <si>
    <t>Deemed Debt - Long Term</t>
  </si>
  <si>
    <t>Debt Rate - Short Term</t>
  </si>
  <si>
    <t>Debt Rate - Long Term</t>
  </si>
  <si>
    <t>2006/2007</t>
  </si>
  <si>
    <t>CCA Class 45 (45%) As of May 07 CCA Class 50 (55%)</t>
  </si>
  <si>
    <t>CCA - Class 50 (55%) Computers (As of May 07)</t>
  </si>
  <si>
    <t>Rider</t>
  </si>
  <si>
    <t>Jan</t>
  </si>
  <si>
    <t>Feb</t>
  </si>
  <si>
    <t>May</t>
  </si>
  <si>
    <t>June</t>
  </si>
  <si>
    <t>July</t>
  </si>
  <si>
    <t xml:space="preserve">Capital Investment Year 1 </t>
  </si>
  <si>
    <t>Need to update formula</t>
  </si>
  <si>
    <t>March</t>
  </si>
  <si>
    <t>April</t>
  </si>
  <si>
    <t>2010 Yearly Estimate</t>
  </si>
  <si>
    <t xml:space="preserve"> to 31-Dec-10</t>
  </si>
  <si>
    <t>to 31-Dec-10</t>
  </si>
  <si>
    <t>August</t>
  </si>
  <si>
    <t>September</t>
  </si>
  <si>
    <t>October</t>
  </si>
  <si>
    <t>November</t>
  </si>
  <si>
    <t>December</t>
  </si>
  <si>
    <t>Current rate is until April 30, 2010</t>
  </si>
  <si>
    <t>Used for Plan and Forecast Purpose</t>
  </si>
  <si>
    <t>What variance was prior to rate adder - from cell E59</t>
  </si>
  <si>
    <t>2010 Spend</t>
  </si>
  <si>
    <t>2009 Spend</t>
  </si>
  <si>
    <r>
      <t>Deemed Debt</t>
    </r>
    <r>
      <rPr>
        <sz val="11"/>
        <rFont val="Helvetica"/>
        <family val="2"/>
      </rPr>
      <t xml:space="preserve"> </t>
    </r>
  </si>
  <si>
    <r>
      <t>Deemed Equity</t>
    </r>
    <r>
      <rPr>
        <sz val="11"/>
        <rFont val="Helvetica"/>
        <family val="2"/>
      </rPr>
      <t xml:space="preserve"> </t>
    </r>
  </si>
  <si>
    <r>
      <t>Weighted Debt Rate</t>
    </r>
    <r>
      <rPr>
        <sz val="11"/>
        <rFont val="Helvetica"/>
        <family val="2"/>
      </rPr>
      <t xml:space="preserve"> </t>
    </r>
  </si>
  <si>
    <r>
      <t>Corporate Income Tax Rate</t>
    </r>
    <r>
      <rPr>
        <sz val="11"/>
        <rFont val="Helvetica"/>
        <family val="2"/>
      </rPr>
      <t xml:space="preserve"> </t>
    </r>
  </si>
  <si>
    <r>
      <t>Capital Data:</t>
    </r>
    <r>
      <rPr>
        <i/>
        <sz val="11"/>
        <rFont val="Helvetica"/>
        <family val="2"/>
      </rPr>
      <t xml:space="preserve"> </t>
    </r>
  </si>
  <si>
    <t>Input Rates for Smart Meter Variance Accounts Calculation</t>
  </si>
  <si>
    <r>
      <t>Amortization Expenses - Smart Meters</t>
    </r>
    <r>
      <rPr>
        <i/>
        <sz val="11"/>
        <rFont val="Helvetica"/>
        <family val="2"/>
      </rPr>
      <t xml:space="preserve"> </t>
    </r>
  </si>
  <si>
    <r>
      <t>Amortization Expenses - Computer Software</t>
    </r>
    <r>
      <rPr>
        <i/>
        <sz val="11"/>
        <rFont val="Helvetica"/>
        <family val="2"/>
      </rPr>
      <t xml:space="preserve"> </t>
    </r>
  </si>
  <si>
    <t>2006 PILs Calculation</t>
  </si>
  <si>
    <t>2006 Smart Meter Revenue Requirement Calculation</t>
  </si>
  <si>
    <t>2007 Smart Meter Average Net Fixed Assets</t>
  </si>
  <si>
    <t>2006 Smart Meter Average Net Fixed Assets</t>
  </si>
  <si>
    <t>2007 PILs Calculation</t>
  </si>
  <si>
    <t>2007 Smart Meter Revenue Requirement Calculation</t>
  </si>
  <si>
    <t>2008 Smart Meter Average Net Fixed Assets</t>
  </si>
  <si>
    <t>2008 PILs Calculation</t>
  </si>
  <si>
    <t>2009 Smart Meter Average Net Fixed Assets</t>
  </si>
  <si>
    <t>2009 Smart Meter Revenue Requirement Calculation</t>
  </si>
  <si>
    <t>2009 PILs Calculation</t>
  </si>
  <si>
    <t>2010 Smart Meter Average Net Fixed Assets</t>
  </si>
  <si>
    <t>Forecast</t>
  </si>
  <si>
    <t>2010 Smart Meter Revenue Requirement Calculation</t>
  </si>
  <si>
    <t>2010 PILs Calculation</t>
  </si>
  <si>
    <t>Short Term Debt</t>
  </si>
  <si>
    <t>Short Term Debt Rate</t>
  </si>
  <si>
    <t>Long Term Debt Rete</t>
  </si>
  <si>
    <t>Smart Meter including Installation</t>
  </si>
  <si>
    <t>Tools and Equipment (Work Force Management)</t>
  </si>
  <si>
    <t>Total  Capital Costs</t>
  </si>
  <si>
    <t>2008 Smart Meter Revenue Requirement Calculation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</si>
</sst>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0.0%"/>
    <numFmt numFmtId="169" formatCode="0.000%"/>
    <numFmt numFmtId="170" formatCode="0_);\(0\)"/>
    <numFmt numFmtId="171" formatCode="0.00000000%"/>
    <numFmt numFmtId="172" formatCode="_(* #,##0.0000_);_(* \(#,##0.0000\);_(* &quot;-&quot;??_);_(@_)"/>
    <numFmt numFmtId="173" formatCode="_(* #,##0_);_(* \(#,##0\);_(* &quot;-&quot;??_);_(@_)"/>
    <numFmt numFmtId="174" formatCode="[$-409]d\-mmm\-yy;@"/>
    <numFmt numFmtId="175" formatCode="_(&quot;$&quot;* #,##0_);_(&quot;$&quot;* \(#,##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Helvetica"/>
      <family val="2"/>
    </font>
    <font>
      <sz val="11"/>
      <name val="Helvetica"/>
      <family val="2"/>
    </font>
    <font>
      <i/>
      <sz val="11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67" fontId="5" fillId="33" borderId="10" xfId="46" applyNumberFormat="1" applyFont="1" applyFill="1" applyBorder="1" applyAlignment="1" applyProtection="1">
      <alignment/>
      <protection/>
    </xf>
    <xf numFmtId="167" fontId="5" fillId="33" borderId="0" xfId="46" applyNumberFormat="1" applyFont="1" applyFill="1" applyBorder="1" applyAlignment="1" applyProtection="1">
      <alignment/>
      <protection/>
    </xf>
    <xf numFmtId="167" fontId="5" fillId="33" borderId="0" xfId="46" applyNumberFormat="1" applyFont="1" applyFill="1" applyAlignment="1" applyProtection="1">
      <alignment/>
      <protection/>
    </xf>
    <xf numFmtId="167" fontId="5" fillId="33" borderId="10" xfId="0" applyNumberFormat="1" applyFont="1" applyFill="1" applyBorder="1" applyAlignment="1" applyProtection="1">
      <alignment/>
      <protection/>
    </xf>
    <xf numFmtId="167" fontId="5" fillId="33" borderId="0" xfId="0" applyNumberFormat="1" applyFont="1" applyFill="1" applyBorder="1" applyAlignment="1" applyProtection="1">
      <alignment/>
      <protection/>
    </xf>
    <xf numFmtId="167" fontId="5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67" fontId="5" fillId="33" borderId="11" xfId="0" applyNumberFormat="1" applyFont="1" applyFill="1" applyBorder="1" applyAlignment="1" applyProtection="1">
      <alignment/>
      <protection/>
    </xf>
    <xf numFmtId="167" fontId="5" fillId="0" borderId="11" xfId="0" applyNumberFormat="1" applyFont="1" applyFill="1" applyBorder="1" applyAlignment="1" applyProtection="1">
      <alignment/>
      <protection/>
    </xf>
    <xf numFmtId="9" fontId="5" fillId="33" borderId="0" xfId="0" applyNumberFormat="1" applyFont="1" applyFill="1" applyAlignment="1" applyProtection="1">
      <alignment/>
      <protection/>
    </xf>
    <xf numFmtId="10" fontId="5" fillId="33" borderId="0" xfId="0" applyNumberFormat="1" applyFont="1" applyFill="1" applyAlignment="1" applyProtection="1">
      <alignment/>
      <protection/>
    </xf>
    <xf numFmtId="167" fontId="5" fillId="33" borderId="12" xfId="46" applyNumberFormat="1" applyFont="1" applyFill="1" applyBorder="1" applyAlignment="1" applyProtection="1">
      <alignment/>
      <protection/>
    </xf>
    <xf numFmtId="169" fontId="5" fillId="33" borderId="0" xfId="62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wrapText="1"/>
      <protection/>
    </xf>
    <xf numFmtId="10" fontId="5" fillId="33" borderId="0" xfId="0" applyNumberFormat="1" applyFont="1" applyFill="1" applyAlignment="1" applyProtection="1">
      <alignment horizontal="center"/>
      <protection/>
    </xf>
    <xf numFmtId="167" fontId="4" fillId="33" borderId="1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10" fontId="5" fillId="0" borderId="0" xfId="62" applyNumberFormat="1" applyFont="1" applyFill="1" applyAlignment="1" applyProtection="1">
      <alignment horizontal="center"/>
      <protection locked="0"/>
    </xf>
    <xf numFmtId="15" fontId="5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15" fontId="5" fillId="33" borderId="0" xfId="0" applyNumberFormat="1" applyFont="1" applyFill="1" applyAlignment="1" applyProtection="1">
      <alignment/>
      <protection hidden="1"/>
    </xf>
    <xf numFmtId="167" fontId="5" fillId="33" borderId="0" xfId="0" applyNumberFormat="1" applyFont="1" applyFill="1" applyBorder="1" applyAlignment="1" applyProtection="1">
      <alignment/>
      <protection hidden="1"/>
    </xf>
    <xf numFmtId="167" fontId="5" fillId="33" borderId="10" xfId="0" applyNumberFormat="1" applyFont="1" applyFill="1" applyBorder="1" applyAlignment="1" applyProtection="1">
      <alignment/>
      <protection hidden="1"/>
    </xf>
    <xf numFmtId="167" fontId="5" fillId="33" borderId="0" xfId="0" applyNumberFormat="1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 indent="1"/>
      <protection hidden="1"/>
    </xf>
    <xf numFmtId="166" fontId="5" fillId="33" borderId="0" xfId="0" applyNumberFormat="1" applyFont="1" applyFill="1" applyAlignment="1" applyProtection="1">
      <alignment/>
      <protection hidden="1"/>
    </xf>
    <xf numFmtId="173" fontId="5" fillId="33" borderId="0" xfId="0" applyNumberFormat="1" applyFont="1" applyFill="1" applyAlignment="1" applyProtection="1">
      <alignment/>
      <protection hidden="1"/>
    </xf>
    <xf numFmtId="167" fontId="5" fillId="33" borderId="0" xfId="46" applyNumberFormat="1" applyFont="1" applyFill="1" applyAlignment="1" applyProtection="1">
      <alignment/>
      <protection hidden="1"/>
    </xf>
    <xf numFmtId="166" fontId="5" fillId="33" borderId="10" xfId="0" applyNumberFormat="1" applyFont="1" applyFill="1" applyBorder="1" applyAlignment="1" applyProtection="1">
      <alignment/>
      <protection hidden="1"/>
    </xf>
    <xf numFmtId="168" fontId="5" fillId="33" borderId="0" xfId="62" applyNumberFormat="1" applyFont="1" applyFill="1" applyBorder="1" applyAlignment="1" applyProtection="1">
      <alignment horizontal="center"/>
      <protection hidden="1"/>
    </xf>
    <xf numFmtId="9" fontId="5" fillId="33" borderId="0" xfId="0" applyNumberFormat="1" applyFont="1" applyFill="1" applyAlignment="1" applyProtection="1">
      <alignment/>
      <protection hidden="1"/>
    </xf>
    <xf numFmtId="167" fontId="5" fillId="33" borderId="12" xfId="46" applyNumberFormat="1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167" fontId="5" fillId="33" borderId="0" xfId="46" applyNumberFormat="1" applyFont="1" applyFill="1" applyBorder="1" applyAlignment="1" applyProtection="1">
      <alignment/>
      <protection hidden="1"/>
    </xf>
    <xf numFmtId="167" fontId="5" fillId="33" borderId="10" xfId="46" applyNumberFormat="1" applyFont="1" applyFill="1" applyBorder="1" applyAlignment="1" applyProtection="1">
      <alignment/>
      <protection hidden="1"/>
    </xf>
    <xf numFmtId="167" fontId="4" fillId="33" borderId="11" xfId="0" applyNumberFormat="1" applyFont="1" applyFill="1" applyBorder="1" applyAlignment="1" applyProtection="1">
      <alignment/>
      <protection hidden="1"/>
    </xf>
    <xf numFmtId="37" fontId="5" fillId="33" borderId="0" xfId="0" applyNumberFormat="1" applyFont="1" applyFill="1" applyAlignment="1" applyProtection="1">
      <alignment/>
      <protection hidden="1"/>
    </xf>
    <xf numFmtId="39" fontId="5" fillId="33" borderId="0" xfId="0" applyNumberFormat="1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wrapText="1" indent="1"/>
      <protection hidden="1"/>
    </xf>
    <xf numFmtId="167" fontId="5" fillId="0" borderId="11" xfId="0" applyNumberFormat="1" applyFont="1" applyFill="1" applyBorder="1" applyAlignment="1" applyProtection="1">
      <alignment/>
      <protection locked="0"/>
    </xf>
    <xf numFmtId="166" fontId="5" fillId="33" borderId="0" xfId="42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7" fontId="5" fillId="0" borderId="0" xfId="46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10" fontId="5" fillId="0" borderId="0" xfId="62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 locked="0"/>
    </xf>
    <xf numFmtId="167" fontId="5" fillId="0" borderId="0" xfId="46" applyNumberFormat="1" applyFont="1" applyFill="1" applyAlignment="1" applyProtection="1">
      <alignment/>
      <protection locked="0"/>
    </xf>
    <xf numFmtId="9" fontId="5" fillId="0" borderId="0" xfId="62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166" fontId="5" fillId="0" borderId="0" xfId="42" applyFont="1" applyFill="1" applyAlignment="1" applyProtection="1">
      <alignment/>
      <protection locked="0"/>
    </xf>
    <xf numFmtId="10" fontId="5" fillId="0" borderId="0" xfId="62" applyNumberFormat="1" applyFont="1" applyFill="1" applyAlignment="1" applyProtection="1">
      <alignment/>
      <protection locked="0"/>
    </xf>
    <xf numFmtId="15" fontId="5" fillId="0" borderId="0" xfId="0" applyNumberFormat="1" applyFont="1" applyFill="1" applyAlignment="1" applyProtection="1">
      <alignment/>
      <protection locked="0"/>
    </xf>
    <xf numFmtId="15" fontId="5" fillId="0" borderId="0" xfId="0" applyNumberFormat="1" applyFont="1" applyFill="1" applyAlignment="1" applyProtection="1">
      <alignment horizontal="righ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164" fontId="5" fillId="0" borderId="0" xfId="46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7" fontId="5" fillId="0" borderId="0" xfId="0" applyNumberFormat="1" applyFont="1" applyFill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170" fontId="5" fillId="0" borderId="0" xfId="0" applyNumberFormat="1" applyFont="1" applyFill="1" applyAlignment="1" applyProtection="1">
      <alignment/>
      <protection locked="0"/>
    </xf>
    <xf numFmtId="167" fontId="5" fillId="0" borderId="0" xfId="46" applyNumberFormat="1" applyFont="1" applyFill="1" applyBorder="1" applyAlignment="1" applyProtection="1">
      <alignment/>
      <protection locked="0"/>
    </xf>
    <xf numFmtId="164" fontId="5" fillId="0" borderId="11" xfId="46" applyNumberFormat="1" applyFont="1" applyFill="1" applyBorder="1" applyAlignment="1" applyProtection="1">
      <alignment/>
      <protection locked="0"/>
    </xf>
    <xf numFmtId="167" fontId="5" fillId="0" borderId="11" xfId="46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173" fontId="5" fillId="0" borderId="0" xfId="42" applyNumberFormat="1" applyFont="1" applyFill="1" applyAlignment="1" applyProtection="1">
      <alignment horizontal="center"/>
      <protection locked="0"/>
    </xf>
    <xf numFmtId="167" fontId="5" fillId="0" borderId="0" xfId="0" applyNumberFormat="1" applyFont="1" applyFill="1" applyBorder="1" applyAlignment="1" applyProtection="1">
      <alignment/>
      <protection locked="0"/>
    </xf>
    <xf numFmtId="167" fontId="5" fillId="0" borderId="10" xfId="0" applyNumberFormat="1" applyFont="1" applyFill="1" applyBorder="1" applyAlignment="1" applyProtection="1">
      <alignment/>
      <protection locked="0"/>
    </xf>
    <xf numFmtId="168" fontId="5" fillId="0" borderId="0" xfId="62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Alignment="1" applyProtection="1">
      <alignment/>
      <protection locked="0"/>
    </xf>
    <xf numFmtId="10" fontId="5" fillId="0" borderId="0" xfId="62" applyNumberFormat="1" applyFont="1" applyFill="1" applyBorder="1" applyAlignment="1" applyProtection="1">
      <alignment horizontal="center"/>
      <protection locked="0"/>
    </xf>
    <xf numFmtId="167" fontId="5" fillId="0" borderId="12" xfId="46" applyNumberFormat="1" applyFont="1" applyFill="1" applyBorder="1" applyAlignment="1" applyProtection="1">
      <alignment/>
      <protection locked="0"/>
    </xf>
    <xf numFmtId="167" fontId="5" fillId="0" borderId="10" xfId="46" applyNumberFormat="1" applyFont="1" applyFill="1" applyBorder="1" applyAlignment="1" applyProtection="1">
      <alignment/>
      <protection locked="0"/>
    </xf>
    <xf numFmtId="167" fontId="4" fillId="0" borderId="11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5" fontId="5" fillId="0" borderId="0" xfId="0" applyNumberFormat="1" applyFont="1" applyFill="1" applyAlignment="1" applyProtection="1">
      <alignment/>
      <protection/>
    </xf>
    <xf numFmtId="168" fontId="5" fillId="0" borderId="0" xfId="62" applyNumberFormat="1" applyFont="1" applyFill="1" applyAlignment="1" applyProtection="1">
      <alignment/>
      <protection/>
    </xf>
    <xf numFmtId="167" fontId="5" fillId="0" borderId="10" xfId="46" applyNumberFormat="1" applyFont="1" applyFill="1" applyBorder="1" applyAlignment="1" applyProtection="1">
      <alignment/>
      <protection/>
    </xf>
    <xf numFmtId="167" fontId="5" fillId="0" borderId="0" xfId="46" applyNumberFormat="1" applyFont="1" applyFill="1" applyBorder="1" applyAlignment="1" applyProtection="1">
      <alignment/>
      <protection/>
    </xf>
    <xf numFmtId="167" fontId="5" fillId="0" borderId="0" xfId="46" applyNumberFormat="1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hidden="1"/>
    </xf>
    <xf numFmtId="166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15" fontId="5" fillId="0" borderId="0" xfId="0" applyNumberFormat="1" applyFont="1" applyFill="1" applyAlignment="1" applyProtection="1">
      <alignment/>
      <protection hidden="1"/>
    </xf>
    <xf numFmtId="167" fontId="5" fillId="0" borderId="0" xfId="0" applyNumberFormat="1" applyFont="1" applyFill="1" applyBorder="1" applyAlignment="1" applyProtection="1">
      <alignment/>
      <protection hidden="1"/>
    </xf>
    <xf numFmtId="166" fontId="5" fillId="0" borderId="0" xfId="42" applyFont="1" applyFill="1" applyAlignment="1" applyProtection="1">
      <alignment/>
      <protection hidden="1"/>
    </xf>
    <xf numFmtId="167" fontId="5" fillId="0" borderId="10" xfId="0" applyNumberFormat="1" applyFont="1" applyFill="1" applyBorder="1" applyAlignment="1" applyProtection="1">
      <alignment/>
      <protection hidden="1"/>
    </xf>
    <xf numFmtId="166" fontId="5" fillId="0" borderId="10" xfId="42" applyFont="1" applyFill="1" applyBorder="1" applyAlignment="1" applyProtection="1">
      <alignment/>
      <protection hidden="1"/>
    </xf>
    <xf numFmtId="167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168" fontId="5" fillId="0" borderId="0" xfId="62" applyNumberFormat="1" applyFont="1" applyFill="1" applyBorder="1" applyAlignment="1" applyProtection="1">
      <alignment horizontal="center"/>
      <protection hidden="1"/>
    </xf>
    <xf numFmtId="9" fontId="5" fillId="0" borderId="0" xfId="0" applyNumberFormat="1" applyFont="1" applyFill="1" applyAlignment="1" applyProtection="1">
      <alignment/>
      <protection hidden="1"/>
    </xf>
    <xf numFmtId="10" fontId="5" fillId="0" borderId="0" xfId="62" applyNumberFormat="1" applyFont="1" applyFill="1" applyBorder="1" applyAlignment="1" applyProtection="1">
      <alignment horizontal="center"/>
      <protection hidden="1"/>
    </xf>
    <xf numFmtId="167" fontId="5" fillId="0" borderId="12" xfId="46" applyNumberFormat="1" applyFont="1" applyFill="1" applyBorder="1" applyAlignment="1" applyProtection="1">
      <alignment/>
      <protection hidden="1"/>
    </xf>
    <xf numFmtId="166" fontId="5" fillId="0" borderId="12" xfId="42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7" fontId="5" fillId="0" borderId="0" xfId="46" applyNumberFormat="1" applyFont="1" applyFill="1" applyBorder="1" applyAlignment="1" applyProtection="1">
      <alignment/>
      <protection hidden="1"/>
    </xf>
    <xf numFmtId="166" fontId="5" fillId="0" borderId="0" xfId="42" applyFont="1" applyFill="1" applyBorder="1" applyAlignment="1" applyProtection="1">
      <alignment/>
      <protection hidden="1"/>
    </xf>
    <xf numFmtId="167" fontId="5" fillId="0" borderId="10" xfId="46" applyNumberFormat="1" applyFont="1" applyFill="1" applyBorder="1" applyAlignment="1" applyProtection="1">
      <alignment/>
      <protection hidden="1"/>
    </xf>
    <xf numFmtId="172" fontId="5" fillId="0" borderId="0" xfId="0" applyNumberFormat="1" applyFont="1" applyFill="1" applyAlignment="1" applyProtection="1">
      <alignment/>
      <protection hidden="1"/>
    </xf>
    <xf numFmtId="166" fontId="6" fillId="0" borderId="0" xfId="42" applyFont="1" applyFill="1" applyAlignment="1" applyProtection="1">
      <alignment/>
      <protection hidden="1"/>
    </xf>
    <xf numFmtId="167" fontId="4" fillId="0" borderId="11" xfId="0" applyNumberFormat="1" applyFont="1" applyFill="1" applyBorder="1" applyAlignment="1" applyProtection="1">
      <alignment/>
      <protection hidden="1"/>
    </xf>
    <xf numFmtId="166" fontId="4" fillId="0" borderId="11" xfId="42" applyFont="1" applyFill="1" applyBorder="1" applyAlignment="1" applyProtection="1">
      <alignment/>
      <protection hidden="1"/>
    </xf>
    <xf numFmtId="167" fontId="4" fillId="0" borderId="0" xfId="0" applyNumberFormat="1" applyFont="1" applyFill="1" applyBorder="1" applyAlignment="1" applyProtection="1">
      <alignment/>
      <protection hidden="1"/>
    </xf>
    <xf numFmtId="44" fontId="5" fillId="0" borderId="0" xfId="0" applyNumberFormat="1" applyFont="1" applyFill="1" applyBorder="1" applyAlignment="1" applyProtection="1">
      <alignment/>
      <protection hidden="1"/>
    </xf>
    <xf numFmtId="10" fontId="5" fillId="0" borderId="0" xfId="62" applyNumberFormat="1" applyFont="1" applyFill="1" applyBorder="1" applyAlignment="1" applyProtection="1">
      <alignment/>
      <protection hidden="1"/>
    </xf>
    <xf numFmtId="37" fontId="5" fillId="0" borderId="0" xfId="0" applyNumberFormat="1" applyFont="1" applyFill="1" applyAlignment="1" applyProtection="1">
      <alignment/>
      <protection hidden="1"/>
    </xf>
    <xf numFmtId="165" fontId="5" fillId="0" borderId="0" xfId="0" applyNumberFormat="1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/>
      <protection hidden="1"/>
    </xf>
    <xf numFmtId="168" fontId="5" fillId="0" borderId="0" xfId="62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vertical="top"/>
      <protection locked="0"/>
    </xf>
    <xf numFmtId="39" fontId="5" fillId="0" borderId="0" xfId="0" applyNumberFormat="1" applyFont="1" applyFill="1" applyAlignment="1">
      <alignment/>
    </xf>
    <xf numFmtId="39" fontId="5" fillId="0" borderId="0" xfId="0" applyNumberFormat="1" applyFont="1" applyAlignment="1">
      <alignment/>
    </xf>
    <xf numFmtId="175" fontId="5" fillId="0" borderId="0" xfId="46" applyNumberFormat="1" applyFont="1" applyFill="1" applyBorder="1" applyAlignment="1" applyProtection="1">
      <alignment/>
      <protection hidden="1"/>
    </xf>
    <xf numFmtId="175" fontId="5" fillId="0" borderId="10" xfId="46" applyNumberFormat="1" applyFont="1" applyFill="1" applyBorder="1" applyAlignment="1" applyProtection="1">
      <alignment/>
      <protection hidden="1"/>
    </xf>
    <xf numFmtId="175" fontId="5" fillId="0" borderId="0" xfId="46" applyNumberFormat="1" applyFont="1" applyFill="1" applyAlignment="1" applyProtection="1">
      <alignment/>
      <protection hidden="1"/>
    </xf>
    <xf numFmtId="175" fontId="5" fillId="0" borderId="12" xfId="46" applyNumberFormat="1" applyFont="1" applyFill="1" applyBorder="1" applyAlignment="1" applyProtection="1">
      <alignment/>
      <protection hidden="1"/>
    </xf>
    <xf numFmtId="175" fontId="4" fillId="0" borderId="11" xfId="46" applyNumberFormat="1" applyFont="1" applyFill="1" applyBorder="1" applyAlignment="1" applyProtection="1">
      <alignment/>
      <protection hidden="1"/>
    </xf>
    <xf numFmtId="175" fontId="4" fillId="0" borderId="0" xfId="46" applyNumberFormat="1" applyFont="1" applyFill="1" applyBorder="1" applyAlignment="1" applyProtection="1">
      <alignment/>
      <protection hidden="1"/>
    </xf>
    <xf numFmtId="10" fontId="5" fillId="0" borderId="0" xfId="0" applyNumberFormat="1" applyFont="1" applyFill="1" applyAlignment="1" applyProtection="1">
      <alignment/>
      <protection/>
    </xf>
    <xf numFmtId="167" fontId="5" fillId="0" borderId="12" xfId="46" applyNumberFormat="1" applyFont="1" applyFill="1" applyBorder="1" applyAlignment="1" applyProtection="1">
      <alignment/>
      <protection/>
    </xf>
    <xf numFmtId="169" fontId="5" fillId="0" borderId="0" xfId="62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171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10" fontId="5" fillId="0" borderId="0" xfId="0" applyNumberFormat="1" applyFont="1" applyFill="1" applyAlignment="1" applyProtection="1">
      <alignment horizontal="center"/>
      <protection/>
    </xf>
    <xf numFmtId="167" fontId="4" fillId="0" borderId="1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hidden="1"/>
    </xf>
    <xf numFmtId="173" fontId="5" fillId="0" borderId="0" xfId="0" applyNumberFormat="1" applyFont="1" applyFill="1" applyAlignment="1" applyProtection="1">
      <alignment/>
      <protection locked="0"/>
    </xf>
    <xf numFmtId="173" fontId="5" fillId="0" borderId="0" xfId="0" applyNumberFormat="1" applyFont="1" applyFill="1" applyAlignment="1" applyProtection="1">
      <alignment wrapText="1"/>
      <protection locked="0"/>
    </xf>
    <xf numFmtId="173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 wrapText="1"/>
      <protection locked="0"/>
    </xf>
    <xf numFmtId="37" fontId="5" fillId="0" borderId="10" xfId="0" applyNumberFormat="1" applyFont="1" applyFill="1" applyBorder="1" applyAlignment="1" applyProtection="1">
      <alignment/>
      <protection hidden="1"/>
    </xf>
    <xf numFmtId="166" fontId="5" fillId="0" borderId="10" xfId="0" applyNumberFormat="1" applyFont="1" applyFill="1" applyBorder="1" applyAlignment="1" applyProtection="1">
      <alignment/>
      <protection hidden="1"/>
    </xf>
    <xf numFmtId="37" fontId="5" fillId="0" borderId="13" xfId="0" applyNumberFormat="1" applyFont="1" applyFill="1" applyBorder="1" applyAlignment="1" applyProtection="1">
      <alignment/>
      <protection hidden="1"/>
    </xf>
    <xf numFmtId="166" fontId="5" fillId="0" borderId="13" xfId="0" applyNumberFormat="1" applyFont="1" applyFill="1" applyBorder="1" applyAlignment="1" applyProtection="1">
      <alignment/>
      <protection hidden="1"/>
    </xf>
    <xf numFmtId="175" fontId="5" fillId="0" borderId="13" xfId="46" applyNumberFormat="1" applyFont="1" applyFill="1" applyBorder="1" applyAlignment="1" applyProtection="1">
      <alignment/>
      <protection hidden="1"/>
    </xf>
    <xf numFmtId="166" fontId="4" fillId="0" borderId="0" xfId="0" applyNumberFormat="1" applyFont="1" applyFill="1" applyAlignment="1" applyProtection="1">
      <alignment/>
      <protection hidden="1"/>
    </xf>
    <xf numFmtId="166" fontId="5" fillId="0" borderId="0" xfId="0" applyNumberFormat="1" applyFont="1" applyFill="1" applyAlignment="1" applyProtection="1">
      <alignment horizontal="right"/>
      <protection hidden="1"/>
    </xf>
    <xf numFmtId="168" fontId="5" fillId="0" borderId="0" xfId="62" applyNumberFormat="1" applyFont="1" applyFill="1" applyBorder="1" applyAlignment="1" applyProtection="1">
      <alignment/>
      <protection hidden="1"/>
    </xf>
    <xf numFmtId="173" fontId="5" fillId="0" borderId="0" xfId="42" applyNumberFormat="1" applyFont="1" applyFill="1" applyBorder="1" applyAlignment="1" applyProtection="1">
      <alignment/>
      <protection hidden="1"/>
    </xf>
    <xf numFmtId="164" fontId="6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5" fontId="4" fillId="33" borderId="15" xfId="0" applyNumberFormat="1" applyFont="1" applyFill="1" applyBorder="1" applyAlignment="1" applyProtection="1">
      <alignment horizontal="center"/>
      <protection hidden="1"/>
    </xf>
    <xf numFmtId="15" fontId="4" fillId="33" borderId="16" xfId="0" applyNumberFormat="1" applyFont="1" applyFill="1" applyBorder="1" applyAlignment="1" applyProtection="1">
      <alignment horizontal="center"/>
      <protection hidden="1"/>
    </xf>
    <xf numFmtId="15" fontId="4" fillId="0" borderId="15" xfId="0" applyNumberFormat="1" applyFont="1" applyFill="1" applyBorder="1" applyAlignment="1" applyProtection="1">
      <alignment horizontal="center" wrapText="1"/>
      <protection hidden="1"/>
    </xf>
    <xf numFmtId="15" fontId="4" fillId="0" borderId="16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/>
      <protection locked="0"/>
    </xf>
    <xf numFmtId="15" fontId="4" fillId="0" borderId="15" xfId="0" applyNumberFormat="1" applyFont="1" applyFill="1" applyBorder="1" applyAlignment="1" applyProtection="1">
      <alignment horizontal="center"/>
      <protection hidden="1"/>
    </xf>
    <xf numFmtId="15" fontId="4" fillId="0" borderId="16" xfId="0" applyNumberFormat="1" applyFont="1" applyFill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Date" xfId="48"/>
    <cellStyle name="Date 2" xfId="49"/>
    <cellStyle name="Date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0" customHeight="1" zeroHeight="1"/>
  <cols>
    <col min="1" max="1" width="49.140625" style="48" customWidth="1"/>
    <col min="2" max="2" width="14.00390625" style="48" bestFit="1" customWidth="1"/>
    <col min="3" max="4" width="17.7109375" style="48" bestFit="1" customWidth="1"/>
    <col min="5" max="5" width="13.00390625" style="48" bestFit="1" customWidth="1"/>
    <col min="6" max="6" width="15.421875" style="48" bestFit="1" customWidth="1"/>
    <col min="7" max="7" width="14.421875" style="48" bestFit="1" customWidth="1"/>
    <col min="8" max="8" width="14.8515625" style="48" bestFit="1" customWidth="1"/>
    <col min="9" max="9" width="15.421875" style="48" bestFit="1" customWidth="1"/>
    <col min="10" max="10" width="14.8515625" style="48" bestFit="1" customWidth="1"/>
    <col min="11" max="11" width="15.421875" style="48" bestFit="1" customWidth="1"/>
    <col min="12" max="12" width="14.8515625" style="48" bestFit="1" customWidth="1"/>
    <col min="13" max="14" width="15.421875" style="48" bestFit="1" customWidth="1"/>
    <col min="15" max="16384" width="9.140625" style="48" customWidth="1"/>
  </cols>
  <sheetData>
    <row r="1" spans="1:11" ht="20.25" customHeight="1">
      <c r="A1" s="47" t="s">
        <v>185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0" ht="18.75" customHeight="1">
      <c r="A2" s="167"/>
      <c r="B2" s="167"/>
      <c r="C2" s="167"/>
      <c r="D2" s="167"/>
      <c r="E2" s="167"/>
      <c r="F2" s="167"/>
      <c r="G2" s="167"/>
      <c r="H2" s="167"/>
      <c r="I2" s="51"/>
      <c r="J2" s="51"/>
    </row>
    <row r="3" spans="1:10" ht="18.75" customHeight="1">
      <c r="A3" s="52"/>
      <c r="B3" s="52"/>
      <c r="C3" s="53"/>
      <c r="D3" s="52"/>
      <c r="E3" s="52"/>
      <c r="F3" s="52"/>
      <c r="G3" s="52"/>
      <c r="H3" s="52"/>
      <c r="I3" s="51"/>
      <c r="J3" s="51"/>
    </row>
    <row r="4" spans="1:14" ht="15">
      <c r="A4" s="74"/>
      <c r="B4" s="79" t="s">
        <v>154</v>
      </c>
      <c r="C4" s="79">
        <v>2008</v>
      </c>
      <c r="D4" s="79">
        <v>2009</v>
      </c>
      <c r="E4" s="79">
        <v>2010</v>
      </c>
      <c r="F4" s="54"/>
      <c r="G4" s="54"/>
      <c r="K4" s="55"/>
      <c r="L4" s="55"/>
      <c r="M4" s="55"/>
      <c r="N4" s="55"/>
    </row>
    <row r="5" spans="1:13" ht="15">
      <c r="A5" s="75" t="s">
        <v>180</v>
      </c>
      <c r="B5" s="56">
        <v>0.6</v>
      </c>
      <c r="C5" s="56"/>
      <c r="D5" s="57"/>
      <c r="E5" s="57"/>
      <c r="F5" s="57"/>
      <c r="G5" s="57"/>
      <c r="J5" s="55"/>
      <c r="K5" s="55"/>
      <c r="L5" s="55"/>
      <c r="M5" s="55"/>
    </row>
    <row r="6" spans="1:13" ht="15">
      <c r="A6" s="75" t="s">
        <v>203</v>
      </c>
      <c r="B6" s="56"/>
      <c r="C6" s="56">
        <v>0.04</v>
      </c>
      <c r="D6" s="56">
        <v>0.04</v>
      </c>
      <c r="E6" s="57"/>
      <c r="F6" s="57"/>
      <c r="G6" s="57"/>
      <c r="J6" s="55"/>
      <c r="K6" s="55"/>
      <c r="L6" s="55"/>
      <c r="M6" s="55"/>
    </row>
    <row r="7" spans="1:13" ht="15">
      <c r="A7" s="75" t="s">
        <v>149</v>
      </c>
      <c r="B7" s="56"/>
      <c r="C7" s="56">
        <v>0.56</v>
      </c>
      <c r="D7" s="56">
        <v>0.56</v>
      </c>
      <c r="E7" s="57"/>
      <c r="F7" s="57"/>
      <c r="G7" s="57"/>
      <c r="J7" s="55"/>
      <c r="K7" s="55"/>
      <c r="L7" s="55"/>
      <c r="M7" s="55"/>
    </row>
    <row r="8" spans="1:13" ht="15">
      <c r="A8" s="75" t="s">
        <v>181</v>
      </c>
      <c r="B8" s="56">
        <f>1-B5</f>
        <v>0.4</v>
      </c>
      <c r="C8" s="56">
        <f>1-C6-C7</f>
        <v>0.3999999999999999</v>
      </c>
      <c r="D8" s="56">
        <f>1-D6-D7</f>
        <v>0.3999999999999999</v>
      </c>
      <c r="E8" s="57"/>
      <c r="F8" s="57"/>
      <c r="G8" s="57"/>
      <c r="J8" s="55"/>
      <c r="K8" s="55"/>
      <c r="L8" s="55"/>
      <c r="M8" s="55"/>
    </row>
    <row r="9" spans="1:13" ht="15">
      <c r="A9" s="75" t="s">
        <v>182</v>
      </c>
      <c r="B9" s="22">
        <v>0.0525</v>
      </c>
      <c r="C9" s="22">
        <f>C6/60*100*C10+C7/60*100*C11</f>
        <v>0.05207333333333334</v>
      </c>
      <c r="D9" s="22">
        <f>D6/60*100*D10+D7/60*100*D11</f>
        <v>0.05207333333333334</v>
      </c>
      <c r="E9" s="57"/>
      <c r="F9" s="57"/>
      <c r="G9" s="57"/>
      <c r="J9" s="55"/>
      <c r="K9" s="55"/>
      <c r="L9" s="55"/>
      <c r="M9" s="55"/>
    </row>
    <row r="10" spans="1:13" ht="15">
      <c r="A10" s="75" t="s">
        <v>204</v>
      </c>
      <c r="B10" s="22"/>
      <c r="C10" s="22">
        <v>0.0447</v>
      </c>
      <c r="D10" s="22">
        <v>0.0447</v>
      </c>
      <c r="E10" s="57"/>
      <c r="F10" s="57"/>
      <c r="G10" s="57"/>
      <c r="J10" s="55"/>
      <c r="K10" s="55"/>
      <c r="L10" s="55"/>
      <c r="M10" s="55"/>
    </row>
    <row r="11" spans="1:13" ht="15">
      <c r="A11" s="75" t="s">
        <v>205</v>
      </c>
      <c r="B11" s="22"/>
      <c r="C11" s="22">
        <v>0.0526</v>
      </c>
      <c r="D11" s="22">
        <v>0.0526</v>
      </c>
      <c r="E11" s="57"/>
      <c r="F11" s="57"/>
      <c r="G11" s="57"/>
      <c r="J11" s="55"/>
      <c r="K11" s="55"/>
      <c r="L11" s="55"/>
      <c r="M11" s="55"/>
    </row>
    <row r="12" spans="1:7" ht="13.5" customHeight="1">
      <c r="A12" s="75" t="s">
        <v>71</v>
      </c>
      <c r="B12" s="22">
        <v>0.09</v>
      </c>
      <c r="C12" s="22">
        <v>0.0857</v>
      </c>
      <c r="D12" s="22">
        <v>0.0857</v>
      </c>
      <c r="E12" s="57"/>
      <c r="F12" s="57"/>
      <c r="G12" s="57"/>
    </row>
    <row r="13" spans="1:7" ht="18" customHeight="1">
      <c r="A13" s="75" t="s">
        <v>0</v>
      </c>
      <c r="B13" s="22">
        <f>(B9*B5)+(B8*B12)</f>
        <v>0.0675</v>
      </c>
      <c r="C13" s="22"/>
      <c r="D13" s="22">
        <v>0.0655</v>
      </c>
      <c r="G13" s="58"/>
    </row>
    <row r="14" spans="1:7" ht="18" customHeight="1">
      <c r="A14" s="75"/>
      <c r="B14" s="22"/>
      <c r="C14" s="22"/>
      <c r="D14" s="22"/>
      <c r="G14" s="58"/>
    </row>
    <row r="15" spans="1:7" ht="15">
      <c r="A15" s="75" t="s">
        <v>183</v>
      </c>
      <c r="B15" s="59">
        <v>0.3612</v>
      </c>
      <c r="C15" s="59">
        <v>0.335</v>
      </c>
      <c r="D15" s="59">
        <v>0.33</v>
      </c>
      <c r="E15" s="59">
        <v>0.3099</v>
      </c>
      <c r="F15" s="59"/>
      <c r="G15" s="59"/>
    </row>
    <row r="16" ht="14.25">
      <c r="A16" s="76"/>
    </row>
    <row r="17" spans="1:14" ht="14.25">
      <c r="A17" s="77"/>
      <c r="C17" s="60">
        <v>39083</v>
      </c>
      <c r="D17" s="54" t="s">
        <v>96</v>
      </c>
      <c r="E17" s="61" t="s">
        <v>120</v>
      </c>
      <c r="F17" s="60">
        <v>39203</v>
      </c>
      <c r="G17" s="60">
        <v>39083</v>
      </c>
      <c r="H17" s="54" t="s">
        <v>1</v>
      </c>
      <c r="I17" s="60">
        <v>39448</v>
      </c>
      <c r="J17" s="54" t="s">
        <v>1</v>
      </c>
      <c r="K17" s="60">
        <v>39814</v>
      </c>
      <c r="L17" s="54" t="s">
        <v>1</v>
      </c>
      <c r="M17" s="60">
        <v>40179</v>
      </c>
      <c r="N17" s="54" t="s">
        <v>1</v>
      </c>
    </row>
    <row r="18" spans="1:14" ht="15">
      <c r="A18" s="74" t="s">
        <v>184</v>
      </c>
      <c r="B18" s="60">
        <v>39082</v>
      </c>
      <c r="C18" s="61" t="s">
        <v>100</v>
      </c>
      <c r="D18" s="61">
        <v>39202</v>
      </c>
      <c r="E18" s="62" t="s">
        <v>121</v>
      </c>
      <c r="F18" s="62" t="s">
        <v>101</v>
      </c>
      <c r="G18" s="61" t="s">
        <v>102</v>
      </c>
      <c r="H18" s="61" t="s">
        <v>102</v>
      </c>
      <c r="I18" s="62" t="s">
        <v>125</v>
      </c>
      <c r="J18" s="62" t="s">
        <v>143</v>
      </c>
      <c r="K18" s="62" t="s">
        <v>144</v>
      </c>
      <c r="L18" s="62" t="s">
        <v>145</v>
      </c>
      <c r="M18" s="62" t="s">
        <v>168</v>
      </c>
      <c r="N18" s="62" t="s">
        <v>169</v>
      </c>
    </row>
    <row r="19" spans="1:14" ht="14.25">
      <c r="A19" s="78" t="s">
        <v>206</v>
      </c>
      <c r="B19" s="64">
        <f>12640264+54357</f>
        <v>12694621</v>
      </c>
      <c r="C19" s="64">
        <f>1984408+31032+1824</f>
        <v>2017264</v>
      </c>
      <c r="D19" s="64">
        <f>+B19+C19</f>
        <v>14711885</v>
      </c>
      <c r="E19" s="64">
        <f>-67723.03-8626.26-850169.37</f>
        <v>-926518.66</v>
      </c>
      <c r="F19" s="64">
        <f>12110041.19+2896862-C19+E19</f>
        <v>12063120.53</v>
      </c>
      <c r="G19" s="64">
        <f>+C19+F19</f>
        <v>14080384.53</v>
      </c>
      <c r="H19" s="65">
        <f>+G19+B19</f>
        <v>26775005.53</v>
      </c>
      <c r="I19" s="55">
        <f>SUM('Avg Assets 08'!L7:W7)</f>
        <v>13720884.169999998</v>
      </c>
      <c r="J19" s="66">
        <f>+H19+I19</f>
        <v>40495889.7</v>
      </c>
      <c r="K19" s="55">
        <f>SUM('Avg Assets 09'!M7:X7)</f>
        <v>6992380.1000000015</v>
      </c>
      <c r="L19" s="66">
        <f>+J19+K19</f>
        <v>47488269.800000004</v>
      </c>
      <c r="M19" s="55">
        <f>SUM('Avg Assets 10'!N7:Y7)</f>
        <v>2719897.04</v>
      </c>
      <c r="N19" s="66">
        <f>+L19+M19</f>
        <v>50208166.84</v>
      </c>
    </row>
    <row r="20" spans="1:14" ht="14.25">
      <c r="A20" s="78" t="s">
        <v>207</v>
      </c>
      <c r="B20" s="64">
        <v>838597</v>
      </c>
      <c r="C20" s="64">
        <v>9112</v>
      </c>
      <c r="D20" s="64">
        <f>+B20+C20</f>
        <v>847709</v>
      </c>
      <c r="E20" s="64"/>
      <c r="F20" s="64"/>
      <c r="G20" s="64">
        <f>+C20+F20</f>
        <v>9112</v>
      </c>
      <c r="H20" s="65">
        <f>+G20+B20</f>
        <v>847709</v>
      </c>
      <c r="I20" s="55">
        <f>SUM('Avg Assets 08'!L23:W23)</f>
        <v>0</v>
      </c>
      <c r="J20" s="66">
        <f>SUM(I20:I20)</f>
        <v>0</v>
      </c>
      <c r="K20" s="55">
        <f>SUM('Avg Assets 09'!M23:X23)</f>
        <v>0</v>
      </c>
      <c r="L20" s="66">
        <f>SUM(K20:K20)</f>
        <v>0</v>
      </c>
      <c r="M20" s="55">
        <f>SUM('Avg Assets 10'!N23:Y23)</f>
        <v>0</v>
      </c>
      <c r="N20" s="66">
        <f>SUM(M20:M20)</f>
        <v>0</v>
      </c>
    </row>
    <row r="21" spans="1:14" ht="14.25">
      <c r="A21" s="78" t="s">
        <v>44</v>
      </c>
      <c r="B21" s="64">
        <v>0</v>
      </c>
      <c r="C21" s="64">
        <v>53131</v>
      </c>
      <c r="D21" s="64">
        <f>+B21+C21</f>
        <v>53131</v>
      </c>
      <c r="E21" s="64"/>
      <c r="F21" s="64"/>
      <c r="G21" s="64">
        <f>+C21+F21</f>
        <v>53131</v>
      </c>
      <c r="H21" s="65">
        <f>+G21+B21</f>
        <v>53131</v>
      </c>
      <c r="I21" s="55">
        <f>SUM('Avg Assets 08'!L39:W39)</f>
        <v>5137.710000000001</v>
      </c>
      <c r="J21" s="66">
        <f>SUM(I21:I21)</f>
        <v>5137.710000000001</v>
      </c>
      <c r="K21" s="55">
        <f>SUM('Avg Assets 09'!M39:X39)</f>
        <v>0</v>
      </c>
      <c r="L21" s="66">
        <f>SUM(K21:K21)</f>
        <v>0</v>
      </c>
      <c r="M21" s="55">
        <f>SUM('Avg Assets 10'!N39:Y39)</f>
        <v>0</v>
      </c>
      <c r="N21" s="66">
        <f>SUM(M21:M21)</f>
        <v>0</v>
      </c>
    </row>
    <row r="22" spans="1:14" ht="14.25">
      <c r="A22" s="78" t="s">
        <v>5</v>
      </c>
      <c r="B22" s="64">
        <v>0</v>
      </c>
      <c r="C22" s="64">
        <f>27185+84559</f>
        <v>111744</v>
      </c>
      <c r="D22" s="64">
        <f>+B22+C22</f>
        <v>111744</v>
      </c>
      <c r="E22" s="64"/>
      <c r="F22" s="64"/>
      <c r="G22" s="64">
        <f>+C22+F22</f>
        <v>111744</v>
      </c>
      <c r="H22" s="65">
        <f>+G22+B22</f>
        <v>111744</v>
      </c>
      <c r="I22" s="55">
        <f>SUM('Avg Assets 08'!L55:W55)</f>
        <v>849219.9799999999</v>
      </c>
      <c r="J22" s="66">
        <f>SUM(I22:I22)</f>
        <v>849219.9799999999</v>
      </c>
      <c r="K22" s="55">
        <f>SUM('Avg Assets 09'!M55:X55)</f>
        <v>113461.86</v>
      </c>
      <c r="L22" s="66">
        <f>SUM(K22:K22)</f>
        <v>113461.86</v>
      </c>
      <c r="M22" s="55">
        <f>SUM('Avg Assets 10'!N55:Y55)</f>
        <v>2155614.97</v>
      </c>
      <c r="N22" s="66">
        <f>SUM(M22:M22)</f>
        <v>2155614.97</v>
      </c>
    </row>
    <row r="23" spans="1:14" ht="15" thickBot="1">
      <c r="A23" s="77" t="s">
        <v>208</v>
      </c>
      <c r="B23" s="67">
        <f>SUM(B19:B22)</f>
        <v>13533218</v>
      </c>
      <c r="C23" s="67">
        <f aca="true" t="shared" si="0" ref="C23:H23">SUM(C19:C22)</f>
        <v>2191251</v>
      </c>
      <c r="D23" s="67">
        <f t="shared" si="0"/>
        <v>15724469</v>
      </c>
      <c r="E23" s="67"/>
      <c r="F23" s="67">
        <f t="shared" si="0"/>
        <v>12063120.53</v>
      </c>
      <c r="G23" s="67">
        <f t="shared" si="0"/>
        <v>14254371.53</v>
      </c>
      <c r="H23" s="67">
        <f t="shared" si="0"/>
        <v>27787589.53</v>
      </c>
      <c r="I23" s="45">
        <f aca="true" t="shared" si="1" ref="I23:N23">SUM(I19:I22)</f>
        <v>14575241.86</v>
      </c>
      <c r="J23" s="45">
        <f t="shared" si="1"/>
        <v>41350247.39</v>
      </c>
      <c r="K23" s="45">
        <f t="shared" si="1"/>
        <v>7105841.960000002</v>
      </c>
      <c r="L23" s="45">
        <f t="shared" si="1"/>
        <v>47601731.660000004</v>
      </c>
      <c r="M23" s="45">
        <f t="shared" si="1"/>
        <v>4875512.01</v>
      </c>
      <c r="N23" s="45">
        <f t="shared" si="1"/>
        <v>52363781.81</v>
      </c>
    </row>
    <row r="24" spans="1:10" ht="14.25">
      <c r="A24" s="77"/>
      <c r="B24" s="166"/>
      <c r="C24" s="166"/>
      <c r="D24" s="166"/>
      <c r="E24" s="166"/>
      <c r="F24" s="166"/>
      <c r="G24" s="166"/>
      <c r="H24" s="65"/>
      <c r="I24" s="68"/>
      <c r="J24" s="68"/>
    </row>
    <row r="25" spans="1:10" ht="15">
      <c r="A25" s="74" t="s">
        <v>2</v>
      </c>
      <c r="B25" s="65"/>
      <c r="C25" s="65"/>
      <c r="D25" s="65"/>
      <c r="E25" s="65"/>
      <c r="F25" s="65"/>
      <c r="G25" s="65"/>
      <c r="H25" s="65"/>
      <c r="I25" s="68"/>
      <c r="J25" s="68"/>
    </row>
    <row r="26" spans="1:10" ht="14.25">
      <c r="A26" s="78" t="s">
        <v>43</v>
      </c>
      <c r="B26" s="80">
        <v>15</v>
      </c>
      <c r="C26" s="65" t="s">
        <v>3</v>
      </c>
      <c r="D26" s="69"/>
      <c r="E26" s="69"/>
      <c r="F26" s="69"/>
      <c r="G26" s="65"/>
      <c r="H26" s="69"/>
      <c r="I26" s="68"/>
      <c r="J26" s="68"/>
    </row>
    <row r="27" spans="1:10" ht="14.25">
      <c r="A27" s="78" t="s">
        <v>207</v>
      </c>
      <c r="B27" s="80">
        <v>10</v>
      </c>
      <c r="C27" s="65" t="s">
        <v>3</v>
      </c>
      <c r="D27" s="69"/>
      <c r="E27" s="69"/>
      <c r="F27" s="69"/>
      <c r="G27" s="65"/>
      <c r="H27" s="69"/>
      <c r="I27" s="68"/>
      <c r="J27" s="68"/>
    </row>
    <row r="28" spans="1:10" ht="14.25">
      <c r="A28" s="78" t="s">
        <v>44</v>
      </c>
      <c r="B28" s="80">
        <v>5</v>
      </c>
      <c r="C28" s="65" t="s">
        <v>3</v>
      </c>
      <c r="D28" s="69"/>
      <c r="E28" s="69"/>
      <c r="F28" s="69"/>
      <c r="G28" s="65"/>
      <c r="H28" s="69"/>
      <c r="I28" s="68"/>
      <c r="J28" s="68"/>
    </row>
    <row r="29" spans="1:10" ht="14.25">
      <c r="A29" s="78" t="s">
        <v>5</v>
      </c>
      <c r="B29" s="80">
        <v>5</v>
      </c>
      <c r="C29" s="65" t="s">
        <v>3</v>
      </c>
      <c r="D29" s="69"/>
      <c r="E29" s="69"/>
      <c r="F29" s="69"/>
      <c r="G29" s="65"/>
      <c r="H29" s="69"/>
      <c r="I29" s="68"/>
      <c r="J29" s="68"/>
    </row>
    <row r="30" spans="1:14" ht="14.25">
      <c r="A30" s="77"/>
      <c r="B30" s="65"/>
      <c r="C30" s="65"/>
      <c r="D30" s="54" t="s">
        <v>96</v>
      </c>
      <c r="E30" s="54"/>
      <c r="F30" s="60">
        <v>39203</v>
      </c>
      <c r="H30" s="65"/>
      <c r="I30" s="60">
        <v>39448</v>
      </c>
      <c r="J30" s="68"/>
      <c r="K30" s="60">
        <v>39814</v>
      </c>
      <c r="N30" s="60">
        <v>40179</v>
      </c>
    </row>
    <row r="31" spans="1:14" ht="15">
      <c r="A31" s="74" t="s">
        <v>4</v>
      </c>
      <c r="B31" s="70">
        <v>2006</v>
      </c>
      <c r="C31" s="62" t="s">
        <v>99</v>
      </c>
      <c r="D31" s="62" t="s">
        <v>99</v>
      </c>
      <c r="E31" s="62"/>
      <c r="F31" s="62" t="s">
        <v>101</v>
      </c>
      <c r="G31" s="62" t="s">
        <v>97</v>
      </c>
      <c r="I31" s="62" t="s">
        <v>125</v>
      </c>
      <c r="J31" s="68"/>
      <c r="K31" s="62" t="s">
        <v>144</v>
      </c>
      <c r="N31" s="62" t="s">
        <v>168</v>
      </c>
    </row>
    <row r="32" spans="1:14" ht="14.25">
      <c r="A32" s="78" t="s">
        <v>98</v>
      </c>
      <c r="B32" s="64">
        <v>0</v>
      </c>
      <c r="C32" s="64">
        <f>221124</f>
        <v>221124</v>
      </c>
      <c r="D32" s="64">
        <f>+B32+C32</f>
        <v>221124</v>
      </c>
      <c r="E32" s="64"/>
      <c r="F32" s="64">
        <f>603150-C32</f>
        <v>382026</v>
      </c>
      <c r="G32" s="64">
        <f>+C32+F32</f>
        <v>603150</v>
      </c>
      <c r="I32" s="55">
        <f>'Rev Req 08'!E13</f>
        <v>715610.8900000001</v>
      </c>
      <c r="J32" s="71"/>
      <c r="K32" s="55">
        <f>'Rev Req 09'!E13</f>
        <v>1129771.59</v>
      </c>
      <c r="N32" s="55">
        <f>'Rev Req 10'!E13</f>
        <v>2845706.4699999997</v>
      </c>
    </row>
    <row r="33" spans="1:14" ht="15" thickBot="1">
      <c r="A33" s="78" t="s">
        <v>72</v>
      </c>
      <c r="B33" s="72">
        <f>SUM(B32:B32)</f>
        <v>0</v>
      </c>
      <c r="C33" s="72">
        <f>SUM(C32:C32)</f>
        <v>221124</v>
      </c>
      <c r="D33" s="72">
        <f>SUM(D32:D32)</f>
        <v>221124</v>
      </c>
      <c r="E33" s="72"/>
      <c r="F33" s="72">
        <f>SUM(F32:F32)</f>
        <v>382026</v>
      </c>
      <c r="G33" s="72">
        <f>SUM(G32:G32)</f>
        <v>603150</v>
      </c>
      <c r="I33" s="73">
        <f>SUM(I32:I32)</f>
        <v>715610.8900000001</v>
      </c>
      <c r="J33" s="71"/>
      <c r="K33" s="73">
        <f>SUM(K32:K32)</f>
        <v>1129771.59</v>
      </c>
      <c r="N33" s="73">
        <f>SUM(N32:N32)</f>
        <v>2845706.4699999997</v>
      </c>
    </row>
    <row r="34" ht="14.25">
      <c r="G34" s="57"/>
    </row>
  </sheetData>
  <sheetProtection/>
  <mergeCells count="2">
    <mergeCell ref="B24:G24"/>
    <mergeCell ref="A2:H2"/>
  </mergeCells>
  <printOptions/>
  <pageMargins left="0.7" right="0.7" top="0.98" bottom="0.75" header="0.37" footer="0.3"/>
  <pageSetup horizontalDpi="600" verticalDpi="600" orientation="landscape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0"/>
  <sheetViews>
    <sheetView tabSelected="1" view="pageBreakPreview" zoomScale="60" zoomScalePageLayoutView="0" workbookViewId="0" topLeftCell="A49">
      <selection activeCell="A10" sqref="A10"/>
    </sheetView>
  </sheetViews>
  <sheetFormatPr defaultColWidth="9.140625" defaultRowHeight="0" customHeight="1" zeroHeight="1"/>
  <cols>
    <col min="1" max="1" width="55.140625" style="48" bestFit="1" customWidth="1"/>
    <col min="2" max="2" width="14.57421875" style="48" bestFit="1" customWidth="1"/>
    <col min="3" max="4" width="17.28125" style="48" customWidth="1"/>
    <col min="5" max="5" width="4.57421875" style="48" customWidth="1"/>
    <col min="6" max="6" width="24.00390625" style="48" bestFit="1" customWidth="1"/>
    <col min="7" max="7" width="14.8515625" style="48" bestFit="1" customWidth="1"/>
    <col min="8" max="14" width="14.57421875" style="48" bestFit="1" customWidth="1"/>
    <col min="15" max="23" width="14.421875" style="48" bestFit="1" customWidth="1"/>
    <col min="24" max="24" width="14.00390625" style="48" bestFit="1" customWidth="1"/>
    <col min="25" max="25" width="11.7109375" style="48" bestFit="1" customWidth="1"/>
    <col min="26" max="26" width="11.8515625" style="48" bestFit="1" customWidth="1"/>
    <col min="27" max="27" width="13.140625" style="48" bestFit="1" customWidth="1"/>
    <col min="28" max="28" width="11.8515625" style="48" bestFit="1" customWidth="1"/>
    <col min="29" max="31" width="12.8515625" style="48" bestFit="1" customWidth="1"/>
    <col min="32" max="32" width="10.28125" style="48" bestFit="1" customWidth="1"/>
    <col min="33" max="33" width="31.28125" style="48" bestFit="1" customWidth="1"/>
    <col min="34" max="16384" width="9.140625" style="48" customWidth="1"/>
  </cols>
  <sheetData>
    <row r="1" spans="1:23" ht="15">
      <c r="A1" s="47" t="s">
        <v>194</v>
      </c>
      <c r="G1" s="47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2:23" ht="28.5">
      <c r="B2" s="156" t="s">
        <v>140</v>
      </c>
      <c r="C2" s="156" t="s">
        <v>141</v>
      </c>
      <c r="L2" s="52">
        <v>1</v>
      </c>
      <c r="M2" s="52">
        <f>+L2+1</f>
        <v>2</v>
      </c>
      <c r="N2" s="52">
        <f aca="true" t="shared" si="0" ref="N2:W2">+M2+1</f>
        <v>3</v>
      </c>
      <c r="O2" s="52">
        <f t="shared" si="0"/>
        <v>4</v>
      </c>
      <c r="P2" s="52">
        <f t="shared" si="0"/>
        <v>5</v>
      </c>
      <c r="Q2" s="52">
        <f t="shared" si="0"/>
        <v>6</v>
      </c>
      <c r="R2" s="52">
        <f t="shared" si="0"/>
        <v>7</v>
      </c>
      <c r="S2" s="52">
        <f t="shared" si="0"/>
        <v>8</v>
      </c>
      <c r="T2" s="52">
        <f t="shared" si="0"/>
        <v>9</v>
      </c>
      <c r="U2" s="52">
        <f t="shared" si="0"/>
        <v>10</v>
      </c>
      <c r="V2" s="52">
        <f t="shared" si="0"/>
        <v>11</v>
      </c>
      <c r="W2" s="52">
        <f t="shared" si="0"/>
        <v>12</v>
      </c>
    </row>
    <row r="3" spans="1:23" ht="15">
      <c r="A3" s="47" t="s">
        <v>45</v>
      </c>
      <c r="B3" s="60">
        <v>39082</v>
      </c>
      <c r="C3" s="60">
        <v>39447</v>
      </c>
      <c r="D3" s="60">
        <v>39813</v>
      </c>
      <c r="G3" s="152" t="s">
        <v>126</v>
      </c>
      <c r="H3" s="152" t="s">
        <v>124</v>
      </c>
      <c r="I3" s="152" t="s">
        <v>127</v>
      </c>
      <c r="J3" s="152" t="s">
        <v>128</v>
      </c>
      <c r="K3" s="152" t="s">
        <v>129</v>
      </c>
      <c r="L3" s="105">
        <v>39448</v>
      </c>
      <c r="M3" s="105">
        <v>39479</v>
      </c>
      <c r="N3" s="105">
        <v>39508</v>
      </c>
      <c r="O3" s="105">
        <v>39539</v>
      </c>
      <c r="P3" s="105">
        <v>39569</v>
      </c>
      <c r="Q3" s="105">
        <v>39600</v>
      </c>
      <c r="R3" s="105">
        <v>39630</v>
      </c>
      <c r="S3" s="105">
        <v>39661</v>
      </c>
      <c r="T3" s="105">
        <v>39692</v>
      </c>
      <c r="U3" s="105">
        <v>39722</v>
      </c>
      <c r="V3" s="105">
        <v>39753</v>
      </c>
      <c r="W3" s="105">
        <v>39783</v>
      </c>
    </row>
    <row r="4" ht="14.25"/>
    <row r="5" spans="1:25" ht="14.25">
      <c r="A5" s="48" t="s">
        <v>46</v>
      </c>
      <c r="B5" s="87">
        <v>0</v>
      </c>
      <c r="C5" s="87">
        <f>B8</f>
        <v>0</v>
      </c>
      <c r="D5" s="87">
        <f>C8</f>
        <v>12063120.53</v>
      </c>
      <c r="F5" s="77" t="s">
        <v>132</v>
      </c>
      <c r="G5" s="66">
        <f>L5</f>
        <v>12063120.53</v>
      </c>
      <c r="H5" s="66">
        <f>N5</f>
        <v>12063120.53</v>
      </c>
      <c r="I5" s="66">
        <f>Q5</f>
        <v>12063120.53</v>
      </c>
      <c r="J5" s="66">
        <f>T5</f>
        <v>12063120.53</v>
      </c>
      <c r="K5" s="66">
        <f>W5</f>
        <v>12063120.53</v>
      </c>
      <c r="L5" s="66">
        <f>C8</f>
        <v>12063120.53</v>
      </c>
      <c r="M5" s="66">
        <f>L5</f>
        <v>12063120.53</v>
      </c>
      <c r="N5" s="66">
        <f aca="true" t="shared" si="1" ref="N5:W5">M5</f>
        <v>12063120.53</v>
      </c>
      <c r="O5" s="66">
        <f t="shared" si="1"/>
        <v>12063120.53</v>
      </c>
      <c r="P5" s="66">
        <f t="shared" si="1"/>
        <v>12063120.53</v>
      </c>
      <c r="Q5" s="66">
        <f t="shared" si="1"/>
        <v>12063120.53</v>
      </c>
      <c r="R5" s="66">
        <f t="shared" si="1"/>
        <v>12063120.53</v>
      </c>
      <c r="S5" s="66">
        <f t="shared" si="1"/>
        <v>12063120.53</v>
      </c>
      <c r="T5" s="66">
        <f t="shared" si="1"/>
        <v>12063120.53</v>
      </c>
      <c r="U5" s="66">
        <f t="shared" si="1"/>
        <v>12063120.53</v>
      </c>
      <c r="V5" s="66">
        <f t="shared" si="1"/>
        <v>12063120.53</v>
      </c>
      <c r="W5" s="66">
        <f t="shared" si="1"/>
        <v>12063120.53</v>
      </c>
      <c r="Y5" s="66"/>
    </row>
    <row r="6" spans="1:25" ht="14.25">
      <c r="A6" s="48" t="s">
        <v>163</v>
      </c>
      <c r="B6" s="71"/>
      <c r="C6" s="55"/>
      <c r="D6" s="55"/>
      <c r="F6" s="77" t="s">
        <v>137</v>
      </c>
      <c r="M6" s="153">
        <f>L7</f>
        <v>1549192.53</v>
      </c>
      <c r="N6" s="153">
        <f>SUM($L7:M7)</f>
        <v>2548520.16</v>
      </c>
      <c r="O6" s="153">
        <f>SUM($L7:N7)</f>
        <v>3264936.39</v>
      </c>
      <c r="P6" s="153">
        <f>SUM($L7:O7)</f>
        <v>4805762.75</v>
      </c>
      <c r="Q6" s="153">
        <f>SUM($L7:P7)</f>
        <v>5937042.75</v>
      </c>
      <c r="R6" s="153">
        <f>SUM($L7:Q7)</f>
        <v>7196037.07</v>
      </c>
      <c r="S6" s="153">
        <f>SUM($L7:R7)</f>
        <v>8423047.61</v>
      </c>
      <c r="T6" s="153">
        <f>SUM($L7:S7)</f>
        <v>9249234.26</v>
      </c>
      <c r="U6" s="153">
        <f>SUM($L7:T7)</f>
        <v>10627370.4</v>
      </c>
      <c r="V6" s="153">
        <f>SUM($L7:U7)</f>
        <v>11803196.6</v>
      </c>
      <c r="W6" s="153">
        <f>SUM($L7:V7)</f>
        <v>12784332.559999999</v>
      </c>
      <c r="X6" s="153"/>
      <c r="Y6" s="66"/>
    </row>
    <row r="7" spans="1:25" ht="14.25">
      <c r="A7" s="48" t="s">
        <v>82</v>
      </c>
      <c r="B7" s="55"/>
      <c r="C7" s="55">
        <f>+Inputs!F19</f>
        <v>12063120.53</v>
      </c>
      <c r="D7" s="55">
        <f>+Inputs!I19</f>
        <v>13720884.169999998</v>
      </c>
      <c r="F7" s="154" t="s">
        <v>136</v>
      </c>
      <c r="G7" s="153">
        <f>SUM(L7:W7)</f>
        <v>13720884.169999998</v>
      </c>
      <c r="H7" s="153">
        <f>SUM(L7:N7)</f>
        <v>3264936.39</v>
      </c>
      <c r="I7" s="153">
        <f>SUM(O7:Q7)</f>
        <v>3931100.6800000006</v>
      </c>
      <c r="J7" s="153">
        <f>SUM(R7:T7)</f>
        <v>3431333.33</v>
      </c>
      <c r="K7" s="153">
        <f>SUM(U7:W7)</f>
        <v>3093513.77</v>
      </c>
      <c r="L7" s="155">
        <v>1549192.53</v>
      </c>
      <c r="M7" s="155">
        <v>999327.6300000001</v>
      </c>
      <c r="N7" s="155">
        <v>716416.2299999999</v>
      </c>
      <c r="O7" s="155">
        <v>1540826.36</v>
      </c>
      <c r="P7" s="155">
        <v>1131280</v>
      </c>
      <c r="Q7" s="155">
        <v>1258994.32</v>
      </c>
      <c r="R7" s="155">
        <v>1227010.54</v>
      </c>
      <c r="S7" s="155">
        <v>826186.65</v>
      </c>
      <c r="T7" s="155">
        <v>1378136.14</v>
      </c>
      <c r="U7" s="155">
        <v>1175826.2</v>
      </c>
      <c r="V7" s="155">
        <v>981135.96</v>
      </c>
      <c r="W7" s="155">
        <v>936551.61</v>
      </c>
      <c r="X7" s="153"/>
      <c r="Y7" s="66"/>
    </row>
    <row r="8" spans="1:25" ht="14.25">
      <c r="A8" s="48" t="s">
        <v>47</v>
      </c>
      <c r="B8" s="82">
        <f>SUM(B5:B7)</f>
        <v>0</v>
      </c>
      <c r="C8" s="82">
        <f>SUM(C5:C7)</f>
        <v>12063120.53</v>
      </c>
      <c r="D8" s="82">
        <f>SUM(D5:D7)</f>
        <v>25784004.699999996</v>
      </c>
      <c r="F8" s="77" t="s">
        <v>133</v>
      </c>
      <c r="G8" s="82">
        <f aca="true" t="shared" si="2" ref="G8:W8">SUM(G5:G7)</f>
        <v>25784004.699999996</v>
      </c>
      <c r="H8" s="82">
        <f t="shared" si="2"/>
        <v>15328056.92</v>
      </c>
      <c r="I8" s="82">
        <f t="shared" si="2"/>
        <v>15994221.21</v>
      </c>
      <c r="J8" s="82">
        <f t="shared" si="2"/>
        <v>15494453.86</v>
      </c>
      <c r="K8" s="82">
        <f t="shared" si="2"/>
        <v>15156634.299999999</v>
      </c>
      <c r="L8" s="82">
        <f t="shared" si="2"/>
        <v>13612313.059999999</v>
      </c>
      <c r="M8" s="82">
        <f t="shared" si="2"/>
        <v>14611640.69</v>
      </c>
      <c r="N8" s="82">
        <f t="shared" si="2"/>
        <v>15328056.92</v>
      </c>
      <c r="O8" s="82">
        <f t="shared" si="2"/>
        <v>16868883.28</v>
      </c>
      <c r="P8" s="82">
        <f t="shared" si="2"/>
        <v>18000163.28</v>
      </c>
      <c r="Q8" s="82">
        <f t="shared" si="2"/>
        <v>19259157.6</v>
      </c>
      <c r="R8" s="82">
        <f t="shared" si="2"/>
        <v>20486168.14</v>
      </c>
      <c r="S8" s="82">
        <f t="shared" si="2"/>
        <v>21312354.79</v>
      </c>
      <c r="T8" s="82">
        <f t="shared" si="2"/>
        <v>22690490.93</v>
      </c>
      <c r="U8" s="82">
        <f t="shared" si="2"/>
        <v>23866317.13</v>
      </c>
      <c r="V8" s="82">
        <f t="shared" si="2"/>
        <v>24847453.09</v>
      </c>
      <c r="W8" s="82">
        <f t="shared" si="2"/>
        <v>25784004.699999996</v>
      </c>
      <c r="Y8" s="66"/>
    </row>
    <row r="9" spans="2:25" ht="14.25">
      <c r="B9" s="81"/>
      <c r="C9" s="81"/>
      <c r="D9" s="81"/>
      <c r="Y9" s="66"/>
    </row>
    <row r="10" spans="1:25" ht="14.25">
      <c r="A10" s="48" t="s">
        <v>48</v>
      </c>
      <c r="B10" s="82">
        <v>0</v>
      </c>
      <c r="C10" s="82">
        <f>B13</f>
        <v>0</v>
      </c>
      <c r="D10" s="82">
        <f>C13</f>
        <v>402104.01766666665</v>
      </c>
      <c r="G10" s="82">
        <f>D10</f>
        <v>402104.01766666665</v>
      </c>
      <c r="H10" s="82">
        <f>C13</f>
        <v>402104.01766666665</v>
      </c>
      <c r="I10" s="82">
        <f>H13</f>
        <v>577952.5669444444</v>
      </c>
      <c r="J10" s="82">
        <f>I13</f>
        <v>1513197.291611111</v>
      </c>
      <c r="K10" s="82">
        <f>J13</f>
        <v>2431783.104611111</v>
      </c>
      <c r="L10" s="82">
        <f>C13</f>
        <v>402104.01766666665</v>
      </c>
      <c r="M10" s="82">
        <f>L13</f>
        <v>473424.6665277778</v>
      </c>
      <c r="N10" s="82">
        <f aca="true" t="shared" si="3" ref="N10:W10">M13</f>
        <v>550297.1355555556</v>
      </c>
      <c r="O10" s="82">
        <f t="shared" si="3"/>
        <v>630363.82975</v>
      </c>
      <c r="P10" s="82">
        <f t="shared" si="3"/>
        <v>723570.7266666667</v>
      </c>
      <c r="Q10" s="82">
        <f t="shared" si="3"/>
        <v>819649.6261388889</v>
      </c>
      <c r="R10" s="82">
        <f t="shared" si="3"/>
        <v>924141.9865</v>
      </c>
      <c r="S10" s="82">
        <f t="shared" si="3"/>
        <v>1035006.8529166667</v>
      </c>
      <c r="T10" s="82">
        <f t="shared" si="3"/>
        <v>1143781.247</v>
      </c>
      <c r="U10" s="82">
        <f t="shared" si="3"/>
        <v>1270944.3041666667</v>
      </c>
      <c r="V10" s="82">
        <f t="shared" si="3"/>
        <v>1400143.9526666668</v>
      </c>
      <c r="W10" s="82">
        <f t="shared" si="3"/>
        <v>1529927.1005000002</v>
      </c>
      <c r="Y10" s="66"/>
    </row>
    <row r="11" spans="1:25" ht="14.25">
      <c r="A11" s="48" t="s">
        <v>103</v>
      </c>
      <c r="B11" s="66">
        <f>B6/Inputs!B26/2</f>
        <v>0</v>
      </c>
      <c r="C11" s="66">
        <f>C5/Inputs!$B$26</f>
        <v>0</v>
      </c>
      <c r="D11" s="66">
        <f>D5/Inputs!$B$26</f>
        <v>804208.0353333333</v>
      </c>
      <c r="F11" s="48" t="s">
        <v>134</v>
      </c>
      <c r="G11" s="153">
        <f>SUM(L11:W11)</f>
        <v>804208.0353333334</v>
      </c>
      <c r="H11" s="66">
        <f>H5/Inputs!$B$26/12</f>
        <v>67017.33627777778</v>
      </c>
      <c r="I11" s="66">
        <f>I5/Inputs!$B$26</f>
        <v>804208.0353333333</v>
      </c>
      <c r="J11" s="66">
        <f>J5/Inputs!$B$26</f>
        <v>804208.0353333333</v>
      </c>
      <c r="K11" s="66">
        <f>K5/Inputs!$B$26</f>
        <v>804208.0353333333</v>
      </c>
      <c r="L11" s="66">
        <f>L5/Inputs!$B$26/12</f>
        <v>67017.33627777778</v>
      </c>
      <c r="M11" s="66">
        <f>M5/Inputs!$B$26/12</f>
        <v>67017.33627777778</v>
      </c>
      <c r="N11" s="66">
        <f>N5/Inputs!$B$26/12</f>
        <v>67017.33627777778</v>
      </c>
      <c r="O11" s="66">
        <f>O5/Inputs!$B$26/12</f>
        <v>67017.33627777778</v>
      </c>
      <c r="P11" s="66">
        <f>P5/Inputs!$B$26/12</f>
        <v>67017.33627777778</v>
      </c>
      <c r="Q11" s="66">
        <f>Q5/Inputs!$B$26/12</f>
        <v>67017.33627777778</v>
      </c>
      <c r="R11" s="66">
        <f>R5/Inputs!$B$26/12</f>
        <v>67017.33627777778</v>
      </c>
      <c r="S11" s="66">
        <f>S5/Inputs!$B$26/12</f>
        <v>67017.33627777778</v>
      </c>
      <c r="T11" s="66">
        <f>T5/Inputs!$B$26/12</f>
        <v>67017.33627777778</v>
      </c>
      <c r="U11" s="66">
        <f>U5/Inputs!$B$26/12</f>
        <v>67017.33627777778</v>
      </c>
      <c r="V11" s="66">
        <f>V5/Inputs!$B$26/12</f>
        <v>67017.33627777778</v>
      </c>
      <c r="W11" s="66">
        <f>W5/Inputs!$B$26/12</f>
        <v>67017.33627777778</v>
      </c>
      <c r="Y11" s="66"/>
    </row>
    <row r="12" spans="1:25" ht="14.25">
      <c r="A12" s="48" t="s">
        <v>104</v>
      </c>
      <c r="B12" s="55"/>
      <c r="C12" s="55">
        <f>C7/Inputs!$B$26/2</f>
        <v>402104.01766666665</v>
      </c>
      <c r="D12" s="55">
        <f>D7/Inputs!$B$26/2</f>
        <v>457362.8056666666</v>
      </c>
      <c r="F12" s="48" t="s">
        <v>135</v>
      </c>
      <c r="G12" s="153">
        <f>SUM(L12:W12)</f>
        <v>457362.80566666665</v>
      </c>
      <c r="H12" s="55">
        <f>H7/Inputs!$B$26/2</f>
        <v>108831.213</v>
      </c>
      <c r="I12" s="55">
        <f>I7/Inputs!$B$26/2</f>
        <v>131036.68933333336</v>
      </c>
      <c r="J12" s="55">
        <f>J7/Inputs!$B$26/2</f>
        <v>114377.77766666668</v>
      </c>
      <c r="K12" s="55">
        <f>K7/Inputs!$B$26/2</f>
        <v>103117.12566666667</v>
      </c>
      <c r="L12" s="55">
        <f>L7/Inputs!$B$26/2/12</f>
        <v>4303.312583333333</v>
      </c>
      <c r="M12" s="55">
        <f>M7/Inputs!$B$26/2/12*M2+M6/Inputs!$B$26/2/12</f>
        <v>9855.13275</v>
      </c>
      <c r="N12" s="55">
        <f>N7/Inputs!$B$26/2/12*N2+N6/Inputs!$B$26/2/12</f>
        <v>13049.357916666666</v>
      </c>
      <c r="O12" s="55">
        <f>O7/Inputs!$B$26/2/12*O2+O6/Inputs!$B$26/2/12</f>
        <v>26189.560638888892</v>
      </c>
      <c r="P12" s="55">
        <f>P7/Inputs!$B$26/2/12*P2+P6/Inputs!$B$26/2/12</f>
        <v>29061.563194444447</v>
      </c>
      <c r="Q12" s="55">
        <f>Q7/Inputs!$B$26/2/12*Q2+Q6/Inputs!$B$26/2/12</f>
        <v>37475.02408333334</v>
      </c>
      <c r="R12" s="55">
        <f>R7/Inputs!$B$26/2/12*R2+R6/Inputs!$B$26/2/12</f>
        <v>43847.53013888889</v>
      </c>
      <c r="S12" s="55">
        <f>S7/Inputs!$B$26/2/12*S2+S6/Inputs!$B$26/2/12</f>
        <v>41757.05780555555</v>
      </c>
      <c r="T12" s="55">
        <f>T7/Inputs!$B$26/2/12*T2+T6/Inputs!$B$26/2/12</f>
        <v>60145.720888888885</v>
      </c>
      <c r="U12" s="55">
        <f>U7/Inputs!$B$26/2/12*U2+U6/Inputs!$B$26/2/12</f>
        <v>62182.312222222215</v>
      </c>
      <c r="V12" s="55">
        <f>V7/Inputs!$B$26/2/12*V2+V6/Inputs!$B$26/2/12</f>
        <v>62765.811555555556</v>
      </c>
      <c r="W12" s="55">
        <f>W7/Inputs!$B$26/2/12*W2+W6/Inputs!$B$26/2/12</f>
        <v>66730.42188888887</v>
      </c>
      <c r="Y12" s="66"/>
    </row>
    <row r="13" spans="1:25" ht="14.25">
      <c r="A13" s="48" t="s">
        <v>49</v>
      </c>
      <c r="B13" s="87">
        <f>SUM(B10:B12)</f>
        <v>0</v>
      </c>
      <c r="C13" s="87">
        <f>SUM(C10:C12)</f>
        <v>402104.01766666665</v>
      </c>
      <c r="D13" s="87">
        <f>SUM(D10:D12)</f>
        <v>1663674.8586666663</v>
      </c>
      <c r="G13" s="87">
        <f>SUM(G10:G12)</f>
        <v>1663674.8586666668</v>
      </c>
      <c r="H13" s="87">
        <f aca="true" t="shared" si="4" ref="H13:M13">SUM(H10:H12)</f>
        <v>577952.5669444444</v>
      </c>
      <c r="I13" s="87">
        <f t="shared" si="4"/>
        <v>1513197.291611111</v>
      </c>
      <c r="J13" s="87">
        <f t="shared" si="4"/>
        <v>2431783.104611111</v>
      </c>
      <c r="K13" s="87">
        <f t="shared" si="4"/>
        <v>3339108.265611111</v>
      </c>
      <c r="L13" s="87">
        <f t="shared" si="4"/>
        <v>473424.6665277778</v>
      </c>
      <c r="M13" s="87">
        <f t="shared" si="4"/>
        <v>550297.1355555556</v>
      </c>
      <c r="N13" s="87">
        <f aca="true" t="shared" si="5" ref="N13:W13">SUM(N10:N12)</f>
        <v>630363.82975</v>
      </c>
      <c r="O13" s="87">
        <f t="shared" si="5"/>
        <v>723570.7266666667</v>
      </c>
      <c r="P13" s="87">
        <f t="shared" si="5"/>
        <v>819649.6261388889</v>
      </c>
      <c r="Q13" s="87">
        <f t="shared" si="5"/>
        <v>924141.9865</v>
      </c>
      <c r="R13" s="87">
        <f t="shared" si="5"/>
        <v>1035006.8529166667</v>
      </c>
      <c r="S13" s="87">
        <f t="shared" si="5"/>
        <v>1143781.247</v>
      </c>
      <c r="T13" s="87">
        <f t="shared" si="5"/>
        <v>1270944.3041666667</v>
      </c>
      <c r="U13" s="87">
        <f t="shared" si="5"/>
        <v>1400143.9526666668</v>
      </c>
      <c r="V13" s="87">
        <f t="shared" si="5"/>
        <v>1529927.1005000002</v>
      </c>
      <c r="W13" s="87">
        <f t="shared" si="5"/>
        <v>1663674.8586666668</v>
      </c>
      <c r="Y13" s="66"/>
    </row>
    <row r="14" spans="2:25" ht="14.25">
      <c r="B14" s="87"/>
      <c r="C14" s="87"/>
      <c r="D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Y14" s="66"/>
    </row>
    <row r="15" spans="1:25" ht="14.25">
      <c r="A15" s="48" t="s">
        <v>50</v>
      </c>
      <c r="B15" s="55">
        <f>0</f>
        <v>0</v>
      </c>
      <c r="C15" s="66">
        <f>B16</f>
        <v>0</v>
      </c>
      <c r="D15" s="66">
        <f>C16</f>
        <v>11661016.512333333</v>
      </c>
      <c r="G15" s="66">
        <f>L15</f>
        <v>11661016.512333333</v>
      </c>
      <c r="H15" s="66">
        <f>C16</f>
        <v>11661016.512333333</v>
      </c>
      <c r="I15" s="66">
        <f>H16</f>
        <v>14750104.353055555</v>
      </c>
      <c r="J15" s="66">
        <f>I16</f>
        <v>14481023.91838889</v>
      </c>
      <c r="K15" s="66">
        <f>J16</f>
        <v>13062670.75538889</v>
      </c>
      <c r="L15" s="66">
        <f>$C$16</f>
        <v>11661016.512333333</v>
      </c>
      <c r="M15" s="66">
        <f>L15</f>
        <v>11661016.512333333</v>
      </c>
      <c r="N15" s="66">
        <f aca="true" t="shared" si="6" ref="N15:W15">M15</f>
        <v>11661016.512333333</v>
      </c>
      <c r="O15" s="66">
        <f t="shared" si="6"/>
        <v>11661016.512333333</v>
      </c>
      <c r="P15" s="66">
        <f t="shared" si="6"/>
        <v>11661016.512333333</v>
      </c>
      <c r="Q15" s="66">
        <f t="shared" si="6"/>
        <v>11661016.512333333</v>
      </c>
      <c r="R15" s="66">
        <f t="shared" si="6"/>
        <v>11661016.512333333</v>
      </c>
      <c r="S15" s="66">
        <f t="shared" si="6"/>
        <v>11661016.512333333</v>
      </c>
      <c r="T15" s="66">
        <f t="shared" si="6"/>
        <v>11661016.512333333</v>
      </c>
      <c r="U15" s="66">
        <f t="shared" si="6"/>
        <v>11661016.512333333</v>
      </c>
      <c r="V15" s="66">
        <f t="shared" si="6"/>
        <v>11661016.512333333</v>
      </c>
      <c r="W15" s="66">
        <f t="shared" si="6"/>
        <v>11661016.512333333</v>
      </c>
      <c r="Y15" s="66"/>
    </row>
    <row r="16" spans="1:25" ht="14.25">
      <c r="A16" s="48" t="s">
        <v>51</v>
      </c>
      <c r="B16" s="82">
        <f>B8-B13</f>
        <v>0</v>
      </c>
      <c r="C16" s="82">
        <f>C8-C13</f>
        <v>11661016.512333333</v>
      </c>
      <c r="D16" s="82">
        <f>D8-D13</f>
        <v>24120329.84133333</v>
      </c>
      <c r="E16" s="57"/>
      <c r="G16" s="82">
        <f aca="true" t="shared" si="7" ref="G16:M16">G8-G13</f>
        <v>24120329.84133333</v>
      </c>
      <c r="H16" s="82">
        <f t="shared" si="7"/>
        <v>14750104.353055555</v>
      </c>
      <c r="I16" s="82">
        <f t="shared" si="7"/>
        <v>14481023.91838889</v>
      </c>
      <c r="J16" s="82">
        <f t="shared" si="7"/>
        <v>13062670.75538889</v>
      </c>
      <c r="K16" s="82">
        <f t="shared" si="7"/>
        <v>11817526.034388889</v>
      </c>
      <c r="L16" s="82">
        <f t="shared" si="7"/>
        <v>13138888.39347222</v>
      </c>
      <c r="M16" s="82">
        <f t="shared" si="7"/>
        <v>14061343.554444443</v>
      </c>
      <c r="N16" s="82">
        <f aca="true" t="shared" si="8" ref="N16:W16">N8-N13</f>
        <v>14697693.09025</v>
      </c>
      <c r="O16" s="82">
        <f t="shared" si="8"/>
        <v>16145312.553333335</v>
      </c>
      <c r="P16" s="82">
        <f t="shared" si="8"/>
        <v>17180513.653861113</v>
      </c>
      <c r="Q16" s="82">
        <f t="shared" si="8"/>
        <v>18335015.613500003</v>
      </c>
      <c r="R16" s="82">
        <f t="shared" si="8"/>
        <v>19451161.287083335</v>
      </c>
      <c r="S16" s="82">
        <f t="shared" si="8"/>
        <v>20168573.542999998</v>
      </c>
      <c r="T16" s="82">
        <f t="shared" si="8"/>
        <v>21419546.625833333</v>
      </c>
      <c r="U16" s="82">
        <f t="shared" si="8"/>
        <v>22466173.177333333</v>
      </c>
      <c r="V16" s="82">
        <f t="shared" si="8"/>
        <v>23317525.9895</v>
      </c>
      <c r="W16" s="82">
        <f t="shared" si="8"/>
        <v>24120329.84133333</v>
      </c>
      <c r="Y16" s="66"/>
    </row>
    <row r="17" spans="1:25" ht="15" thickBot="1">
      <c r="A17" s="48" t="s">
        <v>52</v>
      </c>
      <c r="B17" s="45">
        <f>(B16+B15)/2</f>
        <v>0</v>
      </c>
      <c r="C17" s="45">
        <f>(C16+C15)/2</f>
        <v>5830508.256166667</v>
      </c>
      <c r="D17" s="45">
        <f>(D16+D15)/2</f>
        <v>17890673.17683333</v>
      </c>
      <c r="E17" s="57"/>
      <c r="G17" s="45">
        <f>(G16+G15)/2</f>
        <v>17890673.17683333</v>
      </c>
      <c r="H17" s="45">
        <f aca="true" t="shared" si="9" ref="H17:M17">(H16+H15)/2</f>
        <v>13205560.432694444</v>
      </c>
      <c r="I17" s="45">
        <f t="shared" si="9"/>
        <v>14615564.135722224</v>
      </c>
      <c r="J17" s="45">
        <f t="shared" si="9"/>
        <v>13771847.33688889</v>
      </c>
      <c r="K17" s="45">
        <f t="shared" si="9"/>
        <v>12440098.394888889</v>
      </c>
      <c r="L17" s="45">
        <f t="shared" si="9"/>
        <v>12399952.452902777</v>
      </c>
      <c r="M17" s="45">
        <f t="shared" si="9"/>
        <v>12861180.033388888</v>
      </c>
      <c r="N17" s="45">
        <f aca="true" t="shared" si="10" ref="N17:W17">(N16+N15)/2</f>
        <v>13179354.801291667</v>
      </c>
      <c r="O17" s="45">
        <f t="shared" si="10"/>
        <v>13903164.532833334</v>
      </c>
      <c r="P17" s="45">
        <f t="shared" si="10"/>
        <v>14420765.083097223</v>
      </c>
      <c r="Q17" s="45">
        <f t="shared" si="10"/>
        <v>14998016.062916668</v>
      </c>
      <c r="R17" s="45">
        <f t="shared" si="10"/>
        <v>15556088.899708334</v>
      </c>
      <c r="S17" s="45">
        <f t="shared" si="10"/>
        <v>15914795.027666666</v>
      </c>
      <c r="T17" s="45">
        <f t="shared" si="10"/>
        <v>16540281.569083333</v>
      </c>
      <c r="U17" s="45">
        <f t="shared" si="10"/>
        <v>17063594.844833333</v>
      </c>
      <c r="V17" s="45">
        <f t="shared" si="10"/>
        <v>17489271.250916667</v>
      </c>
      <c r="W17" s="45">
        <f t="shared" si="10"/>
        <v>17890673.17683333</v>
      </c>
      <c r="Y17" s="66"/>
    </row>
    <row r="18" spans="2:25" ht="14.25">
      <c r="B18" s="81"/>
      <c r="C18" s="81"/>
      <c r="D18" s="81"/>
      <c r="Y18" s="66"/>
    </row>
    <row r="19" spans="1:25" ht="15">
      <c r="A19" s="47" t="s">
        <v>92</v>
      </c>
      <c r="B19" s="60">
        <f>B3</f>
        <v>39082</v>
      </c>
      <c r="C19" s="60">
        <f>C3</f>
        <v>39447</v>
      </c>
      <c r="D19" s="60">
        <f>D3</f>
        <v>39813</v>
      </c>
      <c r="Y19" s="66"/>
    </row>
    <row r="20" spans="12:25" ht="14.25">
      <c r="L20" s="52">
        <f aca="true" t="shared" si="11" ref="L20:W20">L2</f>
        <v>1</v>
      </c>
      <c r="M20" s="52">
        <f t="shared" si="11"/>
        <v>2</v>
      </c>
      <c r="N20" s="52">
        <f t="shared" si="11"/>
        <v>3</v>
      </c>
      <c r="O20" s="52">
        <f t="shared" si="11"/>
        <v>4</v>
      </c>
      <c r="P20" s="52">
        <f t="shared" si="11"/>
        <v>5</v>
      </c>
      <c r="Q20" s="52">
        <f t="shared" si="11"/>
        <v>6</v>
      </c>
      <c r="R20" s="52">
        <f t="shared" si="11"/>
        <v>7</v>
      </c>
      <c r="S20" s="52">
        <f t="shared" si="11"/>
        <v>8</v>
      </c>
      <c r="T20" s="52">
        <f t="shared" si="11"/>
        <v>9</v>
      </c>
      <c r="U20" s="52">
        <f t="shared" si="11"/>
        <v>10</v>
      </c>
      <c r="V20" s="52">
        <f t="shared" si="11"/>
        <v>11</v>
      </c>
      <c r="W20" s="52">
        <f t="shared" si="11"/>
        <v>12</v>
      </c>
      <c r="Y20" s="66"/>
    </row>
    <row r="21" spans="1:25" ht="14.25">
      <c r="A21" s="48" t="s">
        <v>46</v>
      </c>
      <c r="B21" s="87">
        <v>0</v>
      </c>
      <c r="C21" s="87">
        <f>B24</f>
        <v>0</v>
      </c>
      <c r="D21" s="87">
        <f>C24</f>
        <v>9112</v>
      </c>
      <c r="F21" s="48" t="s">
        <v>132</v>
      </c>
      <c r="G21" s="66">
        <f>L21</f>
        <v>9112</v>
      </c>
      <c r="H21" s="66">
        <f>N21</f>
        <v>9112</v>
      </c>
      <c r="I21" s="66">
        <f>Q21</f>
        <v>9112</v>
      </c>
      <c r="J21" s="66">
        <f>T21</f>
        <v>9112</v>
      </c>
      <c r="K21" s="66">
        <f>W21</f>
        <v>9112</v>
      </c>
      <c r="L21" s="66">
        <f>C24</f>
        <v>9112</v>
      </c>
      <c r="M21" s="66">
        <f>L21</f>
        <v>9112</v>
      </c>
      <c r="N21" s="66">
        <f aca="true" t="shared" si="12" ref="N21:W21">M21</f>
        <v>9112</v>
      </c>
      <c r="O21" s="66">
        <f t="shared" si="12"/>
        <v>9112</v>
      </c>
      <c r="P21" s="66">
        <f t="shared" si="12"/>
        <v>9112</v>
      </c>
      <c r="Q21" s="66">
        <f t="shared" si="12"/>
        <v>9112</v>
      </c>
      <c r="R21" s="66">
        <f t="shared" si="12"/>
        <v>9112</v>
      </c>
      <c r="S21" s="66">
        <f t="shared" si="12"/>
        <v>9112</v>
      </c>
      <c r="T21" s="66">
        <f t="shared" si="12"/>
        <v>9112</v>
      </c>
      <c r="U21" s="66">
        <f t="shared" si="12"/>
        <v>9112</v>
      </c>
      <c r="V21" s="66">
        <f t="shared" si="12"/>
        <v>9112</v>
      </c>
      <c r="W21" s="66">
        <f t="shared" si="12"/>
        <v>9112</v>
      </c>
      <c r="Y21" s="66"/>
    </row>
    <row r="22" spans="1:25" ht="14.25">
      <c r="A22" s="48" t="s">
        <v>81</v>
      </c>
      <c r="B22" s="71"/>
      <c r="C22" s="55"/>
      <c r="D22" s="55"/>
      <c r="F22" s="48" t="s">
        <v>137</v>
      </c>
      <c r="M22" s="153">
        <f>L23</f>
        <v>0</v>
      </c>
      <c r="N22" s="153">
        <f>SUM($L23:M23)</f>
        <v>0</v>
      </c>
      <c r="O22" s="153">
        <f>SUM($L23:N23)</f>
        <v>0</v>
      </c>
      <c r="P22" s="153">
        <f>SUM($L23:O23)</f>
        <v>0</v>
      </c>
      <c r="Q22" s="153">
        <f>SUM($L23:P23)</f>
        <v>0</v>
      </c>
      <c r="R22" s="153">
        <f>SUM($L23:Q23)</f>
        <v>0</v>
      </c>
      <c r="S22" s="153">
        <f>SUM($L23:R23)</f>
        <v>0</v>
      </c>
      <c r="T22" s="153">
        <f>SUM($L23:S23)</f>
        <v>0</v>
      </c>
      <c r="U22" s="153">
        <f>SUM($L23:T23)</f>
        <v>0</v>
      </c>
      <c r="V22" s="153">
        <f>SUM($L23:U23)</f>
        <v>0</v>
      </c>
      <c r="W22" s="153">
        <f>SUM($L23:V23)</f>
        <v>0</v>
      </c>
      <c r="Y22" s="66"/>
    </row>
    <row r="23" spans="1:25" ht="14.25">
      <c r="A23" s="48" t="s">
        <v>82</v>
      </c>
      <c r="B23" s="55"/>
      <c r="C23" s="55">
        <f>Inputs!G20</f>
        <v>9112</v>
      </c>
      <c r="D23" s="55">
        <f>Inputs!I20</f>
        <v>0</v>
      </c>
      <c r="F23" s="153" t="s">
        <v>136</v>
      </c>
      <c r="G23" s="153">
        <f>SUM(L23:W23)</f>
        <v>0</v>
      </c>
      <c r="H23" s="153">
        <f>SUM(L23:N23)</f>
        <v>0</v>
      </c>
      <c r="I23" s="153">
        <f>SUM(O23:Q23)</f>
        <v>0</v>
      </c>
      <c r="J23" s="153">
        <f>SUM(R23:T23)</f>
        <v>0</v>
      </c>
      <c r="K23" s="153">
        <f>SUM(U23:W23)</f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Y23" s="66"/>
    </row>
    <row r="24" spans="1:25" ht="14.25">
      <c r="A24" s="48" t="s">
        <v>47</v>
      </c>
      <c r="B24" s="82">
        <f>SUM(B21:B23)</f>
        <v>0</v>
      </c>
      <c r="C24" s="82">
        <f>SUM(C21:C23)</f>
        <v>9112</v>
      </c>
      <c r="D24" s="82">
        <f>SUM(D21:D23)</f>
        <v>9112</v>
      </c>
      <c r="F24" s="48" t="s">
        <v>133</v>
      </c>
      <c r="G24" s="82">
        <f aca="true" t="shared" si="13" ref="G24:W24">SUM(G21:G23)</f>
        <v>9112</v>
      </c>
      <c r="H24" s="82">
        <f t="shared" si="13"/>
        <v>9112</v>
      </c>
      <c r="I24" s="82">
        <f t="shared" si="13"/>
        <v>9112</v>
      </c>
      <c r="J24" s="82">
        <f t="shared" si="13"/>
        <v>9112</v>
      </c>
      <c r="K24" s="82">
        <f t="shared" si="13"/>
        <v>9112</v>
      </c>
      <c r="L24" s="82">
        <f t="shared" si="13"/>
        <v>9112</v>
      </c>
      <c r="M24" s="82">
        <f t="shared" si="13"/>
        <v>9112</v>
      </c>
      <c r="N24" s="82">
        <f t="shared" si="13"/>
        <v>9112</v>
      </c>
      <c r="O24" s="82">
        <f t="shared" si="13"/>
        <v>9112</v>
      </c>
      <c r="P24" s="82">
        <f t="shared" si="13"/>
        <v>9112</v>
      </c>
      <c r="Q24" s="82">
        <f t="shared" si="13"/>
        <v>9112</v>
      </c>
      <c r="R24" s="82">
        <f t="shared" si="13"/>
        <v>9112</v>
      </c>
      <c r="S24" s="82">
        <f t="shared" si="13"/>
        <v>9112</v>
      </c>
      <c r="T24" s="82">
        <f t="shared" si="13"/>
        <v>9112</v>
      </c>
      <c r="U24" s="82">
        <f t="shared" si="13"/>
        <v>9112</v>
      </c>
      <c r="V24" s="82">
        <f t="shared" si="13"/>
        <v>9112</v>
      </c>
      <c r="W24" s="82">
        <f t="shared" si="13"/>
        <v>9112</v>
      </c>
      <c r="Y24" s="66"/>
    </row>
    <row r="25" spans="2:25" ht="14.25">
      <c r="B25" s="81"/>
      <c r="C25" s="81"/>
      <c r="D25" s="81"/>
      <c r="Y25" s="66"/>
    </row>
    <row r="26" spans="1:25" ht="14.25">
      <c r="A26" s="48" t="s">
        <v>48</v>
      </c>
      <c r="B26" s="82">
        <v>0</v>
      </c>
      <c r="C26" s="82">
        <f>B29</f>
        <v>0</v>
      </c>
      <c r="D26" s="82">
        <f>C29</f>
        <v>455.6</v>
      </c>
      <c r="G26" s="82">
        <f>D26</f>
        <v>455.6</v>
      </c>
      <c r="H26" s="82">
        <f>C29</f>
        <v>455.6</v>
      </c>
      <c r="I26" s="82">
        <f>H29</f>
        <v>506.22222222222223</v>
      </c>
      <c r="J26" s="82">
        <f>I29</f>
        <v>1113.6888888888889</v>
      </c>
      <c r="K26" s="82">
        <f>J29</f>
        <v>1721.1555555555556</v>
      </c>
      <c r="L26" s="82">
        <f>C29</f>
        <v>455.6</v>
      </c>
      <c r="M26" s="82">
        <f aca="true" t="shared" si="14" ref="M26:W26">L29</f>
        <v>531.5333333333333</v>
      </c>
      <c r="N26" s="82">
        <f t="shared" si="14"/>
        <v>607.4666666666667</v>
      </c>
      <c r="O26" s="82">
        <f t="shared" si="14"/>
        <v>683.4000000000001</v>
      </c>
      <c r="P26" s="82">
        <f t="shared" si="14"/>
        <v>759.3333333333335</v>
      </c>
      <c r="Q26" s="82">
        <f t="shared" si="14"/>
        <v>835.2666666666669</v>
      </c>
      <c r="R26" s="82">
        <f t="shared" si="14"/>
        <v>911.2000000000003</v>
      </c>
      <c r="S26" s="82">
        <f t="shared" si="14"/>
        <v>987.1333333333337</v>
      </c>
      <c r="T26" s="82">
        <f t="shared" si="14"/>
        <v>1063.066666666667</v>
      </c>
      <c r="U26" s="82">
        <f t="shared" si="14"/>
        <v>1139.0000000000005</v>
      </c>
      <c r="V26" s="82">
        <f t="shared" si="14"/>
        <v>1214.9333333333338</v>
      </c>
      <c r="W26" s="82">
        <f t="shared" si="14"/>
        <v>1290.8666666666672</v>
      </c>
      <c r="Y26" s="66"/>
    </row>
    <row r="27" spans="1:25" ht="14.25">
      <c r="A27" s="48" t="s">
        <v>93</v>
      </c>
      <c r="B27" s="66">
        <f>B22/Inputs!B27/2</f>
        <v>0</v>
      </c>
      <c r="C27" s="66">
        <f>C21/Inputs!$B$27</f>
        <v>0</v>
      </c>
      <c r="D27" s="66">
        <f>D21/Inputs!$B$27</f>
        <v>911.2</v>
      </c>
      <c r="F27" s="48" t="s">
        <v>134</v>
      </c>
      <c r="G27" s="153">
        <f>SUM(L27:W27)</f>
        <v>911.2000000000003</v>
      </c>
      <c r="H27" s="66">
        <f>H21/Inputs!$B$26/12</f>
        <v>50.62222222222223</v>
      </c>
      <c r="I27" s="66">
        <f>I21/Inputs!$B$26</f>
        <v>607.4666666666667</v>
      </c>
      <c r="J27" s="66">
        <f>J21/Inputs!$B$26</f>
        <v>607.4666666666667</v>
      </c>
      <c r="K27" s="66">
        <f>K21/Inputs!$B$26</f>
        <v>607.4666666666667</v>
      </c>
      <c r="L27" s="66">
        <f>L21/Inputs!$B$27/12</f>
        <v>75.93333333333334</v>
      </c>
      <c r="M27" s="66">
        <f>M21/Inputs!$B$27/12</f>
        <v>75.93333333333334</v>
      </c>
      <c r="N27" s="66">
        <f>N21/Inputs!$B$27/12</f>
        <v>75.93333333333334</v>
      </c>
      <c r="O27" s="66">
        <f>O21/Inputs!$B$27/12</f>
        <v>75.93333333333334</v>
      </c>
      <c r="P27" s="66">
        <f>P21/Inputs!$B$27/12</f>
        <v>75.93333333333334</v>
      </c>
      <c r="Q27" s="66">
        <f>Q21/Inputs!$B$27/12</f>
        <v>75.93333333333334</v>
      </c>
      <c r="R27" s="66">
        <f>R21/Inputs!$B$27/12</f>
        <v>75.93333333333334</v>
      </c>
      <c r="S27" s="66">
        <f>S21/Inputs!$B$27/12</f>
        <v>75.93333333333334</v>
      </c>
      <c r="T27" s="66">
        <f>T21/Inputs!$B$27/12</f>
        <v>75.93333333333334</v>
      </c>
      <c r="U27" s="66">
        <f>U21/Inputs!$B$27/12</f>
        <v>75.93333333333334</v>
      </c>
      <c r="V27" s="66">
        <f>V21/Inputs!$B$27/12</f>
        <v>75.93333333333334</v>
      </c>
      <c r="W27" s="66">
        <f>W21/Inputs!$B$27/12</f>
        <v>75.93333333333334</v>
      </c>
      <c r="Y27" s="66"/>
    </row>
    <row r="28" spans="1:25" ht="14.25">
      <c r="A28" s="48" t="s">
        <v>94</v>
      </c>
      <c r="B28" s="55"/>
      <c r="C28" s="55">
        <f>C23/Inputs!$B$27/2</f>
        <v>455.6</v>
      </c>
      <c r="D28" s="55">
        <f>D23/Inputs!$B$27/2</f>
        <v>0</v>
      </c>
      <c r="F28" s="48" t="s">
        <v>135</v>
      </c>
      <c r="G28" s="153">
        <f>SUM(L28:W28)</f>
        <v>0</v>
      </c>
      <c r="H28" s="55">
        <f>H23/Inputs!$B$26/2</f>
        <v>0</v>
      </c>
      <c r="I28" s="55">
        <f>I23/Inputs!$B$26/2</f>
        <v>0</v>
      </c>
      <c r="J28" s="55">
        <f>J23/Inputs!$B$26/2</f>
        <v>0</v>
      </c>
      <c r="K28" s="55">
        <f>K23/Inputs!$B$26/2</f>
        <v>0</v>
      </c>
      <c r="L28" s="55">
        <f>L23/Inputs!$B$27/2/12</f>
        <v>0</v>
      </c>
      <c r="M28" s="55">
        <f>M23/Inputs!$B$27/2/12*M20+M22/Inputs!$B$27/2/12</f>
        <v>0</v>
      </c>
      <c r="N28" s="55">
        <f>N23/Inputs!$B$27/2/12*N20+N22/Inputs!$B$27/2/12</f>
        <v>0</v>
      </c>
      <c r="O28" s="55">
        <f>O23/Inputs!$B$27/2/12*O20+O22/Inputs!$B$27/2/12</f>
        <v>0</v>
      </c>
      <c r="P28" s="55">
        <f>P23/Inputs!$B$27/2/12*P20+P22/Inputs!$B$27/2/12</f>
        <v>0</v>
      </c>
      <c r="Q28" s="55">
        <f>Q23/Inputs!$B$27/2/12*Q20+Q22/Inputs!$B$27/2/12</f>
        <v>0</v>
      </c>
      <c r="R28" s="55">
        <f>R23/Inputs!$B$27/2/12*R20+R22/Inputs!$B$27/2/12</f>
        <v>0</v>
      </c>
      <c r="S28" s="55">
        <f>S23/Inputs!$B$27/2/12*S20+S22/Inputs!$B$27/2/12</f>
        <v>0</v>
      </c>
      <c r="T28" s="55">
        <f>T23/Inputs!$B$27/2/12*T20+T22/Inputs!$B$27/2/12</f>
        <v>0</v>
      </c>
      <c r="U28" s="55">
        <f>U23/Inputs!$B$27/2/12*U20+U22/Inputs!$B$27/2/12</f>
        <v>0</v>
      </c>
      <c r="V28" s="55">
        <f>V23/Inputs!$B$27/2/12*V20+V22/Inputs!$B$27/2/12</f>
        <v>0</v>
      </c>
      <c r="W28" s="55">
        <f>W23/Inputs!$B$27/2/12*W20+W22/Inputs!$B$27/2/12</f>
        <v>0</v>
      </c>
      <c r="Y28" s="66"/>
    </row>
    <row r="29" spans="1:25" ht="14.25">
      <c r="A29" s="48" t="s">
        <v>49</v>
      </c>
      <c r="B29" s="87">
        <f>SUM(B26:B28)</f>
        <v>0</v>
      </c>
      <c r="C29" s="87">
        <f>SUM(C26:C28)</f>
        <v>455.6</v>
      </c>
      <c r="D29" s="87">
        <f>SUM(D26:D28)</f>
        <v>1366.8000000000002</v>
      </c>
      <c r="G29" s="87">
        <f aca="true" t="shared" si="15" ref="G29:W29">SUM(G26:G28)</f>
        <v>1366.8000000000002</v>
      </c>
      <c r="H29" s="87">
        <f t="shared" si="15"/>
        <v>506.22222222222223</v>
      </c>
      <c r="I29" s="87">
        <f t="shared" si="15"/>
        <v>1113.6888888888889</v>
      </c>
      <c r="J29" s="87">
        <f t="shared" si="15"/>
        <v>1721.1555555555556</v>
      </c>
      <c r="K29" s="87">
        <f t="shared" si="15"/>
        <v>2328.6222222222223</v>
      </c>
      <c r="L29" s="87">
        <f t="shared" si="15"/>
        <v>531.5333333333333</v>
      </c>
      <c r="M29" s="87">
        <f t="shared" si="15"/>
        <v>607.4666666666667</v>
      </c>
      <c r="N29" s="87">
        <f t="shared" si="15"/>
        <v>683.4000000000001</v>
      </c>
      <c r="O29" s="87">
        <f t="shared" si="15"/>
        <v>759.3333333333335</v>
      </c>
      <c r="P29" s="87">
        <f t="shared" si="15"/>
        <v>835.2666666666669</v>
      </c>
      <c r="Q29" s="87">
        <f t="shared" si="15"/>
        <v>911.2000000000003</v>
      </c>
      <c r="R29" s="87">
        <f t="shared" si="15"/>
        <v>987.1333333333337</v>
      </c>
      <c r="S29" s="87">
        <f t="shared" si="15"/>
        <v>1063.066666666667</v>
      </c>
      <c r="T29" s="87">
        <f t="shared" si="15"/>
        <v>1139.0000000000005</v>
      </c>
      <c r="U29" s="87">
        <f t="shared" si="15"/>
        <v>1214.9333333333338</v>
      </c>
      <c r="V29" s="87">
        <f t="shared" si="15"/>
        <v>1290.8666666666672</v>
      </c>
      <c r="W29" s="87">
        <f t="shared" si="15"/>
        <v>1366.8000000000006</v>
      </c>
      <c r="Y29" s="66"/>
    </row>
    <row r="30" spans="2:25" ht="14.25">
      <c r="B30" s="87"/>
      <c r="C30" s="87"/>
      <c r="D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Y30" s="66"/>
    </row>
    <row r="31" spans="1:25" ht="14.25">
      <c r="A31" s="48" t="s">
        <v>50</v>
      </c>
      <c r="B31" s="55">
        <f>0</f>
        <v>0</v>
      </c>
      <c r="C31" s="66">
        <f>B32</f>
        <v>0</v>
      </c>
      <c r="D31" s="66">
        <f>C32</f>
        <v>8656.4</v>
      </c>
      <c r="G31" s="66">
        <f>L31</f>
        <v>8656.4</v>
      </c>
      <c r="H31" s="66">
        <f>C32</f>
        <v>8656.4</v>
      </c>
      <c r="I31" s="66">
        <f>H32</f>
        <v>8605.777777777777</v>
      </c>
      <c r="J31" s="66">
        <f>I32</f>
        <v>7998.311111111111</v>
      </c>
      <c r="K31" s="66">
        <f>J32</f>
        <v>7390.844444444445</v>
      </c>
      <c r="L31" s="66">
        <f>$C$32</f>
        <v>8656.4</v>
      </c>
      <c r="M31" s="66">
        <f>L31</f>
        <v>8656.4</v>
      </c>
      <c r="N31" s="66">
        <f aca="true" t="shared" si="16" ref="N31:W31">M31</f>
        <v>8656.4</v>
      </c>
      <c r="O31" s="66">
        <f t="shared" si="16"/>
        <v>8656.4</v>
      </c>
      <c r="P31" s="66">
        <f t="shared" si="16"/>
        <v>8656.4</v>
      </c>
      <c r="Q31" s="66">
        <f t="shared" si="16"/>
        <v>8656.4</v>
      </c>
      <c r="R31" s="66">
        <f t="shared" si="16"/>
        <v>8656.4</v>
      </c>
      <c r="S31" s="66">
        <f t="shared" si="16"/>
        <v>8656.4</v>
      </c>
      <c r="T31" s="66">
        <f t="shared" si="16"/>
        <v>8656.4</v>
      </c>
      <c r="U31" s="66">
        <f t="shared" si="16"/>
        <v>8656.4</v>
      </c>
      <c r="V31" s="66">
        <f t="shared" si="16"/>
        <v>8656.4</v>
      </c>
      <c r="W31" s="66">
        <f t="shared" si="16"/>
        <v>8656.4</v>
      </c>
      <c r="Y31" s="66"/>
    </row>
    <row r="32" spans="1:25" ht="14.25">
      <c r="A32" s="48" t="s">
        <v>51</v>
      </c>
      <c r="B32" s="82">
        <f>B24-B29</f>
        <v>0</v>
      </c>
      <c r="C32" s="82">
        <f>C24-C29</f>
        <v>8656.4</v>
      </c>
      <c r="D32" s="82">
        <f>D24-D29</f>
        <v>7745.2</v>
      </c>
      <c r="G32" s="82">
        <f aca="true" t="shared" si="17" ref="G32:W32">G24-G29</f>
        <v>7745.2</v>
      </c>
      <c r="H32" s="82">
        <f t="shared" si="17"/>
        <v>8605.777777777777</v>
      </c>
      <c r="I32" s="82">
        <f t="shared" si="17"/>
        <v>7998.311111111111</v>
      </c>
      <c r="J32" s="82">
        <f t="shared" si="17"/>
        <v>7390.844444444445</v>
      </c>
      <c r="K32" s="82">
        <f t="shared" si="17"/>
        <v>6783.377777777778</v>
      </c>
      <c r="L32" s="82">
        <f t="shared" si="17"/>
        <v>8580.466666666667</v>
      </c>
      <c r="M32" s="82">
        <f t="shared" si="17"/>
        <v>8504.533333333333</v>
      </c>
      <c r="N32" s="82">
        <f t="shared" si="17"/>
        <v>8428.6</v>
      </c>
      <c r="O32" s="82">
        <f t="shared" si="17"/>
        <v>8352.666666666666</v>
      </c>
      <c r="P32" s="82">
        <f t="shared" si="17"/>
        <v>8276.733333333334</v>
      </c>
      <c r="Q32" s="82">
        <f t="shared" si="17"/>
        <v>8200.8</v>
      </c>
      <c r="R32" s="82">
        <f t="shared" si="17"/>
        <v>8124.866666666667</v>
      </c>
      <c r="S32" s="82">
        <f t="shared" si="17"/>
        <v>8048.9333333333325</v>
      </c>
      <c r="T32" s="82">
        <f t="shared" si="17"/>
        <v>7973</v>
      </c>
      <c r="U32" s="82">
        <f t="shared" si="17"/>
        <v>7897.066666666666</v>
      </c>
      <c r="V32" s="82">
        <f t="shared" si="17"/>
        <v>7821.133333333333</v>
      </c>
      <c r="W32" s="82">
        <f t="shared" si="17"/>
        <v>7745.199999999999</v>
      </c>
      <c r="Y32" s="66"/>
    </row>
    <row r="33" spans="1:25" ht="15" thickBot="1">
      <c r="A33" s="48" t="s">
        <v>52</v>
      </c>
      <c r="B33" s="45">
        <f>(B32+B31)/2</f>
        <v>0</v>
      </c>
      <c r="C33" s="45">
        <f>(C32+C31)/2</f>
        <v>4328.2</v>
      </c>
      <c r="D33" s="45">
        <f>(D32+D31)/2</f>
        <v>8200.8</v>
      </c>
      <c r="G33" s="45">
        <f aca="true" t="shared" si="18" ref="G33:W33">(G32+G31)/2</f>
        <v>8200.8</v>
      </c>
      <c r="H33" s="45">
        <f t="shared" si="18"/>
        <v>8631.088888888888</v>
      </c>
      <c r="I33" s="45">
        <f t="shared" si="18"/>
        <v>8302.044444444444</v>
      </c>
      <c r="J33" s="45">
        <f t="shared" si="18"/>
        <v>7694.5777777777785</v>
      </c>
      <c r="K33" s="45">
        <f t="shared" si="18"/>
        <v>7087.111111111111</v>
      </c>
      <c r="L33" s="45">
        <f t="shared" si="18"/>
        <v>8618.433333333334</v>
      </c>
      <c r="M33" s="45">
        <f t="shared" si="18"/>
        <v>8580.466666666667</v>
      </c>
      <c r="N33" s="45">
        <f t="shared" si="18"/>
        <v>8542.5</v>
      </c>
      <c r="O33" s="45">
        <f t="shared" si="18"/>
        <v>8504.533333333333</v>
      </c>
      <c r="P33" s="45">
        <f t="shared" si="18"/>
        <v>8466.566666666666</v>
      </c>
      <c r="Q33" s="45">
        <f t="shared" si="18"/>
        <v>8428.599999999999</v>
      </c>
      <c r="R33" s="45">
        <f t="shared" si="18"/>
        <v>8390.633333333333</v>
      </c>
      <c r="S33" s="45">
        <f t="shared" si="18"/>
        <v>8352.666666666666</v>
      </c>
      <c r="T33" s="45">
        <f t="shared" si="18"/>
        <v>8314.7</v>
      </c>
      <c r="U33" s="45">
        <f t="shared" si="18"/>
        <v>8276.733333333334</v>
      </c>
      <c r="V33" s="45">
        <f t="shared" si="18"/>
        <v>8238.766666666666</v>
      </c>
      <c r="W33" s="45">
        <f t="shared" si="18"/>
        <v>8200.8</v>
      </c>
      <c r="Y33" s="66"/>
    </row>
    <row r="34" spans="2:25" ht="14.25">
      <c r="B34" s="81"/>
      <c r="C34" s="81"/>
      <c r="D34" s="81"/>
      <c r="Y34" s="66"/>
    </row>
    <row r="35" spans="1:25" ht="15">
      <c r="A35" s="47" t="s">
        <v>53</v>
      </c>
      <c r="B35" s="60">
        <f>B3</f>
        <v>39082</v>
      </c>
      <c r="C35" s="60">
        <f>C3</f>
        <v>39447</v>
      </c>
      <c r="D35" s="60">
        <f>D3</f>
        <v>39813</v>
      </c>
      <c r="Y35" s="66"/>
    </row>
    <row r="36" spans="12:25" ht="14.25">
      <c r="L36" s="52">
        <f aca="true" t="shared" si="19" ref="L36:W36">L2</f>
        <v>1</v>
      </c>
      <c r="M36" s="52">
        <f t="shared" si="19"/>
        <v>2</v>
      </c>
      <c r="N36" s="52">
        <f t="shared" si="19"/>
        <v>3</v>
      </c>
      <c r="O36" s="52">
        <f t="shared" si="19"/>
        <v>4</v>
      </c>
      <c r="P36" s="52">
        <f t="shared" si="19"/>
        <v>5</v>
      </c>
      <c r="Q36" s="52">
        <f t="shared" si="19"/>
        <v>6</v>
      </c>
      <c r="R36" s="52">
        <f t="shared" si="19"/>
        <v>7</v>
      </c>
      <c r="S36" s="52">
        <f t="shared" si="19"/>
        <v>8</v>
      </c>
      <c r="T36" s="52">
        <f t="shared" si="19"/>
        <v>9</v>
      </c>
      <c r="U36" s="52">
        <f t="shared" si="19"/>
        <v>10</v>
      </c>
      <c r="V36" s="52">
        <f t="shared" si="19"/>
        <v>11</v>
      </c>
      <c r="W36" s="52">
        <f t="shared" si="19"/>
        <v>12</v>
      </c>
      <c r="Y36" s="66"/>
    </row>
    <row r="37" spans="1:25" ht="14.25">
      <c r="A37" s="48" t="s">
        <v>46</v>
      </c>
      <c r="B37" s="87">
        <v>0</v>
      </c>
      <c r="C37" s="87">
        <f>B40</f>
        <v>0</v>
      </c>
      <c r="D37" s="87">
        <f>C40</f>
        <v>53131</v>
      </c>
      <c r="F37" s="48" t="s">
        <v>132</v>
      </c>
      <c r="G37" s="66">
        <f>L37</f>
        <v>53131</v>
      </c>
      <c r="H37" s="66">
        <f>N37</f>
        <v>53131</v>
      </c>
      <c r="I37" s="66">
        <f>Q37</f>
        <v>53131</v>
      </c>
      <c r="J37" s="66">
        <f>T37</f>
        <v>53131</v>
      </c>
      <c r="K37" s="66">
        <f>W37</f>
        <v>53131</v>
      </c>
      <c r="L37" s="66">
        <f>C40</f>
        <v>53131</v>
      </c>
      <c r="M37" s="66">
        <f>L37</f>
        <v>53131</v>
      </c>
      <c r="N37" s="66">
        <f aca="true" t="shared" si="20" ref="N37:W37">M37</f>
        <v>53131</v>
      </c>
      <c r="O37" s="66">
        <f t="shared" si="20"/>
        <v>53131</v>
      </c>
      <c r="P37" s="66">
        <f t="shared" si="20"/>
        <v>53131</v>
      </c>
      <c r="Q37" s="66">
        <f t="shared" si="20"/>
        <v>53131</v>
      </c>
      <c r="R37" s="66">
        <f t="shared" si="20"/>
        <v>53131</v>
      </c>
      <c r="S37" s="66">
        <f t="shared" si="20"/>
        <v>53131</v>
      </c>
      <c r="T37" s="66">
        <f t="shared" si="20"/>
        <v>53131</v>
      </c>
      <c r="U37" s="66">
        <f t="shared" si="20"/>
        <v>53131</v>
      </c>
      <c r="V37" s="66">
        <f t="shared" si="20"/>
        <v>53131</v>
      </c>
      <c r="W37" s="66">
        <f t="shared" si="20"/>
        <v>53131</v>
      </c>
      <c r="Y37" s="66"/>
    </row>
    <row r="38" spans="1:25" ht="14.25">
      <c r="A38" s="48" t="s">
        <v>81</v>
      </c>
      <c r="B38" s="71">
        <f>+Inputs!B21</f>
        <v>0</v>
      </c>
      <c r="C38" s="55"/>
      <c r="D38" s="55"/>
      <c r="F38" s="48" t="s">
        <v>137</v>
      </c>
      <c r="M38" s="153">
        <f>L39</f>
        <v>8886.03</v>
      </c>
      <c r="N38" s="153">
        <f>SUM($L39:M39)</f>
        <v>1170.750000000001</v>
      </c>
      <c r="O38" s="153">
        <f>SUM($L39:N39)</f>
        <v>1735.190000000001</v>
      </c>
      <c r="P38" s="153">
        <f>SUM($L39:O39)</f>
        <v>1735.190000000001</v>
      </c>
      <c r="Q38" s="153">
        <f>SUM($L39:P39)</f>
        <v>1735.190000000001</v>
      </c>
      <c r="R38" s="153">
        <f>SUM($L39:Q39)</f>
        <v>1735.190000000001</v>
      </c>
      <c r="S38" s="153">
        <f>SUM($L39:R39)</f>
        <v>1735.190000000001</v>
      </c>
      <c r="T38" s="153">
        <f>SUM($L39:S39)</f>
        <v>1735.190000000001</v>
      </c>
      <c r="U38" s="153">
        <f>SUM($L39:T39)</f>
        <v>1735.190000000001</v>
      </c>
      <c r="V38" s="153">
        <f>SUM($L39:U39)</f>
        <v>1735.190000000001</v>
      </c>
      <c r="W38" s="153">
        <f>SUM($L39:V39)</f>
        <v>1735.190000000001</v>
      </c>
      <c r="Y38" s="66"/>
    </row>
    <row r="39" spans="1:25" ht="14.25">
      <c r="A39" s="48" t="s">
        <v>82</v>
      </c>
      <c r="B39" s="55"/>
      <c r="C39" s="55">
        <f>Inputs!G21</f>
        <v>53131</v>
      </c>
      <c r="D39" s="55">
        <f>Inputs!I21</f>
        <v>5137.710000000001</v>
      </c>
      <c r="F39" s="153" t="s">
        <v>136</v>
      </c>
      <c r="G39" s="153">
        <f>SUM(L39:W39)</f>
        <v>5137.710000000001</v>
      </c>
      <c r="H39" s="153">
        <f>SUM(L39:N39)</f>
        <v>1735.190000000001</v>
      </c>
      <c r="I39" s="153">
        <f>SUM(O39:Q39)</f>
        <v>0</v>
      </c>
      <c r="J39" s="153">
        <f>SUM(R39:T39)</f>
        <v>0</v>
      </c>
      <c r="K39" s="153">
        <f>SUM(U39:W39)</f>
        <v>3402.52</v>
      </c>
      <c r="L39" s="155">
        <v>8886.03</v>
      </c>
      <c r="M39" s="155">
        <v>-7715.28</v>
      </c>
      <c r="N39" s="155">
        <v>564.4399999999999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3402.52</v>
      </c>
      <c r="Y39" s="66"/>
    </row>
    <row r="40" spans="1:25" ht="14.25">
      <c r="A40" s="48" t="s">
        <v>47</v>
      </c>
      <c r="B40" s="82">
        <f>SUM(B37:B39)</f>
        <v>0</v>
      </c>
      <c r="C40" s="82">
        <f>SUM(C37:C39)</f>
        <v>53131</v>
      </c>
      <c r="D40" s="82">
        <f>SUM(D37:D39)</f>
        <v>58268.71</v>
      </c>
      <c r="F40" s="48" t="s">
        <v>133</v>
      </c>
      <c r="G40" s="82">
        <f aca="true" t="shared" si="21" ref="G40:W40">SUM(G37:G39)</f>
        <v>58268.71</v>
      </c>
      <c r="H40" s="82">
        <f t="shared" si="21"/>
        <v>54866.19</v>
      </c>
      <c r="I40" s="82">
        <f t="shared" si="21"/>
        <v>53131</v>
      </c>
      <c r="J40" s="82">
        <f t="shared" si="21"/>
        <v>53131</v>
      </c>
      <c r="K40" s="82">
        <f t="shared" si="21"/>
        <v>56533.52</v>
      </c>
      <c r="L40" s="82">
        <f t="shared" si="21"/>
        <v>62017.03</v>
      </c>
      <c r="M40" s="82">
        <f t="shared" si="21"/>
        <v>54301.75</v>
      </c>
      <c r="N40" s="82">
        <f t="shared" si="21"/>
        <v>54866.19</v>
      </c>
      <c r="O40" s="82">
        <f t="shared" si="21"/>
        <v>54866.19</v>
      </c>
      <c r="P40" s="82">
        <f t="shared" si="21"/>
        <v>54866.19</v>
      </c>
      <c r="Q40" s="82">
        <f t="shared" si="21"/>
        <v>54866.19</v>
      </c>
      <c r="R40" s="82">
        <f t="shared" si="21"/>
        <v>54866.19</v>
      </c>
      <c r="S40" s="82">
        <f t="shared" si="21"/>
        <v>54866.19</v>
      </c>
      <c r="T40" s="82">
        <f t="shared" si="21"/>
        <v>54866.19</v>
      </c>
      <c r="U40" s="82">
        <f t="shared" si="21"/>
        <v>54866.19</v>
      </c>
      <c r="V40" s="82">
        <f t="shared" si="21"/>
        <v>54866.19</v>
      </c>
      <c r="W40" s="82">
        <f t="shared" si="21"/>
        <v>58268.71</v>
      </c>
      <c r="Y40" s="66"/>
    </row>
    <row r="41" spans="2:25" ht="14.25">
      <c r="B41" s="81"/>
      <c r="C41" s="81"/>
      <c r="D41" s="81"/>
      <c r="Y41" s="66"/>
    </row>
    <row r="42" spans="1:25" ht="14.25">
      <c r="A42" s="48" t="s">
        <v>48</v>
      </c>
      <c r="B42" s="82">
        <v>0</v>
      </c>
      <c r="C42" s="82">
        <f>B45</f>
        <v>0</v>
      </c>
      <c r="D42" s="82">
        <f>C45</f>
        <v>5313.1</v>
      </c>
      <c r="E42" s="66"/>
      <c r="G42" s="82">
        <f>D42</f>
        <v>5313.1</v>
      </c>
      <c r="H42" s="82">
        <f>C45</f>
        <v>5313.1</v>
      </c>
      <c r="I42" s="82">
        <f>H45</f>
        <v>5666.11188888889</v>
      </c>
      <c r="J42" s="82">
        <f>I45</f>
        <v>9208.178555555556</v>
      </c>
      <c r="K42" s="82">
        <f>J45</f>
        <v>12750.245222222224</v>
      </c>
      <c r="L42" s="82">
        <f>C45</f>
        <v>5313.1</v>
      </c>
      <c r="M42" s="82">
        <f aca="true" t="shared" si="22" ref="M42:W42">L45</f>
        <v>6272.666916666667</v>
      </c>
      <c r="N42" s="82">
        <f t="shared" si="22"/>
        <v>7103.645833333333</v>
      </c>
      <c r="O42" s="82">
        <f t="shared" si="22"/>
        <v>8013.02975</v>
      </c>
      <c r="P42" s="82">
        <f t="shared" si="22"/>
        <v>8913.006333333333</v>
      </c>
      <c r="Q42" s="82">
        <f t="shared" si="22"/>
        <v>9812.982916666666</v>
      </c>
      <c r="R42" s="82">
        <f t="shared" si="22"/>
        <v>10712.959499999999</v>
      </c>
      <c r="S42" s="82">
        <f t="shared" si="22"/>
        <v>11612.936083333332</v>
      </c>
      <c r="T42" s="82">
        <f t="shared" si="22"/>
        <v>12512.912666666665</v>
      </c>
      <c r="U42" s="82">
        <f t="shared" si="22"/>
        <v>13412.889249999998</v>
      </c>
      <c r="V42" s="82">
        <f t="shared" si="22"/>
        <v>14312.865833333331</v>
      </c>
      <c r="W42" s="82">
        <f t="shared" si="22"/>
        <v>15212.842416666665</v>
      </c>
      <c r="Y42" s="66"/>
    </row>
    <row r="43" spans="1:25" ht="14.25">
      <c r="A43" s="48" t="s">
        <v>105</v>
      </c>
      <c r="B43" s="66">
        <f>B38/Inputs!B28/2</f>
        <v>0</v>
      </c>
      <c r="C43" s="66">
        <f>C37/Inputs!$B$28</f>
        <v>0</v>
      </c>
      <c r="D43" s="66">
        <f>D37/Inputs!$B$28</f>
        <v>10626.2</v>
      </c>
      <c r="F43" s="48" t="s">
        <v>134</v>
      </c>
      <c r="G43" s="153">
        <f>SUM(L43:W43)</f>
        <v>10626.199999999999</v>
      </c>
      <c r="H43" s="66">
        <f>H37/Inputs!$B$26/12</f>
        <v>295.1722222222222</v>
      </c>
      <c r="I43" s="66">
        <f>I37/Inputs!$B$26</f>
        <v>3542.0666666666666</v>
      </c>
      <c r="J43" s="66">
        <f>J37/Inputs!$B$26</f>
        <v>3542.0666666666666</v>
      </c>
      <c r="K43" s="66">
        <f>K37/Inputs!$B$26</f>
        <v>3542.0666666666666</v>
      </c>
      <c r="L43" s="66">
        <f>L37/Inputs!$B$28/12</f>
        <v>885.5166666666668</v>
      </c>
      <c r="M43" s="66">
        <f>M37/Inputs!$B$28/12</f>
        <v>885.5166666666668</v>
      </c>
      <c r="N43" s="66">
        <f>N37/Inputs!$B$28/12</f>
        <v>885.5166666666668</v>
      </c>
      <c r="O43" s="66">
        <f>O37/Inputs!$B$28/12</f>
        <v>885.5166666666668</v>
      </c>
      <c r="P43" s="66">
        <f>P37/Inputs!$B$28/12</f>
        <v>885.5166666666668</v>
      </c>
      <c r="Q43" s="66">
        <f>Q37/Inputs!$B$28/12</f>
        <v>885.5166666666668</v>
      </c>
      <c r="R43" s="66">
        <f>R37/Inputs!$B$28/12</f>
        <v>885.5166666666668</v>
      </c>
      <c r="S43" s="66">
        <f>S37/Inputs!$B$28/12</f>
        <v>885.5166666666668</v>
      </c>
      <c r="T43" s="66">
        <f>T37/Inputs!$B$28/12</f>
        <v>885.5166666666668</v>
      </c>
      <c r="U43" s="66">
        <f>U37/Inputs!$B$28/12</f>
        <v>885.5166666666668</v>
      </c>
      <c r="V43" s="66">
        <f>V37/Inputs!$B$28/12</f>
        <v>885.5166666666668</v>
      </c>
      <c r="W43" s="66">
        <f>W37/Inputs!$B$28/12</f>
        <v>885.5166666666668</v>
      </c>
      <c r="Y43" s="66"/>
    </row>
    <row r="44" spans="1:25" ht="14.25">
      <c r="A44" s="48" t="s">
        <v>106</v>
      </c>
      <c r="B44" s="55"/>
      <c r="C44" s="55">
        <f>C39/Inputs!$B$28/2</f>
        <v>5313.1</v>
      </c>
      <c r="D44" s="55">
        <f>D39/Inputs!$B$28/2</f>
        <v>513.7710000000001</v>
      </c>
      <c r="F44" s="48" t="s">
        <v>135</v>
      </c>
      <c r="G44" s="153">
        <f>SUM(L44:W44)</f>
        <v>513.7710000000002</v>
      </c>
      <c r="H44" s="55">
        <f>H39/Inputs!$B$26/2</f>
        <v>57.8396666666667</v>
      </c>
      <c r="I44" s="55">
        <f>I39/Inputs!$B$26/2</f>
        <v>0</v>
      </c>
      <c r="J44" s="55">
        <f>J39/Inputs!$B$26/2</f>
        <v>0</v>
      </c>
      <c r="K44" s="55">
        <f>K39/Inputs!$B$26/2</f>
        <v>113.41733333333333</v>
      </c>
      <c r="L44" s="55">
        <f>L39/Inputs!$B$28/2/12</f>
        <v>74.05025</v>
      </c>
      <c r="M44" s="55">
        <f>M39/Inputs!$B$28/2/12*M36+M38/Inputs!$B$28/2/12</f>
        <v>-54.53774999999999</v>
      </c>
      <c r="N44" s="55">
        <f>N39/Inputs!$B$28/2/12*N36+N38/Inputs!$B$28/2/12</f>
        <v>23.867250000000006</v>
      </c>
      <c r="O44" s="55">
        <f>O39/Inputs!$B$28/2/12*O36+O38/Inputs!$B$28/2/12</f>
        <v>14.459916666666674</v>
      </c>
      <c r="P44" s="55">
        <f>P39/Inputs!$B$28/2/12*P36+P38/Inputs!$B$28/2/12</f>
        <v>14.459916666666674</v>
      </c>
      <c r="Q44" s="55">
        <f>Q39/Inputs!$B$28/2/12*Q36+Q38/Inputs!$B$28/2/12</f>
        <v>14.459916666666674</v>
      </c>
      <c r="R44" s="55">
        <f>R39/Inputs!$B$28/2/12*R36+R38/Inputs!$B$28/2/12</f>
        <v>14.459916666666674</v>
      </c>
      <c r="S44" s="55">
        <f>S39/Inputs!$B$28/2/12*S36+S38/Inputs!$B$28/2/12</f>
        <v>14.459916666666674</v>
      </c>
      <c r="T44" s="55">
        <f>T39/Inputs!$B$28/2/12*T36+T38/Inputs!$B$28/2/12</f>
        <v>14.459916666666674</v>
      </c>
      <c r="U44" s="55">
        <f>U39/Inputs!$B$28/2/12*U36+U38/Inputs!$B$28/2/12</f>
        <v>14.459916666666674</v>
      </c>
      <c r="V44" s="55">
        <f>V39/Inputs!$B$28/2/12*V36+V38/Inputs!$B$28/2/12</f>
        <v>14.459916666666674</v>
      </c>
      <c r="W44" s="55">
        <f>W39/Inputs!$B$28/2/12*W36+W38/Inputs!$B$28/2/12</f>
        <v>354.7119166666667</v>
      </c>
      <c r="Y44" s="66"/>
    </row>
    <row r="45" spans="1:25" ht="14.25">
      <c r="A45" s="48" t="s">
        <v>49</v>
      </c>
      <c r="B45" s="87">
        <f>SUM(B42:B44)</f>
        <v>0</v>
      </c>
      <c r="C45" s="87">
        <f>SUM(C42:C44)</f>
        <v>5313.1</v>
      </c>
      <c r="D45" s="87">
        <f>SUM(D42:D44)</f>
        <v>16453.071</v>
      </c>
      <c r="G45" s="87">
        <f aca="true" t="shared" si="23" ref="G45:W45">SUM(G42:G44)</f>
        <v>16453.071</v>
      </c>
      <c r="H45" s="87">
        <f t="shared" si="23"/>
        <v>5666.11188888889</v>
      </c>
      <c r="I45" s="87">
        <f t="shared" si="23"/>
        <v>9208.178555555556</v>
      </c>
      <c r="J45" s="87">
        <f t="shared" si="23"/>
        <v>12750.245222222224</v>
      </c>
      <c r="K45" s="87">
        <f t="shared" si="23"/>
        <v>16405.729222222224</v>
      </c>
      <c r="L45" s="87">
        <f t="shared" si="23"/>
        <v>6272.666916666667</v>
      </c>
      <c r="M45" s="87">
        <f t="shared" si="23"/>
        <v>7103.645833333333</v>
      </c>
      <c r="N45" s="87">
        <f t="shared" si="23"/>
        <v>8013.02975</v>
      </c>
      <c r="O45" s="87">
        <f t="shared" si="23"/>
        <v>8913.006333333333</v>
      </c>
      <c r="P45" s="87">
        <f t="shared" si="23"/>
        <v>9812.982916666666</v>
      </c>
      <c r="Q45" s="87">
        <f t="shared" si="23"/>
        <v>10712.959499999999</v>
      </c>
      <c r="R45" s="87">
        <f t="shared" si="23"/>
        <v>11612.936083333332</v>
      </c>
      <c r="S45" s="87">
        <f t="shared" si="23"/>
        <v>12512.912666666665</v>
      </c>
      <c r="T45" s="87">
        <f t="shared" si="23"/>
        <v>13412.889249999998</v>
      </c>
      <c r="U45" s="87">
        <f t="shared" si="23"/>
        <v>14312.865833333331</v>
      </c>
      <c r="V45" s="87">
        <f t="shared" si="23"/>
        <v>15212.842416666665</v>
      </c>
      <c r="W45" s="87">
        <f t="shared" si="23"/>
        <v>16453.070999999996</v>
      </c>
      <c r="Y45" s="66"/>
    </row>
    <row r="46" spans="2:25" ht="14.25">
      <c r="B46" s="87"/>
      <c r="C46" s="87"/>
      <c r="D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Y46" s="66"/>
    </row>
    <row r="47" spans="1:25" ht="14.25">
      <c r="A47" s="48" t="s">
        <v>50</v>
      </c>
      <c r="B47" s="55">
        <f>0</f>
        <v>0</v>
      </c>
      <c r="C47" s="66">
        <f>B48</f>
        <v>0</v>
      </c>
      <c r="D47" s="66">
        <f>C48</f>
        <v>47817.9</v>
      </c>
      <c r="G47" s="66">
        <f>L47</f>
        <v>47817.9</v>
      </c>
      <c r="H47" s="66">
        <f>C48</f>
        <v>47817.9</v>
      </c>
      <c r="I47" s="66">
        <f>H48</f>
        <v>49200.078111111114</v>
      </c>
      <c r="J47" s="66">
        <f>I48</f>
        <v>43922.821444444446</v>
      </c>
      <c r="K47" s="66">
        <f>J48</f>
        <v>40380.75477777778</v>
      </c>
      <c r="L47" s="66">
        <f>$C$48</f>
        <v>47817.9</v>
      </c>
      <c r="M47" s="66">
        <f>L47</f>
        <v>47817.9</v>
      </c>
      <c r="N47" s="66">
        <f aca="true" t="shared" si="24" ref="N47:W47">M47</f>
        <v>47817.9</v>
      </c>
      <c r="O47" s="66">
        <f t="shared" si="24"/>
        <v>47817.9</v>
      </c>
      <c r="P47" s="66">
        <f t="shared" si="24"/>
        <v>47817.9</v>
      </c>
      <c r="Q47" s="66">
        <f t="shared" si="24"/>
        <v>47817.9</v>
      </c>
      <c r="R47" s="66">
        <f t="shared" si="24"/>
        <v>47817.9</v>
      </c>
      <c r="S47" s="66">
        <f t="shared" si="24"/>
        <v>47817.9</v>
      </c>
      <c r="T47" s="66">
        <f t="shared" si="24"/>
        <v>47817.9</v>
      </c>
      <c r="U47" s="66">
        <f t="shared" si="24"/>
        <v>47817.9</v>
      </c>
      <c r="V47" s="66">
        <f t="shared" si="24"/>
        <v>47817.9</v>
      </c>
      <c r="W47" s="66">
        <f t="shared" si="24"/>
        <v>47817.9</v>
      </c>
      <c r="Y47" s="66"/>
    </row>
    <row r="48" spans="1:25" ht="14.25">
      <c r="A48" s="48" t="s">
        <v>51</v>
      </c>
      <c r="B48" s="82">
        <f>B40-B45</f>
        <v>0</v>
      </c>
      <c r="C48" s="82">
        <f>C40-C45</f>
        <v>47817.9</v>
      </c>
      <c r="D48" s="82">
        <f>D40-D45</f>
        <v>41815.638999999996</v>
      </c>
      <c r="E48" s="57"/>
      <c r="G48" s="82">
        <f aca="true" t="shared" si="25" ref="G48:W48">G40-G45</f>
        <v>41815.638999999996</v>
      </c>
      <c r="H48" s="82">
        <f t="shared" si="25"/>
        <v>49200.078111111114</v>
      </c>
      <c r="I48" s="82">
        <f t="shared" si="25"/>
        <v>43922.821444444446</v>
      </c>
      <c r="J48" s="82">
        <f t="shared" si="25"/>
        <v>40380.75477777778</v>
      </c>
      <c r="K48" s="82">
        <f t="shared" si="25"/>
        <v>40127.79077777777</v>
      </c>
      <c r="L48" s="82">
        <f t="shared" si="25"/>
        <v>55744.36308333333</v>
      </c>
      <c r="M48" s="82">
        <f t="shared" si="25"/>
        <v>47198.104166666664</v>
      </c>
      <c r="N48" s="82">
        <f t="shared" si="25"/>
        <v>46853.16025</v>
      </c>
      <c r="O48" s="82">
        <f t="shared" si="25"/>
        <v>45953.18366666667</v>
      </c>
      <c r="P48" s="82">
        <f t="shared" si="25"/>
        <v>45053.207083333335</v>
      </c>
      <c r="Q48" s="82">
        <f t="shared" si="25"/>
        <v>44153.230500000005</v>
      </c>
      <c r="R48" s="82">
        <f t="shared" si="25"/>
        <v>43253.25391666667</v>
      </c>
      <c r="S48" s="82">
        <f t="shared" si="25"/>
        <v>42353.27733333334</v>
      </c>
      <c r="T48" s="82">
        <f t="shared" si="25"/>
        <v>41453.30075</v>
      </c>
      <c r="U48" s="82">
        <f t="shared" si="25"/>
        <v>40553.32416666667</v>
      </c>
      <c r="V48" s="82">
        <f t="shared" si="25"/>
        <v>39653.347583333336</v>
      </c>
      <c r="W48" s="82">
        <f t="shared" si="25"/>
        <v>41815.639</v>
      </c>
      <c r="Y48" s="66"/>
    </row>
    <row r="49" spans="1:25" ht="15" thickBot="1">
      <c r="A49" s="48" t="s">
        <v>52</v>
      </c>
      <c r="B49" s="45">
        <f>(B48+B47)/2</f>
        <v>0</v>
      </c>
      <c r="C49" s="45">
        <f>(C48+C47)/2</f>
        <v>23908.95</v>
      </c>
      <c r="D49" s="45">
        <f>(D48+D47)/2</f>
        <v>44816.769499999995</v>
      </c>
      <c r="E49" s="57"/>
      <c r="G49" s="45">
        <f aca="true" t="shared" si="26" ref="G49:W49">(G48+G47)/2</f>
        <v>44816.769499999995</v>
      </c>
      <c r="H49" s="45">
        <f t="shared" si="26"/>
        <v>48508.98905555556</v>
      </c>
      <c r="I49" s="45">
        <f t="shared" si="26"/>
        <v>46561.44977777778</v>
      </c>
      <c r="J49" s="45">
        <f t="shared" si="26"/>
        <v>42151.78811111111</v>
      </c>
      <c r="K49" s="45">
        <f t="shared" si="26"/>
        <v>40254.272777777776</v>
      </c>
      <c r="L49" s="45">
        <f t="shared" si="26"/>
        <v>51781.13154166666</v>
      </c>
      <c r="M49" s="45">
        <f t="shared" si="26"/>
        <v>47508.00208333333</v>
      </c>
      <c r="N49" s="45">
        <f t="shared" si="26"/>
        <v>47335.530125000005</v>
      </c>
      <c r="O49" s="45">
        <f t="shared" si="26"/>
        <v>46885.54183333334</v>
      </c>
      <c r="P49" s="45">
        <f t="shared" si="26"/>
        <v>46435.55354166667</v>
      </c>
      <c r="Q49" s="45">
        <f t="shared" si="26"/>
        <v>45985.56525</v>
      </c>
      <c r="R49" s="45">
        <f t="shared" si="26"/>
        <v>45535.57695833333</v>
      </c>
      <c r="S49" s="45">
        <f t="shared" si="26"/>
        <v>45085.58866666667</v>
      </c>
      <c r="T49" s="45">
        <f t="shared" si="26"/>
        <v>44635.600375</v>
      </c>
      <c r="U49" s="45">
        <f t="shared" si="26"/>
        <v>44185.61208333334</v>
      </c>
      <c r="V49" s="45">
        <f t="shared" si="26"/>
        <v>43735.62379166667</v>
      </c>
      <c r="W49" s="45">
        <f t="shared" si="26"/>
        <v>44816.7695</v>
      </c>
      <c r="Y49" s="66"/>
    </row>
    <row r="50" ht="14.25">
      <c r="Y50" s="66"/>
    </row>
    <row r="51" spans="1:25" ht="15">
      <c r="A51" s="47" t="s">
        <v>54</v>
      </c>
      <c r="B51" s="60">
        <f>B3</f>
        <v>39082</v>
      </c>
      <c r="C51" s="60">
        <f>C3</f>
        <v>39447</v>
      </c>
      <c r="D51" s="60">
        <f>D3</f>
        <v>39813</v>
      </c>
      <c r="Y51" s="66"/>
    </row>
    <row r="52" spans="12:25" ht="14.25">
      <c r="L52" s="52">
        <f aca="true" t="shared" si="27" ref="L52:W52">L2</f>
        <v>1</v>
      </c>
      <c r="M52" s="52">
        <f t="shared" si="27"/>
        <v>2</v>
      </c>
      <c r="N52" s="52">
        <f t="shared" si="27"/>
        <v>3</v>
      </c>
      <c r="O52" s="52">
        <f t="shared" si="27"/>
        <v>4</v>
      </c>
      <c r="P52" s="52">
        <f t="shared" si="27"/>
        <v>5</v>
      </c>
      <c r="Q52" s="52">
        <f t="shared" si="27"/>
        <v>6</v>
      </c>
      <c r="R52" s="52">
        <f t="shared" si="27"/>
        <v>7</v>
      </c>
      <c r="S52" s="52">
        <f t="shared" si="27"/>
        <v>8</v>
      </c>
      <c r="T52" s="52">
        <f t="shared" si="27"/>
        <v>9</v>
      </c>
      <c r="U52" s="52">
        <f t="shared" si="27"/>
        <v>10</v>
      </c>
      <c r="V52" s="52">
        <f t="shared" si="27"/>
        <v>11</v>
      </c>
      <c r="W52" s="52">
        <f t="shared" si="27"/>
        <v>12</v>
      </c>
      <c r="Y52" s="66"/>
    </row>
    <row r="53" spans="1:25" ht="14.25">
      <c r="A53" s="48" t="s">
        <v>46</v>
      </c>
      <c r="B53" s="87">
        <v>0</v>
      </c>
      <c r="C53" s="87">
        <f>B56</f>
        <v>0</v>
      </c>
      <c r="D53" s="87">
        <f>C56</f>
        <v>111744</v>
      </c>
      <c r="F53" s="48" t="s">
        <v>132</v>
      </c>
      <c r="G53" s="66">
        <f>L53</f>
        <v>111744</v>
      </c>
      <c r="H53" s="66">
        <f>N53</f>
        <v>111744</v>
      </c>
      <c r="I53" s="66">
        <f>Q53</f>
        <v>111744</v>
      </c>
      <c r="J53" s="66">
        <f>T53</f>
        <v>111744</v>
      </c>
      <c r="K53" s="66">
        <f>W53</f>
        <v>111744</v>
      </c>
      <c r="L53" s="66">
        <f>C56</f>
        <v>111744</v>
      </c>
      <c r="M53" s="66">
        <f>L53</f>
        <v>111744</v>
      </c>
      <c r="N53" s="66">
        <f aca="true" t="shared" si="28" ref="N53:W53">M53</f>
        <v>111744</v>
      </c>
      <c r="O53" s="66">
        <f t="shared" si="28"/>
        <v>111744</v>
      </c>
      <c r="P53" s="66">
        <f t="shared" si="28"/>
        <v>111744</v>
      </c>
      <c r="Q53" s="66">
        <f t="shared" si="28"/>
        <v>111744</v>
      </c>
      <c r="R53" s="66">
        <f t="shared" si="28"/>
        <v>111744</v>
      </c>
      <c r="S53" s="66">
        <f t="shared" si="28"/>
        <v>111744</v>
      </c>
      <c r="T53" s="66">
        <f t="shared" si="28"/>
        <v>111744</v>
      </c>
      <c r="U53" s="66">
        <f t="shared" si="28"/>
        <v>111744</v>
      </c>
      <c r="V53" s="66">
        <f t="shared" si="28"/>
        <v>111744</v>
      </c>
      <c r="W53" s="66">
        <f t="shared" si="28"/>
        <v>111744</v>
      </c>
      <c r="Y53" s="66"/>
    </row>
    <row r="54" spans="1:25" ht="14.25">
      <c r="A54" s="48" t="s">
        <v>81</v>
      </c>
      <c r="B54" s="71">
        <f>Inputs!B22</f>
        <v>0</v>
      </c>
      <c r="C54" s="55"/>
      <c r="D54" s="55"/>
      <c r="F54" s="48" t="s">
        <v>137</v>
      </c>
      <c r="M54" s="153">
        <f>L55</f>
        <v>38712.44</v>
      </c>
      <c r="N54" s="153">
        <f>SUM($L55:M55)</f>
        <v>194616.05000000002</v>
      </c>
      <c r="O54" s="153">
        <f>SUM($L55:N55)</f>
        <v>239322.94000000003</v>
      </c>
      <c r="P54" s="153">
        <f>SUM($L55:O55)</f>
        <v>358171.09</v>
      </c>
      <c r="Q54" s="153">
        <f>SUM($L55:P55)</f>
        <v>414225.7</v>
      </c>
      <c r="R54" s="153">
        <f>SUM($L55:Q55)</f>
        <v>487359.6</v>
      </c>
      <c r="S54" s="153">
        <f>SUM($L55:R55)</f>
        <v>652906.9099999999</v>
      </c>
      <c r="T54" s="153">
        <f>SUM($L55:S55)</f>
        <v>660472.1799999999</v>
      </c>
      <c r="U54" s="153">
        <f>SUM($L55:T55)</f>
        <v>665166.45</v>
      </c>
      <c r="V54" s="153">
        <f>SUM($L55:U55)</f>
        <v>695153.1499999999</v>
      </c>
      <c r="W54" s="153">
        <f>SUM($L55:V55)</f>
        <v>754142.1099999999</v>
      </c>
      <c r="Y54" s="66"/>
    </row>
    <row r="55" spans="1:25" ht="14.25">
      <c r="A55" s="48" t="s">
        <v>82</v>
      </c>
      <c r="B55" s="55"/>
      <c r="C55" s="55">
        <f>+Inputs!G22</f>
        <v>111744</v>
      </c>
      <c r="D55" s="55">
        <f>+Inputs!I22</f>
        <v>849219.9799999999</v>
      </c>
      <c r="F55" s="153" t="s">
        <v>136</v>
      </c>
      <c r="G55" s="153">
        <f>SUM(L55:W55)</f>
        <v>849219.9799999999</v>
      </c>
      <c r="H55" s="153">
        <f>SUM(L55:N55)</f>
        <v>239322.94000000003</v>
      </c>
      <c r="I55" s="153">
        <f>SUM(O55:Q55)</f>
        <v>248036.66</v>
      </c>
      <c r="J55" s="153">
        <f>SUM(R55:T55)</f>
        <v>177806.84999999998</v>
      </c>
      <c r="K55" s="153">
        <f>SUM(U55:W55)</f>
        <v>184053.53000000003</v>
      </c>
      <c r="L55" s="155">
        <v>38712.44</v>
      </c>
      <c r="M55" s="155">
        <v>155903.61000000002</v>
      </c>
      <c r="N55" s="155">
        <v>44706.89000000001</v>
      </c>
      <c r="O55" s="155">
        <v>118848.15</v>
      </c>
      <c r="P55" s="155">
        <v>56054.61</v>
      </c>
      <c r="Q55" s="155">
        <v>73133.9</v>
      </c>
      <c r="R55" s="155">
        <v>165547.31</v>
      </c>
      <c r="S55" s="155">
        <v>7565.270000000001</v>
      </c>
      <c r="T55" s="155">
        <v>4694.2699999999995</v>
      </c>
      <c r="U55" s="155">
        <v>29986.7</v>
      </c>
      <c r="V55" s="155">
        <v>58988.96</v>
      </c>
      <c r="W55" s="155">
        <v>95077.87000000001</v>
      </c>
      <c r="Y55" s="66"/>
    </row>
    <row r="56" spans="1:25" ht="14.25">
      <c r="A56" s="48" t="s">
        <v>47</v>
      </c>
      <c r="B56" s="82">
        <f>SUM(B53:B55)</f>
        <v>0</v>
      </c>
      <c r="C56" s="82">
        <f>SUM(C53:C55)</f>
        <v>111744</v>
      </c>
      <c r="D56" s="82">
        <f>SUM(D53:D55)</f>
        <v>960963.9799999999</v>
      </c>
      <c r="F56" s="48" t="s">
        <v>133</v>
      </c>
      <c r="G56" s="82">
        <f aca="true" t="shared" si="29" ref="G56:W56">SUM(G53:G55)</f>
        <v>960963.9799999999</v>
      </c>
      <c r="H56" s="82">
        <f t="shared" si="29"/>
        <v>351066.94000000006</v>
      </c>
      <c r="I56" s="82">
        <f t="shared" si="29"/>
        <v>359780.66000000003</v>
      </c>
      <c r="J56" s="82">
        <f t="shared" si="29"/>
        <v>289550.85</v>
      </c>
      <c r="K56" s="82">
        <f t="shared" si="29"/>
        <v>295797.53</v>
      </c>
      <c r="L56" s="82">
        <f t="shared" si="29"/>
        <v>150456.44</v>
      </c>
      <c r="M56" s="82">
        <f t="shared" si="29"/>
        <v>306360.05000000005</v>
      </c>
      <c r="N56" s="82">
        <f t="shared" si="29"/>
        <v>351066.94000000006</v>
      </c>
      <c r="O56" s="82">
        <f t="shared" si="29"/>
        <v>469915.0900000001</v>
      </c>
      <c r="P56" s="82">
        <f t="shared" si="29"/>
        <v>525969.7000000001</v>
      </c>
      <c r="Q56" s="82">
        <f t="shared" si="29"/>
        <v>599103.6</v>
      </c>
      <c r="R56" s="82">
        <f t="shared" si="29"/>
        <v>764650.9099999999</v>
      </c>
      <c r="S56" s="82">
        <f t="shared" si="29"/>
        <v>772216.1799999999</v>
      </c>
      <c r="T56" s="82">
        <f t="shared" si="29"/>
        <v>776910.45</v>
      </c>
      <c r="U56" s="82">
        <f t="shared" si="29"/>
        <v>806897.1499999999</v>
      </c>
      <c r="V56" s="82">
        <f t="shared" si="29"/>
        <v>865886.1099999999</v>
      </c>
      <c r="W56" s="82">
        <f t="shared" si="29"/>
        <v>960963.9799999999</v>
      </c>
      <c r="Y56" s="66"/>
    </row>
    <row r="57" spans="2:25" ht="14.25">
      <c r="B57" s="81"/>
      <c r="C57" s="81"/>
      <c r="D57" s="81"/>
      <c r="Y57" s="66"/>
    </row>
    <row r="58" spans="1:25" ht="14.25">
      <c r="A58" s="48" t="s">
        <v>48</v>
      </c>
      <c r="B58" s="82">
        <v>0</v>
      </c>
      <c r="C58" s="82">
        <f>B61</f>
        <v>0</v>
      </c>
      <c r="D58" s="82">
        <f>C61</f>
        <v>11174.4</v>
      </c>
      <c r="G58" s="82">
        <f>D58</f>
        <v>11174.4</v>
      </c>
      <c r="H58" s="82">
        <f>C61</f>
        <v>11174.4</v>
      </c>
      <c r="I58" s="82">
        <f>H61</f>
        <v>19772.631333333335</v>
      </c>
      <c r="J58" s="82">
        <f>I61</f>
        <v>35490.12</v>
      </c>
      <c r="K58" s="82">
        <f>J61</f>
        <v>48866.615</v>
      </c>
      <c r="L58" s="82">
        <f>C61</f>
        <v>11174.4</v>
      </c>
      <c r="M58" s="82">
        <f aca="true" t="shared" si="30" ref="M58:W58">L61</f>
        <v>13359.403666666665</v>
      </c>
      <c r="N58" s="82">
        <f t="shared" si="30"/>
        <v>18142.80083333333</v>
      </c>
      <c r="O58" s="82">
        <f t="shared" si="30"/>
        <v>22744.6735</v>
      </c>
      <c r="P58" s="82">
        <f t="shared" si="30"/>
        <v>30563.036333333337</v>
      </c>
      <c r="Q58" s="82">
        <f t="shared" si="30"/>
        <v>37745.80416666667</v>
      </c>
      <c r="R58" s="82">
        <f t="shared" si="30"/>
        <v>46716.78</v>
      </c>
      <c r="S58" s="82">
        <f t="shared" si="30"/>
        <v>62297.436416666664</v>
      </c>
      <c r="T58" s="82">
        <f t="shared" si="30"/>
        <v>70105.07866666667</v>
      </c>
      <c r="U58" s="82">
        <f t="shared" si="30"/>
        <v>77823.48375</v>
      </c>
      <c r="V58" s="82">
        <f t="shared" si="30"/>
        <v>87727.82916666666</v>
      </c>
      <c r="W58" s="82">
        <f t="shared" si="30"/>
        <v>100790.49341666666</v>
      </c>
      <c r="Y58" s="66"/>
    </row>
    <row r="59" spans="1:25" ht="14.25">
      <c r="A59" s="48" t="s">
        <v>105</v>
      </c>
      <c r="B59" s="66">
        <f>B54/Inputs!B29/2</f>
        <v>0</v>
      </c>
      <c r="C59" s="66">
        <f>C53/Inputs!$B$29</f>
        <v>0</v>
      </c>
      <c r="D59" s="66">
        <f>D53/Inputs!$B$29</f>
        <v>22348.8</v>
      </c>
      <c r="F59" s="48" t="s">
        <v>134</v>
      </c>
      <c r="G59" s="153">
        <f>SUM(L59:W59)</f>
        <v>22348.800000000003</v>
      </c>
      <c r="H59" s="66">
        <f>H53/Inputs!$B$26/12</f>
        <v>620.8000000000001</v>
      </c>
      <c r="I59" s="66">
        <f>I53/Inputs!$B$26</f>
        <v>7449.6</v>
      </c>
      <c r="J59" s="66">
        <f>J53/Inputs!$B$26</f>
        <v>7449.6</v>
      </c>
      <c r="K59" s="66">
        <f>K53/Inputs!$B$26</f>
        <v>7449.6</v>
      </c>
      <c r="L59" s="66">
        <f>L53/Inputs!$B$29/12</f>
        <v>1862.3999999999999</v>
      </c>
      <c r="M59" s="66">
        <f>M53/Inputs!$B$29/12</f>
        <v>1862.3999999999999</v>
      </c>
      <c r="N59" s="66">
        <f>N53/Inputs!$B$29/12</f>
        <v>1862.3999999999999</v>
      </c>
      <c r="O59" s="66">
        <f>O53/Inputs!$B$29/12</f>
        <v>1862.3999999999999</v>
      </c>
      <c r="P59" s="66">
        <f>P53/Inputs!$B$29/12</f>
        <v>1862.3999999999999</v>
      </c>
      <c r="Q59" s="66">
        <f>Q53/Inputs!$B$29/12</f>
        <v>1862.3999999999999</v>
      </c>
      <c r="R59" s="66">
        <f>R53/Inputs!$B$29/12</f>
        <v>1862.3999999999999</v>
      </c>
      <c r="S59" s="66">
        <f>S53/Inputs!$B$29/12</f>
        <v>1862.3999999999999</v>
      </c>
      <c r="T59" s="66">
        <f>T53/Inputs!$B$29/12</f>
        <v>1862.3999999999999</v>
      </c>
      <c r="U59" s="66">
        <f>U53/Inputs!$B$29/12</f>
        <v>1862.3999999999999</v>
      </c>
      <c r="V59" s="66">
        <f>V53/Inputs!$B$29/12</f>
        <v>1862.3999999999999</v>
      </c>
      <c r="W59" s="66">
        <f>W53/Inputs!$B$29/12</f>
        <v>1862.3999999999999</v>
      </c>
      <c r="Y59" s="66"/>
    </row>
    <row r="60" spans="1:25" ht="14.25">
      <c r="A60" s="48" t="s">
        <v>106</v>
      </c>
      <c r="B60" s="55"/>
      <c r="C60" s="55">
        <f>C55/Inputs!$B$29/2</f>
        <v>11174.4</v>
      </c>
      <c r="D60" s="55">
        <f>D55/Inputs!$B$29/2</f>
        <v>84921.99799999999</v>
      </c>
      <c r="F60" s="48" t="s">
        <v>135</v>
      </c>
      <c r="G60" s="153">
        <f>SUM(L60:W60)</f>
        <v>84921.99799999998</v>
      </c>
      <c r="H60" s="55">
        <f>H55/Inputs!$B$26/2</f>
        <v>7977.431333333335</v>
      </c>
      <c r="I60" s="55">
        <f>I55/Inputs!$B$26/2</f>
        <v>8267.888666666668</v>
      </c>
      <c r="J60" s="55">
        <f>J55/Inputs!$B$26/2</f>
        <v>5926.8949999999995</v>
      </c>
      <c r="K60" s="55">
        <f>K55/Inputs!$B$26/2</f>
        <v>6135.117666666668</v>
      </c>
      <c r="L60" s="55">
        <f>L55/Inputs!$B$29/2/12</f>
        <v>322.6036666666667</v>
      </c>
      <c r="M60" s="55">
        <f>M55/Inputs!$B$29/2/12*M52+M54/Inputs!$B$29/2/12</f>
        <v>2920.997166666667</v>
      </c>
      <c r="N60" s="55">
        <f>N55/Inputs!$B$29/2/12*N52+N54/Inputs!$B$29/2/12</f>
        <v>2739.472666666667</v>
      </c>
      <c r="O60" s="55">
        <f>O55/Inputs!$B$29/2/12*O52+O54/Inputs!$B$29/2/12</f>
        <v>5955.962833333333</v>
      </c>
      <c r="P60" s="55">
        <f>P55/Inputs!$B$29/2/12*P52+P54/Inputs!$B$29/2/12</f>
        <v>5320.367833333334</v>
      </c>
      <c r="Q60" s="55">
        <f>Q55/Inputs!$B$29/2/12*Q52+Q54/Inputs!$B$29/2/12</f>
        <v>7108.575833333332</v>
      </c>
      <c r="R60" s="55">
        <f>R55/Inputs!$B$29/2/12*R52+R54/Inputs!$B$29/2/12</f>
        <v>13718.256416666665</v>
      </c>
      <c r="S60" s="55">
        <f>S55/Inputs!$B$29/2/12*S52+S54/Inputs!$B$29/2/12</f>
        <v>5945.242249999999</v>
      </c>
      <c r="T60" s="55">
        <f>T55/Inputs!$B$29/2/12*T52+T54/Inputs!$B$29/2/12</f>
        <v>5856.005083333333</v>
      </c>
      <c r="U60" s="55">
        <f>U55/Inputs!$B$29/2/12*U52+U54/Inputs!$B$29/2/12</f>
        <v>8041.945416666666</v>
      </c>
      <c r="V60" s="55">
        <f>V55/Inputs!$B$29/2/12*V52+V54/Inputs!$B$29/2/12</f>
        <v>11200.26425</v>
      </c>
      <c r="W60" s="55">
        <f>W55/Inputs!$B$29/2/12*W52+W54/Inputs!$B$29/2/12</f>
        <v>15792.30458333333</v>
      </c>
      <c r="Y60" s="66"/>
    </row>
    <row r="61" spans="1:25" ht="14.25">
      <c r="A61" s="48" t="s">
        <v>49</v>
      </c>
      <c r="B61" s="87">
        <f>SUM(B58:B60)</f>
        <v>0</v>
      </c>
      <c r="C61" s="87">
        <f>SUM(C58:C60)</f>
        <v>11174.4</v>
      </c>
      <c r="D61" s="87">
        <f>SUM(D58:D60)</f>
        <v>118445.19799999999</v>
      </c>
      <c r="G61" s="87">
        <f aca="true" t="shared" si="31" ref="G61:W61">SUM(G58:G60)</f>
        <v>118445.19799999997</v>
      </c>
      <c r="H61" s="87">
        <f t="shared" si="31"/>
        <v>19772.631333333335</v>
      </c>
      <c r="I61" s="87">
        <f t="shared" si="31"/>
        <v>35490.12</v>
      </c>
      <c r="J61" s="87">
        <f t="shared" si="31"/>
        <v>48866.615</v>
      </c>
      <c r="K61" s="87">
        <f t="shared" si="31"/>
        <v>62451.33266666666</v>
      </c>
      <c r="L61" s="87">
        <f t="shared" si="31"/>
        <v>13359.403666666665</v>
      </c>
      <c r="M61" s="87">
        <f t="shared" si="31"/>
        <v>18142.80083333333</v>
      </c>
      <c r="N61" s="87">
        <f t="shared" si="31"/>
        <v>22744.6735</v>
      </c>
      <c r="O61" s="87">
        <f t="shared" si="31"/>
        <v>30563.036333333337</v>
      </c>
      <c r="P61" s="87">
        <f t="shared" si="31"/>
        <v>37745.80416666667</v>
      </c>
      <c r="Q61" s="87">
        <f t="shared" si="31"/>
        <v>46716.78</v>
      </c>
      <c r="R61" s="87">
        <f t="shared" si="31"/>
        <v>62297.436416666664</v>
      </c>
      <c r="S61" s="87">
        <f t="shared" si="31"/>
        <v>70105.07866666667</v>
      </c>
      <c r="T61" s="87">
        <f t="shared" si="31"/>
        <v>77823.48375</v>
      </c>
      <c r="U61" s="87">
        <f t="shared" si="31"/>
        <v>87727.82916666666</v>
      </c>
      <c r="V61" s="87">
        <f t="shared" si="31"/>
        <v>100790.49341666666</v>
      </c>
      <c r="W61" s="87">
        <f t="shared" si="31"/>
        <v>118445.19799999999</v>
      </c>
      <c r="Y61" s="66"/>
    </row>
    <row r="62" spans="2:25" ht="14.25">
      <c r="B62" s="87"/>
      <c r="C62" s="87"/>
      <c r="D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Y62" s="66"/>
    </row>
    <row r="63" spans="1:25" ht="14.25">
      <c r="A63" s="48" t="s">
        <v>50</v>
      </c>
      <c r="B63" s="55">
        <f>0</f>
        <v>0</v>
      </c>
      <c r="C63" s="66">
        <f>B64</f>
        <v>0</v>
      </c>
      <c r="D63" s="66">
        <f>C64</f>
        <v>100569.6</v>
      </c>
      <c r="G63" s="66">
        <f>L63</f>
        <v>100569.6</v>
      </c>
      <c r="H63" s="66">
        <f>C64</f>
        <v>100569.6</v>
      </c>
      <c r="I63" s="66">
        <f>H64</f>
        <v>331294.30866666674</v>
      </c>
      <c r="J63" s="66">
        <f>I64</f>
        <v>324290.54000000004</v>
      </c>
      <c r="K63" s="66">
        <f>J64</f>
        <v>240684.235</v>
      </c>
      <c r="L63" s="66">
        <f>$C$64</f>
        <v>100569.6</v>
      </c>
      <c r="M63" s="66">
        <f>L63</f>
        <v>100569.6</v>
      </c>
      <c r="N63" s="66">
        <f aca="true" t="shared" si="32" ref="N63:W63">M63</f>
        <v>100569.6</v>
      </c>
      <c r="O63" s="66">
        <f t="shared" si="32"/>
        <v>100569.6</v>
      </c>
      <c r="P63" s="66">
        <f t="shared" si="32"/>
        <v>100569.6</v>
      </c>
      <c r="Q63" s="66">
        <f t="shared" si="32"/>
        <v>100569.6</v>
      </c>
      <c r="R63" s="66">
        <f t="shared" si="32"/>
        <v>100569.6</v>
      </c>
      <c r="S63" s="66">
        <f t="shared" si="32"/>
        <v>100569.6</v>
      </c>
      <c r="T63" s="66">
        <f t="shared" si="32"/>
        <v>100569.6</v>
      </c>
      <c r="U63" s="66">
        <f t="shared" si="32"/>
        <v>100569.6</v>
      </c>
      <c r="V63" s="66">
        <f t="shared" si="32"/>
        <v>100569.6</v>
      </c>
      <c r="W63" s="66">
        <f t="shared" si="32"/>
        <v>100569.6</v>
      </c>
      <c r="Y63" s="66"/>
    </row>
    <row r="64" spans="1:25" ht="14.25">
      <c r="A64" s="48" t="s">
        <v>51</v>
      </c>
      <c r="B64" s="82">
        <f>B56-B61</f>
        <v>0</v>
      </c>
      <c r="C64" s="82">
        <f>C56-C61</f>
        <v>100569.6</v>
      </c>
      <c r="D64" s="82">
        <f>D56-D61</f>
        <v>842518.7819999999</v>
      </c>
      <c r="E64" s="57"/>
      <c r="G64" s="82">
        <f aca="true" t="shared" si="33" ref="G64:W64">G56-G61</f>
        <v>842518.7819999999</v>
      </c>
      <c r="H64" s="82">
        <f t="shared" si="33"/>
        <v>331294.30866666674</v>
      </c>
      <c r="I64" s="82">
        <f t="shared" si="33"/>
        <v>324290.54000000004</v>
      </c>
      <c r="J64" s="82">
        <f t="shared" si="33"/>
        <v>240684.235</v>
      </c>
      <c r="K64" s="82">
        <f t="shared" si="33"/>
        <v>233346.19733333337</v>
      </c>
      <c r="L64" s="82">
        <f t="shared" si="33"/>
        <v>137097.03633333335</v>
      </c>
      <c r="M64" s="82">
        <f t="shared" si="33"/>
        <v>288217.2491666667</v>
      </c>
      <c r="N64" s="82">
        <f t="shared" si="33"/>
        <v>328322.2665000001</v>
      </c>
      <c r="O64" s="82">
        <f t="shared" si="33"/>
        <v>439352.05366666673</v>
      </c>
      <c r="P64" s="82">
        <f t="shared" si="33"/>
        <v>488223.8958333334</v>
      </c>
      <c r="Q64" s="82">
        <f t="shared" si="33"/>
        <v>552386.82</v>
      </c>
      <c r="R64" s="82">
        <f t="shared" si="33"/>
        <v>702353.4735833332</v>
      </c>
      <c r="S64" s="82">
        <f t="shared" si="33"/>
        <v>702111.1013333333</v>
      </c>
      <c r="T64" s="82">
        <f t="shared" si="33"/>
        <v>699086.9662499999</v>
      </c>
      <c r="U64" s="82">
        <f t="shared" si="33"/>
        <v>719169.3208333333</v>
      </c>
      <c r="V64" s="82">
        <f t="shared" si="33"/>
        <v>765095.6165833332</v>
      </c>
      <c r="W64" s="82">
        <f t="shared" si="33"/>
        <v>842518.7819999999</v>
      </c>
      <c r="Y64" s="66"/>
    </row>
    <row r="65" spans="1:25" ht="15" thickBot="1">
      <c r="A65" s="48" t="s">
        <v>52</v>
      </c>
      <c r="B65" s="45">
        <f>(B64+B63)/2</f>
        <v>0</v>
      </c>
      <c r="C65" s="45">
        <f>(C64+C63)/2</f>
        <v>50284.8</v>
      </c>
      <c r="D65" s="45">
        <f>(D64+D63)/2</f>
        <v>471544.19099999993</v>
      </c>
      <c r="E65" s="57"/>
      <c r="G65" s="45">
        <f aca="true" t="shared" si="34" ref="G65:W65">(G64+G63)/2</f>
        <v>471544.19099999993</v>
      </c>
      <c r="H65" s="45">
        <f t="shared" si="34"/>
        <v>215931.95433333336</v>
      </c>
      <c r="I65" s="45">
        <f t="shared" si="34"/>
        <v>327792.4243333334</v>
      </c>
      <c r="J65" s="45">
        <f t="shared" si="34"/>
        <v>282487.3875</v>
      </c>
      <c r="K65" s="45">
        <f t="shared" si="34"/>
        <v>237015.21616666668</v>
      </c>
      <c r="L65" s="45">
        <f t="shared" si="34"/>
        <v>118833.31816666668</v>
      </c>
      <c r="M65" s="45">
        <f t="shared" si="34"/>
        <v>194393.42458333337</v>
      </c>
      <c r="N65" s="45">
        <f t="shared" si="34"/>
        <v>214445.93325000006</v>
      </c>
      <c r="O65" s="45">
        <f t="shared" si="34"/>
        <v>269960.82683333335</v>
      </c>
      <c r="P65" s="45">
        <f t="shared" si="34"/>
        <v>294396.7479166667</v>
      </c>
      <c r="Q65" s="45">
        <f t="shared" si="34"/>
        <v>326478.20999999996</v>
      </c>
      <c r="R65" s="45">
        <f t="shared" si="34"/>
        <v>401461.5367916666</v>
      </c>
      <c r="S65" s="45">
        <f t="shared" si="34"/>
        <v>401340.35066666664</v>
      </c>
      <c r="T65" s="45">
        <f t="shared" si="34"/>
        <v>399828.28312499996</v>
      </c>
      <c r="U65" s="45">
        <f t="shared" si="34"/>
        <v>409869.46041666664</v>
      </c>
      <c r="V65" s="45">
        <f t="shared" si="34"/>
        <v>432832.6082916666</v>
      </c>
      <c r="W65" s="45">
        <f t="shared" si="34"/>
        <v>471544.19099999993</v>
      </c>
      <c r="Y65" s="66"/>
    </row>
    <row r="66" spans="2:5" ht="14.25">
      <c r="B66" s="81"/>
      <c r="C66" s="81"/>
      <c r="D66" s="81"/>
      <c r="E66" s="57"/>
    </row>
    <row r="67" spans="1:5" ht="15">
      <c r="A67" s="47" t="s">
        <v>85</v>
      </c>
      <c r="B67" s="81"/>
      <c r="C67" s="81"/>
      <c r="D67" s="81"/>
      <c r="E67" s="57"/>
    </row>
    <row r="68" spans="2:5" ht="14.25">
      <c r="B68" s="81"/>
      <c r="C68" s="81"/>
      <c r="D68" s="81"/>
      <c r="E68" s="57"/>
    </row>
    <row r="69" spans="1:5" ht="14.25">
      <c r="A69" s="48" t="s">
        <v>83</v>
      </c>
      <c r="B69" s="55">
        <f>+B8+B40+B56</f>
        <v>0</v>
      </c>
      <c r="C69" s="66">
        <f>+C8+C40+C56+C24</f>
        <v>12237107.53</v>
      </c>
      <c r="D69" s="66">
        <f>+D8+D40+D56+D24</f>
        <v>26812349.389999997</v>
      </c>
      <c r="E69" s="57"/>
    </row>
    <row r="70" spans="1:5" ht="14.25">
      <c r="A70" s="48" t="s">
        <v>84</v>
      </c>
      <c r="B70" s="82">
        <f>+B13+B45+B61</f>
        <v>0</v>
      </c>
      <c r="C70" s="82">
        <f>+C13+C45+C61+C29</f>
        <v>419047.1176666666</v>
      </c>
      <c r="D70" s="82">
        <f>+D13+D45+D61+D29</f>
        <v>1799939.9276666665</v>
      </c>
      <c r="E70" s="57"/>
    </row>
    <row r="71" spans="1:4" ht="15" thickBot="1">
      <c r="A71" s="48" t="s">
        <v>51</v>
      </c>
      <c r="B71" s="45">
        <f>+B69-B70</f>
        <v>0</v>
      </c>
      <c r="C71" s="45">
        <f>+C69-C70</f>
        <v>11818060.412333332</v>
      </c>
      <c r="D71" s="45">
        <f>+D69-D70</f>
        <v>25012409.46233333</v>
      </c>
    </row>
    <row r="72" spans="2:4" ht="14.25">
      <c r="B72" s="81"/>
      <c r="C72" s="81"/>
      <c r="D72" s="81"/>
    </row>
    <row r="73" spans="1:4" ht="15">
      <c r="A73" s="47" t="s">
        <v>55</v>
      </c>
      <c r="B73" s="81"/>
      <c r="C73" s="81"/>
      <c r="D73" s="81"/>
    </row>
    <row r="74" spans="2:4" ht="14.25">
      <c r="B74" s="81"/>
      <c r="C74" s="81"/>
      <c r="D74" s="81"/>
    </row>
    <row r="75" ht="15">
      <c r="A75" s="47" t="s">
        <v>56</v>
      </c>
    </row>
    <row r="76" spans="1:4" ht="14.25">
      <c r="A76" s="48" t="s">
        <v>57</v>
      </c>
      <c r="B76" s="60">
        <f>B3</f>
        <v>39082</v>
      </c>
      <c r="C76" s="60">
        <f>C3</f>
        <v>39447</v>
      </c>
      <c r="D76" s="60">
        <f>D3</f>
        <v>39813</v>
      </c>
    </row>
    <row r="77" ht="14.25"/>
    <row r="78" spans="1:5" ht="14.25">
      <c r="A78" s="48" t="s">
        <v>58</v>
      </c>
      <c r="B78" s="87">
        <v>0</v>
      </c>
      <c r="C78" s="82">
        <f>B80-B84</f>
        <v>0</v>
      </c>
      <c r="D78" s="82">
        <f>C80-C84</f>
        <v>11580595.7088</v>
      </c>
      <c r="E78" s="151"/>
    </row>
    <row r="79" spans="1:5" ht="14.25">
      <c r="A79" s="48" t="s">
        <v>59</v>
      </c>
      <c r="B79" s="55">
        <f>B6</f>
        <v>0</v>
      </c>
      <c r="C79" s="55">
        <f>C7</f>
        <v>12063120.53</v>
      </c>
      <c r="D79" s="55">
        <f>D7</f>
        <v>13720884.169999998</v>
      </c>
      <c r="E79" s="151"/>
    </row>
    <row r="80" spans="1:4" ht="14.25">
      <c r="A80" s="48" t="s">
        <v>60</v>
      </c>
      <c r="B80" s="87">
        <f>SUM(B78:B79)</f>
        <v>0</v>
      </c>
      <c r="C80" s="87">
        <f>SUM(C78:C79)</f>
        <v>12063120.53</v>
      </c>
      <c r="D80" s="87">
        <f>SUM(D78:D79)</f>
        <v>25301479.878799997</v>
      </c>
    </row>
    <row r="81" spans="1:5" ht="14.25">
      <c r="A81" s="48" t="s">
        <v>61</v>
      </c>
      <c r="B81" s="66">
        <f>SUM(B79:B79)/2</f>
        <v>0</v>
      </c>
      <c r="C81" s="66">
        <f>SUM(C79:C79)/2</f>
        <v>6031560.265</v>
      </c>
      <c r="D81" s="66">
        <f>SUM(D79:D79)/2</f>
        <v>6860442.084999999</v>
      </c>
      <c r="E81" s="151"/>
    </row>
    <row r="82" spans="1:4" ht="14.25">
      <c r="A82" s="48" t="s">
        <v>62</v>
      </c>
      <c r="B82" s="82">
        <f>B78+B81</f>
        <v>0</v>
      </c>
      <c r="C82" s="82">
        <f>C78+C81</f>
        <v>6031560.265</v>
      </c>
      <c r="D82" s="82">
        <f>D78+D81</f>
        <v>18441037.793799996</v>
      </c>
    </row>
    <row r="83" spans="1:4" ht="14.25">
      <c r="A83" s="48" t="s">
        <v>63</v>
      </c>
      <c r="B83" s="84">
        <v>0.08</v>
      </c>
      <c r="C83" s="84">
        <v>0.08</v>
      </c>
      <c r="D83" s="84">
        <v>0.08</v>
      </c>
    </row>
    <row r="84" spans="1:5" ht="14.25">
      <c r="A84" s="48" t="s">
        <v>64</v>
      </c>
      <c r="B84" s="87">
        <f>B82*B83</f>
        <v>0</v>
      </c>
      <c r="C84" s="87">
        <f>C82*C83</f>
        <v>482524.8212</v>
      </c>
      <c r="D84" s="87">
        <f>D82*D83</f>
        <v>1475283.0235039997</v>
      </c>
      <c r="E84" s="57"/>
    </row>
    <row r="85" spans="1:4" ht="15" thickBot="1">
      <c r="A85" s="48" t="s">
        <v>65</v>
      </c>
      <c r="B85" s="45">
        <f>B80-B84</f>
        <v>0</v>
      </c>
      <c r="C85" s="45">
        <f>C80-C84</f>
        <v>11580595.7088</v>
      </c>
      <c r="D85" s="45">
        <f>D80-D84</f>
        <v>23826196.855295997</v>
      </c>
    </row>
    <row r="86" ht="14.25"/>
    <row r="87" ht="15">
      <c r="A87" s="47" t="s">
        <v>89</v>
      </c>
    </row>
    <row r="88" spans="1:4" ht="14.25">
      <c r="A88" s="48" t="s">
        <v>88</v>
      </c>
      <c r="B88" s="60">
        <f>B3</f>
        <v>39082</v>
      </c>
      <c r="C88" s="60">
        <f>C3</f>
        <v>39447</v>
      </c>
      <c r="D88" s="60">
        <f>D3</f>
        <v>39813</v>
      </c>
    </row>
    <row r="89" ht="14.25"/>
    <row r="90" spans="1:4" ht="14.25">
      <c r="A90" s="48" t="s">
        <v>58</v>
      </c>
      <c r="B90" s="87">
        <v>0</v>
      </c>
      <c r="C90" s="82">
        <f>B97</f>
        <v>0</v>
      </c>
      <c r="D90" s="82">
        <f>C97</f>
        <v>8200.8</v>
      </c>
    </row>
    <row r="91" spans="1:4" ht="14.25">
      <c r="A91" s="48" t="s">
        <v>59</v>
      </c>
      <c r="B91" s="55">
        <f>B10</f>
        <v>0</v>
      </c>
      <c r="C91" s="55">
        <f>C23</f>
        <v>9112</v>
      </c>
      <c r="D91" s="55">
        <f>D23</f>
        <v>0</v>
      </c>
    </row>
    <row r="92" spans="1:4" ht="14.25">
      <c r="A92" s="48" t="s">
        <v>60</v>
      </c>
      <c r="B92" s="87">
        <f>SUM(B90:B91)</f>
        <v>0</v>
      </c>
      <c r="C92" s="87">
        <f>SUM(C90:C91)</f>
        <v>9112</v>
      </c>
      <c r="D92" s="87">
        <f>SUM(D90:D91)</f>
        <v>8200.8</v>
      </c>
    </row>
    <row r="93" spans="1:4" ht="14.25">
      <c r="A93" s="48" t="s">
        <v>61</v>
      </c>
      <c r="B93" s="66">
        <f>SUM(B91:B91)/2</f>
        <v>0</v>
      </c>
      <c r="C93" s="66">
        <f>SUM(C91:C91)/2</f>
        <v>4556</v>
      </c>
      <c r="D93" s="66">
        <f>SUM(D91:D91)/2</f>
        <v>0</v>
      </c>
    </row>
    <row r="94" spans="1:4" ht="14.25">
      <c r="A94" s="48" t="s">
        <v>62</v>
      </c>
      <c r="B94" s="82">
        <f>B90+B93</f>
        <v>0</v>
      </c>
      <c r="C94" s="82">
        <f>C90+C93</f>
        <v>4556</v>
      </c>
      <c r="D94" s="82">
        <f>D90+D93</f>
        <v>8200.8</v>
      </c>
    </row>
    <row r="95" spans="1:4" ht="14.25">
      <c r="A95" s="48" t="s">
        <v>90</v>
      </c>
      <c r="B95" s="84">
        <v>0.2</v>
      </c>
      <c r="C95" s="84">
        <v>0.2</v>
      </c>
      <c r="D95" s="84">
        <v>0.2</v>
      </c>
    </row>
    <row r="96" spans="1:5" ht="14.25">
      <c r="A96" s="48" t="s">
        <v>64</v>
      </c>
      <c r="B96" s="87">
        <f>B94*B95</f>
        <v>0</v>
      </c>
      <c r="C96" s="87">
        <f>C94*C95</f>
        <v>911.2</v>
      </c>
      <c r="D96" s="87">
        <f>D94*D95</f>
        <v>1640.1599999999999</v>
      </c>
      <c r="E96" s="57"/>
    </row>
    <row r="97" spans="1:4" ht="12.75" customHeight="1" thickBot="1">
      <c r="A97" s="48" t="s">
        <v>65</v>
      </c>
      <c r="B97" s="45">
        <f>B92-B96</f>
        <v>0</v>
      </c>
      <c r="C97" s="45">
        <f>C92-C96</f>
        <v>8200.8</v>
      </c>
      <c r="D97" s="45">
        <f>D92-D96</f>
        <v>6560.639999999999</v>
      </c>
    </row>
    <row r="98" spans="2:4" ht="12.75" customHeight="1">
      <c r="B98" s="81"/>
      <c r="C98" s="81"/>
      <c r="D98" s="81"/>
    </row>
    <row r="99" ht="15">
      <c r="A99" s="47" t="s">
        <v>66</v>
      </c>
    </row>
    <row r="100" spans="1:4" ht="14.25">
      <c r="A100" s="48" t="s">
        <v>155</v>
      </c>
      <c r="B100" s="60">
        <f>B3</f>
        <v>39082</v>
      </c>
      <c r="C100" s="60">
        <f>C3</f>
        <v>39447</v>
      </c>
      <c r="D100" s="60">
        <f>D3</f>
        <v>39813</v>
      </c>
    </row>
    <row r="101" ht="14.25"/>
    <row r="102" spans="1:4" ht="14.25">
      <c r="A102" s="48" t="s">
        <v>58</v>
      </c>
      <c r="B102" s="87">
        <v>0</v>
      </c>
      <c r="C102" s="82">
        <f>B110</f>
        <v>0</v>
      </c>
      <c r="D102" s="82">
        <f>C110</f>
        <v>127778.125</v>
      </c>
    </row>
    <row r="103" spans="1:4" ht="14.25">
      <c r="A103" s="48" t="s">
        <v>68</v>
      </c>
      <c r="B103" s="55">
        <f>B38</f>
        <v>0</v>
      </c>
      <c r="C103" s="55">
        <f>C39</f>
        <v>53131</v>
      </c>
      <c r="D103" s="55">
        <f>D39</f>
        <v>5137.710000000001</v>
      </c>
    </row>
    <row r="104" spans="1:4" ht="14.25">
      <c r="A104" s="48" t="s">
        <v>69</v>
      </c>
      <c r="B104" s="55">
        <f>B54</f>
        <v>0</v>
      </c>
      <c r="C104" s="55">
        <f>C55</f>
        <v>111744</v>
      </c>
      <c r="D104" s="55">
        <f>D55</f>
        <v>849219.9799999999</v>
      </c>
    </row>
    <row r="105" spans="1:4" ht="14.25">
      <c r="A105" s="48" t="s">
        <v>60</v>
      </c>
      <c r="B105" s="87">
        <f>SUM(B102:B104)</f>
        <v>0</v>
      </c>
      <c r="C105" s="87">
        <f>SUM(C102:C104)</f>
        <v>164875</v>
      </c>
      <c r="D105" s="87">
        <f>SUM(D102:D104)</f>
        <v>982135.8149999998</v>
      </c>
    </row>
    <row r="106" spans="1:4" ht="14.25">
      <c r="A106" s="48" t="s">
        <v>61</v>
      </c>
      <c r="B106" s="66">
        <f>SUM(B103:B104)/2</f>
        <v>0</v>
      </c>
      <c r="C106" s="66">
        <f>SUM(C103:C104)/2</f>
        <v>82437.5</v>
      </c>
      <c r="D106" s="66">
        <f>SUM(D103:D104)/2</f>
        <v>427178.8449999999</v>
      </c>
    </row>
    <row r="107" spans="1:4" ht="14.25">
      <c r="A107" s="48" t="s">
        <v>62</v>
      </c>
      <c r="B107" s="82">
        <f>B102+B106</f>
        <v>0</v>
      </c>
      <c r="C107" s="82">
        <f>C102+C106</f>
        <v>82437.5</v>
      </c>
      <c r="D107" s="82">
        <f>D102+D106</f>
        <v>554956.97</v>
      </c>
    </row>
    <row r="108" spans="1:4" ht="14.25">
      <c r="A108" s="48" t="s">
        <v>70</v>
      </c>
      <c r="B108" s="84">
        <v>0.45</v>
      </c>
      <c r="C108" s="84">
        <v>0.45</v>
      </c>
      <c r="D108" s="84">
        <v>0.55</v>
      </c>
    </row>
    <row r="109" spans="1:5" ht="14.25">
      <c r="A109" s="48" t="s">
        <v>64</v>
      </c>
      <c r="B109" s="87">
        <f>B107*B108</f>
        <v>0</v>
      </c>
      <c r="C109" s="87">
        <f>C107*C108</f>
        <v>37096.875</v>
      </c>
      <c r="D109" s="87">
        <f>D107*D108</f>
        <v>305226.3335</v>
      </c>
      <c r="E109" s="57"/>
    </row>
    <row r="110" spans="1:4" ht="12.75" customHeight="1" thickBot="1">
      <c r="A110" s="48" t="s">
        <v>65</v>
      </c>
      <c r="B110" s="45">
        <f>B105-B109</f>
        <v>0</v>
      </c>
      <c r="C110" s="45">
        <f>C105-C109</f>
        <v>127778.125</v>
      </c>
      <c r="D110" s="45">
        <f>D105-D109</f>
        <v>676909.4814999998</v>
      </c>
    </row>
    <row r="111" ht="12.75" customHeight="1"/>
    <row r="112" ht="12.75" customHeight="1"/>
    <row r="113" ht="12.75" customHeight="1"/>
    <row r="114" ht="12.75" customHeight="1"/>
    <row r="115" ht="12.75" customHeight="1"/>
  </sheetData>
  <sheetProtection/>
  <printOptions/>
  <pageMargins left="0.7" right="0.7" top="0.98" bottom="0.75" header="0.37" footer="0.3"/>
  <pageSetup fitToHeight="0" horizontalDpi="600" verticalDpi="600" orientation="landscape" paperSize="5" scale="42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1" manualBreakCount="1">
    <brk id="72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7"/>
  <sheetViews>
    <sheetView tabSelected="1" view="pageBreakPreview" zoomScale="75" zoomScaleSheetLayoutView="75" zoomScalePageLayoutView="0" workbookViewId="0" topLeftCell="A22">
      <selection activeCell="A10" sqref="A10"/>
    </sheetView>
  </sheetViews>
  <sheetFormatPr defaultColWidth="9.140625" defaultRowHeight="0" customHeight="1" zeroHeight="1"/>
  <cols>
    <col min="1" max="1" width="49.8515625" style="50" customWidth="1"/>
    <col min="2" max="2" width="7.140625" style="50" bestFit="1" customWidth="1"/>
    <col min="3" max="3" width="14.421875" style="50" bestFit="1" customWidth="1"/>
    <col min="4" max="4" width="3.8515625" style="50" customWidth="1"/>
    <col min="5" max="21" width="16.140625" style="50" bestFit="1" customWidth="1"/>
    <col min="22" max="22" width="15.7109375" style="50" bestFit="1" customWidth="1"/>
    <col min="23" max="23" width="12.8515625" style="50" bestFit="1" customWidth="1"/>
    <col min="24" max="24" width="10.8515625" style="50" bestFit="1" customWidth="1"/>
    <col min="25" max="25" width="9.140625" style="50" customWidth="1"/>
    <col min="26" max="26" width="12.8515625" style="50" bestFit="1" customWidth="1"/>
    <col min="27" max="27" width="11.28125" style="50" bestFit="1" customWidth="1"/>
    <col min="28" max="16384" width="9.140625" style="50" customWidth="1"/>
  </cols>
  <sheetData>
    <row r="1" spans="1:21" ht="15">
      <c r="A1" s="102" t="s">
        <v>197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ht="15" thickBot="1"/>
    <row r="3" spans="1:22" ht="15.75" thickBot="1">
      <c r="A3" s="102" t="s">
        <v>6</v>
      </c>
      <c r="B3" s="172" t="s">
        <v>146</v>
      </c>
      <c r="C3" s="173"/>
      <c r="E3" s="104" t="s">
        <v>126</v>
      </c>
      <c r="F3" s="104" t="s">
        <v>124</v>
      </c>
      <c r="G3" s="104" t="s">
        <v>127</v>
      </c>
      <c r="H3" s="104" t="s">
        <v>128</v>
      </c>
      <c r="I3" s="104" t="s">
        <v>129</v>
      </c>
      <c r="J3" s="105">
        <v>39814</v>
      </c>
      <c r="K3" s="105">
        <v>39845</v>
      </c>
      <c r="L3" s="105">
        <v>39873</v>
      </c>
      <c r="M3" s="105">
        <v>39904</v>
      </c>
      <c r="N3" s="105">
        <v>39934</v>
      </c>
      <c r="O3" s="105">
        <v>39965</v>
      </c>
      <c r="P3" s="105">
        <v>39995</v>
      </c>
      <c r="Q3" s="105">
        <v>40026</v>
      </c>
      <c r="R3" s="105">
        <v>40057</v>
      </c>
      <c r="S3" s="105">
        <v>40087</v>
      </c>
      <c r="T3" s="105">
        <v>40118</v>
      </c>
      <c r="U3" s="105">
        <v>40148</v>
      </c>
      <c r="V3" s="105">
        <v>40179</v>
      </c>
    </row>
    <row r="4" spans="1:21" ht="14.25">
      <c r="A4" s="50" t="s">
        <v>74</v>
      </c>
      <c r="C4" s="135">
        <f>+'Avg Assets 09'!E17</f>
        <v>26292757.599</v>
      </c>
      <c r="D4" s="103"/>
      <c r="E4" s="107">
        <f>U4</f>
        <v>26292757.599</v>
      </c>
      <c r="F4" s="107">
        <f>L4</f>
        <v>24793579.81791667</v>
      </c>
      <c r="G4" s="107">
        <f>O4</f>
        <v>25658945.27725</v>
      </c>
      <c r="H4" s="107">
        <f>R4</f>
        <v>26004907.459583335</v>
      </c>
      <c r="I4" s="107">
        <f>U4</f>
        <v>26292757.599</v>
      </c>
      <c r="J4" s="107">
        <f>'Avg Assets 09'!M17</f>
        <v>24017741.302763887</v>
      </c>
      <c r="K4" s="107">
        <f>'Avg Assets 09'!N17</f>
        <v>24357061.01669444</v>
      </c>
      <c r="L4" s="107">
        <f>'Avg Assets 09'!O17</f>
        <v>24793579.81791667</v>
      </c>
      <c r="M4" s="107">
        <f>'Avg Assets 09'!P17</f>
        <v>25127356.41538889</v>
      </c>
      <c r="N4" s="107">
        <f>'Avg Assets 09'!Q17</f>
        <v>25386587.453847222</v>
      </c>
      <c r="O4" s="107">
        <f>'Avg Assets 09'!R17</f>
        <v>25658945.27725</v>
      </c>
      <c r="P4" s="107">
        <f>'Avg Assets 09'!S17</f>
        <v>25756543.54972222</v>
      </c>
      <c r="Q4" s="107">
        <f>'Avg Assets 09'!T17</f>
        <v>25927922.305555556</v>
      </c>
      <c r="R4" s="107">
        <f>'Avg Assets 09'!U17</f>
        <v>26004907.459583335</v>
      </c>
      <c r="S4" s="107">
        <f>'Avg Assets 09'!V17</f>
        <v>26151571.285305556</v>
      </c>
      <c r="T4" s="107">
        <f>'Avg Assets 09'!W17</f>
        <v>26269112.853833333</v>
      </c>
      <c r="U4" s="107">
        <f>'Avg Assets 09'!X17</f>
        <v>26292757.599</v>
      </c>
    </row>
    <row r="5" spans="1:21" ht="14.25">
      <c r="A5" s="50" t="s">
        <v>95</v>
      </c>
      <c r="C5" s="135">
        <f>'Avg Assets 09'!E33</f>
        <v>0</v>
      </c>
      <c r="D5" s="103"/>
      <c r="E5" s="107">
        <f>U5</f>
        <v>0</v>
      </c>
      <c r="F5" s="107">
        <f>L5</f>
        <v>0</v>
      </c>
      <c r="G5" s="107">
        <f>O5</f>
        <v>0</v>
      </c>
      <c r="H5" s="107">
        <f>R5</f>
        <v>0</v>
      </c>
      <c r="I5" s="107">
        <f>U5</f>
        <v>0</v>
      </c>
      <c r="J5" s="107">
        <f>'Avg Assets 09'!M33</f>
        <v>0</v>
      </c>
      <c r="K5" s="107">
        <f>'Avg Assets 09'!N33</f>
        <v>0</v>
      </c>
      <c r="L5" s="107">
        <f>'Avg Assets 09'!O33</f>
        <v>0</v>
      </c>
      <c r="M5" s="107">
        <f>'Avg Assets 09'!P33</f>
        <v>0</v>
      </c>
      <c r="N5" s="107">
        <f>'Avg Assets 09'!Q33</f>
        <v>0</v>
      </c>
      <c r="O5" s="107">
        <f>'Avg Assets 09'!R33</f>
        <v>0</v>
      </c>
      <c r="P5" s="107">
        <f>'Avg Assets 09'!S33</f>
        <v>0</v>
      </c>
      <c r="Q5" s="107">
        <f>'Avg Assets 09'!T33</f>
        <v>0</v>
      </c>
      <c r="R5" s="107">
        <f>'Avg Assets 09'!U33</f>
        <v>0</v>
      </c>
      <c r="S5" s="107">
        <f>'Avg Assets 09'!V33</f>
        <v>0</v>
      </c>
      <c r="T5" s="107">
        <f>'Avg Assets 09'!W33</f>
        <v>0</v>
      </c>
      <c r="U5" s="107">
        <f>'Avg Assets 09'!X33</f>
        <v>0</v>
      </c>
    </row>
    <row r="6" spans="1:21" ht="14.25">
      <c r="A6" s="50" t="s">
        <v>75</v>
      </c>
      <c r="C6" s="135">
        <f>+'Avg Assets 09'!E49</f>
        <v>4411.782000000003</v>
      </c>
      <c r="D6" s="103"/>
      <c r="E6" s="107">
        <f>U6</f>
        <v>4411.782000000003</v>
      </c>
      <c r="F6" s="107">
        <f>L6</f>
        <v>4834.812000000003</v>
      </c>
      <c r="G6" s="107">
        <f>O6</f>
        <v>4693.802000000003</v>
      </c>
      <c r="H6" s="107">
        <f>R6</f>
        <v>4552.792000000003</v>
      </c>
      <c r="I6" s="107">
        <f>U6</f>
        <v>4411.782000000003</v>
      </c>
      <c r="J6" s="107">
        <f>'Avg Assets 09'!M49</f>
        <v>4928.81866666667</v>
      </c>
      <c r="K6" s="107">
        <f>'Avg Assets 09'!N49</f>
        <v>4881.815333333336</v>
      </c>
      <c r="L6" s="107">
        <f>'Avg Assets 09'!O49</f>
        <v>4834.812000000003</v>
      </c>
      <c r="M6" s="107">
        <f>'Avg Assets 09'!P49</f>
        <v>4787.8086666666695</v>
      </c>
      <c r="N6" s="107">
        <f>'Avg Assets 09'!Q49</f>
        <v>4740.8053333333355</v>
      </c>
      <c r="O6" s="107">
        <f>'Avg Assets 09'!R49</f>
        <v>4693.802000000003</v>
      </c>
      <c r="P6" s="107">
        <f>'Avg Assets 09'!S49</f>
        <v>4646.798666666669</v>
      </c>
      <c r="Q6" s="107">
        <f>'Avg Assets 09'!T49</f>
        <v>4599.795333333335</v>
      </c>
      <c r="R6" s="107">
        <f>'Avg Assets 09'!U49</f>
        <v>4552.792000000003</v>
      </c>
      <c r="S6" s="107">
        <f>'Avg Assets 09'!V49</f>
        <v>4505.788666666669</v>
      </c>
      <c r="T6" s="107">
        <f>'Avg Assets 09'!W49</f>
        <v>4458.785333333336</v>
      </c>
      <c r="U6" s="107">
        <f>'Avg Assets 09'!X49</f>
        <v>4411.782000000003</v>
      </c>
    </row>
    <row r="7" spans="1:21" ht="14.25">
      <c r="A7" s="50" t="s">
        <v>76</v>
      </c>
      <c r="C7" s="135">
        <f>+'Avg Assets 09'!E65</f>
        <v>1008609.0650000002</v>
      </c>
      <c r="D7" s="103"/>
      <c r="E7" s="107">
        <f>U7</f>
        <v>1008609.0650000002</v>
      </c>
      <c r="F7" s="107">
        <f>L7</f>
        <v>1056290.267</v>
      </c>
      <c r="G7" s="107">
        <f>O7</f>
        <v>1042251.9762500001</v>
      </c>
      <c r="H7" s="107">
        <f>R7</f>
        <v>1028411.079125</v>
      </c>
      <c r="I7" s="107">
        <f>U7</f>
        <v>1008609.0650000002</v>
      </c>
      <c r="J7" s="107">
        <f>'Avg Assets 09'!M65</f>
        <v>1073867.8918333333</v>
      </c>
      <c r="K7" s="107">
        <f>'Avg Assets 09'!N65</f>
        <v>1066895.0293333335</v>
      </c>
      <c r="L7" s="107">
        <f>'Avg Assets 09'!O65</f>
        <v>1056290.267</v>
      </c>
      <c r="M7" s="107">
        <f>'Avg Assets 09'!P65</f>
        <v>1048995.8401666668</v>
      </c>
      <c r="N7" s="107">
        <f>'Avg Assets 09'!Q65</f>
        <v>1047346.4075416668</v>
      </c>
      <c r="O7" s="107">
        <f>'Avg Assets 09'!R65</f>
        <v>1042251.9762500001</v>
      </c>
      <c r="P7" s="107">
        <f>'Avg Assets 09'!S65</f>
        <v>1040853.9509166668</v>
      </c>
      <c r="Q7" s="107">
        <f>'Avg Assets 09'!T65</f>
        <v>1036584.8406666669</v>
      </c>
      <c r="R7" s="107">
        <f>'Avg Assets 09'!U65</f>
        <v>1028411.079125</v>
      </c>
      <c r="S7" s="107">
        <f>'Avg Assets 09'!V65</f>
        <v>1019401.8665000001</v>
      </c>
      <c r="T7" s="107">
        <f>'Avg Assets 09'!W65</f>
        <v>1013791.2972083334</v>
      </c>
      <c r="U7" s="107">
        <f>'Avg Assets 09'!X65</f>
        <v>1008609.0650000002</v>
      </c>
    </row>
    <row r="8" spans="1:21" ht="14.25">
      <c r="A8" s="50" t="s">
        <v>7</v>
      </c>
      <c r="C8" s="136">
        <f>SUM(C4:C7)</f>
        <v>27305778.446000002</v>
      </c>
      <c r="D8" s="103"/>
      <c r="E8" s="109">
        <f aca="true" t="shared" si="0" ref="E8:U8">SUM(E4:E7)</f>
        <v>27305778.446000002</v>
      </c>
      <c r="F8" s="109">
        <f t="shared" si="0"/>
        <v>25854704.89691667</v>
      </c>
      <c r="G8" s="109">
        <f t="shared" si="0"/>
        <v>26705891.0555</v>
      </c>
      <c r="H8" s="109">
        <f t="shared" si="0"/>
        <v>27037871.330708332</v>
      </c>
      <c r="I8" s="109">
        <f t="shared" si="0"/>
        <v>27305778.446000002</v>
      </c>
      <c r="J8" s="109">
        <f t="shared" si="0"/>
        <v>25096538.01326389</v>
      </c>
      <c r="K8" s="109">
        <f t="shared" si="0"/>
        <v>25428837.86136111</v>
      </c>
      <c r="L8" s="109">
        <f t="shared" si="0"/>
        <v>25854704.89691667</v>
      </c>
      <c r="M8" s="109">
        <f t="shared" si="0"/>
        <v>26181140.06422222</v>
      </c>
      <c r="N8" s="109">
        <f t="shared" si="0"/>
        <v>26438674.666722223</v>
      </c>
      <c r="O8" s="109">
        <f t="shared" si="0"/>
        <v>26705891.0555</v>
      </c>
      <c r="P8" s="109">
        <f t="shared" si="0"/>
        <v>26802044.299305554</v>
      </c>
      <c r="Q8" s="109">
        <f t="shared" si="0"/>
        <v>26969106.941555556</v>
      </c>
      <c r="R8" s="109">
        <f t="shared" si="0"/>
        <v>27037871.330708332</v>
      </c>
      <c r="S8" s="109">
        <f t="shared" si="0"/>
        <v>27175478.940472223</v>
      </c>
      <c r="T8" s="109">
        <f t="shared" si="0"/>
        <v>27287362.936375</v>
      </c>
      <c r="U8" s="109">
        <f t="shared" si="0"/>
        <v>27305778.446000002</v>
      </c>
    </row>
    <row r="9" ht="14.25">
      <c r="C9" s="137"/>
    </row>
    <row r="10" spans="1:15" ht="15">
      <c r="A10" s="102" t="s">
        <v>13</v>
      </c>
      <c r="C10" s="135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1" ht="14.25">
      <c r="A11" s="111">
        <v>200760</v>
      </c>
      <c r="C11" s="135"/>
      <c r="E11" s="107">
        <f>SUM(J11:U11)</f>
        <v>1096341.23</v>
      </c>
      <c r="F11" s="107">
        <f>SUM(J11:L11)</f>
        <v>161494.37000000002</v>
      </c>
      <c r="G11" s="107">
        <f>SUM(M11:O11)</f>
        <v>212843.38</v>
      </c>
      <c r="H11" s="107">
        <f>SUM(P11:R11)</f>
        <v>179685.59</v>
      </c>
      <c r="I11" s="107">
        <f>SUM(S11:U11)</f>
        <v>542317.89</v>
      </c>
      <c r="J11" s="107">
        <v>69927.91000000002</v>
      </c>
      <c r="K11" s="107">
        <v>51223.42999999999</v>
      </c>
      <c r="L11" s="107">
        <v>40343.030000000006</v>
      </c>
      <c r="M11" s="107">
        <v>72000.78</v>
      </c>
      <c r="N11" s="107">
        <v>82321.60999999999</v>
      </c>
      <c r="O11" s="107">
        <v>58520.99000000003</v>
      </c>
      <c r="P11" s="107">
        <v>68612.13999999996</v>
      </c>
      <c r="Q11" s="107">
        <v>49877.59000000002</v>
      </c>
      <c r="R11" s="107">
        <v>61195.86000000001</v>
      </c>
      <c r="S11" s="107">
        <v>143140.73</v>
      </c>
      <c r="T11" s="107">
        <v>125228.76000000001</v>
      </c>
      <c r="U11" s="107">
        <v>273948.4</v>
      </c>
    </row>
    <row r="12" spans="1:21" ht="14.25">
      <c r="A12" s="111">
        <v>200770</v>
      </c>
      <c r="C12" s="135"/>
      <c r="E12" s="107">
        <f>SUM(J12:U12)</f>
        <v>33430.36</v>
      </c>
      <c r="F12" s="107">
        <f>SUM(J12:L12)</f>
        <v>6762.64</v>
      </c>
      <c r="G12" s="107">
        <f>SUM(M12:O12)</f>
        <v>8604.970000000001</v>
      </c>
      <c r="H12" s="107">
        <f>SUM(P12:R12)</f>
        <v>13534.68</v>
      </c>
      <c r="I12" s="107">
        <f>SUM(S12:U12)</f>
        <v>4528.07</v>
      </c>
      <c r="J12" s="107">
        <v>3596.77</v>
      </c>
      <c r="K12" s="107">
        <v>1559.58</v>
      </c>
      <c r="L12" s="107">
        <v>1606.29</v>
      </c>
      <c r="M12" s="107">
        <v>2786.09</v>
      </c>
      <c r="N12" s="107">
        <v>3503.29</v>
      </c>
      <c r="O12" s="107">
        <v>2315.59</v>
      </c>
      <c r="P12" s="107">
        <v>9665.98</v>
      </c>
      <c r="Q12" s="107">
        <v>2951.5</v>
      </c>
      <c r="R12" s="107">
        <v>917.1999999999999</v>
      </c>
      <c r="S12" s="107">
        <v>2729.68</v>
      </c>
      <c r="T12" s="107">
        <v>1394.83</v>
      </c>
      <c r="U12" s="107">
        <v>403.55999999999995</v>
      </c>
    </row>
    <row r="13" spans="1:22" ht="14.25">
      <c r="A13" s="111" t="s">
        <v>18</v>
      </c>
      <c r="C13" s="135">
        <f>Inputs!K32</f>
        <v>1129771.59</v>
      </c>
      <c r="D13" s="103"/>
      <c r="E13" s="107">
        <f>SUM(J13:U13)</f>
        <v>1129771.59</v>
      </c>
      <c r="F13" s="107">
        <f>SUM(J13:L13)</f>
        <v>168257.01</v>
      </c>
      <c r="G13" s="107">
        <f>SUM(M13:O13)</f>
        <v>221448.34999999998</v>
      </c>
      <c r="H13" s="107">
        <f>SUM(P13:R13)</f>
        <v>193220.26999999996</v>
      </c>
      <c r="I13" s="107">
        <f>SUM(S13:U13)</f>
        <v>546845.96</v>
      </c>
      <c r="J13" s="107">
        <f aca="true" t="shared" si="1" ref="J13:P13">SUM(J11:J12)</f>
        <v>73524.68000000002</v>
      </c>
      <c r="K13" s="107">
        <f t="shared" si="1"/>
        <v>52783.009999999995</v>
      </c>
      <c r="L13" s="107">
        <f t="shared" si="1"/>
        <v>41949.32000000001</v>
      </c>
      <c r="M13" s="107">
        <f t="shared" si="1"/>
        <v>74786.87</v>
      </c>
      <c r="N13" s="107">
        <f t="shared" si="1"/>
        <v>85824.89999999998</v>
      </c>
      <c r="O13" s="107">
        <f t="shared" si="1"/>
        <v>60836.58000000003</v>
      </c>
      <c r="P13" s="107">
        <f t="shared" si="1"/>
        <v>78278.11999999995</v>
      </c>
      <c r="Q13" s="107">
        <f>SUM(Q11:Q12)</f>
        <v>52829.09000000002</v>
      </c>
      <c r="R13" s="107">
        <f>SUM(R11:R12)</f>
        <v>62113.060000000005</v>
      </c>
      <c r="S13" s="107">
        <f>SUM(S11:S12)</f>
        <v>145870.41</v>
      </c>
      <c r="T13" s="107">
        <f>SUM(T11:T12)</f>
        <v>126623.59000000001</v>
      </c>
      <c r="U13" s="107">
        <f>SUM(U11:U12)</f>
        <v>274351.96</v>
      </c>
      <c r="V13" s="103">
        <f>SUM(J13:U13)</f>
        <v>1129771.59</v>
      </c>
    </row>
    <row r="14" spans="3:21" ht="14.25">
      <c r="C14" s="135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5">
      <c r="A15" s="102" t="s">
        <v>8</v>
      </c>
      <c r="C15" s="137"/>
      <c r="E15" s="107">
        <f>SUM(J15:U15)</f>
        <v>27305778.446000002</v>
      </c>
      <c r="F15" s="107">
        <f>SUM(J15:L15)</f>
        <v>6463676.224229166</v>
      </c>
      <c r="G15" s="107">
        <f>SUM(M15:O15)</f>
        <v>6889269.303520834</v>
      </c>
      <c r="H15" s="107">
        <f>SUM(P15:R15)</f>
        <v>6925457.970281251</v>
      </c>
      <c r="I15" s="107">
        <f>SUM(S15:U15)</f>
        <v>7027374.947968751</v>
      </c>
      <c r="J15" s="107">
        <f>J8/12</f>
        <v>2091378.1677719906</v>
      </c>
      <c r="K15" s="107">
        <f>K8/12*2-J15</f>
        <v>2146761.4757881947</v>
      </c>
      <c r="L15" s="107">
        <f>L8/12*3-SUM($J$15:K15)</f>
        <v>2225536.580668981</v>
      </c>
      <c r="M15" s="107">
        <f>M8/12*4-SUM($J$15:L15)</f>
        <v>2263370.4638449065</v>
      </c>
      <c r="N15" s="107">
        <f>N8/12*5-SUM($J$15:M15)</f>
        <v>2289067.75639352</v>
      </c>
      <c r="O15" s="107">
        <f>O8/12*6-SUM($J$15:N15)</f>
        <v>2336831.0832824074</v>
      </c>
      <c r="P15" s="107">
        <f>P8/12*7-SUM($J$15:O15)</f>
        <v>2281580.3135115746</v>
      </c>
      <c r="Q15" s="107">
        <f>Q8/12*8-SUM($J$15:P15)</f>
        <v>2344878.786442129</v>
      </c>
      <c r="R15" s="107">
        <f>R8/12*9-SUM($J$15:Q15)</f>
        <v>2298998.870327547</v>
      </c>
      <c r="S15" s="107">
        <f>S8/12*10-SUM($J$15:R15)</f>
        <v>2367828.9523622654</v>
      </c>
      <c r="T15" s="107">
        <f>T8/12*11-SUM($J$15:S15)</f>
        <v>2367183.574616898</v>
      </c>
      <c r="U15" s="107">
        <f>U8/12*12-SUM($J$15:T15)</f>
        <v>2292362.420989588</v>
      </c>
    </row>
    <row r="16" spans="1:21" ht="14.25">
      <c r="A16" s="50" t="s">
        <v>9</v>
      </c>
      <c r="C16" s="137">
        <f>C13</f>
        <v>1129771.59</v>
      </c>
      <c r="D16" s="103"/>
      <c r="E16" s="107">
        <f>SUM(J16:U16)</f>
        <v>1129771.59</v>
      </c>
      <c r="F16" s="107">
        <f>SUM(J16:L16)</f>
        <v>168257.01</v>
      </c>
      <c r="G16" s="107">
        <f>SUM(M16:O16)</f>
        <v>221448.34999999998</v>
      </c>
      <c r="H16" s="107">
        <f>SUM(P16:R16)</f>
        <v>193220.26999999996</v>
      </c>
      <c r="I16" s="107">
        <f>SUM(S16:U16)</f>
        <v>546845.96</v>
      </c>
      <c r="J16" s="107">
        <f aca="true" t="shared" si="2" ref="J16:U16">J13</f>
        <v>73524.68000000002</v>
      </c>
      <c r="K16" s="107">
        <f t="shared" si="2"/>
        <v>52783.009999999995</v>
      </c>
      <c r="L16" s="107">
        <f t="shared" si="2"/>
        <v>41949.32000000001</v>
      </c>
      <c r="M16" s="107">
        <f t="shared" si="2"/>
        <v>74786.87</v>
      </c>
      <c r="N16" s="107">
        <f t="shared" si="2"/>
        <v>85824.89999999998</v>
      </c>
      <c r="O16" s="107">
        <f t="shared" si="2"/>
        <v>60836.58000000003</v>
      </c>
      <c r="P16" s="107">
        <f t="shared" si="2"/>
        <v>78278.11999999995</v>
      </c>
      <c r="Q16" s="107">
        <f t="shared" si="2"/>
        <v>52829.09000000002</v>
      </c>
      <c r="R16" s="107">
        <f>R13</f>
        <v>62113.060000000005</v>
      </c>
      <c r="S16" s="107">
        <f>S13</f>
        <v>145870.41</v>
      </c>
      <c r="T16" s="107">
        <f t="shared" si="2"/>
        <v>126623.59000000001</v>
      </c>
      <c r="U16" s="107">
        <f t="shared" si="2"/>
        <v>274351.96</v>
      </c>
    </row>
    <row r="17" spans="1:21" ht="14.25">
      <c r="A17" s="50" t="s">
        <v>142</v>
      </c>
      <c r="B17" s="131">
        <v>0.125</v>
      </c>
      <c r="C17" s="137">
        <f>C16*B17</f>
        <v>141221.44875</v>
      </c>
      <c r="D17" s="103"/>
      <c r="E17" s="107">
        <f>SUM(J17:U17)</f>
        <v>141221.44875</v>
      </c>
      <c r="F17" s="107">
        <f>SUM(J17:L17)</f>
        <v>21032.12625</v>
      </c>
      <c r="G17" s="107">
        <f>SUM(M17:O17)</f>
        <v>27681.043749999997</v>
      </c>
      <c r="H17" s="107">
        <f>SUM(P17:R17)</f>
        <v>24152.533749999995</v>
      </c>
      <c r="I17" s="107">
        <f>SUM(S17:U17)</f>
        <v>68355.745</v>
      </c>
      <c r="J17" s="107">
        <f>J16*$B$17</f>
        <v>9190.585000000003</v>
      </c>
      <c r="K17" s="107">
        <f>K16*$B$17</f>
        <v>6597.876249999999</v>
      </c>
      <c r="L17" s="107">
        <f aca="true" t="shared" si="3" ref="L17:T17">L16*$B$17</f>
        <v>5243.665000000001</v>
      </c>
      <c r="M17" s="107">
        <f t="shared" si="3"/>
        <v>9348.35875</v>
      </c>
      <c r="N17" s="107">
        <f t="shared" si="3"/>
        <v>10728.112499999997</v>
      </c>
      <c r="O17" s="107">
        <f t="shared" si="3"/>
        <v>7604.572500000004</v>
      </c>
      <c r="P17" s="107">
        <f t="shared" si="3"/>
        <v>9784.764999999994</v>
      </c>
      <c r="Q17" s="107">
        <f t="shared" si="3"/>
        <v>6603.636250000002</v>
      </c>
      <c r="R17" s="107">
        <f t="shared" si="3"/>
        <v>7764.132500000001</v>
      </c>
      <c r="S17" s="107">
        <f>S16*$B$17</f>
        <v>18233.80125</v>
      </c>
      <c r="T17" s="107">
        <f t="shared" si="3"/>
        <v>15827.948750000001</v>
      </c>
      <c r="U17" s="107">
        <f>U16*$B$17</f>
        <v>34293.995</v>
      </c>
    </row>
    <row r="18" spans="3:21" ht="14.25">
      <c r="C18" s="13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5">
      <c r="A19" s="102" t="s">
        <v>11</v>
      </c>
      <c r="C19" s="136">
        <f>C8+C17</f>
        <v>27446999.894750003</v>
      </c>
      <c r="D19" s="103"/>
      <c r="E19" s="109">
        <f>SUM(J19:U19)</f>
        <v>27446999.894750003</v>
      </c>
      <c r="F19" s="109">
        <f>SUM(J19:L19)</f>
        <v>6484708.350479167</v>
      </c>
      <c r="G19" s="109">
        <f>SUM(M19:O19)</f>
        <v>6916950.347270833</v>
      </c>
      <c r="H19" s="109">
        <f>SUM(P19:R19)</f>
        <v>6949610.50403125</v>
      </c>
      <c r="I19" s="109">
        <f>SUM(S19:U19)</f>
        <v>7095730.692968751</v>
      </c>
      <c r="J19" s="109">
        <f aca="true" t="shared" si="4" ref="J19:U19">J15+J17</f>
        <v>2100568.752771991</v>
      </c>
      <c r="K19" s="109">
        <f t="shared" si="4"/>
        <v>2153359.352038195</v>
      </c>
      <c r="L19" s="109">
        <f t="shared" si="4"/>
        <v>2230780.245668981</v>
      </c>
      <c r="M19" s="109">
        <f t="shared" si="4"/>
        <v>2272718.8225949067</v>
      </c>
      <c r="N19" s="109">
        <f t="shared" si="4"/>
        <v>2299795.86889352</v>
      </c>
      <c r="O19" s="109">
        <f t="shared" si="4"/>
        <v>2344435.655782407</v>
      </c>
      <c r="P19" s="109">
        <f t="shared" si="4"/>
        <v>2291365.078511575</v>
      </c>
      <c r="Q19" s="109">
        <f t="shared" si="4"/>
        <v>2351482.422692129</v>
      </c>
      <c r="R19" s="109">
        <f>R15+R17</f>
        <v>2306763.002827547</v>
      </c>
      <c r="S19" s="109">
        <f>S15+S17</f>
        <v>2386062.7536122655</v>
      </c>
      <c r="T19" s="109">
        <f t="shared" si="4"/>
        <v>2383011.523366898</v>
      </c>
      <c r="U19" s="109">
        <f t="shared" si="4"/>
        <v>2326656.415989588</v>
      </c>
    </row>
    <row r="20" spans="3:21" ht="14.25">
      <c r="C20" s="13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ht="15">
      <c r="A21" s="102" t="s">
        <v>12</v>
      </c>
      <c r="C21" s="13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4.25">
      <c r="A22" s="50" t="s">
        <v>150</v>
      </c>
      <c r="B22" s="112">
        <f>Inputs!D6</f>
        <v>0.04</v>
      </c>
      <c r="C22" s="137">
        <f>C19*B22</f>
        <v>1097879.99579</v>
      </c>
      <c r="D22" s="103"/>
      <c r="E22" s="107">
        <f>SUM(J22:U22)</f>
        <v>1097879.99579</v>
      </c>
      <c r="F22" s="107">
        <f>SUM(J22:L22)</f>
        <v>259388.3340191667</v>
      </c>
      <c r="G22" s="107">
        <f>SUM(M22:O22)</f>
        <v>276678.01389083336</v>
      </c>
      <c r="H22" s="107">
        <f>SUM(P22:R22)</f>
        <v>277984.42016125005</v>
      </c>
      <c r="I22" s="107">
        <f>SUM(S22:U22)</f>
        <v>283829.22771875</v>
      </c>
      <c r="J22" s="107">
        <f>J19*$B$22</f>
        <v>84022.75011087964</v>
      </c>
      <c r="K22" s="107">
        <f aca="true" t="shared" si="5" ref="K22:U22">K19*$B$22</f>
        <v>86134.3740815278</v>
      </c>
      <c r="L22" s="107">
        <f t="shared" si="5"/>
        <v>89231.20982675925</v>
      </c>
      <c r="M22" s="107">
        <f t="shared" si="5"/>
        <v>90908.75290379627</v>
      </c>
      <c r="N22" s="107">
        <f t="shared" si="5"/>
        <v>91991.8347557408</v>
      </c>
      <c r="O22" s="107">
        <f t="shared" si="5"/>
        <v>93777.42623129628</v>
      </c>
      <c r="P22" s="107">
        <f t="shared" si="5"/>
        <v>91654.60314046299</v>
      </c>
      <c r="Q22" s="107">
        <f t="shared" si="5"/>
        <v>94059.29690768516</v>
      </c>
      <c r="R22" s="107">
        <f>R19*$B$22</f>
        <v>92270.52011310188</v>
      </c>
      <c r="S22" s="107">
        <f>S19*$B$22</f>
        <v>95442.51014449062</v>
      </c>
      <c r="T22" s="107">
        <f t="shared" si="5"/>
        <v>95320.46093467591</v>
      </c>
      <c r="U22" s="107">
        <f t="shared" si="5"/>
        <v>93066.25663958352</v>
      </c>
    </row>
    <row r="23" spans="1:21" ht="14.25">
      <c r="A23" s="50" t="s">
        <v>151</v>
      </c>
      <c r="B23" s="112">
        <f>Inputs!D7</f>
        <v>0.56</v>
      </c>
      <c r="C23" s="137">
        <f>C19*B23</f>
        <v>15370319.941060003</v>
      </c>
      <c r="D23" s="103"/>
      <c r="E23" s="107">
        <f>SUM(J23:U23)</f>
        <v>15370319.941060003</v>
      </c>
      <c r="F23" s="107">
        <f>SUM(J23:L23)</f>
        <v>3631436.6762683336</v>
      </c>
      <c r="G23" s="107">
        <f>SUM(M23:O23)</f>
        <v>3873492.1944716675</v>
      </c>
      <c r="H23" s="107">
        <f>SUM(P23:R23)</f>
        <v>3891781.8822575007</v>
      </c>
      <c r="I23" s="107">
        <f>SUM(S23:U23)</f>
        <v>3973609.1880625016</v>
      </c>
      <c r="J23" s="107">
        <f>J19*$B$23</f>
        <v>1176318.501552315</v>
      </c>
      <c r="K23" s="107">
        <f aca="true" t="shared" si="6" ref="K23:U23">K19*$B$23</f>
        <v>1205881.2371413892</v>
      </c>
      <c r="L23" s="107">
        <f t="shared" si="6"/>
        <v>1249236.9375746297</v>
      </c>
      <c r="M23" s="107">
        <f t="shared" si="6"/>
        <v>1272722.540653148</v>
      </c>
      <c r="N23" s="107">
        <f t="shared" si="6"/>
        <v>1287885.6865803713</v>
      </c>
      <c r="O23" s="107">
        <f t="shared" si="6"/>
        <v>1312883.9672381482</v>
      </c>
      <c r="P23" s="107">
        <f t="shared" si="6"/>
        <v>1283164.443966482</v>
      </c>
      <c r="Q23" s="107">
        <f t="shared" si="6"/>
        <v>1316830.1567075923</v>
      </c>
      <c r="R23" s="107">
        <f t="shared" si="6"/>
        <v>1291787.2815834265</v>
      </c>
      <c r="S23" s="107">
        <f>S19*$B$23</f>
        <v>1336195.1420228689</v>
      </c>
      <c r="T23" s="107">
        <f t="shared" si="6"/>
        <v>1334486.453085463</v>
      </c>
      <c r="U23" s="107">
        <f t="shared" si="6"/>
        <v>1302927.5929541695</v>
      </c>
    </row>
    <row r="24" spans="1:21" ht="14.25">
      <c r="A24" s="50" t="s">
        <v>78</v>
      </c>
      <c r="B24" s="112">
        <f>+Inputs!B8</f>
        <v>0.4</v>
      </c>
      <c r="C24" s="137">
        <f>C19*B24</f>
        <v>10978799.957900003</v>
      </c>
      <c r="D24" s="103"/>
      <c r="E24" s="107">
        <f>SUM(J24:U24)</f>
        <v>10978799.9579</v>
      </c>
      <c r="F24" s="107">
        <f>SUM(J24:L24)</f>
        <v>2593883.340191667</v>
      </c>
      <c r="G24" s="107">
        <f>SUM(M24:O24)</f>
        <v>2766780.1389083336</v>
      </c>
      <c r="H24" s="107">
        <f>SUM(P24:R24)</f>
        <v>2779844.2016125005</v>
      </c>
      <c r="I24" s="107">
        <f>SUM(S24:U24)</f>
        <v>2838292.2771875006</v>
      </c>
      <c r="J24" s="107">
        <f aca="true" t="shared" si="7" ref="J24:U24">J19*$B$24</f>
        <v>840227.5011087963</v>
      </c>
      <c r="K24" s="107">
        <f t="shared" si="7"/>
        <v>861343.740815278</v>
      </c>
      <c r="L24" s="107">
        <f t="shared" si="7"/>
        <v>892312.0982675925</v>
      </c>
      <c r="M24" s="107">
        <f t="shared" si="7"/>
        <v>909087.5290379627</v>
      </c>
      <c r="N24" s="107">
        <f t="shared" si="7"/>
        <v>919918.347557408</v>
      </c>
      <c r="O24" s="107">
        <f t="shared" si="7"/>
        <v>937774.2623129629</v>
      </c>
      <c r="P24" s="107">
        <f t="shared" si="7"/>
        <v>916546.0314046299</v>
      </c>
      <c r="Q24" s="107">
        <f t="shared" si="7"/>
        <v>940592.9690768516</v>
      </c>
      <c r="R24" s="107">
        <f t="shared" si="7"/>
        <v>922705.2011310188</v>
      </c>
      <c r="S24" s="107">
        <f>S19*$B$24</f>
        <v>954425.1014449062</v>
      </c>
      <c r="T24" s="107">
        <f t="shared" si="7"/>
        <v>953204.6093467592</v>
      </c>
      <c r="U24" s="107">
        <f t="shared" si="7"/>
        <v>930662.5663958353</v>
      </c>
    </row>
    <row r="25" spans="2:21" ht="14.25">
      <c r="B25" s="113"/>
      <c r="C25" s="136">
        <f>SUM(C22:C24)</f>
        <v>27446999.894750006</v>
      </c>
      <c r="D25" s="103"/>
      <c r="E25" s="109">
        <f>SUM(J25:U25)</f>
        <v>27446999.894750003</v>
      </c>
      <c r="F25" s="109">
        <f>SUM(J25:L25)</f>
        <v>6484708.350479167</v>
      </c>
      <c r="G25" s="109">
        <f>SUM(M25:O25)</f>
        <v>6916950.347270834</v>
      </c>
      <c r="H25" s="109">
        <f>SUM(P25:R25)</f>
        <v>6949610.504031252</v>
      </c>
      <c r="I25" s="109">
        <f>SUM(S25:U25)</f>
        <v>7095730.692968751</v>
      </c>
      <c r="J25" s="109">
        <f aca="true" t="shared" si="8" ref="J25:U25">SUM(J22:J24)</f>
        <v>2100568.752771991</v>
      </c>
      <c r="K25" s="109">
        <f t="shared" si="8"/>
        <v>2153359.352038195</v>
      </c>
      <c r="L25" s="109">
        <f t="shared" si="8"/>
        <v>2230780.245668981</v>
      </c>
      <c r="M25" s="109">
        <f t="shared" si="8"/>
        <v>2272718.822594907</v>
      </c>
      <c r="N25" s="109">
        <f t="shared" si="8"/>
        <v>2299795.86889352</v>
      </c>
      <c r="O25" s="109">
        <f t="shared" si="8"/>
        <v>2344435.655782407</v>
      </c>
      <c r="P25" s="109">
        <f t="shared" si="8"/>
        <v>2291365.078511575</v>
      </c>
      <c r="Q25" s="109">
        <f t="shared" si="8"/>
        <v>2351482.4226921294</v>
      </c>
      <c r="R25" s="109">
        <f t="shared" si="8"/>
        <v>2306763.0028275475</v>
      </c>
      <c r="S25" s="109">
        <f>SUM(S22:S24)</f>
        <v>2386062.7536122655</v>
      </c>
      <c r="T25" s="109">
        <f t="shared" si="8"/>
        <v>2383011.5233668983</v>
      </c>
      <c r="U25" s="109">
        <f t="shared" si="8"/>
        <v>2326656.415989588</v>
      </c>
    </row>
    <row r="26" spans="2:21" ht="14.25">
      <c r="B26" s="113"/>
      <c r="C26" s="13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4.25">
      <c r="A27" s="50" t="s">
        <v>152</v>
      </c>
      <c r="B27" s="114">
        <f>Inputs!D10</f>
        <v>0.0447</v>
      </c>
      <c r="C27" s="137">
        <f>C22*B27</f>
        <v>49075.235811813</v>
      </c>
      <c r="D27" s="103"/>
      <c r="E27" s="107">
        <f>SUM(J27:U27)</f>
        <v>49075.23581181299</v>
      </c>
      <c r="F27" s="107">
        <f>SUM(J27:L27)</f>
        <v>11594.65853065675</v>
      </c>
      <c r="G27" s="107">
        <f>SUM(M27:O27)</f>
        <v>12367.50722092025</v>
      </c>
      <c r="H27" s="107">
        <f>SUM(P27:R27)</f>
        <v>12425.903581207876</v>
      </c>
      <c r="I27" s="107">
        <f>SUM(S27:U27)</f>
        <v>12687.166479028125</v>
      </c>
      <c r="J27" s="107">
        <f>J22*$B$27</f>
        <v>3755.8169299563197</v>
      </c>
      <c r="K27" s="107">
        <f aca="true" t="shared" si="9" ref="K27:U27">K22*$B$27</f>
        <v>3850.2065214442923</v>
      </c>
      <c r="L27" s="107">
        <f t="shared" si="9"/>
        <v>3988.6350792561384</v>
      </c>
      <c r="M27" s="107">
        <f t="shared" si="9"/>
        <v>4063.621254799693</v>
      </c>
      <c r="N27" s="107">
        <f t="shared" si="9"/>
        <v>4112.035013581613</v>
      </c>
      <c r="O27" s="107">
        <f t="shared" si="9"/>
        <v>4191.850952538944</v>
      </c>
      <c r="P27" s="107">
        <f t="shared" si="9"/>
        <v>4096.960760378695</v>
      </c>
      <c r="Q27" s="107">
        <f t="shared" si="9"/>
        <v>4204.4505717735265</v>
      </c>
      <c r="R27" s="107">
        <f>R22*$B$27</f>
        <v>4124.492249055654</v>
      </c>
      <c r="S27" s="107">
        <f>S22*$B$27</f>
        <v>4266.28020345873</v>
      </c>
      <c r="T27" s="107">
        <f t="shared" si="9"/>
        <v>4260.824603780013</v>
      </c>
      <c r="U27" s="107">
        <f t="shared" si="9"/>
        <v>4160.061671789383</v>
      </c>
    </row>
    <row r="28" spans="1:21" ht="14.25">
      <c r="A28" s="50" t="s">
        <v>153</v>
      </c>
      <c r="B28" s="114">
        <f>Inputs!D11</f>
        <v>0.0526</v>
      </c>
      <c r="C28" s="137">
        <f>C23*B28</f>
        <v>808478.8288997562</v>
      </c>
      <c r="D28" s="103"/>
      <c r="E28" s="107">
        <f>SUM(J28:U28)</f>
        <v>808478.8288997562</v>
      </c>
      <c r="F28" s="107">
        <f>SUM(J28:L28)</f>
        <v>191013.56917171436</v>
      </c>
      <c r="G28" s="107">
        <f>SUM(M28:O28)</f>
        <v>203745.6894292097</v>
      </c>
      <c r="H28" s="107">
        <f>SUM(P28:R28)</f>
        <v>204707.72700674456</v>
      </c>
      <c r="I28" s="107">
        <f>SUM(S28:U28)</f>
        <v>209011.84329208755</v>
      </c>
      <c r="J28" s="107">
        <f>J23*$B$28</f>
        <v>61874.35318165177</v>
      </c>
      <c r="K28" s="107">
        <f aca="true" t="shared" si="10" ref="K28:U28">K23*$B$28</f>
        <v>63429.353073637074</v>
      </c>
      <c r="L28" s="107">
        <f t="shared" si="10"/>
        <v>65709.86291642553</v>
      </c>
      <c r="M28" s="107">
        <f t="shared" si="10"/>
        <v>66945.20563835559</v>
      </c>
      <c r="N28" s="107">
        <f t="shared" si="10"/>
        <v>67742.78711412754</v>
      </c>
      <c r="O28" s="107">
        <f t="shared" si="10"/>
        <v>69057.6966767266</v>
      </c>
      <c r="P28" s="107">
        <f t="shared" si="10"/>
        <v>67494.44975263695</v>
      </c>
      <c r="Q28" s="107">
        <f t="shared" si="10"/>
        <v>69265.26624281936</v>
      </c>
      <c r="R28" s="107">
        <f t="shared" si="10"/>
        <v>67948.01101128824</v>
      </c>
      <c r="S28" s="107">
        <f>S23*$B$28</f>
        <v>70283.8644704029</v>
      </c>
      <c r="T28" s="107">
        <f t="shared" si="10"/>
        <v>70193.98743229535</v>
      </c>
      <c r="U28" s="107">
        <f t="shared" si="10"/>
        <v>68533.99138938931</v>
      </c>
    </row>
    <row r="29" spans="1:21" ht="14.25">
      <c r="A29" s="50" t="s">
        <v>71</v>
      </c>
      <c r="B29" s="112">
        <f>Inputs!D12</f>
        <v>0.0857</v>
      </c>
      <c r="C29" s="137">
        <f>C24*B29</f>
        <v>940883.1563920302</v>
      </c>
      <c r="D29" s="103"/>
      <c r="E29" s="107">
        <f>SUM(J29:U29)</f>
        <v>940883.1563920301</v>
      </c>
      <c r="F29" s="107">
        <f>SUM(J29:L29)</f>
        <v>222295.80225442583</v>
      </c>
      <c r="G29" s="107">
        <f>SUM(M29:O29)</f>
        <v>237113.0579044442</v>
      </c>
      <c r="H29" s="107">
        <f>SUM(P29:R29)</f>
        <v>238232.64807819127</v>
      </c>
      <c r="I29" s="107">
        <f>SUM(S29:U29)</f>
        <v>243241.6481549688</v>
      </c>
      <c r="J29" s="107">
        <f aca="true" t="shared" si="11" ref="J29:U29">J24*$B$29</f>
        <v>72007.49684502384</v>
      </c>
      <c r="K29" s="107">
        <f t="shared" si="11"/>
        <v>73817.15858786933</v>
      </c>
      <c r="L29" s="107">
        <f t="shared" si="11"/>
        <v>76471.14682153267</v>
      </c>
      <c r="M29" s="107">
        <f t="shared" si="11"/>
        <v>77908.8012385534</v>
      </c>
      <c r="N29" s="107">
        <f t="shared" si="11"/>
        <v>78837.00238566987</v>
      </c>
      <c r="O29" s="107">
        <f t="shared" si="11"/>
        <v>80367.25428022092</v>
      </c>
      <c r="P29" s="107">
        <f t="shared" si="11"/>
        <v>78547.99489137679</v>
      </c>
      <c r="Q29" s="107">
        <f t="shared" si="11"/>
        <v>80608.81744988618</v>
      </c>
      <c r="R29" s="107">
        <f t="shared" si="11"/>
        <v>79075.8357369283</v>
      </c>
      <c r="S29" s="107">
        <f>S24*$B$29</f>
        <v>81794.23119382845</v>
      </c>
      <c r="T29" s="107">
        <f t="shared" si="11"/>
        <v>81689.63502101725</v>
      </c>
      <c r="U29" s="107">
        <f t="shared" si="11"/>
        <v>79757.78194012308</v>
      </c>
    </row>
    <row r="30" spans="1:21" ht="15">
      <c r="A30" s="102" t="s">
        <v>12</v>
      </c>
      <c r="C30" s="136">
        <f>SUM(C27:C29)</f>
        <v>1798437.2211035993</v>
      </c>
      <c r="D30" s="103"/>
      <c r="E30" s="109">
        <f>SUM(J30:U30)</f>
        <v>1798437.221103599</v>
      </c>
      <c r="F30" s="109">
        <f>SUM(J30:L30)</f>
        <v>424904.02995679696</v>
      </c>
      <c r="G30" s="109">
        <f>SUM(M30:O30)</f>
        <v>453226.2545545742</v>
      </c>
      <c r="H30" s="109">
        <f>SUM(P30:R30)</f>
        <v>455366.2786661437</v>
      </c>
      <c r="I30" s="109">
        <f>SUM(S30:U30)</f>
        <v>464940.6579260845</v>
      </c>
      <c r="J30" s="109">
        <f aca="true" t="shared" si="12" ref="J30:U30">SUM(J27:J29)</f>
        <v>137637.66695663193</v>
      </c>
      <c r="K30" s="109">
        <f t="shared" si="12"/>
        <v>141096.7181829507</v>
      </c>
      <c r="L30" s="109">
        <f t="shared" si="12"/>
        <v>146169.64481721434</v>
      </c>
      <c r="M30" s="109">
        <f t="shared" si="12"/>
        <v>148917.62813170868</v>
      </c>
      <c r="N30" s="109">
        <f t="shared" si="12"/>
        <v>150691.82451337902</v>
      </c>
      <c r="O30" s="109">
        <f t="shared" si="12"/>
        <v>153616.80190948647</v>
      </c>
      <c r="P30" s="109">
        <f t="shared" si="12"/>
        <v>150139.40540439246</v>
      </c>
      <c r="Q30" s="109">
        <f t="shared" si="12"/>
        <v>154078.53426447907</v>
      </c>
      <c r="R30" s="109">
        <f>SUM(R27:R29)</f>
        <v>151148.3389972722</v>
      </c>
      <c r="S30" s="109">
        <f>SUM(S27:S29)</f>
        <v>156344.37586769008</v>
      </c>
      <c r="T30" s="109">
        <f t="shared" si="12"/>
        <v>156144.44705709262</v>
      </c>
      <c r="U30" s="109">
        <f t="shared" si="12"/>
        <v>152451.83500130178</v>
      </c>
    </row>
    <row r="31" spans="1:21" ht="15">
      <c r="A31" s="102"/>
      <c r="C31" s="135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5">
      <c r="A32" s="102" t="s">
        <v>14</v>
      </c>
      <c r="C32" s="135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4.25">
      <c r="A33" s="111" t="s">
        <v>186</v>
      </c>
      <c r="C33" s="137">
        <f>+SUM('Avg Assets 09'!E11:E12)</f>
        <v>1925952.6606666667</v>
      </c>
      <c r="D33" s="103"/>
      <c r="E33" s="107">
        <f>SUM(J33:U33)</f>
        <v>1925952.6606666667</v>
      </c>
      <c r="F33" s="107">
        <f>SUM(J33:L33)</f>
        <v>444153.5428333333</v>
      </c>
      <c r="G33" s="107">
        <f>SUM(M33:O33)</f>
        <v>481015.9913333333</v>
      </c>
      <c r="H33" s="107">
        <f>SUM(P33:R33)</f>
        <v>492187.56533333333</v>
      </c>
      <c r="I33" s="107">
        <f>SUM(S33:U33)</f>
        <v>508595.5611666667</v>
      </c>
      <c r="J33" s="107">
        <f>+'Avg Assets 09'!M11+'Avg Assets 09'!M12</f>
        <v>142904.1631388889</v>
      </c>
      <c r="K33" s="107">
        <f>+'Avg Assets 09'!N11+'Avg Assets 09'!N12</f>
        <v>147493.79213888888</v>
      </c>
      <c r="L33" s="107">
        <f>+'Avg Assets 09'!O11+'Avg Assets 09'!O12</f>
        <v>153755.58755555557</v>
      </c>
      <c r="M33" s="107">
        <f>+'Avg Assets 09'!P11+'Avg Assets 09'!P12</f>
        <v>157215.27505555557</v>
      </c>
      <c r="N33" s="107">
        <f>+'Avg Assets 09'!Q11+'Avg Assets 09'!Q12</f>
        <v>159761.98308333333</v>
      </c>
      <c r="O33" s="107">
        <f>+'Avg Assets 09'!R11+'Avg Assets 09'!R12</f>
        <v>164038.73319444444</v>
      </c>
      <c r="P33" s="107">
        <f>+'Avg Assets 09'!S11+'Avg Assets 09'!S12</f>
        <v>161123.36505555557</v>
      </c>
      <c r="Q33" s="107">
        <f>+'Avg Assets 09'!T11+'Avg Assets 09'!T12</f>
        <v>166501.56833333333</v>
      </c>
      <c r="R33" s="107">
        <f>+'Avg Assets 09'!U11+'Avg Assets 09'!U12</f>
        <v>164562.63194444444</v>
      </c>
      <c r="S33" s="107">
        <f>+'Avg Assets 09'!V11+'Avg Assets 09'!V12</f>
        <v>170364.45855555555</v>
      </c>
      <c r="T33" s="107">
        <f>+'Avg Assets 09'!W11+'Avg Assets 09'!W12</f>
        <v>171185.93294444444</v>
      </c>
      <c r="U33" s="107">
        <f>+'Avg Assets 09'!X11+'Avg Assets 09'!X12</f>
        <v>167045.16966666668</v>
      </c>
    </row>
    <row r="34" spans="1:21" ht="14.25">
      <c r="A34" s="111" t="s">
        <v>87</v>
      </c>
      <c r="C34" s="137">
        <f>+SUM('Avg Assets 09'!E27:E28)</f>
        <v>0</v>
      </c>
      <c r="D34" s="103"/>
      <c r="E34" s="107">
        <f>SUM(J34:U34)</f>
        <v>0</v>
      </c>
      <c r="F34" s="107">
        <f>SUM(J34:L34)</f>
        <v>0</v>
      </c>
      <c r="G34" s="107">
        <f>SUM(M34:O34)</f>
        <v>0</v>
      </c>
      <c r="H34" s="107">
        <f>SUM(P34:R34)</f>
        <v>0</v>
      </c>
      <c r="I34" s="107">
        <f>SUM(S34:U34)</f>
        <v>0</v>
      </c>
      <c r="J34" s="107">
        <f>'Avg Assets 09'!M27+'Avg Assets 09'!M28</f>
        <v>0</v>
      </c>
      <c r="K34" s="107">
        <f>'Avg Assets 09'!N27+'Avg Assets 09'!N28</f>
        <v>0</v>
      </c>
      <c r="L34" s="107">
        <f>'Avg Assets 09'!O27+'Avg Assets 09'!O28</f>
        <v>0</v>
      </c>
      <c r="M34" s="107">
        <f>'Avg Assets 09'!P27+'Avg Assets 09'!P28</f>
        <v>0</v>
      </c>
      <c r="N34" s="107">
        <f>'Avg Assets 09'!Q27+'Avg Assets 09'!Q28</f>
        <v>0</v>
      </c>
      <c r="O34" s="107">
        <f>'Avg Assets 09'!R27+'Avg Assets 09'!R28</f>
        <v>0</v>
      </c>
      <c r="P34" s="107">
        <f>'Avg Assets 09'!S27+'Avg Assets 09'!S28</f>
        <v>0</v>
      </c>
      <c r="Q34" s="107">
        <f>'Avg Assets 09'!T27+'Avg Assets 09'!T28</f>
        <v>0</v>
      </c>
      <c r="R34" s="107">
        <f>'Avg Assets 09'!U27+'Avg Assets 09'!U28</f>
        <v>0</v>
      </c>
      <c r="S34" s="107">
        <f>'Avg Assets 09'!V27+'Avg Assets 09'!V28</f>
        <v>0</v>
      </c>
      <c r="T34" s="107">
        <f>'Avg Assets 09'!W27+'Avg Assets 09'!W28</f>
        <v>0</v>
      </c>
      <c r="U34" s="107">
        <f>'Avg Assets 09'!X27+'Avg Assets 09'!X28</f>
        <v>0</v>
      </c>
    </row>
    <row r="35" spans="1:21" ht="14.25">
      <c r="A35" s="111" t="s">
        <v>73</v>
      </c>
      <c r="C35" s="137">
        <f>+SUM('Avg Assets 09'!E43:E44)</f>
        <v>1128.0800000000006</v>
      </c>
      <c r="D35" s="103"/>
      <c r="E35" s="107">
        <f>SUM(J35:U35)</f>
        <v>1128.0800000000004</v>
      </c>
      <c r="F35" s="107">
        <f>SUM(J35:L35)</f>
        <v>282.02000000000015</v>
      </c>
      <c r="G35" s="107">
        <f>SUM(M35:O35)</f>
        <v>282.02000000000015</v>
      </c>
      <c r="H35" s="107">
        <f>SUM(P35:R35)</f>
        <v>282.02000000000015</v>
      </c>
      <c r="I35" s="107">
        <f>SUM(S35:U35)</f>
        <v>282.02000000000015</v>
      </c>
      <c r="J35" s="107">
        <f>'Avg Assets 09'!M43+'Avg Assets 09'!M44</f>
        <v>94.00666666666672</v>
      </c>
      <c r="K35" s="107">
        <f>'Avg Assets 09'!N43+'Avg Assets 09'!N44</f>
        <v>94.00666666666672</v>
      </c>
      <c r="L35" s="107">
        <f>'Avg Assets 09'!O43+'Avg Assets 09'!O44</f>
        <v>94.00666666666672</v>
      </c>
      <c r="M35" s="107">
        <f>'Avg Assets 09'!P43+'Avg Assets 09'!P44</f>
        <v>94.00666666666672</v>
      </c>
      <c r="N35" s="107">
        <f>'Avg Assets 09'!Q43+'Avg Assets 09'!Q44</f>
        <v>94.00666666666672</v>
      </c>
      <c r="O35" s="107">
        <f>'Avg Assets 09'!R43+'Avg Assets 09'!R44</f>
        <v>94.00666666666672</v>
      </c>
      <c r="P35" s="107">
        <f>'Avg Assets 09'!S43+'Avg Assets 09'!S44</f>
        <v>94.00666666666672</v>
      </c>
      <c r="Q35" s="107">
        <f>'Avg Assets 09'!T43+'Avg Assets 09'!T44</f>
        <v>94.00666666666672</v>
      </c>
      <c r="R35" s="107">
        <f>'Avg Assets 09'!U43+'Avg Assets 09'!U44</f>
        <v>94.00666666666672</v>
      </c>
      <c r="S35" s="107">
        <f>'Avg Assets 09'!V43+'Avg Assets 09'!V44</f>
        <v>94.00666666666672</v>
      </c>
      <c r="T35" s="107">
        <f>'Avg Assets 09'!W43+'Avg Assets 09'!W44</f>
        <v>94.00666666666672</v>
      </c>
      <c r="U35" s="107">
        <f>'Avg Assets 09'!X43+'Avg Assets 09'!X44</f>
        <v>94.00666666666672</v>
      </c>
    </row>
    <row r="36" spans="1:21" ht="14.25">
      <c r="A36" s="111" t="s">
        <v>187</v>
      </c>
      <c r="C36" s="138">
        <f>+SUM('Avg Assets 09'!E59:E60)</f>
        <v>265127.998</v>
      </c>
      <c r="D36" s="103"/>
      <c r="E36" s="116">
        <f>SUM(J36:U36)</f>
        <v>265127.99799999996</v>
      </c>
      <c r="F36" s="116">
        <f>SUM(J36:L36)</f>
        <v>63628.57399999999</v>
      </c>
      <c r="G36" s="116">
        <f>SUM(M36:O36)</f>
        <v>65499.7315</v>
      </c>
      <c r="H36" s="116">
        <f>SUM(P36:R36)</f>
        <v>67554.61425000001</v>
      </c>
      <c r="I36" s="116">
        <f>SUM(S36:U36)</f>
        <v>68445.07825</v>
      </c>
      <c r="J36" s="116">
        <f>'Avg Assets 09'!M59+'Avg Assets 09'!M60</f>
        <v>21148.484333333334</v>
      </c>
      <c r="K36" s="116">
        <f>'Avg Assets 09'!N59+'Avg Assets 09'!N60</f>
        <v>21270.565</v>
      </c>
      <c r="L36" s="116">
        <f>'Avg Assets 09'!O59+'Avg Assets 09'!O60</f>
        <v>21209.524666666668</v>
      </c>
      <c r="M36" s="116">
        <f>'Avg Assets 09'!P59+'Avg Assets 09'!P60</f>
        <v>21437.823666666667</v>
      </c>
      <c r="N36" s="116">
        <f>'Avg Assets 09'!Q59+'Avg Assets 09'!Q60</f>
        <v>22047.80525</v>
      </c>
      <c r="O36" s="116">
        <f>'Avg Assets 09'!R59+'Avg Assets 09'!R60</f>
        <v>22014.102583333333</v>
      </c>
      <c r="P36" s="116">
        <f>'Avg Assets 09'!S59+'Avg Assets 09'!S60</f>
        <v>22681.360666666667</v>
      </c>
      <c r="Q36" s="116">
        <f>'Avg Assets 09'!T59+'Avg Assets 09'!T60</f>
        <v>22626.3005</v>
      </c>
      <c r="R36" s="116">
        <f>'Avg Assets 09'!U59+'Avg Assets 09'!U60</f>
        <v>22246.953083333334</v>
      </c>
      <c r="S36" s="116">
        <f>'Avg Assets 09'!V59+'Avg Assets 09'!V60</f>
        <v>22202.31525</v>
      </c>
      <c r="T36" s="116">
        <f>'Avg Assets 09'!W59+'Avg Assets 09'!W60</f>
        <v>22965.048583333333</v>
      </c>
      <c r="U36" s="116">
        <f>'Avg Assets 09'!X59+'Avg Assets 09'!X60</f>
        <v>23277.714416666666</v>
      </c>
    </row>
    <row r="37" spans="1:21" ht="15">
      <c r="A37" s="102" t="s">
        <v>15</v>
      </c>
      <c r="B37" s="117"/>
      <c r="C37" s="135">
        <f>SUM(C33:C36)</f>
        <v>2192208.7386666667</v>
      </c>
      <c r="D37" s="103"/>
      <c r="E37" s="119">
        <f>SUM(E33:E36)</f>
        <v>2192208.7386666667</v>
      </c>
      <c r="F37" s="107">
        <f>SUM(J37:L37)</f>
        <v>508064.1368333333</v>
      </c>
      <c r="G37" s="107">
        <f>SUM(M37:O37)</f>
        <v>546797.7428333333</v>
      </c>
      <c r="H37" s="107">
        <f>SUM(P37:R37)</f>
        <v>560024.1995833333</v>
      </c>
      <c r="I37" s="107">
        <f>SUM(S37:U37)</f>
        <v>577322.6594166666</v>
      </c>
      <c r="J37" s="107">
        <f aca="true" t="shared" si="13" ref="J37:U37">SUM(J33:J36)</f>
        <v>164146.65413888887</v>
      </c>
      <c r="K37" s="107">
        <f t="shared" si="13"/>
        <v>168858.36380555553</v>
      </c>
      <c r="L37" s="107">
        <f t="shared" si="13"/>
        <v>175059.1188888889</v>
      </c>
      <c r="M37" s="107">
        <f t="shared" si="13"/>
        <v>178747.1053888889</v>
      </c>
      <c r="N37" s="107">
        <f t="shared" si="13"/>
        <v>181903.79499999998</v>
      </c>
      <c r="O37" s="107">
        <f t="shared" si="13"/>
        <v>186146.84244444442</v>
      </c>
      <c r="P37" s="107">
        <f t="shared" si="13"/>
        <v>183898.7323888889</v>
      </c>
      <c r="Q37" s="107">
        <f t="shared" si="13"/>
        <v>189221.8755</v>
      </c>
      <c r="R37" s="107">
        <f t="shared" si="13"/>
        <v>186903.59169444442</v>
      </c>
      <c r="S37" s="107">
        <f>SUM(S33:S36)</f>
        <v>192660.7804722222</v>
      </c>
      <c r="T37" s="107">
        <f t="shared" si="13"/>
        <v>194244.98819444442</v>
      </c>
      <c r="U37" s="107">
        <f t="shared" si="13"/>
        <v>190416.89075</v>
      </c>
    </row>
    <row r="38" spans="3:21" ht="14.25">
      <c r="C38" s="137"/>
      <c r="D38" s="103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">
      <c r="A39" s="102" t="s">
        <v>16</v>
      </c>
      <c r="C39" s="136">
        <f>SUM(C30,C37,C13)</f>
        <v>5120417.549770266</v>
      </c>
      <c r="D39" s="103"/>
      <c r="E39" s="109">
        <f>SUM(E30,E37,E13)</f>
        <v>5120417.549770266</v>
      </c>
      <c r="F39" s="109">
        <f>SUM(J39:L39)</f>
        <v>1101225.1767901303</v>
      </c>
      <c r="G39" s="109">
        <f>SUM(M39:O39)</f>
        <v>1221472.3473879076</v>
      </c>
      <c r="H39" s="109">
        <f>SUM(P39:R39)</f>
        <v>1208610.748249477</v>
      </c>
      <c r="I39" s="109">
        <f>SUM(S39:U39)</f>
        <v>1589109.277342751</v>
      </c>
      <c r="J39" s="109">
        <f>SUM(J30,J37,J13)</f>
        <v>375309.0010955208</v>
      </c>
      <c r="K39" s="109">
        <f aca="true" t="shared" si="14" ref="K39:U39">SUM(K30,K37,K13)</f>
        <v>362738.09198850626</v>
      </c>
      <c r="L39" s="109">
        <f t="shared" si="14"/>
        <v>363178.0837061032</v>
      </c>
      <c r="M39" s="109">
        <f t="shared" si="14"/>
        <v>402451.60352059756</v>
      </c>
      <c r="N39" s="109">
        <f t="shared" si="14"/>
        <v>418420.51951337897</v>
      </c>
      <c r="O39" s="109">
        <f t="shared" si="14"/>
        <v>400600.2243539309</v>
      </c>
      <c r="P39" s="109">
        <f t="shared" si="14"/>
        <v>412316.2577932813</v>
      </c>
      <c r="Q39" s="109">
        <f t="shared" si="14"/>
        <v>396129.49976447906</v>
      </c>
      <c r="R39" s="109">
        <f t="shared" si="14"/>
        <v>400164.9906917166</v>
      </c>
      <c r="S39" s="109">
        <f>SUM(S30,S37,S13)</f>
        <v>494875.56633991224</v>
      </c>
      <c r="T39" s="109">
        <f t="shared" si="14"/>
        <v>477013.02525153704</v>
      </c>
      <c r="U39" s="109">
        <f t="shared" si="14"/>
        <v>617220.6857513017</v>
      </c>
    </row>
    <row r="40" spans="1:21" ht="15">
      <c r="A40" s="102"/>
      <c r="C40" s="135"/>
      <c r="E40" s="119"/>
      <c r="F40" s="119"/>
      <c r="G40" s="119"/>
      <c r="H40" s="119"/>
      <c r="I40" s="119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">
      <c r="A41" s="102" t="s">
        <v>17</v>
      </c>
      <c r="C41" s="135"/>
      <c r="E41" s="119"/>
      <c r="F41" s="119"/>
      <c r="G41" s="119"/>
      <c r="H41" s="119"/>
      <c r="I41" s="119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ht="14.25">
      <c r="A42" s="111" t="s">
        <v>18</v>
      </c>
      <c r="C42" s="135">
        <f>-C13</f>
        <v>-1129771.59</v>
      </c>
      <c r="D42" s="103"/>
      <c r="E42" s="107">
        <f>SUM(J42:U42)</f>
        <v>-1129771.59</v>
      </c>
      <c r="F42" s="107">
        <f>SUM(J42:L42)</f>
        <v>-168257.01</v>
      </c>
      <c r="G42" s="107">
        <f>SUM(M42:O42)</f>
        <v>-221448.34999999998</v>
      </c>
      <c r="H42" s="107">
        <f>SUM(P42:R42)</f>
        <v>-193220.26999999996</v>
      </c>
      <c r="I42" s="107">
        <f>SUM(S42:U42)</f>
        <v>-546845.96</v>
      </c>
      <c r="J42" s="119">
        <f>-J13</f>
        <v>-73524.68000000002</v>
      </c>
      <c r="K42" s="119">
        <f aca="true" t="shared" si="15" ref="K42:U42">-K13</f>
        <v>-52783.009999999995</v>
      </c>
      <c r="L42" s="119">
        <f t="shared" si="15"/>
        <v>-41949.32000000001</v>
      </c>
      <c r="M42" s="119">
        <f t="shared" si="15"/>
        <v>-74786.87</v>
      </c>
      <c r="N42" s="119">
        <f t="shared" si="15"/>
        <v>-85824.89999999998</v>
      </c>
      <c r="O42" s="119">
        <f t="shared" si="15"/>
        <v>-60836.58000000003</v>
      </c>
      <c r="P42" s="119">
        <f t="shared" si="15"/>
        <v>-78278.11999999995</v>
      </c>
      <c r="Q42" s="119">
        <f t="shared" si="15"/>
        <v>-52829.09000000002</v>
      </c>
      <c r="R42" s="119">
        <f t="shared" si="15"/>
        <v>-62113.060000000005</v>
      </c>
      <c r="S42" s="119">
        <f>-S13</f>
        <v>-145870.41</v>
      </c>
      <c r="T42" s="119">
        <f t="shared" si="15"/>
        <v>-126623.59000000001</v>
      </c>
      <c r="U42" s="119">
        <f t="shared" si="15"/>
        <v>-274351.96</v>
      </c>
    </row>
    <row r="43" spans="1:21" ht="14.25">
      <c r="A43" s="111" t="s">
        <v>19</v>
      </c>
      <c r="C43" s="137">
        <f>-SUM(C33:C36)</f>
        <v>-2192208.7386666667</v>
      </c>
      <c r="D43" s="103"/>
      <c r="E43" s="107">
        <f>SUM(J43:U43)</f>
        <v>-2192208.7386666667</v>
      </c>
      <c r="F43" s="107">
        <f>SUM(J43:L43)</f>
        <v>-508064.1368333333</v>
      </c>
      <c r="G43" s="107">
        <f>SUM(M43:O43)</f>
        <v>-546797.7428333333</v>
      </c>
      <c r="H43" s="107">
        <f>SUM(P43:R43)</f>
        <v>-560024.1995833333</v>
      </c>
      <c r="I43" s="107">
        <f>SUM(S43:U43)</f>
        <v>-577322.6594166666</v>
      </c>
      <c r="J43" s="107">
        <f aca="true" t="shared" si="16" ref="J43:U43">-J37</f>
        <v>-164146.65413888887</v>
      </c>
      <c r="K43" s="107">
        <f t="shared" si="16"/>
        <v>-168858.36380555553</v>
      </c>
      <c r="L43" s="107">
        <f t="shared" si="16"/>
        <v>-175059.1188888889</v>
      </c>
      <c r="M43" s="107">
        <f t="shared" si="16"/>
        <v>-178747.1053888889</v>
      </c>
      <c r="N43" s="107">
        <f t="shared" si="16"/>
        <v>-181903.79499999998</v>
      </c>
      <c r="O43" s="107">
        <f t="shared" si="16"/>
        <v>-186146.84244444442</v>
      </c>
      <c r="P43" s="107">
        <f t="shared" si="16"/>
        <v>-183898.7323888889</v>
      </c>
      <c r="Q43" s="107">
        <f t="shared" si="16"/>
        <v>-189221.8755</v>
      </c>
      <c r="R43" s="107">
        <f t="shared" si="16"/>
        <v>-186903.59169444442</v>
      </c>
      <c r="S43" s="107">
        <f>-S37</f>
        <v>-192660.7804722222</v>
      </c>
      <c r="T43" s="107">
        <f t="shared" si="16"/>
        <v>-194244.98819444442</v>
      </c>
      <c r="U43" s="107">
        <f t="shared" si="16"/>
        <v>-190416.89075</v>
      </c>
    </row>
    <row r="44" spans="1:21" ht="14.25">
      <c r="A44" s="111" t="s">
        <v>20</v>
      </c>
      <c r="C44" s="137">
        <f>-C27-C28</f>
        <v>-857554.0647115692</v>
      </c>
      <c r="D44" s="103"/>
      <c r="E44" s="107">
        <f>SUM(J44:U44)</f>
        <v>-857554.0647115693</v>
      </c>
      <c r="F44" s="107">
        <f>SUM(J44:L44)</f>
        <v>-202608.22770237114</v>
      </c>
      <c r="G44" s="107">
        <f>SUM(M44:O44)</f>
        <v>-216113.19665012998</v>
      </c>
      <c r="H44" s="107">
        <f>SUM(P44:R44)</f>
        <v>-217133.63058795242</v>
      </c>
      <c r="I44" s="107">
        <f>SUM(S44:U44)</f>
        <v>-221699.00977111573</v>
      </c>
      <c r="J44" s="107">
        <f>-J27-J28</f>
        <v>-65630.1701116081</v>
      </c>
      <c r="K44" s="107">
        <f aca="true" t="shared" si="17" ref="K44:U44">-K27-K28</f>
        <v>-67279.55959508137</v>
      </c>
      <c r="L44" s="107">
        <f t="shared" si="17"/>
        <v>-69698.49799568167</v>
      </c>
      <c r="M44" s="107">
        <f t="shared" si="17"/>
        <v>-71008.82689315529</v>
      </c>
      <c r="N44" s="107">
        <f t="shared" si="17"/>
        <v>-71854.82212770915</v>
      </c>
      <c r="O44" s="107">
        <f t="shared" si="17"/>
        <v>-73249.54762926554</v>
      </c>
      <c r="P44" s="107">
        <f t="shared" si="17"/>
        <v>-71591.41051301565</v>
      </c>
      <c r="Q44" s="107">
        <f t="shared" si="17"/>
        <v>-73469.71681459289</v>
      </c>
      <c r="R44" s="107">
        <f t="shared" si="17"/>
        <v>-72072.50326034389</v>
      </c>
      <c r="S44" s="107">
        <f>-S27-S28</f>
        <v>-74550.14467386164</v>
      </c>
      <c r="T44" s="107">
        <f t="shared" si="17"/>
        <v>-74454.81203607537</v>
      </c>
      <c r="U44" s="107">
        <f t="shared" si="17"/>
        <v>-72694.0530611787</v>
      </c>
    </row>
    <row r="45" spans="1:21" ht="15">
      <c r="A45" s="102" t="s">
        <v>21</v>
      </c>
      <c r="B45" s="117"/>
      <c r="C45" s="136">
        <f>SUM(C39:C44)</f>
        <v>940883.1563920301</v>
      </c>
      <c r="D45" s="103"/>
      <c r="E45" s="109">
        <f>SUM(J45:U45)</f>
        <v>940883.15639203</v>
      </c>
      <c r="F45" s="109">
        <f>SUM(J45:L45)</f>
        <v>222295.80225442583</v>
      </c>
      <c r="G45" s="109">
        <f>SUM(M45:O45)</f>
        <v>237113.05790444417</v>
      </c>
      <c r="H45" s="109">
        <f>SUM(P45:R45)</f>
        <v>238232.64807819133</v>
      </c>
      <c r="I45" s="109">
        <f>SUM(S45:U45)</f>
        <v>243241.64815496875</v>
      </c>
      <c r="J45" s="109">
        <f>SUM(J42:J44)+J39</f>
        <v>72007.49684502382</v>
      </c>
      <c r="K45" s="109">
        <f aca="true" t="shared" si="18" ref="K45:U45">SUM(K42:K44)+K39</f>
        <v>73817.15858786937</v>
      </c>
      <c r="L45" s="109">
        <f t="shared" si="18"/>
        <v>76471.14682153263</v>
      </c>
      <c r="M45" s="109">
        <f t="shared" si="18"/>
        <v>77908.80123855337</v>
      </c>
      <c r="N45" s="109">
        <f t="shared" si="18"/>
        <v>78837.00238566985</v>
      </c>
      <c r="O45" s="109">
        <f t="shared" si="18"/>
        <v>80367.25428022095</v>
      </c>
      <c r="P45" s="109">
        <f t="shared" si="18"/>
        <v>78547.99489137682</v>
      </c>
      <c r="Q45" s="109">
        <f t="shared" si="18"/>
        <v>80608.81744988618</v>
      </c>
      <c r="R45" s="109">
        <f t="shared" si="18"/>
        <v>79075.83573692833</v>
      </c>
      <c r="S45" s="109">
        <f>SUM(S42:S44)+S39</f>
        <v>81794.23119382845</v>
      </c>
      <c r="T45" s="109">
        <f t="shared" si="18"/>
        <v>81689.63502101722</v>
      </c>
      <c r="U45" s="109">
        <f t="shared" si="18"/>
        <v>79757.78194012307</v>
      </c>
    </row>
    <row r="46" spans="1:21" ht="15">
      <c r="A46" s="102"/>
      <c r="C46" s="135"/>
      <c r="E46" s="107"/>
      <c r="F46" s="107"/>
      <c r="G46" s="107"/>
      <c r="H46" s="107"/>
      <c r="I46" s="107"/>
      <c r="J46" s="122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ht="15">
      <c r="A47" s="102" t="s">
        <v>80</v>
      </c>
      <c r="C47" s="137">
        <f>+'PILs 09'!D30</f>
        <v>311262.44669747294</v>
      </c>
      <c r="D47" s="103"/>
      <c r="E47" s="107">
        <f>SUM(J47:U47)</f>
        <v>311262.44669747294</v>
      </c>
      <c r="F47" s="107">
        <f>SUM(J47:L47)</f>
        <v>77815.61167436824</v>
      </c>
      <c r="G47" s="107">
        <f>SUM(M47:O47)</f>
        <v>77815.61167436824</v>
      </c>
      <c r="H47" s="107">
        <f>SUM(P47:R47)</f>
        <v>77815.61167436824</v>
      </c>
      <c r="I47" s="107">
        <f>SUM(S47:U47)</f>
        <v>77815.61167436824</v>
      </c>
      <c r="J47" s="107">
        <f>$C$47/12</f>
        <v>25938.537224789412</v>
      </c>
      <c r="K47" s="107">
        <f aca="true" t="shared" si="19" ref="K47:U47">$C$47/12</f>
        <v>25938.537224789412</v>
      </c>
      <c r="L47" s="107">
        <f t="shared" si="19"/>
        <v>25938.537224789412</v>
      </c>
      <c r="M47" s="107">
        <f t="shared" si="19"/>
        <v>25938.537224789412</v>
      </c>
      <c r="N47" s="107">
        <f t="shared" si="19"/>
        <v>25938.537224789412</v>
      </c>
      <c r="O47" s="107">
        <f t="shared" si="19"/>
        <v>25938.537224789412</v>
      </c>
      <c r="P47" s="107">
        <f t="shared" si="19"/>
        <v>25938.537224789412</v>
      </c>
      <c r="Q47" s="107">
        <f t="shared" si="19"/>
        <v>25938.537224789412</v>
      </c>
      <c r="R47" s="107">
        <f t="shared" si="19"/>
        <v>25938.537224789412</v>
      </c>
      <c r="S47" s="107">
        <f>$C$47/12</f>
        <v>25938.537224789412</v>
      </c>
      <c r="T47" s="107">
        <f t="shared" si="19"/>
        <v>25938.537224789412</v>
      </c>
      <c r="U47" s="107">
        <f t="shared" si="19"/>
        <v>25938.537224789412</v>
      </c>
    </row>
    <row r="48" spans="3:21" ht="14.25">
      <c r="C48" s="135"/>
      <c r="E48" s="107"/>
      <c r="F48" s="107"/>
      <c r="G48" s="107"/>
      <c r="H48" s="107"/>
      <c r="I48" s="107"/>
      <c r="J48" s="122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ht="14.25">
      <c r="A49" s="50" t="str">
        <f>A39</f>
        <v>Revenue Requirement Before PILs</v>
      </c>
      <c r="C49" s="135">
        <f>C39</f>
        <v>5120417.549770266</v>
      </c>
      <c r="D49" s="103"/>
      <c r="E49" s="107">
        <f>SUM(J49:U49)</f>
        <v>5120417.549770266</v>
      </c>
      <c r="F49" s="107">
        <f>SUM(J49:L49)</f>
        <v>1101225.1767901303</v>
      </c>
      <c r="G49" s="107">
        <f>SUM(M49:O49)</f>
        <v>1221472.3473879076</v>
      </c>
      <c r="H49" s="107">
        <f>SUM(P49:R49)</f>
        <v>1208610.748249477</v>
      </c>
      <c r="I49" s="107">
        <f>SUM(S49:U49)</f>
        <v>1589109.277342751</v>
      </c>
      <c r="J49" s="119">
        <f aca="true" t="shared" si="20" ref="J49:U49">J39</f>
        <v>375309.0010955208</v>
      </c>
      <c r="K49" s="119">
        <f t="shared" si="20"/>
        <v>362738.09198850626</v>
      </c>
      <c r="L49" s="119">
        <f t="shared" si="20"/>
        <v>363178.0837061032</v>
      </c>
      <c r="M49" s="119">
        <f t="shared" si="20"/>
        <v>402451.60352059756</v>
      </c>
      <c r="N49" s="119">
        <f t="shared" si="20"/>
        <v>418420.51951337897</v>
      </c>
      <c r="O49" s="119">
        <f t="shared" si="20"/>
        <v>400600.2243539309</v>
      </c>
      <c r="P49" s="119">
        <f t="shared" si="20"/>
        <v>412316.2577932813</v>
      </c>
      <c r="Q49" s="119">
        <f t="shared" si="20"/>
        <v>396129.49976447906</v>
      </c>
      <c r="R49" s="119">
        <f t="shared" si="20"/>
        <v>400164.9906917166</v>
      </c>
      <c r="S49" s="119">
        <f>S39</f>
        <v>494875.56633991224</v>
      </c>
      <c r="T49" s="119">
        <f t="shared" si="20"/>
        <v>477013.02525153704</v>
      </c>
      <c r="U49" s="119">
        <f t="shared" si="20"/>
        <v>617220.6857513017</v>
      </c>
    </row>
    <row r="50" spans="1:22" ht="15">
      <c r="A50" s="50" t="s">
        <v>80</v>
      </c>
      <c r="C50" s="135">
        <f>C47</f>
        <v>311262.44669747294</v>
      </c>
      <c r="D50" s="103"/>
      <c r="E50" s="107">
        <f>SUM(J50:U50)</f>
        <v>311262.44669747294</v>
      </c>
      <c r="F50" s="107">
        <f>SUM(J50:L50)</f>
        <v>77815.61167436824</v>
      </c>
      <c r="G50" s="107">
        <f>SUM(M50:O50)</f>
        <v>77815.61167436824</v>
      </c>
      <c r="H50" s="107">
        <f>SUM(P50:R50)</f>
        <v>77815.61167436824</v>
      </c>
      <c r="I50" s="107">
        <f>SUM(S50:U50)</f>
        <v>77815.61167436824</v>
      </c>
      <c r="J50" s="119">
        <f aca="true" t="shared" si="21" ref="J50:U50">J47</f>
        <v>25938.537224789412</v>
      </c>
      <c r="K50" s="119">
        <f t="shared" si="21"/>
        <v>25938.537224789412</v>
      </c>
      <c r="L50" s="119">
        <f t="shared" si="21"/>
        <v>25938.537224789412</v>
      </c>
      <c r="M50" s="119">
        <f t="shared" si="21"/>
        <v>25938.537224789412</v>
      </c>
      <c r="N50" s="119">
        <f t="shared" si="21"/>
        <v>25938.537224789412</v>
      </c>
      <c r="O50" s="119">
        <f t="shared" si="21"/>
        <v>25938.537224789412</v>
      </c>
      <c r="P50" s="119">
        <f t="shared" si="21"/>
        <v>25938.537224789412</v>
      </c>
      <c r="Q50" s="119">
        <f t="shared" si="21"/>
        <v>25938.537224789412</v>
      </c>
      <c r="R50" s="119">
        <f t="shared" si="21"/>
        <v>25938.537224789412</v>
      </c>
      <c r="S50" s="119">
        <f>S47</f>
        <v>25938.537224789412</v>
      </c>
      <c r="T50" s="119">
        <f t="shared" si="21"/>
        <v>25938.537224789412</v>
      </c>
      <c r="U50" s="119">
        <f t="shared" si="21"/>
        <v>25938.537224789412</v>
      </c>
      <c r="V50" s="102"/>
    </row>
    <row r="51" spans="3:22" ht="15">
      <c r="C51" s="135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2"/>
    </row>
    <row r="52" spans="1:22" ht="15.75" thickBot="1">
      <c r="A52" s="102" t="s">
        <v>22</v>
      </c>
      <c r="C52" s="139">
        <f>SUM(C49:C50)</f>
        <v>5431679.996467738</v>
      </c>
      <c r="D52" s="103"/>
      <c r="E52" s="124">
        <f>SUM(J52:U52)</f>
        <v>5431679.996467739</v>
      </c>
      <c r="F52" s="124">
        <f>SUM(J52:L52)</f>
        <v>1179040.7884644985</v>
      </c>
      <c r="G52" s="124">
        <f>SUM(M52:O52)</f>
        <v>1299287.9590622755</v>
      </c>
      <c r="H52" s="124">
        <f>SUM(P52:R52)</f>
        <v>1286426.3599238452</v>
      </c>
      <c r="I52" s="124">
        <f>SUM(S52:U52)</f>
        <v>1666924.889017119</v>
      </c>
      <c r="J52" s="124">
        <f>SUM(J49:J50)</f>
        <v>401247.5383203102</v>
      </c>
      <c r="K52" s="124">
        <f aca="true" t="shared" si="22" ref="K52:U52">SUM(K49:K50)</f>
        <v>388676.62921329564</v>
      </c>
      <c r="L52" s="124">
        <f t="shared" si="22"/>
        <v>389116.62093089265</v>
      </c>
      <c r="M52" s="124">
        <f t="shared" si="22"/>
        <v>428390.14074538695</v>
      </c>
      <c r="N52" s="124">
        <f t="shared" si="22"/>
        <v>444359.05673816835</v>
      </c>
      <c r="O52" s="124">
        <f t="shared" si="22"/>
        <v>426538.7615787203</v>
      </c>
      <c r="P52" s="124">
        <f t="shared" si="22"/>
        <v>438254.7950180707</v>
      </c>
      <c r="Q52" s="124">
        <f t="shared" si="22"/>
        <v>422068.0369892685</v>
      </c>
      <c r="R52" s="124">
        <f t="shared" si="22"/>
        <v>426103.52791650605</v>
      </c>
      <c r="S52" s="124">
        <f>SUM(S49:S50)</f>
        <v>520814.1035647016</v>
      </c>
      <c r="T52" s="124">
        <f t="shared" si="22"/>
        <v>502951.5624763265</v>
      </c>
      <c r="U52" s="124">
        <f t="shared" si="22"/>
        <v>643159.2229760911</v>
      </c>
      <c r="V52" s="103">
        <f>SUM(J52:U52)</f>
        <v>5431679.996467739</v>
      </c>
    </row>
    <row r="53" spans="1:21" ht="15">
      <c r="A53" s="102"/>
      <c r="C53" s="140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ht="14.25">
      <c r="A54" s="50" t="s">
        <v>130</v>
      </c>
      <c r="C54" s="137"/>
      <c r="J54" s="127">
        <v>0.0245</v>
      </c>
      <c r="K54" s="127">
        <v>0.0245</v>
      </c>
      <c r="L54" s="127">
        <v>0.0245</v>
      </c>
      <c r="M54" s="127">
        <v>0.01</v>
      </c>
      <c r="N54" s="127">
        <v>0.01</v>
      </c>
      <c r="O54" s="127">
        <v>0.01</v>
      </c>
      <c r="P54" s="127">
        <v>0.0055</v>
      </c>
      <c r="Q54" s="127">
        <v>0.0055</v>
      </c>
      <c r="R54" s="127">
        <v>0.0055</v>
      </c>
      <c r="S54" s="127">
        <v>0.0055</v>
      </c>
      <c r="T54" s="127">
        <v>0.0055</v>
      </c>
      <c r="U54" s="127">
        <v>0.0055</v>
      </c>
    </row>
    <row r="55" spans="1:22" ht="14.25">
      <c r="A55" s="50" t="s">
        <v>110</v>
      </c>
      <c r="B55" s="128"/>
      <c r="C55" s="137">
        <f>E55</f>
        <v>-5292457.739999999</v>
      </c>
      <c r="D55" s="103"/>
      <c r="E55" s="103">
        <f>SUM(J55:U55)</f>
        <v>-5292457.739999999</v>
      </c>
      <c r="F55" s="103">
        <f>SUM(J55:L55)</f>
        <v>-1000332.9</v>
      </c>
      <c r="G55" s="103">
        <f>SUM(M55:O55)</f>
        <v>-1320062.04</v>
      </c>
      <c r="H55" s="103">
        <f>SUM(P55:R55)</f>
        <v>-1482292.56</v>
      </c>
      <c r="I55" s="103">
        <f>SUM(S55:U55)</f>
        <v>-1489770.24</v>
      </c>
      <c r="J55" s="119">
        <v>-333101.16</v>
      </c>
      <c r="K55" s="119">
        <v>-333554.88</v>
      </c>
      <c r="L55" s="119">
        <v>-333676.86</v>
      </c>
      <c r="M55" s="119">
        <v>-334063.32</v>
      </c>
      <c r="N55" s="119">
        <v>-492796.08</v>
      </c>
      <c r="O55" s="119">
        <v>-493202.64</v>
      </c>
      <c r="P55" s="119">
        <v>-493718.4</v>
      </c>
      <c r="Q55" s="119">
        <v>-493715.04</v>
      </c>
      <c r="R55" s="119">
        <v>-494859.12</v>
      </c>
      <c r="S55" s="119">
        <v>-495794.88</v>
      </c>
      <c r="T55" s="119">
        <v>-496683.6</v>
      </c>
      <c r="U55" s="119">
        <v>-497291.76</v>
      </c>
      <c r="V55" s="103">
        <f>SUM(R55:U55)</f>
        <v>-1984629.36</v>
      </c>
    </row>
    <row r="56" spans="1:21" ht="14.25">
      <c r="A56" s="50" t="s">
        <v>111</v>
      </c>
      <c r="C56" s="137">
        <f>+C52+C55</f>
        <v>139222.25646773912</v>
      </c>
      <c r="D56" s="103"/>
      <c r="E56" s="103">
        <f>SUM(J56:U56)</f>
        <v>139222.25646773854</v>
      </c>
      <c r="F56" s="103">
        <f>SUM(J56:L56)</f>
        <v>178707.8884644985</v>
      </c>
      <c r="G56" s="103">
        <f>SUM(M56:O56)</f>
        <v>-20774.080937724444</v>
      </c>
      <c r="H56" s="103">
        <f>SUM(P56:R56)</f>
        <v>-195866.20007615472</v>
      </c>
      <c r="I56" s="103">
        <f>SUM(S56:U56)</f>
        <v>177154.6490171192</v>
      </c>
      <c r="J56" s="107">
        <f>+J52+J55</f>
        <v>68146.3783203102</v>
      </c>
      <c r="K56" s="107">
        <f>+K52+K55</f>
        <v>55121.74921329564</v>
      </c>
      <c r="L56" s="107">
        <f aca="true" t="shared" si="23" ref="L56:U56">+L52+L55</f>
        <v>55439.76093089266</v>
      </c>
      <c r="M56" s="107">
        <f t="shared" si="23"/>
        <v>94326.82074538694</v>
      </c>
      <c r="N56" s="107">
        <f t="shared" si="23"/>
        <v>-48437.023261831666</v>
      </c>
      <c r="O56" s="107">
        <f t="shared" si="23"/>
        <v>-66663.87842127972</v>
      </c>
      <c r="P56" s="107">
        <f t="shared" si="23"/>
        <v>-55463.6049819293</v>
      </c>
      <c r="Q56" s="107">
        <f t="shared" si="23"/>
        <v>-71647.00301073148</v>
      </c>
      <c r="R56" s="107">
        <f t="shared" si="23"/>
        <v>-68755.59208349395</v>
      </c>
      <c r="S56" s="107">
        <f>+S52+S55</f>
        <v>25019.22356470162</v>
      </c>
      <c r="T56" s="107">
        <f t="shared" si="23"/>
        <v>6267.962476326502</v>
      </c>
      <c r="U56" s="107">
        <f t="shared" si="23"/>
        <v>145867.46297609108</v>
      </c>
    </row>
    <row r="57" spans="1:21" ht="14.25">
      <c r="A57" s="50" t="s">
        <v>112</v>
      </c>
      <c r="C57" s="137">
        <f>E57</f>
        <v>-20723.323457953808</v>
      </c>
      <c r="D57" s="103"/>
      <c r="E57" s="103">
        <f>SUM(J57:U57)</f>
        <v>-20723.323457953808</v>
      </c>
      <c r="F57" s="103">
        <f>SUM(J57:L57)</f>
        <v>-11252.282959480803</v>
      </c>
      <c r="G57" s="103">
        <f>SUM(M57:O57)</f>
        <v>-4239.137054852521</v>
      </c>
      <c r="H57" s="103">
        <f>SUM(P57:R57)</f>
        <v>-2534.8340983004396</v>
      </c>
      <c r="I57" s="103">
        <f>SUM(S57:U57)</f>
        <v>-2697.069345320043</v>
      </c>
      <c r="J57" s="128">
        <f>J59*J54/365*(K$3-J$3)</f>
        <v>-4008.251719835616</v>
      </c>
      <c r="K57" s="128">
        <f>K59*K54/365*(L$3-K$3)</f>
        <v>-3492.278541348677</v>
      </c>
      <c r="L57" s="128">
        <f aca="true" t="shared" si="24" ref="L57:T57">L59*L54/365*(M$3-L$3)</f>
        <v>-3751.752698296511</v>
      </c>
      <c r="M57" s="128">
        <f t="shared" si="24"/>
        <v>-1436.3630396182205</v>
      </c>
      <c r="N57" s="128">
        <f t="shared" si="24"/>
        <v>-1404.128617383385</v>
      </c>
      <c r="O57" s="128">
        <f t="shared" si="24"/>
        <v>-1398.6453978509148</v>
      </c>
      <c r="P57" s="128">
        <f t="shared" si="24"/>
        <v>-826.0370511690002</v>
      </c>
      <c r="Q57" s="128">
        <f t="shared" si="24"/>
        <v>-851.9453926742576</v>
      </c>
      <c r="R57" s="128">
        <f t="shared" si="24"/>
        <v>-856.8516544571818</v>
      </c>
      <c r="S57" s="128">
        <f>S59*S54/365*(T$3-S$3)</f>
        <v>-917.530714492245</v>
      </c>
      <c r="T57" s="128">
        <f t="shared" si="24"/>
        <v>-876.6228895410194</v>
      </c>
      <c r="U57" s="128">
        <f>U59*U54/365*(V$3-U$3)</f>
        <v>-902.9157412867785</v>
      </c>
    </row>
    <row r="58" spans="1:13" ht="15">
      <c r="A58" s="102" t="s">
        <v>138</v>
      </c>
      <c r="C58" s="137">
        <f>+C56+C57</f>
        <v>118498.93300978531</v>
      </c>
      <c r="D58" s="103"/>
      <c r="E58" s="128">
        <f>+E56+E57</f>
        <v>118498.93300978473</v>
      </c>
      <c r="F58" s="128">
        <f>+F56+F57</f>
        <v>167455.6055050177</v>
      </c>
      <c r="G58" s="128">
        <f>+G56+G57</f>
        <v>-25013.217992576967</v>
      </c>
      <c r="H58" s="128">
        <f>+H56+H57</f>
        <v>-198401.03417445516</v>
      </c>
      <c r="I58" s="128">
        <f>+I56+I57</f>
        <v>174457.57967179915</v>
      </c>
      <c r="J58" s="129"/>
      <c r="K58" s="129"/>
      <c r="L58" s="129"/>
      <c r="M58" s="129"/>
    </row>
    <row r="59" spans="1:22" ht="15">
      <c r="A59" s="102" t="s">
        <v>139</v>
      </c>
      <c r="C59" s="137">
        <f>J59+C58+'Rev Req 08'!C57+'Rev Req 07'!C52</f>
        <v>-1890031.2995078445</v>
      </c>
      <c r="D59" s="103"/>
      <c r="E59" s="128">
        <f>E58+'Rev Req 07'!C53+'Rev Req 06'!C53+'Rev Req 08'!E58</f>
        <v>-1897188.6996035487</v>
      </c>
      <c r="F59" s="128"/>
      <c r="G59" s="128"/>
      <c r="H59" s="128"/>
      <c r="I59" s="128"/>
      <c r="J59" s="128">
        <v>-1926282.92</v>
      </c>
      <c r="K59" s="103">
        <f>J59+J56</f>
        <v>-1858136.5416796897</v>
      </c>
      <c r="L59" s="103">
        <f>K59+K56</f>
        <v>-1803014.7924663941</v>
      </c>
      <c r="M59" s="103">
        <f aca="true" t="shared" si="25" ref="M59:V59">L59+L56</f>
        <v>-1747575.0315355016</v>
      </c>
      <c r="N59" s="103">
        <f t="shared" si="25"/>
        <v>-1653248.2107901147</v>
      </c>
      <c r="O59" s="103">
        <f t="shared" si="25"/>
        <v>-1701685.2340519463</v>
      </c>
      <c r="P59" s="103">
        <f t="shared" si="25"/>
        <v>-1768349.1124732262</v>
      </c>
      <c r="Q59" s="103">
        <f t="shared" si="25"/>
        <v>-1823812.7174551554</v>
      </c>
      <c r="R59" s="103">
        <f t="shared" si="25"/>
        <v>-1895459.7204658869</v>
      </c>
      <c r="S59" s="103">
        <f t="shared" si="25"/>
        <v>-1964215.3125493808</v>
      </c>
      <c r="T59" s="103">
        <f t="shared" si="25"/>
        <v>-1939196.0889846792</v>
      </c>
      <c r="U59" s="103">
        <f t="shared" si="25"/>
        <v>-1932928.1265083528</v>
      </c>
      <c r="V59" s="103">
        <f t="shared" si="25"/>
        <v>-1787060.6635322617</v>
      </c>
    </row>
    <row r="60" spans="3:10" ht="14.25">
      <c r="C60" s="137"/>
      <c r="E60" s="103"/>
      <c r="F60" s="107"/>
      <c r="G60" s="103"/>
      <c r="H60" s="103"/>
      <c r="I60" s="103"/>
      <c r="J60" s="128"/>
    </row>
    <row r="61" spans="1:21" ht="15">
      <c r="A61" s="102" t="s">
        <v>107</v>
      </c>
      <c r="C61" s="137"/>
      <c r="E61" s="128"/>
      <c r="F61" s="128"/>
      <c r="G61" s="128"/>
      <c r="H61" s="128"/>
      <c r="I61" s="128"/>
      <c r="J61" s="128"/>
      <c r="M61" s="128"/>
      <c r="N61" s="128"/>
      <c r="O61" s="128"/>
      <c r="S61" s="128"/>
      <c r="T61" s="128"/>
      <c r="U61" s="128"/>
    </row>
    <row r="62" spans="1:21" ht="15">
      <c r="A62" s="102"/>
      <c r="C62" s="137"/>
      <c r="E62" s="128"/>
      <c r="F62" s="128"/>
      <c r="G62" s="128"/>
      <c r="H62" s="128"/>
      <c r="I62" s="128"/>
      <c r="J62" s="103"/>
      <c r="K62" s="128"/>
      <c r="S62" s="128"/>
      <c r="T62" s="128"/>
      <c r="U62" s="128"/>
    </row>
    <row r="63" spans="1:4" ht="15">
      <c r="A63" s="102" t="s">
        <v>108</v>
      </c>
      <c r="C63" s="137"/>
      <c r="D63" s="128"/>
    </row>
    <row r="64" spans="1:22" ht="14.25">
      <c r="A64" s="50" t="s">
        <v>109</v>
      </c>
      <c r="C64" s="137">
        <f>+C30</f>
        <v>1798437.2211035993</v>
      </c>
      <c r="D64" s="103"/>
      <c r="E64" s="128">
        <f>+E30</f>
        <v>1798437.221103599</v>
      </c>
      <c r="F64" s="128">
        <f>+F30</f>
        <v>424904.02995679696</v>
      </c>
      <c r="G64" s="128">
        <f>+G30</f>
        <v>453226.2545545742</v>
      </c>
      <c r="H64" s="128">
        <f>+H30</f>
        <v>455366.2786661437</v>
      </c>
      <c r="I64" s="128">
        <f>+I30</f>
        <v>464940.6579260845</v>
      </c>
      <c r="J64" s="128">
        <f aca="true" t="shared" si="26" ref="J64:S64">+ROUND((J30),2)</f>
        <v>137637.67</v>
      </c>
      <c r="K64" s="128">
        <f t="shared" si="26"/>
        <v>141096.72</v>
      </c>
      <c r="L64" s="128">
        <f t="shared" si="26"/>
        <v>146169.64</v>
      </c>
      <c r="M64" s="128">
        <f t="shared" si="26"/>
        <v>148917.63</v>
      </c>
      <c r="N64" s="128">
        <f t="shared" si="26"/>
        <v>150691.82</v>
      </c>
      <c r="O64" s="128">
        <f t="shared" si="26"/>
        <v>153616.8</v>
      </c>
      <c r="P64" s="128">
        <f t="shared" si="26"/>
        <v>150139.41</v>
      </c>
      <c r="Q64" s="128">
        <f t="shared" si="26"/>
        <v>154078.53</v>
      </c>
      <c r="R64" s="128">
        <f t="shared" si="26"/>
        <v>151148.34</v>
      </c>
      <c r="S64" s="128">
        <f t="shared" si="26"/>
        <v>156344.38</v>
      </c>
      <c r="T64" s="128">
        <f>+ROUND((T30),2)</f>
        <v>156144.45</v>
      </c>
      <c r="U64" s="128"/>
      <c r="V64" s="128">
        <f>SUM(J64:U64)</f>
        <v>1645985.39</v>
      </c>
    </row>
    <row r="65" spans="1:22" ht="14.25">
      <c r="A65" s="50" t="s">
        <v>110</v>
      </c>
      <c r="C65" s="137">
        <f>+C55</f>
        <v>-5292457.739999999</v>
      </c>
      <c r="D65" s="103"/>
      <c r="E65" s="128">
        <f>+E55</f>
        <v>-5292457.739999999</v>
      </c>
      <c r="F65" s="128">
        <f>+F55</f>
        <v>-1000332.9</v>
      </c>
      <c r="G65" s="128">
        <f>+G55</f>
        <v>-1320062.04</v>
      </c>
      <c r="H65" s="128">
        <f>+H55</f>
        <v>-1482292.56</v>
      </c>
      <c r="I65" s="128">
        <f>+I55</f>
        <v>-1489770.24</v>
      </c>
      <c r="J65" s="128">
        <f aca="true" t="shared" si="27" ref="J65:S65">ROUND((J55),2)</f>
        <v>-333101.16</v>
      </c>
      <c r="K65" s="128">
        <f t="shared" si="27"/>
        <v>-333554.88</v>
      </c>
      <c r="L65" s="128">
        <f t="shared" si="27"/>
        <v>-333676.86</v>
      </c>
      <c r="M65" s="128">
        <f t="shared" si="27"/>
        <v>-334063.32</v>
      </c>
      <c r="N65" s="128">
        <f t="shared" si="27"/>
        <v>-492796.08</v>
      </c>
      <c r="O65" s="128">
        <f t="shared" si="27"/>
        <v>-493202.64</v>
      </c>
      <c r="P65" s="128">
        <f t="shared" si="27"/>
        <v>-493718.4</v>
      </c>
      <c r="Q65" s="128">
        <f t="shared" si="27"/>
        <v>-493715.04</v>
      </c>
      <c r="R65" s="128">
        <f t="shared" si="27"/>
        <v>-494859.12</v>
      </c>
      <c r="S65" s="128">
        <f t="shared" si="27"/>
        <v>-495794.88</v>
      </c>
      <c r="T65" s="128">
        <f>ROUND((T55),2)</f>
        <v>-496683.6</v>
      </c>
      <c r="U65" s="128"/>
      <c r="V65" s="128">
        <f>SUM(J65:U65)</f>
        <v>-4795165.9799999995</v>
      </c>
    </row>
    <row r="66" spans="1:22" ht="14.25">
      <c r="A66" s="50" t="s">
        <v>116</v>
      </c>
      <c r="C66" s="136">
        <f>+C64+C65</f>
        <v>-3494020.5188964</v>
      </c>
      <c r="D66" s="158"/>
      <c r="E66" s="157">
        <f aca="true" t="shared" si="28" ref="E66:J66">+E64+E65</f>
        <v>-3494020.5188964</v>
      </c>
      <c r="F66" s="157">
        <f t="shared" si="28"/>
        <v>-575428.870043203</v>
      </c>
      <c r="G66" s="157">
        <f t="shared" si="28"/>
        <v>-866835.7854454259</v>
      </c>
      <c r="H66" s="157">
        <f t="shared" si="28"/>
        <v>-1026926.2813338563</v>
      </c>
      <c r="I66" s="157">
        <f t="shared" si="28"/>
        <v>-1024829.5820739155</v>
      </c>
      <c r="J66" s="157">
        <f t="shared" si="28"/>
        <v>-195463.48999999996</v>
      </c>
      <c r="K66" s="157">
        <f aca="true" t="shared" si="29" ref="K66:P66">+K64+K65</f>
        <v>-192458.16</v>
      </c>
      <c r="L66" s="157">
        <f t="shared" si="29"/>
        <v>-187507.21999999997</v>
      </c>
      <c r="M66" s="157">
        <f t="shared" si="29"/>
        <v>-185145.69</v>
      </c>
      <c r="N66" s="157">
        <f t="shared" si="29"/>
        <v>-342104.26</v>
      </c>
      <c r="O66" s="157">
        <f t="shared" si="29"/>
        <v>-339585.84</v>
      </c>
      <c r="P66" s="157">
        <f t="shared" si="29"/>
        <v>-343578.99</v>
      </c>
      <c r="Q66" s="157">
        <f aca="true" t="shared" si="30" ref="Q66:V66">+Q64+Q65</f>
        <v>-339636.51</v>
      </c>
      <c r="R66" s="157">
        <f t="shared" si="30"/>
        <v>-343710.78</v>
      </c>
      <c r="S66" s="157">
        <f t="shared" si="30"/>
        <v>-339450.5</v>
      </c>
      <c r="T66" s="157">
        <f t="shared" si="30"/>
        <v>-340539.14999999997</v>
      </c>
      <c r="U66" s="157">
        <f t="shared" si="30"/>
        <v>0</v>
      </c>
      <c r="V66" s="157">
        <f t="shared" si="30"/>
        <v>-3149180.59</v>
      </c>
    </row>
    <row r="67" spans="3:9" ht="14.25">
      <c r="C67" s="137"/>
      <c r="E67" s="128"/>
      <c r="F67" s="128"/>
      <c r="G67" s="128"/>
      <c r="H67" s="128"/>
      <c r="I67" s="128"/>
    </row>
    <row r="68" spans="1:9" ht="15">
      <c r="A68" s="102" t="s">
        <v>114</v>
      </c>
      <c r="C68" s="137"/>
      <c r="E68" s="128"/>
      <c r="F68" s="128"/>
      <c r="G68" s="128"/>
      <c r="H68" s="128"/>
      <c r="I68" s="128"/>
    </row>
    <row r="69" spans="1:22" ht="14.25">
      <c r="A69" s="111" t="s">
        <v>18</v>
      </c>
      <c r="C69" s="137">
        <f>-C42</f>
        <v>1129771.59</v>
      </c>
      <c r="D69" s="103"/>
      <c r="E69" s="128">
        <f aca="true" t="shared" si="31" ref="E69:I70">-E42</f>
        <v>1129771.59</v>
      </c>
      <c r="F69" s="128">
        <f t="shared" si="31"/>
        <v>168257.01</v>
      </c>
      <c r="G69" s="128">
        <f t="shared" si="31"/>
        <v>221448.34999999998</v>
      </c>
      <c r="H69" s="128">
        <f t="shared" si="31"/>
        <v>193220.26999999996</v>
      </c>
      <c r="I69" s="128">
        <f t="shared" si="31"/>
        <v>546845.96</v>
      </c>
      <c r="J69" s="128">
        <f aca="true" t="shared" si="32" ref="J69:L70">ROUND((-J42),2)</f>
        <v>73524.68</v>
      </c>
      <c r="K69" s="128">
        <f t="shared" si="32"/>
        <v>52783.01</v>
      </c>
      <c r="L69" s="128">
        <f t="shared" si="32"/>
        <v>41949.32</v>
      </c>
      <c r="M69" s="128">
        <f aca="true" t="shared" si="33" ref="M69:O70">ROUND((-M42),2)</f>
        <v>74786.87</v>
      </c>
      <c r="N69" s="128">
        <f t="shared" si="33"/>
        <v>85824.9</v>
      </c>
      <c r="O69" s="128">
        <f t="shared" si="33"/>
        <v>60836.58</v>
      </c>
      <c r="P69" s="128">
        <f aca="true" t="shared" si="34" ref="P69:R70">ROUND((-P42),2)</f>
        <v>78278.12</v>
      </c>
      <c r="Q69" s="128">
        <f t="shared" si="34"/>
        <v>52829.09</v>
      </c>
      <c r="R69" s="128">
        <f t="shared" si="34"/>
        <v>62113.06</v>
      </c>
      <c r="S69" s="128">
        <f>ROUND((-S42),2)</f>
        <v>145870.41</v>
      </c>
      <c r="T69" s="128">
        <f>ROUND((-T42),2)</f>
        <v>126623.59</v>
      </c>
      <c r="U69" s="128"/>
      <c r="V69" s="128">
        <f aca="true" t="shared" si="35" ref="V69:V75">SUM(J69:U69)</f>
        <v>855419.6300000001</v>
      </c>
    </row>
    <row r="70" spans="1:22" ht="14.25">
      <c r="A70" s="111" t="s">
        <v>19</v>
      </c>
      <c r="C70" s="137">
        <f>-C43</f>
        <v>2192208.7386666667</v>
      </c>
      <c r="D70" s="103"/>
      <c r="E70" s="128">
        <f t="shared" si="31"/>
        <v>2192208.7386666667</v>
      </c>
      <c r="F70" s="128">
        <f t="shared" si="31"/>
        <v>508064.1368333333</v>
      </c>
      <c r="G70" s="128">
        <f t="shared" si="31"/>
        <v>546797.7428333333</v>
      </c>
      <c r="H70" s="128">
        <f t="shared" si="31"/>
        <v>560024.1995833333</v>
      </c>
      <c r="I70" s="128">
        <f t="shared" si="31"/>
        <v>577322.6594166666</v>
      </c>
      <c r="J70" s="128">
        <f t="shared" si="32"/>
        <v>164146.65</v>
      </c>
      <c r="K70" s="128">
        <f t="shared" si="32"/>
        <v>168858.36</v>
      </c>
      <c r="L70" s="128">
        <f t="shared" si="32"/>
        <v>175059.12</v>
      </c>
      <c r="M70" s="128">
        <f t="shared" si="33"/>
        <v>178747.11</v>
      </c>
      <c r="N70" s="128">
        <f t="shared" si="33"/>
        <v>181903.8</v>
      </c>
      <c r="O70" s="128">
        <f t="shared" si="33"/>
        <v>186146.84</v>
      </c>
      <c r="P70" s="128">
        <f t="shared" si="34"/>
        <v>183898.73</v>
      </c>
      <c r="Q70" s="128">
        <f t="shared" si="34"/>
        <v>189221.88</v>
      </c>
      <c r="R70" s="128">
        <f t="shared" si="34"/>
        <v>186903.59</v>
      </c>
      <c r="S70" s="128">
        <f>ROUND((-S43),2)</f>
        <v>192660.78</v>
      </c>
      <c r="T70" s="128">
        <f>ROUND((-T43),2)</f>
        <v>194244.99</v>
      </c>
      <c r="U70" s="128"/>
      <c r="V70" s="128">
        <f t="shared" si="35"/>
        <v>2001791.8500000003</v>
      </c>
    </row>
    <row r="71" spans="1:22" ht="14.25">
      <c r="A71" s="50" t="s">
        <v>115</v>
      </c>
      <c r="C71" s="137">
        <f>+C47</f>
        <v>311262.44669747294</v>
      </c>
      <c r="D71" s="103"/>
      <c r="E71" s="128">
        <f>+E47</f>
        <v>311262.44669747294</v>
      </c>
      <c r="F71" s="128">
        <f>+F47</f>
        <v>77815.61167436824</v>
      </c>
      <c r="G71" s="128">
        <f>+G47</f>
        <v>77815.61167436824</v>
      </c>
      <c r="H71" s="128">
        <f>+H47</f>
        <v>77815.61167436824</v>
      </c>
      <c r="I71" s="128">
        <f>+I47</f>
        <v>77815.61167436824</v>
      </c>
      <c r="J71" s="128">
        <f aca="true" t="shared" si="36" ref="J71:S71">ROUND((J47),2)</f>
        <v>25938.54</v>
      </c>
      <c r="K71" s="128">
        <f t="shared" si="36"/>
        <v>25938.54</v>
      </c>
      <c r="L71" s="128">
        <f t="shared" si="36"/>
        <v>25938.54</v>
      </c>
      <c r="M71" s="128">
        <f t="shared" si="36"/>
        <v>25938.54</v>
      </c>
      <c r="N71" s="128">
        <f t="shared" si="36"/>
        <v>25938.54</v>
      </c>
      <c r="O71" s="128">
        <f t="shared" si="36"/>
        <v>25938.54</v>
      </c>
      <c r="P71" s="128">
        <f t="shared" si="36"/>
        <v>25938.54</v>
      </c>
      <c r="Q71" s="128">
        <f t="shared" si="36"/>
        <v>25938.54</v>
      </c>
      <c r="R71" s="128">
        <f t="shared" si="36"/>
        <v>25938.54</v>
      </c>
      <c r="S71" s="128">
        <f t="shared" si="36"/>
        <v>25938.54</v>
      </c>
      <c r="T71" s="128">
        <f>ROUND((T47),2)</f>
        <v>25938.54</v>
      </c>
      <c r="U71" s="128"/>
      <c r="V71" s="128">
        <f t="shared" si="35"/>
        <v>285323.94000000006</v>
      </c>
    </row>
    <row r="72" spans="1:22" ht="14.25">
      <c r="A72" s="50" t="s">
        <v>112</v>
      </c>
      <c r="C72" s="137">
        <f>+C57</f>
        <v>-20723.323457953808</v>
      </c>
      <c r="D72" s="103"/>
      <c r="E72" s="128">
        <f>+E57</f>
        <v>-20723.323457953808</v>
      </c>
      <c r="F72" s="128">
        <f>+F57</f>
        <v>-11252.282959480803</v>
      </c>
      <c r="G72" s="128">
        <f>+G57</f>
        <v>-4239.137054852521</v>
      </c>
      <c r="H72" s="128">
        <f>+H57</f>
        <v>-2534.8340983004396</v>
      </c>
      <c r="I72" s="128">
        <f>+I57</f>
        <v>-2697.069345320043</v>
      </c>
      <c r="J72" s="128">
        <f aca="true" t="shared" si="37" ref="J72:S72">ROUND((J57),2)</f>
        <v>-4008.25</v>
      </c>
      <c r="K72" s="128">
        <f t="shared" si="37"/>
        <v>-3492.28</v>
      </c>
      <c r="L72" s="128">
        <f t="shared" si="37"/>
        <v>-3751.75</v>
      </c>
      <c r="M72" s="128">
        <f t="shared" si="37"/>
        <v>-1436.36</v>
      </c>
      <c r="N72" s="128">
        <f t="shared" si="37"/>
        <v>-1404.13</v>
      </c>
      <c r="O72" s="128">
        <f t="shared" si="37"/>
        <v>-1398.65</v>
      </c>
      <c r="P72" s="128">
        <f t="shared" si="37"/>
        <v>-826.04</v>
      </c>
      <c r="Q72" s="128">
        <f t="shared" si="37"/>
        <v>-851.95</v>
      </c>
      <c r="R72" s="128">
        <f t="shared" si="37"/>
        <v>-856.85</v>
      </c>
      <c r="S72" s="128">
        <f t="shared" si="37"/>
        <v>-917.53</v>
      </c>
      <c r="T72" s="128">
        <f>ROUND((T57),2)</f>
        <v>-876.62</v>
      </c>
      <c r="U72" s="128"/>
      <c r="V72" s="128">
        <f t="shared" si="35"/>
        <v>-19820.409999999996</v>
      </c>
    </row>
    <row r="73" spans="1:22" ht="12.75" customHeight="1">
      <c r="A73" s="50" t="s">
        <v>117</v>
      </c>
      <c r="C73" s="136">
        <f>SUM(C69:C72)</f>
        <v>3612519.4519061856</v>
      </c>
      <c r="D73" s="158"/>
      <c r="E73" s="157">
        <f aca="true" t="shared" si="38" ref="E73:J73">SUM(E69:E72)</f>
        <v>3612519.4519061856</v>
      </c>
      <c r="F73" s="157">
        <f t="shared" si="38"/>
        <v>742884.4755482208</v>
      </c>
      <c r="G73" s="157">
        <f t="shared" si="38"/>
        <v>841822.567452849</v>
      </c>
      <c r="H73" s="157">
        <f t="shared" si="38"/>
        <v>828525.2471594011</v>
      </c>
      <c r="I73" s="157">
        <f t="shared" si="38"/>
        <v>1199287.1617457147</v>
      </c>
      <c r="J73" s="157">
        <f t="shared" si="38"/>
        <v>259601.62</v>
      </c>
      <c r="K73" s="157">
        <f aca="true" t="shared" si="39" ref="K73:P73">SUM(K69:K72)</f>
        <v>244087.63</v>
      </c>
      <c r="L73" s="157">
        <f t="shared" si="39"/>
        <v>239195.23</v>
      </c>
      <c r="M73" s="157">
        <f t="shared" si="39"/>
        <v>278036.16</v>
      </c>
      <c r="N73" s="157">
        <f t="shared" si="39"/>
        <v>292263.1099999999</v>
      </c>
      <c r="O73" s="157">
        <f t="shared" si="39"/>
        <v>271523.30999999994</v>
      </c>
      <c r="P73" s="157">
        <f t="shared" si="39"/>
        <v>287289.35</v>
      </c>
      <c r="Q73" s="157">
        <f aca="true" t="shared" si="40" ref="Q73:V73">SUM(Q69:Q72)</f>
        <v>267137.56</v>
      </c>
      <c r="R73" s="157">
        <f t="shared" si="40"/>
        <v>274098.34</v>
      </c>
      <c r="S73" s="157">
        <f t="shared" si="40"/>
        <v>363552.19999999995</v>
      </c>
      <c r="T73" s="157">
        <f t="shared" si="40"/>
        <v>345930.49999999994</v>
      </c>
      <c r="U73" s="157">
        <f t="shared" si="40"/>
        <v>0</v>
      </c>
      <c r="V73" s="157">
        <f t="shared" si="40"/>
        <v>3122715.0100000002</v>
      </c>
    </row>
    <row r="74" spans="3:9" ht="12.75" customHeight="1">
      <c r="C74" s="137"/>
      <c r="D74" s="103"/>
      <c r="E74" s="128"/>
      <c r="F74" s="128"/>
      <c r="G74" s="128"/>
      <c r="H74" s="128"/>
      <c r="I74" s="128"/>
    </row>
    <row r="75" spans="1:22" ht="13.5" customHeight="1" thickBot="1">
      <c r="A75" s="102" t="s">
        <v>118</v>
      </c>
      <c r="C75" s="161">
        <f>+C73+C66</f>
        <v>118498.9330097856</v>
      </c>
      <c r="D75" s="160"/>
      <c r="E75" s="159">
        <f>+E73+E66</f>
        <v>118498.9330097856</v>
      </c>
      <c r="F75" s="159">
        <f>+F73+F66</f>
        <v>167455.6055050178</v>
      </c>
      <c r="G75" s="159">
        <f>+G73+G66</f>
        <v>-25013.217992576887</v>
      </c>
      <c r="H75" s="159">
        <f>+H73+H66</f>
        <v>-198401.0341744552</v>
      </c>
      <c r="I75" s="159">
        <f>+I73+I66</f>
        <v>174457.5796717992</v>
      </c>
      <c r="J75" s="159">
        <f aca="true" t="shared" si="41" ref="J75:O75">J65</f>
        <v>-333101.16</v>
      </c>
      <c r="K75" s="159">
        <f t="shared" si="41"/>
        <v>-333554.88</v>
      </c>
      <c r="L75" s="159">
        <f t="shared" si="41"/>
        <v>-333676.86</v>
      </c>
      <c r="M75" s="159">
        <f t="shared" si="41"/>
        <v>-334063.32</v>
      </c>
      <c r="N75" s="159">
        <f t="shared" si="41"/>
        <v>-492796.08</v>
      </c>
      <c r="O75" s="159">
        <f t="shared" si="41"/>
        <v>-493202.64</v>
      </c>
      <c r="P75" s="159">
        <f aca="true" t="shared" si="42" ref="P75:U75">P65</f>
        <v>-493718.4</v>
      </c>
      <c r="Q75" s="159">
        <f t="shared" si="42"/>
        <v>-493715.04</v>
      </c>
      <c r="R75" s="159">
        <f t="shared" si="42"/>
        <v>-494859.12</v>
      </c>
      <c r="S75" s="159">
        <f>S65</f>
        <v>-495794.88</v>
      </c>
      <c r="T75" s="159">
        <f t="shared" si="42"/>
        <v>-496683.6</v>
      </c>
      <c r="U75" s="159">
        <f t="shared" si="42"/>
        <v>0</v>
      </c>
      <c r="V75" s="157">
        <f t="shared" si="35"/>
        <v>-4795165.9799999995</v>
      </c>
    </row>
    <row r="76" ht="13.5" customHeight="1" thickTop="1"/>
    <row r="77" spans="10:18" ht="13.5" customHeight="1">
      <c r="J77" s="128"/>
      <c r="K77" s="128"/>
      <c r="L77" s="128"/>
      <c r="M77" s="128"/>
      <c r="N77" s="128"/>
      <c r="O77" s="128"/>
      <c r="P77" s="128"/>
      <c r="Q77" s="128"/>
      <c r="R77" s="128"/>
    </row>
  </sheetData>
  <sheetProtection/>
  <mergeCells count="1">
    <mergeCell ref="B3:C3"/>
  </mergeCells>
  <printOptions/>
  <pageMargins left="0.7" right="0.7" top="0.98" bottom="0.75" header="0.37" footer="0.3"/>
  <pageSetup fitToHeight="0" horizontalDpi="600" verticalDpi="600" orientation="landscape" paperSize="5" scale="45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12.75" customHeight="1"/>
  <cols>
    <col min="1" max="1" width="45.8515625" style="91" customWidth="1"/>
    <col min="2" max="2" width="14.8515625" style="91" bestFit="1" customWidth="1"/>
    <col min="3" max="3" width="11.8515625" style="91" bestFit="1" customWidth="1"/>
    <col min="4" max="4" width="14.140625" style="91" bestFit="1" customWidth="1"/>
    <col min="5" max="5" width="1.7109375" style="91" customWidth="1"/>
    <col min="6" max="16384" width="9.140625" style="91" customWidth="1"/>
  </cols>
  <sheetData>
    <row r="1" ht="15">
      <c r="A1" s="90" t="s">
        <v>198</v>
      </c>
    </row>
    <row r="3" ht="14.25">
      <c r="B3" s="92">
        <v>40178</v>
      </c>
    </row>
    <row r="4" ht="15">
      <c r="A4" s="90" t="s">
        <v>23</v>
      </c>
    </row>
    <row r="5" spans="1:2" ht="14.25">
      <c r="A5" s="91" t="s">
        <v>38</v>
      </c>
      <c r="B5" s="99">
        <f>+'Rev Req 09'!C45</f>
        <v>940883.1563920301</v>
      </c>
    </row>
    <row r="6" spans="1:2" ht="14.25">
      <c r="A6" s="91" t="s">
        <v>39</v>
      </c>
      <c r="B6" s="96">
        <f>+'Rev Req 09'!C37</f>
        <v>2192208.7386666667</v>
      </c>
    </row>
    <row r="7" spans="1:2" ht="14.25">
      <c r="A7" s="91" t="s">
        <v>40</v>
      </c>
      <c r="B7" s="96">
        <f>-'Avg Assets 09'!E84</f>
        <v>-2157344.3568396796</v>
      </c>
    </row>
    <row r="8" spans="1:2" ht="14.25">
      <c r="A8" s="91" t="s">
        <v>91</v>
      </c>
      <c r="B8" s="96">
        <f>-'Avg Assets 09'!E96</f>
        <v>0</v>
      </c>
    </row>
    <row r="9" spans="1:2" ht="14.25">
      <c r="A9" s="91" t="s">
        <v>156</v>
      </c>
      <c r="B9" s="96">
        <f>-'Avg Assets 09'!E109</f>
        <v>-479751.39506937505</v>
      </c>
    </row>
    <row r="10" spans="1:3" ht="14.25">
      <c r="A10" s="91" t="s">
        <v>24</v>
      </c>
      <c r="B10" s="97">
        <f>SUM(B5:B9)</f>
        <v>495996.1431496419</v>
      </c>
      <c r="C10" s="99">
        <f>B10-B12</f>
        <v>332317.41591026005</v>
      </c>
    </row>
    <row r="11" spans="1:2" ht="14.25">
      <c r="A11" s="91" t="s">
        <v>42</v>
      </c>
      <c r="B11" s="141">
        <f>Inputs!D15</f>
        <v>0.33</v>
      </c>
    </row>
    <row r="12" spans="1:2" ht="14.25">
      <c r="A12" s="91" t="s">
        <v>25</v>
      </c>
      <c r="B12" s="94">
        <f>B10*B11</f>
        <v>163678.72723938184</v>
      </c>
    </row>
    <row r="13" ht="14.25"/>
    <row r="14" ht="15">
      <c r="A14" s="90" t="s">
        <v>26</v>
      </c>
    </row>
    <row r="15" spans="1:2" ht="14.25">
      <c r="A15" s="91" t="s">
        <v>43</v>
      </c>
      <c r="B15" s="96">
        <f>+'Avg Assets 09'!E16</f>
        <v>28825971.318666667</v>
      </c>
    </row>
    <row r="16" spans="1:2" ht="14.25">
      <c r="A16" s="91" t="s">
        <v>86</v>
      </c>
      <c r="B16" s="96">
        <f>'Avg Assets 09'!E32</f>
        <v>0</v>
      </c>
    </row>
    <row r="17" spans="1:2" ht="14.25">
      <c r="A17" s="91" t="s">
        <v>44</v>
      </c>
      <c r="B17" s="96">
        <f>+'Avg Assets 09'!E48</f>
        <v>3847.742000000002</v>
      </c>
    </row>
    <row r="18" spans="1:2" ht="14.25">
      <c r="A18" s="91" t="s">
        <v>5</v>
      </c>
      <c r="B18" s="142">
        <f>+'Avg Assets 09'!E64</f>
        <v>932775.9960000002</v>
      </c>
    </row>
    <row r="19" spans="1:2" ht="14.25">
      <c r="A19" s="91" t="s">
        <v>27</v>
      </c>
      <c r="B19" s="99">
        <f>SUM(B15:B18)</f>
        <v>29762595.056666665</v>
      </c>
    </row>
    <row r="20" spans="1:2" ht="14.25">
      <c r="A20" s="91" t="s">
        <v>28</v>
      </c>
      <c r="B20" s="96">
        <v>0</v>
      </c>
    </row>
    <row r="21" spans="1:2" ht="14.25">
      <c r="A21" s="91" t="s">
        <v>29</v>
      </c>
      <c r="B21" s="97">
        <f>B19-B20</f>
        <v>29762595.056666665</v>
      </c>
    </row>
    <row r="22" spans="1:2" ht="14.25">
      <c r="A22" s="91" t="s">
        <v>30</v>
      </c>
      <c r="B22" s="143">
        <v>0.00225</v>
      </c>
    </row>
    <row r="23" spans="1:2" ht="14.25">
      <c r="A23" s="91" t="s">
        <v>31</v>
      </c>
      <c r="B23" s="94">
        <f>B21*B22</f>
        <v>66965.83887749999</v>
      </c>
    </row>
    <row r="24" spans="3:4" ht="14.25">
      <c r="C24" s="144"/>
      <c r="D24" s="144"/>
    </row>
    <row r="25" ht="14.25"/>
    <row r="26" spans="1:4" ht="15">
      <c r="A26" s="145" t="s">
        <v>32</v>
      </c>
      <c r="C26" s="141"/>
      <c r="D26" s="146"/>
    </row>
    <row r="27" spans="2:4" ht="28.5">
      <c r="B27" s="91" t="s">
        <v>33</v>
      </c>
      <c r="C27" s="147" t="s">
        <v>32</v>
      </c>
      <c r="D27" s="148" t="s">
        <v>34</v>
      </c>
    </row>
    <row r="28" spans="1:4" ht="14.25">
      <c r="A28" s="91" t="s">
        <v>35</v>
      </c>
      <c r="B28" s="99">
        <f>B12</f>
        <v>163678.72723938184</v>
      </c>
      <c r="C28" s="149">
        <f>B11</f>
        <v>0.33</v>
      </c>
      <c r="D28" s="96">
        <f>B28/(1-C28)</f>
        <v>244296.60781997294</v>
      </c>
    </row>
    <row r="29" spans="1:4" ht="14.25">
      <c r="A29" s="91" t="s">
        <v>36</v>
      </c>
      <c r="B29" s="99">
        <f>B23</f>
        <v>66965.83887749999</v>
      </c>
      <c r="D29" s="96">
        <f>B29</f>
        <v>66965.83887749999</v>
      </c>
    </row>
    <row r="30" spans="1:5" ht="15">
      <c r="A30" s="91" t="s">
        <v>37</v>
      </c>
      <c r="B30" s="97">
        <f>SUM(B28:B29)</f>
        <v>230644.56611688185</v>
      </c>
      <c r="D30" s="150">
        <f>SUM(D28:D29)</f>
        <v>311262.44669747294</v>
      </c>
      <c r="E30" s="100"/>
    </row>
    <row r="31" ht="13.5" customHeight="1"/>
    <row r="32" ht="12.75" customHeight="1">
      <c r="B32" s="144"/>
    </row>
    <row r="33" ht="12.75" customHeight="1">
      <c r="B33" s="144"/>
    </row>
    <row r="34" ht="12.75" customHeight="1">
      <c r="B34" s="144"/>
    </row>
    <row r="35" ht="12.75" customHeight="1">
      <c r="B35" s="144"/>
    </row>
    <row r="36" ht="12.75" customHeight="1">
      <c r="B36" s="144"/>
    </row>
    <row r="37" ht="12.75" customHeight="1">
      <c r="B37" s="144"/>
    </row>
    <row r="38" ht="12.75" customHeight="1">
      <c r="B38" s="144"/>
    </row>
    <row r="39" ht="12.75" customHeight="1">
      <c r="B39" s="144"/>
    </row>
    <row r="40" ht="12.75" customHeight="1">
      <c r="B40" s="144"/>
    </row>
    <row r="41" ht="12.75" customHeight="1">
      <c r="B41" s="144"/>
    </row>
    <row r="42" ht="12.75" customHeight="1">
      <c r="B42" s="144"/>
    </row>
    <row r="43" ht="12.75" customHeight="1">
      <c r="B43" s="144"/>
    </row>
    <row r="44" ht="12.75" customHeight="1">
      <c r="B44" s="144"/>
    </row>
    <row r="45" ht="12.75" customHeight="1">
      <c r="B45" s="144"/>
    </row>
    <row r="46" ht="12.75" customHeight="1">
      <c r="B46" s="144"/>
    </row>
    <row r="47" ht="12.75" customHeight="1">
      <c r="B47" s="144"/>
    </row>
    <row r="48" ht="12.75" customHeight="1">
      <c r="B48" s="144"/>
    </row>
    <row r="49" ht="12.75" customHeight="1">
      <c r="B49" s="144"/>
    </row>
    <row r="50" spans="2:3" ht="12.75" customHeight="1">
      <c r="B50" s="144"/>
      <c r="C50" s="144"/>
    </row>
  </sheetData>
  <sheetProtection/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10"/>
  <sheetViews>
    <sheetView tabSelected="1" view="pageBreakPreview" zoomScale="60" zoomScalePageLayoutView="0" workbookViewId="0" topLeftCell="A49">
      <selection activeCell="A10" sqref="A10"/>
    </sheetView>
  </sheetViews>
  <sheetFormatPr defaultColWidth="9.140625" defaultRowHeight="0" customHeight="1" zeroHeight="1"/>
  <cols>
    <col min="1" max="1" width="55.140625" style="48" bestFit="1" customWidth="1"/>
    <col min="2" max="2" width="15.7109375" style="48" bestFit="1" customWidth="1"/>
    <col min="3" max="3" width="18.57421875" style="48" bestFit="1" customWidth="1"/>
    <col min="4" max="5" width="14.8515625" style="48" bestFit="1" customWidth="1"/>
    <col min="6" max="6" width="3.57421875" style="48" customWidth="1"/>
    <col min="7" max="7" width="24.00390625" style="48" bestFit="1" customWidth="1"/>
    <col min="8" max="10" width="14.8515625" style="48" bestFit="1" customWidth="1"/>
    <col min="11" max="24" width="14.421875" style="48" bestFit="1" customWidth="1"/>
    <col min="25" max="25" width="12.8515625" style="48" bestFit="1" customWidth="1"/>
    <col min="26" max="29" width="9.140625" style="48" customWidth="1"/>
    <col min="30" max="41" width="11.421875" style="48" bestFit="1" customWidth="1"/>
    <col min="42" max="43" width="11.28125" style="48" bestFit="1" customWidth="1"/>
    <col min="44" max="44" width="12.00390625" style="48" bestFit="1" customWidth="1"/>
    <col min="45" max="53" width="11.28125" style="48" bestFit="1" customWidth="1"/>
    <col min="54" max="54" width="10.8515625" style="48" bestFit="1" customWidth="1"/>
    <col min="55" max="55" width="9.140625" style="48" customWidth="1"/>
    <col min="56" max="58" width="12.28125" style="48" bestFit="1" customWidth="1"/>
    <col min="59" max="59" width="14.140625" style="48" bestFit="1" customWidth="1"/>
    <col min="60" max="62" width="12.421875" style="48" bestFit="1" customWidth="1"/>
    <col min="63" max="63" width="9.140625" style="48" customWidth="1"/>
    <col min="64" max="64" width="11.28125" style="48" bestFit="1" customWidth="1"/>
    <col min="65" max="65" width="13.00390625" style="48" bestFit="1" customWidth="1"/>
    <col min="66" max="66" width="13.7109375" style="48" bestFit="1" customWidth="1"/>
    <col min="67" max="67" width="11.28125" style="48" bestFit="1" customWidth="1"/>
    <col min="68" max="68" width="15.140625" style="48" customWidth="1"/>
    <col min="69" max="69" width="13.57421875" style="48" bestFit="1" customWidth="1"/>
    <col min="70" max="70" width="9.140625" style="48" customWidth="1"/>
    <col min="71" max="71" width="14.00390625" style="48" bestFit="1" customWidth="1"/>
    <col min="72" max="74" width="12.28125" style="48" bestFit="1" customWidth="1"/>
    <col min="75" max="75" width="9.140625" style="48" customWidth="1"/>
    <col min="76" max="76" width="9.28125" style="48" bestFit="1" customWidth="1"/>
    <col min="77" max="77" width="10.28125" style="48" bestFit="1" customWidth="1"/>
    <col min="78" max="78" width="11.28125" style="48" bestFit="1" customWidth="1"/>
    <col min="79" max="79" width="10.28125" style="48" bestFit="1" customWidth="1"/>
    <col min="80" max="80" width="11.28125" style="48" bestFit="1" customWidth="1"/>
    <col min="81" max="81" width="9.140625" style="48" customWidth="1"/>
    <col min="82" max="85" width="11.28125" style="48" bestFit="1" customWidth="1"/>
    <col min="86" max="86" width="9.140625" style="48" customWidth="1"/>
    <col min="87" max="87" width="10.8515625" style="48" bestFit="1" customWidth="1"/>
    <col min="88" max="88" width="11.8515625" style="48" bestFit="1" customWidth="1"/>
    <col min="89" max="89" width="10.8515625" style="48" bestFit="1" customWidth="1"/>
    <col min="90" max="90" width="11.28125" style="48" bestFit="1" customWidth="1"/>
    <col min="91" max="91" width="9.140625" style="48" customWidth="1"/>
    <col min="92" max="92" width="10.8515625" style="48" bestFit="1" customWidth="1"/>
    <col min="93" max="93" width="11.8515625" style="48" bestFit="1" customWidth="1"/>
    <col min="94" max="94" width="10.8515625" style="48" bestFit="1" customWidth="1"/>
    <col min="95" max="16384" width="9.140625" style="48" customWidth="1"/>
  </cols>
  <sheetData>
    <row r="1" spans="1:24" ht="15">
      <c r="A1" s="47" t="s">
        <v>196</v>
      </c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2:24" ht="28.5">
      <c r="B2" s="156" t="s">
        <v>140</v>
      </c>
      <c r="C2" s="156" t="s">
        <v>141</v>
      </c>
      <c r="D2" s="77"/>
      <c r="I2" s="174" t="s">
        <v>147</v>
      </c>
      <c r="J2" s="174"/>
      <c r="K2" s="174"/>
      <c r="L2" s="174"/>
      <c r="M2" s="48">
        <v>1</v>
      </c>
      <c r="N2" s="48">
        <f aca="true" t="shared" si="0" ref="N2:X2">+M2+1</f>
        <v>2</v>
      </c>
      <c r="O2" s="48">
        <f t="shared" si="0"/>
        <v>3</v>
      </c>
      <c r="P2" s="48">
        <f t="shared" si="0"/>
        <v>4</v>
      </c>
      <c r="Q2" s="48">
        <f t="shared" si="0"/>
        <v>5</v>
      </c>
      <c r="R2" s="48">
        <f t="shared" si="0"/>
        <v>6</v>
      </c>
      <c r="S2" s="48">
        <f t="shared" si="0"/>
        <v>7</v>
      </c>
      <c r="T2" s="48">
        <f t="shared" si="0"/>
        <v>8</v>
      </c>
      <c r="U2" s="48">
        <f t="shared" si="0"/>
        <v>9</v>
      </c>
      <c r="V2" s="48">
        <f t="shared" si="0"/>
        <v>10</v>
      </c>
      <c r="W2" s="48">
        <f t="shared" si="0"/>
        <v>11</v>
      </c>
      <c r="X2" s="48">
        <f t="shared" si="0"/>
        <v>12</v>
      </c>
    </row>
    <row r="3" spans="1:24" ht="15">
      <c r="A3" s="47" t="s">
        <v>45</v>
      </c>
      <c r="B3" s="60">
        <v>39082</v>
      </c>
      <c r="C3" s="60">
        <v>39447</v>
      </c>
      <c r="D3" s="60">
        <v>39813</v>
      </c>
      <c r="E3" s="60">
        <v>40178</v>
      </c>
      <c r="H3" s="50" t="s">
        <v>126</v>
      </c>
      <c r="I3" s="50" t="s">
        <v>124</v>
      </c>
      <c r="J3" s="50" t="s">
        <v>127</v>
      </c>
      <c r="K3" s="50" t="s">
        <v>128</v>
      </c>
      <c r="L3" s="50" t="s">
        <v>129</v>
      </c>
      <c r="M3" s="105">
        <v>39814</v>
      </c>
      <c r="N3" s="105">
        <v>39845</v>
      </c>
      <c r="O3" s="105">
        <v>39873</v>
      </c>
      <c r="P3" s="105">
        <v>39904</v>
      </c>
      <c r="Q3" s="105">
        <v>39934</v>
      </c>
      <c r="R3" s="105">
        <v>39965</v>
      </c>
      <c r="S3" s="105">
        <v>39995</v>
      </c>
      <c r="T3" s="105">
        <v>40026</v>
      </c>
      <c r="U3" s="105">
        <v>40057</v>
      </c>
      <c r="V3" s="105">
        <v>40087</v>
      </c>
      <c r="W3" s="105">
        <v>40118</v>
      </c>
      <c r="X3" s="105">
        <v>40148</v>
      </c>
    </row>
    <row r="4" ht="14.25"/>
    <row r="5" spans="1:26" ht="14.25">
      <c r="A5" s="48" t="s">
        <v>46</v>
      </c>
      <c r="B5" s="87">
        <v>0</v>
      </c>
      <c r="C5" s="87">
        <f>B8</f>
        <v>0</v>
      </c>
      <c r="D5" s="87">
        <f>C8</f>
        <v>11806789.780000001</v>
      </c>
      <c r="E5" s="87">
        <f>D8</f>
        <v>25393099.86</v>
      </c>
      <c r="G5" s="48" t="s">
        <v>132</v>
      </c>
      <c r="H5" s="66">
        <f>M5</f>
        <v>25393099.86</v>
      </c>
      <c r="I5" s="66">
        <f>O5</f>
        <v>25393099.86</v>
      </c>
      <c r="J5" s="66">
        <f>R5</f>
        <v>25393099.86</v>
      </c>
      <c r="K5" s="66">
        <f>U5</f>
        <v>25393099.86</v>
      </c>
      <c r="L5" s="66">
        <f>X5</f>
        <v>25393099.86</v>
      </c>
      <c r="M5" s="66">
        <f>D8</f>
        <v>25393099.86</v>
      </c>
      <c r="N5" s="66">
        <f aca="true" t="shared" si="1" ref="N5:X5">M5</f>
        <v>25393099.86</v>
      </c>
      <c r="O5" s="66">
        <f t="shared" si="1"/>
        <v>25393099.86</v>
      </c>
      <c r="P5" s="66">
        <f t="shared" si="1"/>
        <v>25393099.86</v>
      </c>
      <c r="Q5" s="66">
        <f t="shared" si="1"/>
        <v>25393099.86</v>
      </c>
      <c r="R5" s="66">
        <f t="shared" si="1"/>
        <v>25393099.86</v>
      </c>
      <c r="S5" s="66">
        <f t="shared" si="1"/>
        <v>25393099.86</v>
      </c>
      <c r="T5" s="66">
        <f t="shared" si="1"/>
        <v>25393099.86</v>
      </c>
      <c r="U5" s="66">
        <f t="shared" si="1"/>
        <v>25393099.86</v>
      </c>
      <c r="V5" s="66">
        <f t="shared" si="1"/>
        <v>25393099.86</v>
      </c>
      <c r="W5" s="66">
        <f t="shared" si="1"/>
        <v>25393099.86</v>
      </c>
      <c r="X5" s="66">
        <f t="shared" si="1"/>
        <v>25393099.86</v>
      </c>
      <c r="Z5" s="66"/>
    </row>
    <row r="6" spans="1:26" ht="14.25">
      <c r="A6" s="48" t="s">
        <v>122</v>
      </c>
      <c r="B6" s="71"/>
      <c r="C6" s="55"/>
      <c r="D6" s="55"/>
      <c r="E6" s="55"/>
      <c r="G6" s="48" t="s">
        <v>179</v>
      </c>
      <c r="N6" s="153">
        <f>M7</f>
        <v>659299.01</v>
      </c>
      <c r="O6" s="153">
        <f>SUM($M$7:N7)</f>
        <v>1485432.23</v>
      </c>
      <c r="P6" s="153">
        <f>SUM($M$7:O7)</f>
        <v>2512225.42</v>
      </c>
      <c r="Q6" s="153">
        <f>SUM($M$7:P7)</f>
        <v>3336993.8899999997</v>
      </c>
      <c r="R6" s="153">
        <f>SUM($M$7:Q7)</f>
        <v>4015217.9499999997</v>
      </c>
      <c r="S6" s="153">
        <f>SUM($M$7:R7)</f>
        <v>4723972.33</v>
      </c>
      <c r="T6" s="153">
        <f>SUM($M$7:S7)</f>
        <v>5080292.24</v>
      </c>
      <c r="U6" s="153">
        <f>SUM($M$7:T7)</f>
        <v>5589551.32</v>
      </c>
      <c r="V6" s="153">
        <f>SUM($M$7:U7)</f>
        <v>5908084.260000001</v>
      </c>
      <c r="W6" s="153">
        <f>SUM($M$7:V7)</f>
        <v>6371776.370000001</v>
      </c>
      <c r="X6" s="153">
        <f>SUM($M$7:W7)</f>
        <v>6778045.440000001</v>
      </c>
      <c r="Y6" s="153"/>
      <c r="Z6" s="66"/>
    </row>
    <row r="7" spans="1:26" ht="14.25">
      <c r="A7" s="48" t="s">
        <v>123</v>
      </c>
      <c r="B7" s="55"/>
      <c r="C7" s="55">
        <v>11806789.780000001</v>
      </c>
      <c r="D7" s="55">
        <v>13586310.079999998</v>
      </c>
      <c r="E7" s="55">
        <f>Inputs!K19</f>
        <v>6992380.1000000015</v>
      </c>
      <c r="G7" s="153" t="s">
        <v>136</v>
      </c>
      <c r="H7" s="153">
        <f>SUM(M7:X7)</f>
        <v>6992380.1000000015</v>
      </c>
      <c r="I7" s="153">
        <f>SUM(M7:O7)</f>
        <v>2512225.42</v>
      </c>
      <c r="J7" s="153">
        <f>SUM(P7:R7)</f>
        <v>2211746.91</v>
      </c>
      <c r="K7" s="153">
        <f>SUM(S7:U7)</f>
        <v>1184111.93</v>
      </c>
      <c r="L7" s="153">
        <f>SUM(V7:X7)</f>
        <v>1084295.8399999999</v>
      </c>
      <c r="M7" s="155">
        <v>659299.01</v>
      </c>
      <c r="N7" s="155">
        <v>826133.22</v>
      </c>
      <c r="O7" s="155">
        <v>1026793.19</v>
      </c>
      <c r="P7" s="155">
        <v>824768.47</v>
      </c>
      <c r="Q7" s="155">
        <v>678224.06</v>
      </c>
      <c r="R7" s="155">
        <v>708754.38</v>
      </c>
      <c r="S7" s="155">
        <v>356319.91000000003</v>
      </c>
      <c r="T7" s="155">
        <v>509259.08</v>
      </c>
      <c r="U7" s="155">
        <v>318532.94</v>
      </c>
      <c r="V7" s="155">
        <v>463692.11</v>
      </c>
      <c r="W7" s="155">
        <v>406269.07</v>
      </c>
      <c r="X7" s="155">
        <v>214334.65999999997</v>
      </c>
      <c r="Y7" s="153">
        <f>SUM(M7:X7)</f>
        <v>6992380.1000000015</v>
      </c>
      <c r="Z7" s="66"/>
    </row>
    <row r="8" spans="1:26" ht="14.25">
      <c r="A8" s="48" t="s">
        <v>47</v>
      </c>
      <c r="B8" s="82">
        <f>SUM(B5:B7)</f>
        <v>0</v>
      </c>
      <c r="C8" s="82">
        <f>SUM(C5:C7)</f>
        <v>11806789.780000001</v>
      </c>
      <c r="D8" s="82">
        <f>SUM(D5:D7)</f>
        <v>25393099.86</v>
      </c>
      <c r="E8" s="82">
        <f>SUM(E5:E7)</f>
        <v>32385479.96</v>
      </c>
      <c r="G8" s="48" t="s">
        <v>133</v>
      </c>
      <c r="H8" s="82">
        <f aca="true" t="shared" si="2" ref="H8:X8">SUM(H5:H7)</f>
        <v>32385479.96</v>
      </c>
      <c r="I8" s="82">
        <f t="shared" si="2"/>
        <v>27905325.28</v>
      </c>
      <c r="J8" s="82">
        <f>SUM(J5:J7)</f>
        <v>27604846.77</v>
      </c>
      <c r="K8" s="82">
        <f>SUM(K5:K7)</f>
        <v>26577211.79</v>
      </c>
      <c r="L8" s="82">
        <f>SUM(L5:L7)</f>
        <v>26477395.7</v>
      </c>
      <c r="M8" s="82">
        <f t="shared" si="2"/>
        <v>26052398.87</v>
      </c>
      <c r="N8" s="82">
        <f t="shared" si="2"/>
        <v>26878532.09</v>
      </c>
      <c r="O8" s="82">
        <f t="shared" si="2"/>
        <v>27905325.28</v>
      </c>
      <c r="P8" s="82">
        <f t="shared" si="2"/>
        <v>28730093.75</v>
      </c>
      <c r="Q8" s="82">
        <f t="shared" si="2"/>
        <v>29408317.81</v>
      </c>
      <c r="R8" s="82">
        <f t="shared" si="2"/>
        <v>30117072.189999998</v>
      </c>
      <c r="S8" s="82">
        <f t="shared" si="2"/>
        <v>30473392.099999998</v>
      </c>
      <c r="T8" s="82">
        <f t="shared" si="2"/>
        <v>30982651.18</v>
      </c>
      <c r="U8" s="82">
        <f t="shared" si="2"/>
        <v>31301184.12</v>
      </c>
      <c r="V8" s="82">
        <f t="shared" si="2"/>
        <v>31764876.23</v>
      </c>
      <c r="W8" s="82">
        <f t="shared" si="2"/>
        <v>32171145.3</v>
      </c>
      <c r="X8" s="82">
        <f t="shared" si="2"/>
        <v>32385479.96</v>
      </c>
      <c r="Z8" s="66"/>
    </row>
    <row r="9" spans="2:26" ht="14.25">
      <c r="B9" s="81"/>
      <c r="C9" s="81"/>
      <c r="D9" s="81"/>
      <c r="E9" s="81"/>
      <c r="Z9" s="66"/>
    </row>
    <row r="10" spans="1:26" ht="14.25">
      <c r="A10" s="48" t="s">
        <v>48</v>
      </c>
      <c r="B10" s="82">
        <v>0</v>
      </c>
      <c r="C10" s="82">
        <f>B13</f>
        <v>0</v>
      </c>
      <c r="D10" s="82">
        <f>C13</f>
        <v>393559.6593333334</v>
      </c>
      <c r="E10" s="82">
        <f>D13</f>
        <v>1633555.9806666668</v>
      </c>
      <c r="H10" s="82">
        <f>M10</f>
        <v>1633555.9806666668</v>
      </c>
      <c r="I10" s="82">
        <f>D13</f>
        <v>1633555.9806666668</v>
      </c>
      <c r="J10" s="82">
        <f>I13</f>
        <v>1858369.605</v>
      </c>
      <c r="K10" s="82">
        <f>J13</f>
        <v>3624967.826</v>
      </c>
      <c r="L10" s="82">
        <f>K13</f>
        <v>5357311.547666667</v>
      </c>
      <c r="M10" s="82">
        <f>D13</f>
        <v>1633555.9806666668</v>
      </c>
      <c r="N10" s="82">
        <f aca="true" t="shared" si="3" ref="N10:X10">M13</f>
        <v>1776460.1438055555</v>
      </c>
      <c r="O10" s="82">
        <f t="shared" si="3"/>
        <v>1923953.9359444445</v>
      </c>
      <c r="P10" s="82">
        <f t="shared" si="3"/>
        <v>2077709.5235000001</v>
      </c>
      <c r="Q10" s="82">
        <f t="shared" si="3"/>
        <v>2234924.7985555553</v>
      </c>
      <c r="R10" s="82">
        <f t="shared" si="3"/>
        <v>2394686.7816388886</v>
      </c>
      <c r="S10" s="82">
        <f t="shared" si="3"/>
        <v>2558725.514833333</v>
      </c>
      <c r="T10" s="82">
        <f t="shared" si="3"/>
        <v>2719848.8798888884</v>
      </c>
      <c r="U10" s="82">
        <f t="shared" si="3"/>
        <v>2886350.4482222213</v>
      </c>
      <c r="V10" s="82">
        <f t="shared" si="3"/>
        <v>3050913.080166666</v>
      </c>
      <c r="W10" s="82">
        <f t="shared" si="3"/>
        <v>3221277.5387222213</v>
      </c>
      <c r="X10" s="82">
        <f t="shared" si="3"/>
        <v>3392463.4716666657</v>
      </c>
      <c r="Z10" s="66"/>
    </row>
    <row r="11" spans="1:26" ht="14.25">
      <c r="A11" s="48" t="s">
        <v>103</v>
      </c>
      <c r="B11" s="66">
        <f>B6/Inputs!B26/2</f>
        <v>0</v>
      </c>
      <c r="C11" s="66">
        <f>C5/Inputs!$B$26</f>
        <v>0</v>
      </c>
      <c r="D11" s="66">
        <f>D5/Inputs!$B$26</f>
        <v>787119.3186666667</v>
      </c>
      <c r="E11" s="66">
        <f>E5/Inputs!$B$26</f>
        <v>1692873.324</v>
      </c>
      <c r="G11" s="48" t="s">
        <v>134</v>
      </c>
      <c r="H11" s="153">
        <f>SUM(M11:X11)</f>
        <v>1692873.324</v>
      </c>
      <c r="I11" s="66">
        <f>I5/Inputs!$B$26/12</f>
        <v>141072.777</v>
      </c>
      <c r="J11" s="66">
        <f>J5/Inputs!$B$26</f>
        <v>1692873.324</v>
      </c>
      <c r="K11" s="66">
        <f>K5/Inputs!$B$26</f>
        <v>1692873.324</v>
      </c>
      <c r="L11" s="66">
        <f>L5/Inputs!$B$26</f>
        <v>1692873.324</v>
      </c>
      <c r="M11" s="66">
        <f>M5/Inputs!$B$26/12</f>
        <v>141072.777</v>
      </c>
      <c r="N11" s="66">
        <f>N5/Inputs!$B$26/12</f>
        <v>141072.777</v>
      </c>
      <c r="O11" s="66">
        <f>O5/Inputs!$B$26/12</f>
        <v>141072.777</v>
      </c>
      <c r="P11" s="66">
        <f>P5/Inputs!$B$26/12</f>
        <v>141072.777</v>
      </c>
      <c r="Q11" s="66">
        <f>Q5/Inputs!$B$26/12</f>
        <v>141072.777</v>
      </c>
      <c r="R11" s="66">
        <f>R5/Inputs!$B$26/12</f>
        <v>141072.777</v>
      </c>
      <c r="S11" s="66">
        <f>S5/Inputs!$B$26/12</f>
        <v>141072.777</v>
      </c>
      <c r="T11" s="66">
        <f>T5/Inputs!$B$26/12</f>
        <v>141072.777</v>
      </c>
      <c r="U11" s="66">
        <f>U5/Inputs!$B$26/12</f>
        <v>141072.777</v>
      </c>
      <c r="V11" s="66">
        <f>V5/Inputs!$B$26/12</f>
        <v>141072.777</v>
      </c>
      <c r="W11" s="66">
        <f>W5/Inputs!$B$26/12</f>
        <v>141072.777</v>
      </c>
      <c r="X11" s="66">
        <f>X5/Inputs!$B$26/12</f>
        <v>141072.777</v>
      </c>
      <c r="Z11" s="66"/>
    </row>
    <row r="12" spans="1:26" ht="14.25">
      <c r="A12" s="48" t="s">
        <v>104</v>
      </c>
      <c r="B12" s="55"/>
      <c r="C12" s="55">
        <f>C7/Inputs!$B$26/2</f>
        <v>393559.6593333334</v>
      </c>
      <c r="D12" s="55">
        <f>D7/Inputs!$B$26/2</f>
        <v>452877.0026666666</v>
      </c>
      <c r="E12" s="55">
        <f>E7/Inputs!$B$26/2</f>
        <v>233079.33666666673</v>
      </c>
      <c r="G12" s="48" t="s">
        <v>135</v>
      </c>
      <c r="H12" s="153">
        <f>SUM(M12:X12)</f>
        <v>233079.33666666667</v>
      </c>
      <c r="I12" s="55">
        <f>I7/Inputs!$B$26/2</f>
        <v>83740.84733333332</v>
      </c>
      <c r="J12" s="55">
        <f>J7/Inputs!$B$26/2</f>
        <v>73724.89700000001</v>
      </c>
      <c r="K12" s="55">
        <f>K7/Inputs!$B$26/2</f>
        <v>39470.397666666664</v>
      </c>
      <c r="L12" s="55">
        <f>L7/Inputs!$B$26/2</f>
        <v>36143.19466666666</v>
      </c>
      <c r="M12" s="55">
        <f>M7/Inputs!$B$26/2/12</f>
        <v>1831.386138888889</v>
      </c>
      <c r="N12" s="55">
        <f>N7/Inputs!$B$26/2/12*N2+N6/Inputs!$B$26/2/12</f>
        <v>6421.015138888889</v>
      </c>
      <c r="O12" s="55">
        <f>O7/Inputs!$B$26/2/12*O2+O6/Inputs!$B$26/2/12</f>
        <v>12682.810555555556</v>
      </c>
      <c r="P12" s="55">
        <f>P7/Inputs!$B$26/2/12*P2+P6/Inputs!$B$26/2/12</f>
        <v>16142.498055555556</v>
      </c>
      <c r="Q12" s="55">
        <f>Q7/Inputs!$B$26/2/12*Q2+Q6/Inputs!$B$26/2/12</f>
        <v>18689.20608333333</v>
      </c>
      <c r="R12" s="55">
        <f>R7/Inputs!$B$26/2/12*R2+R6/Inputs!$B$26/2/12</f>
        <v>22965.956194444443</v>
      </c>
      <c r="S12" s="55">
        <f>S7/Inputs!$B$26/2/12*S2+S6/Inputs!$B$26/2/12</f>
        <v>20050.588055555556</v>
      </c>
      <c r="T12" s="55">
        <f>T7/Inputs!$B$26/2/12*T2+T6/Inputs!$B$26/2/12</f>
        <v>25428.791333333334</v>
      </c>
      <c r="U12" s="55">
        <f>U7/Inputs!$B$26/2/12*U2+U6/Inputs!$B$26/2/12</f>
        <v>23489.854944444443</v>
      </c>
      <c r="V12" s="55">
        <f>V7/Inputs!$B$26/2/12*V2+V6/Inputs!$B$26/2/12</f>
        <v>29291.68155555556</v>
      </c>
      <c r="W12" s="55">
        <f>W7/Inputs!$B$26/2/12*W2+W6/Inputs!$B$26/2/12</f>
        <v>30113.15594444445</v>
      </c>
      <c r="X12" s="55">
        <f>X7/Inputs!$B$26/2/12*X2+X6/Inputs!$B$26/2/12</f>
        <v>25972.392666666674</v>
      </c>
      <c r="Z12" s="66"/>
    </row>
    <row r="13" spans="1:26" ht="14.25">
      <c r="A13" s="48" t="s">
        <v>49</v>
      </c>
      <c r="B13" s="87">
        <f>SUM(B10:B12)</f>
        <v>0</v>
      </c>
      <c r="C13" s="87">
        <f>SUM(C10:C12)</f>
        <v>393559.6593333334</v>
      </c>
      <c r="D13" s="87">
        <f>SUM(D10:D12)</f>
        <v>1633555.9806666668</v>
      </c>
      <c r="E13" s="87">
        <f>SUM(E10:E12)</f>
        <v>3559508.6413333337</v>
      </c>
      <c r="H13" s="87">
        <f aca="true" t="shared" si="4" ref="H13:X13">SUM(H10:H12)</f>
        <v>3559508.641333333</v>
      </c>
      <c r="I13" s="87">
        <f t="shared" si="4"/>
        <v>1858369.605</v>
      </c>
      <c r="J13" s="87">
        <f t="shared" si="4"/>
        <v>3624967.826</v>
      </c>
      <c r="K13" s="87">
        <f t="shared" si="4"/>
        <v>5357311.547666667</v>
      </c>
      <c r="L13" s="87">
        <f t="shared" si="4"/>
        <v>7086328.066333334</v>
      </c>
      <c r="M13" s="87">
        <f t="shared" si="4"/>
        <v>1776460.1438055555</v>
      </c>
      <c r="N13" s="87">
        <f t="shared" si="4"/>
        <v>1923953.9359444445</v>
      </c>
      <c r="O13" s="87">
        <f t="shared" si="4"/>
        <v>2077709.5235000001</v>
      </c>
      <c r="P13" s="87">
        <f t="shared" si="4"/>
        <v>2234924.7985555553</v>
      </c>
      <c r="Q13" s="87">
        <f t="shared" si="4"/>
        <v>2394686.7816388886</v>
      </c>
      <c r="R13" s="87">
        <f t="shared" si="4"/>
        <v>2558725.514833333</v>
      </c>
      <c r="S13" s="87">
        <f t="shared" si="4"/>
        <v>2719848.8798888884</v>
      </c>
      <c r="T13" s="87">
        <f t="shared" si="4"/>
        <v>2886350.4482222213</v>
      </c>
      <c r="U13" s="87">
        <f t="shared" si="4"/>
        <v>3050913.080166666</v>
      </c>
      <c r="V13" s="87">
        <f t="shared" si="4"/>
        <v>3221277.5387222213</v>
      </c>
      <c r="W13" s="87">
        <f t="shared" si="4"/>
        <v>3392463.4716666657</v>
      </c>
      <c r="X13" s="87">
        <f t="shared" si="4"/>
        <v>3559508.6413333323</v>
      </c>
      <c r="Z13" s="66"/>
    </row>
    <row r="14" spans="2:26" ht="14.25">
      <c r="B14" s="87"/>
      <c r="C14" s="87"/>
      <c r="D14" s="87"/>
      <c r="E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Z14" s="66"/>
    </row>
    <row r="15" spans="1:26" ht="14.25">
      <c r="A15" s="48" t="s">
        <v>50</v>
      </c>
      <c r="B15" s="55">
        <f>0</f>
        <v>0</v>
      </c>
      <c r="C15" s="66">
        <f>B16</f>
        <v>0</v>
      </c>
      <c r="D15" s="66">
        <f>C16</f>
        <v>11413230.120666668</v>
      </c>
      <c r="E15" s="66">
        <f>D16</f>
        <v>23759543.879333332</v>
      </c>
      <c r="H15" s="66">
        <f>M15</f>
        <v>23759543.879333332</v>
      </c>
      <c r="I15" s="66">
        <f>D16</f>
        <v>23759543.879333332</v>
      </c>
      <c r="J15" s="66">
        <f>I16</f>
        <v>26046955.675</v>
      </c>
      <c r="K15" s="66">
        <f>J16</f>
        <v>23979878.944</v>
      </c>
      <c r="L15" s="66">
        <f>K16</f>
        <v>21219900.24233333</v>
      </c>
      <c r="M15" s="66">
        <f>$D$16</f>
        <v>23759543.879333332</v>
      </c>
      <c r="N15" s="66">
        <f>M15</f>
        <v>23759543.879333332</v>
      </c>
      <c r="O15" s="66">
        <f aca="true" t="shared" si="5" ref="O15:X15">N15</f>
        <v>23759543.879333332</v>
      </c>
      <c r="P15" s="66">
        <f t="shared" si="5"/>
        <v>23759543.879333332</v>
      </c>
      <c r="Q15" s="66">
        <f t="shared" si="5"/>
        <v>23759543.879333332</v>
      </c>
      <c r="R15" s="66">
        <f t="shared" si="5"/>
        <v>23759543.879333332</v>
      </c>
      <c r="S15" s="66">
        <f t="shared" si="5"/>
        <v>23759543.879333332</v>
      </c>
      <c r="T15" s="66">
        <f t="shared" si="5"/>
        <v>23759543.879333332</v>
      </c>
      <c r="U15" s="66">
        <f t="shared" si="5"/>
        <v>23759543.879333332</v>
      </c>
      <c r="V15" s="66">
        <f t="shared" si="5"/>
        <v>23759543.879333332</v>
      </c>
      <c r="W15" s="66">
        <f t="shared" si="5"/>
        <v>23759543.879333332</v>
      </c>
      <c r="X15" s="66">
        <f t="shared" si="5"/>
        <v>23759543.879333332</v>
      </c>
      <c r="Z15" s="66"/>
    </row>
    <row r="16" spans="1:26" ht="14.25">
      <c r="A16" s="48" t="s">
        <v>51</v>
      </c>
      <c r="B16" s="82">
        <f>B8-B13</f>
        <v>0</v>
      </c>
      <c r="C16" s="82">
        <f>C8-C13</f>
        <v>11413230.120666668</v>
      </c>
      <c r="D16" s="82">
        <f>D8-D13</f>
        <v>23759543.879333332</v>
      </c>
      <c r="E16" s="82">
        <f>E8-E13</f>
        <v>28825971.318666667</v>
      </c>
      <c r="F16" s="57"/>
      <c r="H16" s="82">
        <f aca="true" t="shared" si="6" ref="H16:X16">H8-H13</f>
        <v>28825971.318666667</v>
      </c>
      <c r="I16" s="82">
        <f t="shared" si="6"/>
        <v>26046955.675</v>
      </c>
      <c r="J16" s="82">
        <f>J8-J13</f>
        <v>23979878.944</v>
      </c>
      <c r="K16" s="82">
        <f t="shared" si="6"/>
        <v>21219900.24233333</v>
      </c>
      <c r="L16" s="82">
        <f t="shared" si="6"/>
        <v>19391067.633666664</v>
      </c>
      <c r="M16" s="82">
        <f t="shared" si="6"/>
        <v>24275938.726194445</v>
      </c>
      <c r="N16" s="82">
        <f t="shared" si="6"/>
        <v>24954578.154055554</v>
      </c>
      <c r="O16" s="82">
        <f t="shared" si="6"/>
        <v>25827615.756500002</v>
      </c>
      <c r="P16" s="82">
        <f t="shared" si="6"/>
        <v>26495168.951444443</v>
      </c>
      <c r="Q16" s="82">
        <f t="shared" si="6"/>
        <v>27013631.028361112</v>
      </c>
      <c r="R16" s="82">
        <f t="shared" si="6"/>
        <v>27558346.675166667</v>
      </c>
      <c r="S16" s="82">
        <f t="shared" si="6"/>
        <v>27753543.22011111</v>
      </c>
      <c r="T16" s="82">
        <f t="shared" si="6"/>
        <v>28096300.73177778</v>
      </c>
      <c r="U16" s="82">
        <f t="shared" si="6"/>
        <v>28250271.039833337</v>
      </c>
      <c r="V16" s="82">
        <f t="shared" si="6"/>
        <v>28543598.69127778</v>
      </c>
      <c r="W16" s="82">
        <f t="shared" si="6"/>
        <v>28778681.828333333</v>
      </c>
      <c r="X16" s="82">
        <f t="shared" si="6"/>
        <v>28825971.318666667</v>
      </c>
      <c r="Z16" s="66"/>
    </row>
    <row r="17" spans="1:26" ht="15" thickBot="1">
      <c r="A17" s="48" t="s">
        <v>52</v>
      </c>
      <c r="B17" s="45">
        <f>(B16+B15)/2</f>
        <v>0</v>
      </c>
      <c r="C17" s="45">
        <f>(C16+C15)/2</f>
        <v>5706615.060333334</v>
      </c>
      <c r="D17" s="45">
        <f>(D16+D15)/2</f>
        <v>17586387</v>
      </c>
      <c r="E17" s="45">
        <f>(E16+E15)/2</f>
        <v>26292757.599</v>
      </c>
      <c r="F17" s="57"/>
      <c r="H17" s="45">
        <f aca="true" t="shared" si="7" ref="H17:X17">(H16+H15)/2</f>
        <v>26292757.599</v>
      </c>
      <c r="I17" s="45">
        <f t="shared" si="7"/>
        <v>24903249.777166665</v>
      </c>
      <c r="J17" s="45">
        <f t="shared" si="7"/>
        <v>25013417.3095</v>
      </c>
      <c r="K17" s="45">
        <f t="shared" si="7"/>
        <v>22599889.593166664</v>
      </c>
      <c r="L17" s="45">
        <f t="shared" si="7"/>
        <v>20305483.937999997</v>
      </c>
      <c r="M17" s="45">
        <f t="shared" si="7"/>
        <v>24017741.302763887</v>
      </c>
      <c r="N17" s="45">
        <f t="shared" si="7"/>
        <v>24357061.01669444</v>
      </c>
      <c r="O17" s="45">
        <f t="shared" si="7"/>
        <v>24793579.81791667</v>
      </c>
      <c r="P17" s="45">
        <f>(P16+P15)/2</f>
        <v>25127356.41538889</v>
      </c>
      <c r="Q17" s="45">
        <f t="shared" si="7"/>
        <v>25386587.453847222</v>
      </c>
      <c r="R17" s="45">
        <f t="shared" si="7"/>
        <v>25658945.27725</v>
      </c>
      <c r="S17" s="45">
        <f t="shared" si="7"/>
        <v>25756543.54972222</v>
      </c>
      <c r="T17" s="45">
        <f t="shared" si="7"/>
        <v>25927922.305555556</v>
      </c>
      <c r="U17" s="45">
        <f t="shared" si="7"/>
        <v>26004907.459583335</v>
      </c>
      <c r="V17" s="45">
        <f t="shared" si="7"/>
        <v>26151571.285305556</v>
      </c>
      <c r="W17" s="45">
        <f t="shared" si="7"/>
        <v>26269112.853833333</v>
      </c>
      <c r="X17" s="45">
        <f t="shared" si="7"/>
        <v>26292757.599</v>
      </c>
      <c r="Z17" s="66"/>
    </row>
    <row r="18" spans="2:26" ht="14.25">
      <c r="B18" s="81"/>
      <c r="C18" s="81"/>
      <c r="D18" s="81"/>
      <c r="E18" s="81"/>
      <c r="Z18" s="66"/>
    </row>
    <row r="19" spans="1:26" ht="15">
      <c r="A19" s="47" t="s">
        <v>92</v>
      </c>
      <c r="B19" s="60">
        <f>B3</f>
        <v>39082</v>
      </c>
      <c r="C19" s="60">
        <f>C3</f>
        <v>39447</v>
      </c>
      <c r="D19" s="60">
        <f>D3</f>
        <v>39813</v>
      </c>
      <c r="E19" s="60">
        <f>E3</f>
        <v>40178</v>
      </c>
      <c r="Z19" s="66"/>
    </row>
    <row r="20" ht="14.25">
      <c r="Z20" s="66"/>
    </row>
    <row r="21" spans="1:26" ht="14.25">
      <c r="A21" s="48" t="s">
        <v>46</v>
      </c>
      <c r="B21" s="87">
        <v>0</v>
      </c>
      <c r="C21" s="87">
        <f>B24</f>
        <v>0</v>
      </c>
      <c r="D21" s="87">
        <f>C24</f>
        <v>0</v>
      </c>
      <c r="E21" s="87">
        <f>D24</f>
        <v>0</v>
      </c>
      <c r="G21" s="48" t="s">
        <v>132</v>
      </c>
      <c r="H21" s="66">
        <f>M21</f>
        <v>0</v>
      </c>
      <c r="I21" s="66">
        <f>O21</f>
        <v>0</v>
      </c>
      <c r="J21" s="66">
        <f>R21</f>
        <v>0</v>
      </c>
      <c r="K21" s="66">
        <f>U21</f>
        <v>0</v>
      </c>
      <c r="L21" s="66">
        <f>X21</f>
        <v>0</v>
      </c>
      <c r="M21" s="66">
        <f>D24</f>
        <v>0</v>
      </c>
      <c r="N21" s="66">
        <f>M21</f>
        <v>0</v>
      </c>
      <c r="O21" s="66">
        <f aca="true" t="shared" si="8" ref="O21:X21">N21</f>
        <v>0</v>
      </c>
      <c r="P21" s="66">
        <f t="shared" si="8"/>
        <v>0</v>
      </c>
      <c r="Q21" s="66">
        <f t="shared" si="8"/>
        <v>0</v>
      </c>
      <c r="R21" s="66">
        <f t="shared" si="8"/>
        <v>0</v>
      </c>
      <c r="S21" s="66">
        <f t="shared" si="8"/>
        <v>0</v>
      </c>
      <c r="T21" s="66">
        <f t="shared" si="8"/>
        <v>0</v>
      </c>
      <c r="U21" s="66">
        <f t="shared" si="8"/>
        <v>0</v>
      </c>
      <c r="V21" s="66">
        <f t="shared" si="8"/>
        <v>0</v>
      </c>
      <c r="W21" s="66">
        <f t="shared" si="8"/>
        <v>0</v>
      </c>
      <c r="X21" s="66">
        <f t="shared" si="8"/>
        <v>0</v>
      </c>
      <c r="Z21" s="66"/>
    </row>
    <row r="22" spans="1:26" ht="14.25">
      <c r="A22" s="48" t="s">
        <v>81</v>
      </c>
      <c r="B22" s="71"/>
      <c r="C22" s="55"/>
      <c r="D22" s="55"/>
      <c r="E22" s="55"/>
      <c r="G22" s="48" t="s">
        <v>179</v>
      </c>
      <c r="N22" s="153">
        <f>M23</f>
        <v>0</v>
      </c>
      <c r="O22" s="153">
        <f>SUM($M23:N23)</f>
        <v>0</v>
      </c>
      <c r="P22" s="153">
        <f>SUM($M23:O23)</f>
        <v>0</v>
      </c>
      <c r="Q22" s="153">
        <f>SUM($M23:P23)</f>
        <v>0</v>
      </c>
      <c r="R22" s="153">
        <f>SUM($M23:Q23)</f>
        <v>0</v>
      </c>
      <c r="S22" s="153">
        <f>SUM($M23:R23)</f>
        <v>0</v>
      </c>
      <c r="T22" s="153">
        <f>SUM($M23:S23)</f>
        <v>0</v>
      </c>
      <c r="U22" s="153">
        <f>SUM($M23:T23)</f>
        <v>0</v>
      </c>
      <c r="V22" s="153">
        <f>SUM($M23:U23)</f>
        <v>0</v>
      </c>
      <c r="W22" s="153">
        <f>SUM($M23:V23)</f>
        <v>0</v>
      </c>
      <c r="X22" s="153">
        <f>SUM($M23:W23)</f>
        <v>0</v>
      </c>
      <c r="Z22" s="66"/>
    </row>
    <row r="23" spans="1:26" ht="14.25">
      <c r="A23" s="48" t="s">
        <v>82</v>
      </c>
      <c r="B23" s="55"/>
      <c r="C23" s="55">
        <f>Inputs!F20</f>
        <v>0</v>
      </c>
      <c r="D23" s="55">
        <f>Inputs!I20</f>
        <v>0</v>
      </c>
      <c r="E23" s="55">
        <f>Inputs!K20</f>
        <v>0</v>
      </c>
      <c r="G23" s="153" t="s">
        <v>136</v>
      </c>
      <c r="H23" s="153">
        <f>SUM(M23:X23)</f>
        <v>0</v>
      </c>
      <c r="I23" s="153">
        <f>SUM(M23:O23)</f>
        <v>0</v>
      </c>
      <c r="J23" s="153">
        <f>SUM(P23:R23)</f>
        <v>0</v>
      </c>
      <c r="K23" s="153">
        <f>SUM(S23:U23)</f>
        <v>0</v>
      </c>
      <c r="L23" s="153">
        <f>SUM(V23:X23)</f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Z23" s="66"/>
    </row>
    <row r="24" spans="1:26" ht="14.25">
      <c r="A24" s="48" t="s">
        <v>47</v>
      </c>
      <c r="B24" s="82">
        <f>SUM(B21:B23)</f>
        <v>0</v>
      </c>
      <c r="C24" s="82">
        <f>SUM(C21:C23)</f>
        <v>0</v>
      </c>
      <c r="D24" s="82">
        <f>SUM(D21:D23)</f>
        <v>0</v>
      </c>
      <c r="E24" s="82">
        <f>SUM(E21:E23)</f>
        <v>0</v>
      </c>
      <c r="G24" s="48" t="s">
        <v>133</v>
      </c>
      <c r="H24" s="82">
        <f aca="true" t="shared" si="9" ref="H24:X24">SUM(H21:H23)</f>
        <v>0</v>
      </c>
      <c r="I24" s="82">
        <f t="shared" si="9"/>
        <v>0</v>
      </c>
      <c r="J24" s="82">
        <f t="shared" si="9"/>
        <v>0</v>
      </c>
      <c r="K24" s="82">
        <f t="shared" si="9"/>
        <v>0</v>
      </c>
      <c r="L24" s="82">
        <f t="shared" si="9"/>
        <v>0</v>
      </c>
      <c r="M24" s="82">
        <f t="shared" si="9"/>
        <v>0</v>
      </c>
      <c r="N24" s="82">
        <f t="shared" si="9"/>
        <v>0</v>
      </c>
      <c r="O24" s="82">
        <f t="shared" si="9"/>
        <v>0</v>
      </c>
      <c r="P24" s="82">
        <f t="shared" si="9"/>
        <v>0</v>
      </c>
      <c r="Q24" s="82">
        <f t="shared" si="9"/>
        <v>0</v>
      </c>
      <c r="R24" s="82">
        <f t="shared" si="9"/>
        <v>0</v>
      </c>
      <c r="S24" s="82">
        <f t="shared" si="9"/>
        <v>0</v>
      </c>
      <c r="T24" s="82">
        <f t="shared" si="9"/>
        <v>0</v>
      </c>
      <c r="U24" s="82">
        <f t="shared" si="9"/>
        <v>0</v>
      </c>
      <c r="V24" s="82">
        <f t="shared" si="9"/>
        <v>0</v>
      </c>
      <c r="W24" s="82">
        <f t="shared" si="9"/>
        <v>0</v>
      </c>
      <c r="X24" s="82">
        <f t="shared" si="9"/>
        <v>0</v>
      </c>
      <c r="Z24" s="66"/>
    </row>
    <row r="25" spans="2:26" ht="14.25">
      <c r="B25" s="81"/>
      <c r="C25" s="81"/>
      <c r="D25" s="81"/>
      <c r="E25" s="81"/>
      <c r="Z25" s="66"/>
    </row>
    <row r="26" spans="1:26" ht="14.25">
      <c r="A26" s="48" t="s">
        <v>48</v>
      </c>
      <c r="B26" s="82">
        <v>0</v>
      </c>
      <c r="C26" s="82">
        <f>B29</f>
        <v>0</v>
      </c>
      <c r="D26" s="82">
        <f>C29</f>
        <v>0</v>
      </c>
      <c r="E26" s="82">
        <f>D29</f>
        <v>0</v>
      </c>
      <c r="H26" s="82">
        <f>E26</f>
        <v>0</v>
      </c>
      <c r="I26" s="82">
        <f>D29</f>
        <v>0</v>
      </c>
      <c r="J26" s="82">
        <f>I29</f>
        <v>0</v>
      </c>
      <c r="K26" s="82">
        <f>J29</f>
        <v>0</v>
      </c>
      <c r="L26" s="82">
        <f>K29</f>
        <v>0</v>
      </c>
      <c r="M26" s="82">
        <f>D29</f>
        <v>0</v>
      </c>
      <c r="N26" s="82">
        <f>M29</f>
        <v>0</v>
      </c>
      <c r="O26" s="82">
        <f aca="true" t="shared" si="10" ref="O26:X26">N29</f>
        <v>0</v>
      </c>
      <c r="P26" s="82">
        <f t="shared" si="10"/>
        <v>0</v>
      </c>
      <c r="Q26" s="82">
        <f t="shared" si="10"/>
        <v>0</v>
      </c>
      <c r="R26" s="82">
        <f t="shared" si="10"/>
        <v>0</v>
      </c>
      <c r="S26" s="82">
        <f t="shared" si="10"/>
        <v>0</v>
      </c>
      <c r="T26" s="82">
        <f t="shared" si="10"/>
        <v>0</v>
      </c>
      <c r="U26" s="82">
        <f t="shared" si="10"/>
        <v>0</v>
      </c>
      <c r="V26" s="82">
        <f t="shared" si="10"/>
        <v>0</v>
      </c>
      <c r="W26" s="82">
        <f t="shared" si="10"/>
        <v>0</v>
      </c>
      <c r="X26" s="82">
        <f t="shared" si="10"/>
        <v>0</v>
      </c>
      <c r="Z26" s="66"/>
    </row>
    <row r="27" spans="1:26" ht="14.25">
      <c r="A27" s="48" t="s">
        <v>93</v>
      </c>
      <c r="B27" s="66">
        <f>B22/Inputs!B27/2</f>
        <v>0</v>
      </c>
      <c r="C27" s="66">
        <f>C21/Inputs!$B$27</f>
        <v>0</v>
      </c>
      <c r="D27" s="66">
        <f>D21/Inputs!$B$27</f>
        <v>0</v>
      </c>
      <c r="E27" s="66">
        <f>E21/Inputs!$B$27</f>
        <v>0</v>
      </c>
      <c r="G27" s="48" t="s">
        <v>134</v>
      </c>
      <c r="H27" s="153">
        <f>SUM(M27:X27)</f>
        <v>0</v>
      </c>
      <c r="I27" s="66">
        <f>I21/Inputs!$B$26/12</f>
        <v>0</v>
      </c>
      <c r="J27" s="66">
        <f>J21/Inputs!$B$26</f>
        <v>0</v>
      </c>
      <c r="K27" s="66">
        <f>K21/Inputs!$B$26</f>
        <v>0</v>
      </c>
      <c r="L27" s="66">
        <f>L21/Inputs!$B$26</f>
        <v>0</v>
      </c>
      <c r="M27" s="66">
        <f>M21/Inputs!$B$27/12</f>
        <v>0</v>
      </c>
      <c r="N27" s="66">
        <f>N21/Inputs!$B$27/12</f>
        <v>0</v>
      </c>
      <c r="O27" s="66">
        <f>O21/Inputs!$B$27/12</f>
        <v>0</v>
      </c>
      <c r="P27" s="66">
        <f>P21/Inputs!$B$27/12</f>
        <v>0</v>
      </c>
      <c r="Q27" s="66">
        <f>Q21/Inputs!$B$27/12</f>
        <v>0</v>
      </c>
      <c r="R27" s="66">
        <f>R21/Inputs!$B$27/12</f>
        <v>0</v>
      </c>
      <c r="S27" s="66">
        <f>S21/Inputs!$B$27/12</f>
        <v>0</v>
      </c>
      <c r="T27" s="66">
        <f>T21/Inputs!$B$27/12</f>
        <v>0</v>
      </c>
      <c r="U27" s="66">
        <f>U21/Inputs!$B$27/12</f>
        <v>0</v>
      </c>
      <c r="V27" s="66">
        <f>V21/Inputs!$B$27/12</f>
        <v>0</v>
      </c>
      <c r="W27" s="66">
        <f>W21/Inputs!$B$27/12</f>
        <v>0</v>
      </c>
      <c r="X27" s="66">
        <f>X21/Inputs!$B$27/12</f>
        <v>0</v>
      </c>
      <c r="Z27" s="66"/>
    </row>
    <row r="28" spans="1:26" ht="14.25">
      <c r="A28" s="48" t="s">
        <v>94</v>
      </c>
      <c r="B28" s="55"/>
      <c r="C28" s="55">
        <f>C23/Inputs!$B$27/2</f>
        <v>0</v>
      </c>
      <c r="D28" s="55">
        <f>D23/Inputs!$B$27/2</f>
        <v>0</v>
      </c>
      <c r="E28" s="55">
        <f>E23/Inputs!$B$27/2</f>
        <v>0</v>
      </c>
      <c r="G28" s="48" t="s">
        <v>135</v>
      </c>
      <c r="H28" s="153">
        <f>SUM(M28:X28)</f>
        <v>0</v>
      </c>
      <c r="I28" s="55">
        <f>I23/Inputs!$B$26/2</f>
        <v>0</v>
      </c>
      <c r="J28" s="55">
        <f>J23/Inputs!$B$26/2</f>
        <v>0</v>
      </c>
      <c r="K28" s="55">
        <f>K23/Inputs!$B$26/2</f>
        <v>0</v>
      </c>
      <c r="L28" s="55">
        <f>L23/Inputs!$B$26/2</f>
        <v>0</v>
      </c>
      <c r="M28" s="55">
        <f>M23/Inputs!$B$27/2/12</f>
        <v>0</v>
      </c>
      <c r="N28" s="55">
        <f>N23/Inputs!$B$27/2/12*N20+N22/Inputs!$B$27/2/12</f>
        <v>0</v>
      </c>
      <c r="O28" s="55">
        <f>O23/Inputs!$B$27/2/12*O20+O22/Inputs!$B$27/2/12</f>
        <v>0</v>
      </c>
      <c r="P28" s="55">
        <f>P23/Inputs!$B$27/2/12*P20+P22/Inputs!$B$27/2/12</f>
        <v>0</v>
      </c>
      <c r="Q28" s="55">
        <f>Q23/Inputs!$B$27/2/12*Q20+Q22/Inputs!$B$27/2/12</f>
        <v>0</v>
      </c>
      <c r="R28" s="55">
        <f>R23/Inputs!$B$27/2/12*R20+R22/Inputs!$B$27/2/12</f>
        <v>0</v>
      </c>
      <c r="S28" s="55">
        <f>S23/Inputs!$B$27/2/12*S20+S22/Inputs!$B$27/2/12</f>
        <v>0</v>
      </c>
      <c r="T28" s="55">
        <f>T23/Inputs!$B$27/2/12*T20+T22/Inputs!$B$27/2/12</f>
        <v>0</v>
      </c>
      <c r="U28" s="55">
        <f>U23/Inputs!$B$27/2/12*U20+U22/Inputs!$B$27/2/12</f>
        <v>0</v>
      </c>
      <c r="V28" s="55">
        <f>V23/Inputs!$B$27/2/12*V20+V22/Inputs!$B$27/2/12</f>
        <v>0</v>
      </c>
      <c r="W28" s="55">
        <f>W23/Inputs!$B$27/2/12*W20+W22/Inputs!$B$27/2/12</f>
        <v>0</v>
      </c>
      <c r="X28" s="55">
        <f>X23/Inputs!$B$27/2/12*X20+X22/Inputs!$B$27/2/12</f>
        <v>0</v>
      </c>
      <c r="Z28" s="66"/>
    </row>
    <row r="29" spans="1:26" ht="14.25">
      <c r="A29" s="48" t="s">
        <v>49</v>
      </c>
      <c r="B29" s="87">
        <f>SUM(B26:B28)</f>
        <v>0</v>
      </c>
      <c r="C29" s="87">
        <f>SUM(C26:C28)</f>
        <v>0</v>
      </c>
      <c r="D29" s="87">
        <f>SUM(D26:D28)</f>
        <v>0</v>
      </c>
      <c r="E29" s="87">
        <f>SUM(E26:E28)</f>
        <v>0</v>
      </c>
      <c r="H29" s="87">
        <f>SUM(H26:H28)</f>
        <v>0</v>
      </c>
      <c r="I29" s="87">
        <f aca="true" t="shared" si="11" ref="I29:X29">SUM(I26:I28)</f>
        <v>0</v>
      </c>
      <c r="J29" s="87">
        <f t="shared" si="11"/>
        <v>0</v>
      </c>
      <c r="K29" s="87">
        <f t="shared" si="11"/>
        <v>0</v>
      </c>
      <c r="L29" s="87">
        <f t="shared" si="11"/>
        <v>0</v>
      </c>
      <c r="M29" s="87">
        <f t="shared" si="11"/>
        <v>0</v>
      </c>
      <c r="N29" s="87">
        <f t="shared" si="11"/>
        <v>0</v>
      </c>
      <c r="O29" s="87">
        <f t="shared" si="11"/>
        <v>0</v>
      </c>
      <c r="P29" s="87">
        <f t="shared" si="11"/>
        <v>0</v>
      </c>
      <c r="Q29" s="87">
        <f t="shared" si="11"/>
        <v>0</v>
      </c>
      <c r="R29" s="87">
        <f t="shared" si="11"/>
        <v>0</v>
      </c>
      <c r="S29" s="87">
        <f t="shared" si="11"/>
        <v>0</v>
      </c>
      <c r="T29" s="87">
        <f t="shared" si="11"/>
        <v>0</v>
      </c>
      <c r="U29" s="87">
        <f t="shared" si="11"/>
        <v>0</v>
      </c>
      <c r="V29" s="87">
        <f t="shared" si="11"/>
        <v>0</v>
      </c>
      <c r="W29" s="87">
        <f t="shared" si="11"/>
        <v>0</v>
      </c>
      <c r="X29" s="87">
        <f t="shared" si="11"/>
        <v>0</v>
      </c>
      <c r="Z29" s="66"/>
    </row>
    <row r="30" spans="2:26" ht="14.25">
      <c r="B30" s="87"/>
      <c r="C30" s="87"/>
      <c r="D30" s="87"/>
      <c r="E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Z30" s="66"/>
    </row>
    <row r="31" spans="1:26" ht="14.25">
      <c r="A31" s="48" t="s">
        <v>50</v>
      </c>
      <c r="B31" s="55">
        <f>0</f>
        <v>0</v>
      </c>
      <c r="C31" s="66">
        <f>B32</f>
        <v>0</v>
      </c>
      <c r="D31" s="66">
        <f>C32</f>
        <v>0</v>
      </c>
      <c r="E31" s="66">
        <f>D32</f>
        <v>0</v>
      </c>
      <c r="H31" s="66">
        <f>M31</f>
        <v>0</v>
      </c>
      <c r="I31" s="66">
        <f>D32</f>
        <v>0</v>
      </c>
      <c r="J31" s="66">
        <f>I32</f>
        <v>0</v>
      </c>
      <c r="K31" s="66">
        <f>J32</f>
        <v>0</v>
      </c>
      <c r="L31" s="66">
        <f>K32</f>
        <v>0</v>
      </c>
      <c r="M31" s="66">
        <f>$D$32</f>
        <v>0</v>
      </c>
      <c r="N31" s="66">
        <f>M31</f>
        <v>0</v>
      </c>
      <c r="O31" s="66">
        <f aca="true" t="shared" si="12" ref="O31:X31">N31</f>
        <v>0</v>
      </c>
      <c r="P31" s="66">
        <f t="shared" si="12"/>
        <v>0</v>
      </c>
      <c r="Q31" s="66">
        <f t="shared" si="12"/>
        <v>0</v>
      </c>
      <c r="R31" s="66">
        <f t="shared" si="12"/>
        <v>0</v>
      </c>
      <c r="S31" s="66">
        <f t="shared" si="12"/>
        <v>0</v>
      </c>
      <c r="T31" s="66">
        <f t="shared" si="12"/>
        <v>0</v>
      </c>
      <c r="U31" s="66">
        <f t="shared" si="12"/>
        <v>0</v>
      </c>
      <c r="V31" s="66">
        <f t="shared" si="12"/>
        <v>0</v>
      </c>
      <c r="W31" s="66">
        <f t="shared" si="12"/>
        <v>0</v>
      </c>
      <c r="X31" s="66">
        <f t="shared" si="12"/>
        <v>0</v>
      </c>
      <c r="Z31" s="66"/>
    </row>
    <row r="32" spans="1:26" ht="14.25">
      <c r="A32" s="48" t="s">
        <v>51</v>
      </c>
      <c r="B32" s="82">
        <f>B24-B29</f>
        <v>0</v>
      </c>
      <c r="C32" s="82">
        <f>C24-C29</f>
        <v>0</v>
      </c>
      <c r="D32" s="82">
        <f>D24-D29</f>
        <v>0</v>
      </c>
      <c r="E32" s="82">
        <f>E24-E29</f>
        <v>0</v>
      </c>
      <c r="H32" s="82">
        <f aca="true" t="shared" si="13" ref="H32:X32">H24-H29</f>
        <v>0</v>
      </c>
      <c r="I32" s="82">
        <f t="shared" si="13"/>
        <v>0</v>
      </c>
      <c r="J32" s="82">
        <f t="shared" si="13"/>
        <v>0</v>
      </c>
      <c r="K32" s="82">
        <f t="shared" si="13"/>
        <v>0</v>
      </c>
      <c r="L32" s="82">
        <f t="shared" si="13"/>
        <v>0</v>
      </c>
      <c r="M32" s="82">
        <f t="shared" si="13"/>
        <v>0</v>
      </c>
      <c r="N32" s="82">
        <f t="shared" si="13"/>
        <v>0</v>
      </c>
      <c r="O32" s="82">
        <f t="shared" si="13"/>
        <v>0</v>
      </c>
      <c r="P32" s="82">
        <f t="shared" si="13"/>
        <v>0</v>
      </c>
      <c r="Q32" s="82">
        <f t="shared" si="13"/>
        <v>0</v>
      </c>
      <c r="R32" s="82">
        <f t="shared" si="13"/>
        <v>0</v>
      </c>
      <c r="S32" s="82">
        <f t="shared" si="13"/>
        <v>0</v>
      </c>
      <c r="T32" s="82">
        <f t="shared" si="13"/>
        <v>0</v>
      </c>
      <c r="U32" s="82">
        <f t="shared" si="13"/>
        <v>0</v>
      </c>
      <c r="V32" s="82">
        <f t="shared" si="13"/>
        <v>0</v>
      </c>
      <c r="W32" s="82">
        <f t="shared" si="13"/>
        <v>0</v>
      </c>
      <c r="X32" s="82">
        <f t="shared" si="13"/>
        <v>0</v>
      </c>
      <c r="Z32" s="66"/>
    </row>
    <row r="33" spans="1:26" ht="15" thickBot="1">
      <c r="A33" s="48" t="s">
        <v>52</v>
      </c>
      <c r="B33" s="45">
        <f>(B32+B31)/2</f>
        <v>0</v>
      </c>
      <c r="C33" s="45">
        <f>(C32+C31)/2</f>
        <v>0</v>
      </c>
      <c r="D33" s="45">
        <f>(D32+D31)/2</f>
        <v>0</v>
      </c>
      <c r="E33" s="45">
        <f>(E32+E31)/2</f>
        <v>0</v>
      </c>
      <c r="H33" s="45">
        <f>(H32+H31)/2</f>
        <v>0</v>
      </c>
      <c r="I33" s="45">
        <f aca="true" t="shared" si="14" ref="I33:X33">(I32+I31)/2</f>
        <v>0</v>
      </c>
      <c r="J33" s="45">
        <f t="shared" si="14"/>
        <v>0</v>
      </c>
      <c r="K33" s="45">
        <f t="shared" si="14"/>
        <v>0</v>
      </c>
      <c r="L33" s="45">
        <f t="shared" si="14"/>
        <v>0</v>
      </c>
      <c r="M33" s="45">
        <f t="shared" si="14"/>
        <v>0</v>
      </c>
      <c r="N33" s="45">
        <f t="shared" si="14"/>
        <v>0</v>
      </c>
      <c r="O33" s="45">
        <f t="shared" si="14"/>
        <v>0</v>
      </c>
      <c r="P33" s="45">
        <f t="shared" si="14"/>
        <v>0</v>
      </c>
      <c r="Q33" s="45">
        <f t="shared" si="14"/>
        <v>0</v>
      </c>
      <c r="R33" s="45">
        <f t="shared" si="14"/>
        <v>0</v>
      </c>
      <c r="S33" s="45">
        <f t="shared" si="14"/>
        <v>0</v>
      </c>
      <c r="T33" s="45">
        <f t="shared" si="14"/>
        <v>0</v>
      </c>
      <c r="U33" s="45">
        <f t="shared" si="14"/>
        <v>0</v>
      </c>
      <c r="V33" s="45">
        <f t="shared" si="14"/>
        <v>0</v>
      </c>
      <c r="W33" s="45">
        <f t="shared" si="14"/>
        <v>0</v>
      </c>
      <c r="X33" s="45">
        <f t="shared" si="14"/>
        <v>0</v>
      </c>
      <c r="Z33" s="66"/>
    </row>
    <row r="34" spans="2:26" ht="14.25">
      <c r="B34" s="81"/>
      <c r="C34" s="81"/>
      <c r="D34" s="81"/>
      <c r="E34" s="81"/>
      <c r="Z34" s="66"/>
    </row>
    <row r="35" spans="1:26" ht="15">
      <c r="A35" s="47" t="s">
        <v>53</v>
      </c>
      <c r="B35" s="60">
        <f>B3</f>
        <v>39082</v>
      </c>
      <c r="C35" s="60">
        <f>C3</f>
        <v>39447</v>
      </c>
      <c r="D35" s="60">
        <f>D3</f>
        <v>39813</v>
      </c>
      <c r="E35" s="60">
        <f>E3</f>
        <v>40178</v>
      </c>
      <c r="Z35" s="66"/>
    </row>
    <row r="36" spans="13:26" ht="14.25">
      <c r="M36" s="52">
        <f aca="true" t="shared" si="15" ref="M36:X36">M2</f>
        <v>1</v>
      </c>
      <c r="N36" s="52">
        <f t="shared" si="15"/>
        <v>2</v>
      </c>
      <c r="O36" s="52">
        <f t="shared" si="15"/>
        <v>3</v>
      </c>
      <c r="P36" s="52">
        <f t="shared" si="15"/>
        <v>4</v>
      </c>
      <c r="Q36" s="52">
        <f t="shared" si="15"/>
        <v>5</v>
      </c>
      <c r="R36" s="52">
        <f t="shared" si="15"/>
        <v>6</v>
      </c>
      <c r="S36" s="52">
        <f t="shared" si="15"/>
        <v>7</v>
      </c>
      <c r="T36" s="52">
        <f t="shared" si="15"/>
        <v>8</v>
      </c>
      <c r="U36" s="52">
        <f t="shared" si="15"/>
        <v>9</v>
      </c>
      <c r="V36" s="52">
        <f t="shared" si="15"/>
        <v>10</v>
      </c>
      <c r="W36" s="52">
        <f t="shared" si="15"/>
        <v>11</v>
      </c>
      <c r="X36" s="52">
        <f t="shared" si="15"/>
        <v>12</v>
      </c>
      <c r="Z36" s="66"/>
    </row>
    <row r="37" spans="1:26" ht="14.25">
      <c r="A37" s="48" t="s">
        <v>46</v>
      </c>
      <c r="B37" s="87">
        <v>0</v>
      </c>
      <c r="C37" s="87">
        <f>B40</f>
        <v>0</v>
      </c>
      <c r="D37" s="87">
        <f>C40</f>
        <v>502.6900000000023</v>
      </c>
      <c r="E37" s="87">
        <f>D40</f>
        <v>5640.400000000003</v>
      </c>
      <c r="G37" s="48" t="s">
        <v>132</v>
      </c>
      <c r="H37" s="66">
        <f>M37</f>
        <v>5640.400000000003</v>
      </c>
      <c r="I37" s="66">
        <f>O37</f>
        <v>5640.400000000003</v>
      </c>
      <c r="J37" s="66">
        <f>R37</f>
        <v>5640.400000000003</v>
      </c>
      <c r="K37" s="66">
        <f>U37</f>
        <v>5640.400000000003</v>
      </c>
      <c r="L37" s="66">
        <f>X37</f>
        <v>5640.400000000003</v>
      </c>
      <c r="M37" s="66">
        <f>D40</f>
        <v>5640.400000000003</v>
      </c>
      <c r="N37" s="66">
        <f>M37</f>
        <v>5640.400000000003</v>
      </c>
      <c r="O37" s="66">
        <f aca="true" t="shared" si="16" ref="O37:X37">N37</f>
        <v>5640.400000000003</v>
      </c>
      <c r="P37" s="66">
        <f t="shared" si="16"/>
        <v>5640.400000000003</v>
      </c>
      <c r="Q37" s="66">
        <f t="shared" si="16"/>
        <v>5640.400000000003</v>
      </c>
      <c r="R37" s="66">
        <f t="shared" si="16"/>
        <v>5640.400000000003</v>
      </c>
      <c r="S37" s="66">
        <f t="shared" si="16"/>
        <v>5640.400000000003</v>
      </c>
      <c r="T37" s="66">
        <f t="shared" si="16"/>
        <v>5640.400000000003</v>
      </c>
      <c r="U37" s="66">
        <f t="shared" si="16"/>
        <v>5640.400000000003</v>
      </c>
      <c r="V37" s="66">
        <f t="shared" si="16"/>
        <v>5640.400000000003</v>
      </c>
      <c r="W37" s="66">
        <f t="shared" si="16"/>
        <v>5640.400000000003</v>
      </c>
      <c r="X37" s="66">
        <f t="shared" si="16"/>
        <v>5640.400000000003</v>
      </c>
      <c r="Z37" s="66"/>
    </row>
    <row r="38" spans="1:26" ht="14.25">
      <c r="A38" s="48" t="s">
        <v>81</v>
      </c>
      <c r="B38" s="71">
        <f>+Inputs!B21</f>
        <v>0</v>
      </c>
      <c r="C38" s="55"/>
      <c r="D38" s="55"/>
      <c r="E38" s="55"/>
      <c r="G38" s="48" t="s">
        <v>179</v>
      </c>
      <c r="N38" s="153">
        <f>M39</f>
        <v>0</v>
      </c>
      <c r="O38" s="153">
        <f>SUM($M39:N39)</f>
        <v>0</v>
      </c>
      <c r="P38" s="153">
        <f>SUM($M39:O39)</f>
        <v>0</v>
      </c>
      <c r="Q38" s="153">
        <f>SUM($M39:P39)</f>
        <v>0</v>
      </c>
      <c r="R38" s="153">
        <f>SUM($M39:Q39)</f>
        <v>0</v>
      </c>
      <c r="S38" s="153">
        <f>SUM($M39:R39)</f>
        <v>0</v>
      </c>
      <c r="T38" s="153">
        <f>SUM($M39:S39)</f>
        <v>0</v>
      </c>
      <c r="U38" s="153">
        <f>SUM($M39:T39)</f>
        <v>0</v>
      </c>
      <c r="V38" s="153">
        <f>SUM($M39:U39)</f>
        <v>0</v>
      </c>
      <c r="W38" s="153">
        <f>SUM($M39:V39)</f>
        <v>0</v>
      </c>
      <c r="X38" s="153">
        <f>SUM($M39:W39)</f>
        <v>0</v>
      </c>
      <c r="Z38" s="66"/>
    </row>
    <row r="39" spans="1:26" ht="14.25">
      <c r="A39" s="48" t="s">
        <v>82</v>
      </c>
      <c r="B39" s="55"/>
      <c r="C39" s="55">
        <v>502.6900000000023</v>
      </c>
      <c r="D39" s="55">
        <f>Inputs!I21</f>
        <v>5137.710000000001</v>
      </c>
      <c r="E39" s="55">
        <f>Inputs!K21</f>
        <v>0</v>
      </c>
      <c r="G39" s="153" t="s">
        <v>136</v>
      </c>
      <c r="H39" s="153">
        <f>SUM(M39:X39)</f>
        <v>0</v>
      </c>
      <c r="I39" s="153">
        <f>SUM(M39:O39)</f>
        <v>0</v>
      </c>
      <c r="J39" s="153">
        <f>SUM(P39:R39)</f>
        <v>0</v>
      </c>
      <c r="K39" s="153">
        <f>SUM(S39:U39)</f>
        <v>0</v>
      </c>
      <c r="L39" s="153">
        <f>SUM(V39:X39)</f>
        <v>0</v>
      </c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Z39" s="66"/>
    </row>
    <row r="40" spans="1:26" ht="14.25">
      <c r="A40" s="48" t="s">
        <v>47</v>
      </c>
      <c r="B40" s="82">
        <f>SUM(B37:B39)</f>
        <v>0</v>
      </c>
      <c r="C40" s="82">
        <f>SUM(C37:C39)</f>
        <v>502.6900000000023</v>
      </c>
      <c r="D40" s="82">
        <f>SUM(D37:D39)</f>
        <v>5640.400000000003</v>
      </c>
      <c r="E40" s="82">
        <f>SUM(E37:E39)</f>
        <v>5640.400000000003</v>
      </c>
      <c r="G40" s="48" t="s">
        <v>133</v>
      </c>
      <c r="H40" s="82">
        <f aca="true" t="shared" si="17" ref="H40:X40">SUM(H37:H39)</f>
        <v>5640.400000000003</v>
      </c>
      <c r="I40" s="82">
        <f t="shared" si="17"/>
        <v>5640.400000000003</v>
      </c>
      <c r="J40" s="82">
        <f t="shared" si="17"/>
        <v>5640.400000000003</v>
      </c>
      <c r="K40" s="82">
        <f t="shared" si="17"/>
        <v>5640.400000000003</v>
      </c>
      <c r="L40" s="82">
        <f t="shared" si="17"/>
        <v>5640.400000000003</v>
      </c>
      <c r="M40" s="82">
        <f t="shared" si="17"/>
        <v>5640.400000000003</v>
      </c>
      <c r="N40" s="82">
        <f t="shared" si="17"/>
        <v>5640.400000000003</v>
      </c>
      <c r="O40" s="82">
        <f t="shared" si="17"/>
        <v>5640.400000000003</v>
      </c>
      <c r="P40" s="82">
        <f t="shared" si="17"/>
        <v>5640.400000000003</v>
      </c>
      <c r="Q40" s="82">
        <f t="shared" si="17"/>
        <v>5640.400000000003</v>
      </c>
      <c r="R40" s="82">
        <f t="shared" si="17"/>
        <v>5640.400000000003</v>
      </c>
      <c r="S40" s="82">
        <f t="shared" si="17"/>
        <v>5640.400000000003</v>
      </c>
      <c r="T40" s="82">
        <f t="shared" si="17"/>
        <v>5640.400000000003</v>
      </c>
      <c r="U40" s="82">
        <f t="shared" si="17"/>
        <v>5640.400000000003</v>
      </c>
      <c r="V40" s="82">
        <f t="shared" si="17"/>
        <v>5640.400000000003</v>
      </c>
      <c r="W40" s="82">
        <f t="shared" si="17"/>
        <v>5640.400000000003</v>
      </c>
      <c r="X40" s="82">
        <f t="shared" si="17"/>
        <v>5640.400000000003</v>
      </c>
      <c r="Z40" s="66"/>
    </row>
    <row r="41" spans="2:26" ht="14.25">
      <c r="B41" s="81"/>
      <c r="C41" s="81"/>
      <c r="D41" s="81"/>
      <c r="E41" s="81"/>
      <c r="Z41" s="66"/>
    </row>
    <row r="42" spans="1:26" ht="14.25">
      <c r="A42" s="48" t="s">
        <v>48</v>
      </c>
      <c r="B42" s="82">
        <v>0</v>
      </c>
      <c r="C42" s="82">
        <f>B45</f>
        <v>0</v>
      </c>
      <c r="D42" s="82">
        <f>C45</f>
        <v>50.26900000000023</v>
      </c>
      <c r="E42" s="82">
        <f>D45</f>
        <v>664.5780000000008</v>
      </c>
      <c r="F42" s="66"/>
      <c r="H42" s="82">
        <f>E42</f>
        <v>664.5780000000008</v>
      </c>
      <c r="I42" s="82">
        <f>D45</f>
        <v>664.5780000000008</v>
      </c>
      <c r="J42" s="82">
        <f>I45</f>
        <v>695.9135555555563</v>
      </c>
      <c r="K42" s="82">
        <f>J45</f>
        <v>1071.9402222222232</v>
      </c>
      <c r="L42" s="82">
        <f>K45</f>
        <v>1447.96688888889</v>
      </c>
      <c r="M42" s="82">
        <f>D45</f>
        <v>664.5780000000008</v>
      </c>
      <c r="N42" s="82">
        <f>M45</f>
        <v>758.5846666666675</v>
      </c>
      <c r="O42" s="82">
        <f aca="true" t="shared" si="18" ref="O42:X42">N45</f>
        <v>852.5913333333342</v>
      </c>
      <c r="P42" s="82">
        <f t="shared" si="18"/>
        <v>946.5980000000009</v>
      </c>
      <c r="Q42" s="82">
        <f t="shared" si="18"/>
        <v>1040.6046666666675</v>
      </c>
      <c r="R42" s="82">
        <f t="shared" si="18"/>
        <v>1134.6113333333342</v>
      </c>
      <c r="S42" s="82">
        <f t="shared" si="18"/>
        <v>1228.6180000000008</v>
      </c>
      <c r="T42" s="82">
        <f t="shared" si="18"/>
        <v>1322.6246666666675</v>
      </c>
      <c r="U42" s="82">
        <f t="shared" si="18"/>
        <v>1416.6313333333342</v>
      </c>
      <c r="V42" s="82">
        <f t="shared" si="18"/>
        <v>1510.6380000000008</v>
      </c>
      <c r="W42" s="82">
        <f t="shared" si="18"/>
        <v>1604.6446666666675</v>
      </c>
      <c r="X42" s="82">
        <f t="shared" si="18"/>
        <v>1698.6513333333342</v>
      </c>
      <c r="Z42" s="66"/>
    </row>
    <row r="43" spans="1:26" ht="14.25">
      <c r="A43" s="48" t="s">
        <v>105</v>
      </c>
      <c r="B43" s="66">
        <f>B38/Inputs!B28/2</f>
        <v>0</v>
      </c>
      <c r="C43" s="66">
        <f>C37/Inputs!$B$28</f>
        <v>0</v>
      </c>
      <c r="D43" s="66">
        <f>D37/Inputs!$B$28</f>
        <v>100.53800000000047</v>
      </c>
      <c r="E43" s="66">
        <f>E37/Inputs!$B$28</f>
        <v>1128.0800000000006</v>
      </c>
      <c r="G43" s="48" t="s">
        <v>134</v>
      </c>
      <c r="H43" s="153">
        <f>SUM(M43:X43)</f>
        <v>1128.0800000000004</v>
      </c>
      <c r="I43" s="66">
        <f>I37/Inputs!$B$26/12</f>
        <v>31.335555555555572</v>
      </c>
      <c r="J43" s="66">
        <f>J37/Inputs!$B$26</f>
        <v>376.02666666666687</v>
      </c>
      <c r="K43" s="66">
        <f>K37/Inputs!$B$26</f>
        <v>376.02666666666687</v>
      </c>
      <c r="L43" s="66">
        <f>L37/Inputs!$B$26</f>
        <v>376.02666666666687</v>
      </c>
      <c r="M43" s="66">
        <f>M37/Inputs!$B$28/12</f>
        <v>94.00666666666672</v>
      </c>
      <c r="N43" s="66">
        <f>N37/Inputs!$B$28/12</f>
        <v>94.00666666666672</v>
      </c>
      <c r="O43" s="66">
        <f>O37/Inputs!$B$28/12</f>
        <v>94.00666666666672</v>
      </c>
      <c r="P43" s="66">
        <f>P37/Inputs!$B$28/12</f>
        <v>94.00666666666672</v>
      </c>
      <c r="Q43" s="66">
        <f>Q37/Inputs!$B$28/12</f>
        <v>94.00666666666672</v>
      </c>
      <c r="R43" s="66">
        <f>R37/Inputs!$B$28/12</f>
        <v>94.00666666666672</v>
      </c>
      <c r="S43" s="66">
        <f>S37/Inputs!$B$28/12</f>
        <v>94.00666666666672</v>
      </c>
      <c r="T43" s="66">
        <f>T37/Inputs!$B$28/12</f>
        <v>94.00666666666672</v>
      </c>
      <c r="U43" s="66">
        <f>U37/Inputs!$B$28/12</f>
        <v>94.00666666666672</v>
      </c>
      <c r="V43" s="66">
        <f>V37/Inputs!$B$28/12</f>
        <v>94.00666666666672</v>
      </c>
      <c r="W43" s="66">
        <f>W37/Inputs!$B$28/12</f>
        <v>94.00666666666672</v>
      </c>
      <c r="X43" s="66">
        <f>X37/Inputs!$B$28/12</f>
        <v>94.00666666666672</v>
      </c>
      <c r="Z43" s="66"/>
    </row>
    <row r="44" spans="1:26" ht="14.25">
      <c r="A44" s="48" t="s">
        <v>106</v>
      </c>
      <c r="B44" s="55"/>
      <c r="C44" s="55">
        <f>C39/Inputs!$B$28/2</f>
        <v>50.26900000000023</v>
      </c>
      <c r="D44" s="55">
        <f>D39/Inputs!$B$28/2</f>
        <v>513.7710000000001</v>
      </c>
      <c r="E44" s="55">
        <f>E39/Inputs!$B$28/2</f>
        <v>0</v>
      </c>
      <c r="G44" s="48" t="s">
        <v>135</v>
      </c>
      <c r="H44" s="153">
        <f>SUM(M44:X44)</f>
        <v>0</v>
      </c>
      <c r="I44" s="55">
        <f>I39/Inputs!$B$26/2</f>
        <v>0</v>
      </c>
      <c r="J44" s="55">
        <f>J39/Inputs!$B$26/2</f>
        <v>0</v>
      </c>
      <c r="K44" s="55">
        <f>K39/Inputs!$B$26/2</f>
        <v>0</v>
      </c>
      <c r="L44" s="55">
        <f>L39/Inputs!$B$26/2</f>
        <v>0</v>
      </c>
      <c r="M44" s="55">
        <f>M39/Inputs!$B$28/2/12</f>
        <v>0</v>
      </c>
      <c r="N44" s="55">
        <f>N39/Inputs!$B$28/2/12*N36+N38/Inputs!$B$28/2/12</f>
        <v>0</v>
      </c>
      <c r="O44" s="55">
        <f>O39/Inputs!$B$28/2/12*O36+O38/Inputs!$B$28/2/12</f>
        <v>0</v>
      </c>
      <c r="P44" s="55">
        <f>P39/Inputs!$B$28/2/12*P36+P38/Inputs!$B$28/2/12</f>
        <v>0</v>
      </c>
      <c r="Q44" s="55">
        <f>Q39/Inputs!$B$28/2/12*Q36+Q38/Inputs!$B$28/2/12</f>
        <v>0</v>
      </c>
      <c r="R44" s="55">
        <f>R39/Inputs!$B$28/2/12*R36+R38/Inputs!$B$28/2/12</f>
        <v>0</v>
      </c>
      <c r="S44" s="55">
        <f>S39/Inputs!$B$28/2/12*S36+S38/Inputs!$B$28/2/12</f>
        <v>0</v>
      </c>
      <c r="T44" s="55">
        <f>T39/Inputs!$B$28/2/12*T36+T38/Inputs!$B$28/2/12</f>
        <v>0</v>
      </c>
      <c r="U44" s="55">
        <f>U39/Inputs!$B$28/2/12*U36+U38/Inputs!$B$28/2/12</f>
        <v>0</v>
      </c>
      <c r="V44" s="55">
        <f>V39/Inputs!$B$28/2/12*V36+V38/Inputs!$B$28/2/12</f>
        <v>0</v>
      </c>
      <c r="W44" s="55">
        <f>W39/Inputs!$B$28/2/12*W36+W38/Inputs!$B$28/2/12</f>
        <v>0</v>
      </c>
      <c r="X44" s="55">
        <f>X39/Inputs!$B$28/2/12*X36+X38/Inputs!$B$28/2/12</f>
        <v>0</v>
      </c>
      <c r="Z44" s="66"/>
    </row>
    <row r="45" spans="1:26" ht="14.25">
      <c r="A45" s="48" t="s">
        <v>49</v>
      </c>
      <c r="B45" s="87">
        <f>SUM(B42:B44)</f>
        <v>0</v>
      </c>
      <c r="C45" s="87">
        <f>SUM(C42:C44)</f>
        <v>50.26900000000023</v>
      </c>
      <c r="D45" s="87">
        <f>SUM(D42:D44)</f>
        <v>664.5780000000008</v>
      </c>
      <c r="E45" s="87">
        <f>SUM(E42:E44)</f>
        <v>1792.6580000000013</v>
      </c>
      <c r="H45" s="87">
        <f>SUM(H42:H44)</f>
        <v>1792.6580000000013</v>
      </c>
      <c r="I45" s="87">
        <f aca="true" t="shared" si="19" ref="I45:X45">SUM(I42:I44)</f>
        <v>695.9135555555563</v>
      </c>
      <c r="J45" s="87">
        <f t="shared" si="19"/>
        <v>1071.9402222222232</v>
      </c>
      <c r="K45" s="87">
        <f t="shared" si="19"/>
        <v>1447.96688888889</v>
      </c>
      <c r="L45" s="87">
        <f t="shared" si="19"/>
        <v>1823.993555555557</v>
      </c>
      <c r="M45" s="87">
        <f t="shared" si="19"/>
        <v>758.5846666666675</v>
      </c>
      <c r="N45" s="87">
        <f t="shared" si="19"/>
        <v>852.5913333333342</v>
      </c>
      <c r="O45" s="87">
        <f t="shared" si="19"/>
        <v>946.5980000000009</v>
      </c>
      <c r="P45" s="87">
        <f t="shared" si="19"/>
        <v>1040.6046666666675</v>
      </c>
      <c r="Q45" s="87">
        <f t="shared" si="19"/>
        <v>1134.6113333333342</v>
      </c>
      <c r="R45" s="87">
        <f t="shared" si="19"/>
        <v>1228.6180000000008</v>
      </c>
      <c r="S45" s="87">
        <f t="shared" si="19"/>
        <v>1322.6246666666675</v>
      </c>
      <c r="T45" s="87">
        <f t="shared" si="19"/>
        <v>1416.6313333333342</v>
      </c>
      <c r="U45" s="87">
        <f t="shared" si="19"/>
        <v>1510.6380000000008</v>
      </c>
      <c r="V45" s="87">
        <f t="shared" si="19"/>
        <v>1604.6446666666675</v>
      </c>
      <c r="W45" s="87">
        <f t="shared" si="19"/>
        <v>1698.6513333333342</v>
      </c>
      <c r="X45" s="87">
        <f t="shared" si="19"/>
        <v>1792.6580000000008</v>
      </c>
      <c r="Z45" s="66"/>
    </row>
    <row r="46" spans="2:26" ht="14.25">
      <c r="B46" s="87"/>
      <c r="C46" s="87"/>
      <c r="D46" s="87"/>
      <c r="E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Z46" s="66"/>
    </row>
    <row r="47" spans="1:26" ht="14.25">
      <c r="A47" s="48" t="s">
        <v>50</v>
      </c>
      <c r="B47" s="55">
        <f>0</f>
        <v>0</v>
      </c>
      <c r="C47" s="66">
        <f>B48</f>
        <v>0</v>
      </c>
      <c r="D47" s="66">
        <f>C48</f>
        <v>452.4210000000021</v>
      </c>
      <c r="E47" s="66">
        <f>D48</f>
        <v>4975.822000000003</v>
      </c>
      <c r="H47" s="66">
        <f>M47</f>
        <v>4975.822000000003</v>
      </c>
      <c r="I47" s="66">
        <f>D48</f>
        <v>4975.822000000003</v>
      </c>
      <c r="J47" s="66">
        <f>I48</f>
        <v>4944.4864444444465</v>
      </c>
      <c r="K47" s="66">
        <f>J48</f>
        <v>4568.45977777778</v>
      </c>
      <c r="L47" s="66">
        <f>K48</f>
        <v>4192.433111111113</v>
      </c>
      <c r="M47" s="66">
        <f>$D$48</f>
        <v>4975.822000000003</v>
      </c>
      <c r="N47" s="66">
        <f>M47</f>
        <v>4975.822000000003</v>
      </c>
      <c r="O47" s="66">
        <f aca="true" t="shared" si="20" ref="O47:X47">N47</f>
        <v>4975.822000000003</v>
      </c>
      <c r="P47" s="66">
        <f t="shared" si="20"/>
        <v>4975.822000000003</v>
      </c>
      <c r="Q47" s="66">
        <f t="shared" si="20"/>
        <v>4975.822000000003</v>
      </c>
      <c r="R47" s="66">
        <f t="shared" si="20"/>
        <v>4975.822000000003</v>
      </c>
      <c r="S47" s="66">
        <f t="shared" si="20"/>
        <v>4975.822000000003</v>
      </c>
      <c r="T47" s="66">
        <f t="shared" si="20"/>
        <v>4975.822000000003</v>
      </c>
      <c r="U47" s="66">
        <f t="shared" si="20"/>
        <v>4975.822000000003</v>
      </c>
      <c r="V47" s="66">
        <f t="shared" si="20"/>
        <v>4975.822000000003</v>
      </c>
      <c r="W47" s="66">
        <f t="shared" si="20"/>
        <v>4975.822000000003</v>
      </c>
      <c r="X47" s="66">
        <f t="shared" si="20"/>
        <v>4975.822000000003</v>
      </c>
      <c r="Z47" s="66"/>
    </row>
    <row r="48" spans="1:26" ht="14.25">
      <c r="A48" s="48" t="s">
        <v>51</v>
      </c>
      <c r="B48" s="82">
        <f>B40-B45</f>
        <v>0</v>
      </c>
      <c r="C48" s="82">
        <f>C40-C45</f>
        <v>452.4210000000021</v>
      </c>
      <c r="D48" s="82">
        <f>D40-D45</f>
        <v>4975.822000000003</v>
      </c>
      <c r="E48" s="82">
        <f>E40-E45</f>
        <v>3847.742000000002</v>
      </c>
      <c r="F48" s="57"/>
      <c r="H48" s="82">
        <f aca="true" t="shared" si="21" ref="H48:X48">H40-H45</f>
        <v>3847.742000000002</v>
      </c>
      <c r="I48" s="82">
        <f t="shared" si="21"/>
        <v>4944.4864444444465</v>
      </c>
      <c r="J48" s="82">
        <f t="shared" si="21"/>
        <v>4568.45977777778</v>
      </c>
      <c r="K48" s="82">
        <f t="shared" si="21"/>
        <v>4192.433111111113</v>
      </c>
      <c r="L48" s="82">
        <f t="shared" si="21"/>
        <v>3816.4064444444466</v>
      </c>
      <c r="M48" s="82">
        <f t="shared" si="21"/>
        <v>4881.815333333336</v>
      </c>
      <c r="N48" s="82">
        <f t="shared" si="21"/>
        <v>4787.8086666666695</v>
      </c>
      <c r="O48" s="82">
        <f t="shared" si="21"/>
        <v>4693.802000000002</v>
      </c>
      <c r="P48" s="82">
        <f t="shared" si="21"/>
        <v>4599.795333333335</v>
      </c>
      <c r="Q48" s="82">
        <f t="shared" si="21"/>
        <v>4505.788666666669</v>
      </c>
      <c r="R48" s="82">
        <f t="shared" si="21"/>
        <v>4411.782000000003</v>
      </c>
      <c r="S48" s="82">
        <f t="shared" si="21"/>
        <v>4317.775333333336</v>
      </c>
      <c r="T48" s="82">
        <f t="shared" si="21"/>
        <v>4223.768666666669</v>
      </c>
      <c r="U48" s="82">
        <f t="shared" si="21"/>
        <v>4129.762000000002</v>
      </c>
      <c r="V48" s="82">
        <f t="shared" si="21"/>
        <v>4035.755333333336</v>
      </c>
      <c r="W48" s="82">
        <f t="shared" si="21"/>
        <v>3941.748666666669</v>
      </c>
      <c r="X48" s="82">
        <f t="shared" si="21"/>
        <v>3847.7420000000025</v>
      </c>
      <c r="Z48" s="66"/>
    </row>
    <row r="49" spans="1:26" ht="15" thickBot="1">
      <c r="A49" s="48" t="s">
        <v>52</v>
      </c>
      <c r="B49" s="45">
        <f>(B48+B47)/2</f>
        <v>0</v>
      </c>
      <c r="C49" s="45">
        <f>(C48+C47)/2</f>
        <v>226.21050000000105</v>
      </c>
      <c r="D49" s="45">
        <f>(D48+D47)/2</f>
        <v>2714.1215000000025</v>
      </c>
      <c r="E49" s="45">
        <f>(E48+E47)/2</f>
        <v>4411.782000000003</v>
      </c>
      <c r="F49" s="57"/>
      <c r="H49" s="45">
        <f>(H48+H47)/2</f>
        <v>4411.782000000003</v>
      </c>
      <c r="I49" s="45">
        <f aca="true" t="shared" si="22" ref="I49:X49">(I48+I47)/2</f>
        <v>4960.154222222225</v>
      </c>
      <c r="J49" s="45">
        <f t="shared" si="22"/>
        <v>4756.473111111113</v>
      </c>
      <c r="K49" s="45">
        <f t="shared" si="22"/>
        <v>4380.446444444447</v>
      </c>
      <c r="L49" s="45">
        <f t="shared" si="22"/>
        <v>4004.41977777778</v>
      </c>
      <c r="M49" s="45">
        <f t="shared" si="22"/>
        <v>4928.81866666667</v>
      </c>
      <c r="N49" s="45">
        <f t="shared" si="22"/>
        <v>4881.815333333336</v>
      </c>
      <c r="O49" s="45">
        <f t="shared" si="22"/>
        <v>4834.812000000003</v>
      </c>
      <c r="P49" s="45">
        <f t="shared" si="22"/>
        <v>4787.8086666666695</v>
      </c>
      <c r="Q49" s="45">
        <f t="shared" si="22"/>
        <v>4740.8053333333355</v>
      </c>
      <c r="R49" s="45">
        <f t="shared" si="22"/>
        <v>4693.802000000003</v>
      </c>
      <c r="S49" s="45">
        <f t="shared" si="22"/>
        <v>4646.798666666669</v>
      </c>
      <c r="T49" s="45">
        <f t="shared" si="22"/>
        <v>4599.795333333335</v>
      </c>
      <c r="U49" s="45">
        <f t="shared" si="22"/>
        <v>4552.792000000003</v>
      </c>
      <c r="V49" s="45">
        <f t="shared" si="22"/>
        <v>4505.788666666669</v>
      </c>
      <c r="W49" s="45">
        <f t="shared" si="22"/>
        <v>4458.785333333336</v>
      </c>
      <c r="X49" s="45">
        <f t="shared" si="22"/>
        <v>4411.782000000003</v>
      </c>
      <c r="Z49" s="66"/>
    </row>
    <row r="50" ht="14.25">
      <c r="Z50" s="66"/>
    </row>
    <row r="51" spans="1:26" ht="15">
      <c r="A51" s="47" t="s">
        <v>54</v>
      </c>
      <c r="B51" s="60">
        <f>B3</f>
        <v>39082</v>
      </c>
      <c r="C51" s="60">
        <f>C3</f>
        <v>39447</v>
      </c>
      <c r="D51" s="60">
        <f>D3</f>
        <v>39813</v>
      </c>
      <c r="E51" s="60">
        <f>E3</f>
        <v>40178</v>
      </c>
      <c r="Z51" s="66"/>
    </row>
    <row r="52" spans="13:26" ht="14.25">
      <c r="M52" s="52">
        <f aca="true" t="shared" si="23" ref="M52:X52">M2</f>
        <v>1</v>
      </c>
      <c r="N52" s="52">
        <f t="shared" si="23"/>
        <v>2</v>
      </c>
      <c r="O52" s="52">
        <f t="shared" si="23"/>
        <v>3</v>
      </c>
      <c r="P52" s="52">
        <f t="shared" si="23"/>
        <v>4</v>
      </c>
      <c r="Q52" s="52">
        <f t="shared" si="23"/>
        <v>5</v>
      </c>
      <c r="R52" s="52">
        <f t="shared" si="23"/>
        <v>6</v>
      </c>
      <c r="S52" s="52">
        <f t="shared" si="23"/>
        <v>7</v>
      </c>
      <c r="T52" s="52">
        <f t="shared" si="23"/>
        <v>8</v>
      </c>
      <c r="U52" s="52">
        <f t="shared" si="23"/>
        <v>9</v>
      </c>
      <c r="V52" s="52">
        <f t="shared" si="23"/>
        <v>10</v>
      </c>
      <c r="W52" s="52">
        <f t="shared" si="23"/>
        <v>11</v>
      </c>
      <c r="X52" s="52">
        <f t="shared" si="23"/>
        <v>12</v>
      </c>
      <c r="Z52" s="66"/>
    </row>
    <row r="53" spans="1:26" ht="14.25">
      <c r="A53" s="48" t="s">
        <v>46</v>
      </c>
      <c r="B53" s="87">
        <v>0</v>
      </c>
      <c r="C53" s="87">
        <f>B56</f>
        <v>0</v>
      </c>
      <c r="D53" s="87">
        <f>C56</f>
        <v>287880.1</v>
      </c>
      <c r="E53" s="87">
        <f>D56</f>
        <v>1268909.06</v>
      </c>
      <c r="G53" s="48" t="s">
        <v>132</v>
      </c>
      <c r="H53" s="66">
        <f>M53</f>
        <v>1268909.06</v>
      </c>
      <c r="I53" s="66">
        <f>O53</f>
        <v>1268909.06</v>
      </c>
      <c r="J53" s="66">
        <f>R53</f>
        <v>1268909.06</v>
      </c>
      <c r="K53" s="66">
        <f>U53</f>
        <v>1268909.06</v>
      </c>
      <c r="L53" s="66">
        <f>X53</f>
        <v>1268909.06</v>
      </c>
      <c r="M53" s="66">
        <f>D56</f>
        <v>1268909.06</v>
      </c>
      <c r="N53" s="66">
        <f>M53</f>
        <v>1268909.06</v>
      </c>
      <c r="O53" s="66">
        <f aca="true" t="shared" si="24" ref="O53:X53">N53</f>
        <v>1268909.06</v>
      </c>
      <c r="P53" s="66">
        <f t="shared" si="24"/>
        <v>1268909.06</v>
      </c>
      <c r="Q53" s="66">
        <f t="shared" si="24"/>
        <v>1268909.06</v>
      </c>
      <c r="R53" s="66">
        <f t="shared" si="24"/>
        <v>1268909.06</v>
      </c>
      <c r="S53" s="66">
        <f t="shared" si="24"/>
        <v>1268909.06</v>
      </c>
      <c r="T53" s="66">
        <f t="shared" si="24"/>
        <v>1268909.06</v>
      </c>
      <c r="U53" s="66">
        <f t="shared" si="24"/>
        <v>1268909.06</v>
      </c>
      <c r="V53" s="66">
        <f t="shared" si="24"/>
        <v>1268909.06</v>
      </c>
      <c r="W53" s="66">
        <f t="shared" si="24"/>
        <v>1268909.06</v>
      </c>
      <c r="X53" s="66">
        <f t="shared" si="24"/>
        <v>1268909.06</v>
      </c>
      <c r="Z53" s="66"/>
    </row>
    <row r="54" spans="1:26" ht="14.25">
      <c r="A54" s="48" t="s">
        <v>81</v>
      </c>
      <c r="B54" s="71">
        <f>Inputs!B22</f>
        <v>0</v>
      </c>
      <c r="C54" s="55"/>
      <c r="D54" s="55"/>
      <c r="E54" s="55"/>
      <c r="G54" s="48" t="s">
        <v>179</v>
      </c>
      <c r="N54" s="153">
        <f>M55</f>
        <v>0</v>
      </c>
      <c r="O54" s="153">
        <f>SUM($M55:N55)</f>
        <v>7324.84</v>
      </c>
      <c r="P54" s="153">
        <f>SUM($M55:O55)</f>
        <v>7324.84</v>
      </c>
      <c r="Q54" s="153">
        <f>SUM($M55:P55)</f>
        <v>14173.810000000001</v>
      </c>
      <c r="R54" s="153">
        <f>SUM($M55:Q55)</f>
        <v>32922.75</v>
      </c>
      <c r="S54" s="153">
        <f>SUM($M55:R55)</f>
        <v>44747.99</v>
      </c>
      <c r="T54" s="153">
        <f>SUM($M55:S55)</f>
        <v>64633.3</v>
      </c>
      <c r="U54" s="153">
        <f>SUM($M55:T55)</f>
        <v>78721.38</v>
      </c>
      <c r="V54" s="153">
        <f>SUM($M55:U55)</f>
        <v>84620.81</v>
      </c>
      <c r="W54" s="153">
        <f>SUM($M55:V55)</f>
        <v>88804.7</v>
      </c>
      <c r="X54" s="153">
        <f>SUM($M55:W55)</f>
        <v>100548.61</v>
      </c>
      <c r="Z54" s="66"/>
    </row>
    <row r="55" spans="1:26" ht="14.25">
      <c r="A55" s="48" t="s">
        <v>82</v>
      </c>
      <c r="B55" s="55"/>
      <c r="C55" s="55">
        <v>287880.1</v>
      </c>
      <c r="D55" s="55">
        <v>981028.96</v>
      </c>
      <c r="E55" s="55">
        <f>+Inputs!K22</f>
        <v>113461.86</v>
      </c>
      <c r="G55" s="153" t="s">
        <v>136</v>
      </c>
      <c r="H55" s="153">
        <f>SUM(M55:X55)</f>
        <v>113461.86</v>
      </c>
      <c r="I55" s="153">
        <f>SUM(M55:O55)</f>
        <v>7324.84</v>
      </c>
      <c r="J55" s="153">
        <f>SUM(P55:R55)</f>
        <v>37423.15</v>
      </c>
      <c r="K55" s="153">
        <f>SUM(S55:U55)</f>
        <v>39872.82</v>
      </c>
      <c r="L55" s="153">
        <f>SUM(V55:X55)</f>
        <v>28841.05</v>
      </c>
      <c r="M55" s="155">
        <v>0</v>
      </c>
      <c r="N55" s="155">
        <v>7324.84</v>
      </c>
      <c r="O55" s="155">
        <v>0</v>
      </c>
      <c r="P55" s="155">
        <v>6848.97</v>
      </c>
      <c r="Q55" s="155">
        <v>18748.94</v>
      </c>
      <c r="R55" s="155">
        <v>11825.24</v>
      </c>
      <c r="S55" s="155">
        <v>19885.31</v>
      </c>
      <c r="T55" s="155">
        <v>14088.08</v>
      </c>
      <c r="U55" s="155">
        <v>5899.43</v>
      </c>
      <c r="V55" s="155">
        <v>4183.89</v>
      </c>
      <c r="W55" s="155">
        <v>11743.91</v>
      </c>
      <c r="X55" s="155">
        <v>12913.25</v>
      </c>
      <c r="Z55" s="66"/>
    </row>
    <row r="56" spans="1:26" ht="14.25">
      <c r="A56" s="48" t="s">
        <v>47</v>
      </c>
      <c r="B56" s="82">
        <f>SUM(B53:B55)</f>
        <v>0</v>
      </c>
      <c r="C56" s="82">
        <f>SUM(C53:C55)</f>
        <v>287880.1</v>
      </c>
      <c r="D56" s="82">
        <f>SUM(D53:D55)</f>
        <v>1268909.06</v>
      </c>
      <c r="E56" s="82">
        <f>SUM(E53:E55)</f>
        <v>1382370.9200000002</v>
      </c>
      <c r="G56" s="48" t="s">
        <v>133</v>
      </c>
      <c r="H56" s="82">
        <f aca="true" t="shared" si="25" ref="H56:X56">SUM(H53:H55)</f>
        <v>1382370.9200000002</v>
      </c>
      <c r="I56" s="82">
        <f t="shared" si="25"/>
        <v>1276233.9000000001</v>
      </c>
      <c r="J56" s="82">
        <f t="shared" si="25"/>
        <v>1306332.21</v>
      </c>
      <c r="K56" s="82">
        <f t="shared" si="25"/>
        <v>1308781.8800000001</v>
      </c>
      <c r="L56" s="82">
        <f t="shared" si="25"/>
        <v>1297750.11</v>
      </c>
      <c r="M56" s="82">
        <f t="shared" si="25"/>
        <v>1268909.06</v>
      </c>
      <c r="N56" s="82">
        <f t="shared" si="25"/>
        <v>1276233.9000000001</v>
      </c>
      <c r="O56" s="82">
        <f t="shared" si="25"/>
        <v>1276233.9000000001</v>
      </c>
      <c r="P56" s="82">
        <f t="shared" si="25"/>
        <v>1283082.87</v>
      </c>
      <c r="Q56" s="82">
        <f t="shared" si="25"/>
        <v>1301831.81</v>
      </c>
      <c r="R56" s="82">
        <f t="shared" si="25"/>
        <v>1313657.05</v>
      </c>
      <c r="S56" s="82">
        <f t="shared" si="25"/>
        <v>1333542.36</v>
      </c>
      <c r="T56" s="82">
        <f t="shared" si="25"/>
        <v>1347630.4400000002</v>
      </c>
      <c r="U56" s="82">
        <f t="shared" si="25"/>
        <v>1353529.8699999999</v>
      </c>
      <c r="V56" s="82">
        <f t="shared" si="25"/>
        <v>1357713.76</v>
      </c>
      <c r="W56" s="82">
        <f t="shared" si="25"/>
        <v>1369457.67</v>
      </c>
      <c r="X56" s="82">
        <f t="shared" si="25"/>
        <v>1382370.9200000002</v>
      </c>
      <c r="Z56" s="66"/>
    </row>
    <row r="57" spans="2:26" ht="14.25">
      <c r="B57" s="81"/>
      <c r="C57" s="81"/>
      <c r="D57" s="81"/>
      <c r="E57" s="81"/>
      <c r="Z57" s="66"/>
    </row>
    <row r="58" spans="1:26" ht="14.25">
      <c r="A58" s="48" t="s">
        <v>48</v>
      </c>
      <c r="B58" s="82">
        <v>0</v>
      </c>
      <c r="C58" s="82">
        <f>B61</f>
        <v>0</v>
      </c>
      <c r="D58" s="82">
        <f>C61</f>
        <v>28788.01</v>
      </c>
      <c r="E58" s="82">
        <f>D61</f>
        <v>184466.92599999998</v>
      </c>
      <c r="H58" s="82">
        <f>E58</f>
        <v>184466.92599999998</v>
      </c>
      <c r="I58" s="82">
        <f>D61</f>
        <v>184466.92599999998</v>
      </c>
      <c r="J58" s="82">
        <f>I61</f>
        <v>191760.58211111109</v>
      </c>
      <c r="K58" s="82">
        <f>J61</f>
        <v>277601.9577777778</v>
      </c>
      <c r="L58" s="82">
        <f>K61</f>
        <v>363524.9891111111</v>
      </c>
      <c r="M58" s="82">
        <f>D61</f>
        <v>184466.92599999998</v>
      </c>
      <c r="N58" s="82">
        <f>M61</f>
        <v>205615.4103333333</v>
      </c>
      <c r="O58" s="82">
        <f aca="true" t="shared" si="26" ref="O58:X58">N61</f>
        <v>226885.9753333333</v>
      </c>
      <c r="P58" s="82">
        <f t="shared" si="26"/>
        <v>248095.49999999997</v>
      </c>
      <c r="Q58" s="82">
        <f t="shared" si="26"/>
        <v>269533.32366666663</v>
      </c>
      <c r="R58" s="82">
        <f t="shared" si="26"/>
        <v>291581.1289166666</v>
      </c>
      <c r="S58" s="82">
        <f t="shared" si="26"/>
        <v>313595.23149999994</v>
      </c>
      <c r="T58" s="82">
        <f t="shared" si="26"/>
        <v>336276.5921666666</v>
      </c>
      <c r="U58" s="82">
        <f t="shared" si="26"/>
        <v>358902.8926666666</v>
      </c>
      <c r="V58" s="82">
        <f t="shared" si="26"/>
        <v>381149.8457499999</v>
      </c>
      <c r="W58" s="82">
        <f t="shared" si="26"/>
        <v>403352.1609999999</v>
      </c>
      <c r="X58" s="82">
        <f t="shared" si="26"/>
        <v>426317.2095833332</v>
      </c>
      <c r="Z58" s="66"/>
    </row>
    <row r="59" spans="1:26" ht="14.25">
      <c r="A59" s="48" t="s">
        <v>105</v>
      </c>
      <c r="B59" s="66">
        <f>B54/Inputs!B29/2</f>
        <v>0</v>
      </c>
      <c r="C59" s="66">
        <f>C53/Inputs!$B$29</f>
        <v>0</v>
      </c>
      <c r="D59" s="66">
        <f>D53/Inputs!$B$29</f>
        <v>57576.02</v>
      </c>
      <c r="E59" s="66">
        <f>E53/Inputs!$B$29</f>
        <v>253781.812</v>
      </c>
      <c r="G59" s="48" t="s">
        <v>134</v>
      </c>
      <c r="H59" s="153">
        <f>SUM(M59:X59)</f>
        <v>253781.81199999995</v>
      </c>
      <c r="I59" s="66">
        <f>I53/Inputs!$B$26/12</f>
        <v>7049.494777777778</v>
      </c>
      <c r="J59" s="66">
        <f>J53/Inputs!$B$26</f>
        <v>84593.93733333334</v>
      </c>
      <c r="K59" s="66">
        <f>K53/Inputs!$B$26</f>
        <v>84593.93733333334</v>
      </c>
      <c r="L59" s="66">
        <f>L53/Inputs!$B$26</f>
        <v>84593.93733333334</v>
      </c>
      <c r="M59" s="66">
        <f>M53/Inputs!$B$29/12</f>
        <v>21148.484333333334</v>
      </c>
      <c r="N59" s="66">
        <f>N53/Inputs!$B$29/12</f>
        <v>21148.484333333334</v>
      </c>
      <c r="O59" s="66">
        <f>O53/Inputs!$B$29/12</f>
        <v>21148.484333333334</v>
      </c>
      <c r="P59" s="66">
        <f>P53/Inputs!$B$29/12</f>
        <v>21148.484333333334</v>
      </c>
      <c r="Q59" s="66">
        <f>Q53/Inputs!$B$29/12</f>
        <v>21148.484333333334</v>
      </c>
      <c r="R59" s="66">
        <f>R53/Inputs!$B$29/12</f>
        <v>21148.484333333334</v>
      </c>
      <c r="S59" s="66">
        <f>S53/Inputs!$B$29/12</f>
        <v>21148.484333333334</v>
      </c>
      <c r="T59" s="66">
        <f>T53/Inputs!$B$29/12</f>
        <v>21148.484333333334</v>
      </c>
      <c r="U59" s="66">
        <f>U53/Inputs!$B$29/12</f>
        <v>21148.484333333334</v>
      </c>
      <c r="V59" s="66">
        <f>V53/Inputs!$B$29/12</f>
        <v>21148.484333333334</v>
      </c>
      <c r="W59" s="66">
        <f>W53/Inputs!$B$29/12</f>
        <v>21148.484333333334</v>
      </c>
      <c r="X59" s="66">
        <f>X53/Inputs!$B$29/12</f>
        <v>21148.484333333334</v>
      </c>
      <c r="Z59" s="66"/>
    </row>
    <row r="60" spans="1:26" ht="14.25">
      <c r="A60" s="48" t="s">
        <v>106</v>
      </c>
      <c r="B60" s="55"/>
      <c r="C60" s="55">
        <f>C55/Inputs!$B$29/2</f>
        <v>28788.01</v>
      </c>
      <c r="D60" s="55">
        <f>D55/Inputs!$B$29/2</f>
        <v>98102.896</v>
      </c>
      <c r="E60" s="55">
        <f>E55/Inputs!$B$29/2</f>
        <v>11346.186</v>
      </c>
      <c r="F60" s="66"/>
      <c r="G60" s="48" t="s">
        <v>135</v>
      </c>
      <c r="H60" s="153">
        <f>SUM(M60:X60)</f>
        <v>11346.186000000002</v>
      </c>
      <c r="I60" s="55">
        <f>I55/Inputs!$B$26/2</f>
        <v>244.16133333333335</v>
      </c>
      <c r="J60" s="55">
        <f>J55/Inputs!$B$26/2</f>
        <v>1247.4383333333333</v>
      </c>
      <c r="K60" s="55">
        <f>K55/Inputs!$B$26/2</f>
        <v>1329.094</v>
      </c>
      <c r="L60" s="55">
        <f>L55/Inputs!$B$26/2</f>
        <v>961.3683333333333</v>
      </c>
      <c r="M60" s="55">
        <f>M55/Inputs!$B$29/2/12</f>
        <v>0</v>
      </c>
      <c r="N60" s="55">
        <f>N55/Inputs!$B$29/2/12*N52+N54/Inputs!$B$29/2/12</f>
        <v>122.08066666666667</v>
      </c>
      <c r="O60" s="55">
        <f>O55/Inputs!$B$29/2/12*O52+O54/Inputs!$B$29/2/12</f>
        <v>61.040333333333336</v>
      </c>
      <c r="P60" s="55">
        <f>P55/Inputs!$B$29/2/12*P52+P54/Inputs!$B$29/2/12</f>
        <v>289.33933333333334</v>
      </c>
      <c r="Q60" s="55">
        <f>Q55/Inputs!$B$29/2/12*Q52+Q54/Inputs!$B$29/2/12</f>
        <v>899.3209166666667</v>
      </c>
      <c r="R60" s="55">
        <f>R55/Inputs!$B$29/2/12*R52+R54/Inputs!$B$29/2/12</f>
        <v>865.61825</v>
      </c>
      <c r="S60" s="55">
        <f>S55/Inputs!$B$29/2/12*S52+S54/Inputs!$B$29/2/12</f>
        <v>1532.8763333333336</v>
      </c>
      <c r="T60" s="55">
        <f>T55/Inputs!$B$29/2/12*T52+T54/Inputs!$B$29/2/12</f>
        <v>1477.8161666666665</v>
      </c>
      <c r="U60" s="55">
        <f>U55/Inputs!$B$29/2/12*U52+U54/Inputs!$B$29/2/12</f>
        <v>1098.46875</v>
      </c>
      <c r="V60" s="55">
        <f>V55/Inputs!$B$29/2/12*V52+V54/Inputs!$B$29/2/12</f>
        <v>1053.8309166666666</v>
      </c>
      <c r="W60" s="55">
        <f>W55/Inputs!$B$29/2/12*W52+W54/Inputs!$B$29/2/12</f>
        <v>1816.56425</v>
      </c>
      <c r="X60" s="55">
        <f>X55/Inputs!$B$29/2/12*X52+X54/Inputs!$B$29/2/12</f>
        <v>2129.2300833333334</v>
      </c>
      <c r="Z60" s="66"/>
    </row>
    <row r="61" spans="1:26" ht="14.25">
      <c r="A61" s="48" t="s">
        <v>49</v>
      </c>
      <c r="B61" s="87">
        <f>SUM(B58:B60)</f>
        <v>0</v>
      </c>
      <c r="C61" s="87">
        <f>SUM(C58:C60)</f>
        <v>28788.01</v>
      </c>
      <c r="D61" s="87">
        <f>SUM(D58:D60)</f>
        <v>184466.92599999998</v>
      </c>
      <c r="E61" s="87">
        <f>SUM(E58:E60)</f>
        <v>449594.924</v>
      </c>
      <c r="H61" s="87">
        <f>SUM(H58:H60)</f>
        <v>449594.9239999999</v>
      </c>
      <c r="I61" s="87">
        <f aca="true" t="shared" si="27" ref="I61:X61">SUM(I58:I60)</f>
        <v>191760.58211111109</v>
      </c>
      <c r="J61" s="87">
        <f t="shared" si="27"/>
        <v>277601.9577777778</v>
      </c>
      <c r="K61" s="87">
        <f t="shared" si="27"/>
        <v>363524.9891111111</v>
      </c>
      <c r="L61" s="87">
        <f t="shared" si="27"/>
        <v>449080.2947777778</v>
      </c>
      <c r="M61" s="87">
        <f t="shared" si="27"/>
        <v>205615.4103333333</v>
      </c>
      <c r="N61" s="87">
        <f t="shared" si="27"/>
        <v>226885.9753333333</v>
      </c>
      <c r="O61" s="87">
        <f t="shared" si="27"/>
        <v>248095.49999999997</v>
      </c>
      <c r="P61" s="87">
        <f t="shared" si="27"/>
        <v>269533.32366666663</v>
      </c>
      <c r="Q61" s="87">
        <f t="shared" si="27"/>
        <v>291581.1289166666</v>
      </c>
      <c r="R61" s="87">
        <f t="shared" si="27"/>
        <v>313595.23149999994</v>
      </c>
      <c r="S61" s="87">
        <f t="shared" si="27"/>
        <v>336276.5921666666</v>
      </c>
      <c r="T61" s="87">
        <f t="shared" si="27"/>
        <v>358902.8926666666</v>
      </c>
      <c r="U61" s="87">
        <f t="shared" si="27"/>
        <v>381149.8457499999</v>
      </c>
      <c r="V61" s="87">
        <f t="shared" si="27"/>
        <v>403352.1609999999</v>
      </c>
      <c r="W61" s="87">
        <f t="shared" si="27"/>
        <v>426317.2095833332</v>
      </c>
      <c r="X61" s="87">
        <f t="shared" si="27"/>
        <v>449594.9239999999</v>
      </c>
      <c r="Z61" s="66"/>
    </row>
    <row r="62" spans="2:26" ht="14.25">
      <c r="B62" s="87"/>
      <c r="C62" s="87"/>
      <c r="D62" s="87"/>
      <c r="E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Z62" s="66"/>
    </row>
    <row r="63" spans="1:26" ht="14.25">
      <c r="A63" s="48" t="s">
        <v>50</v>
      </c>
      <c r="B63" s="55">
        <f>0</f>
        <v>0</v>
      </c>
      <c r="C63" s="66">
        <f>B64</f>
        <v>0</v>
      </c>
      <c r="D63" s="66">
        <f>C64</f>
        <v>259092.08999999997</v>
      </c>
      <c r="E63" s="66">
        <f>D64</f>
        <v>1084442.134</v>
      </c>
      <c r="H63" s="66">
        <f>M63</f>
        <v>1084442.134</v>
      </c>
      <c r="I63" s="66">
        <f>D64</f>
        <v>1084442.134</v>
      </c>
      <c r="J63" s="66">
        <f>I64</f>
        <v>1084473.317888889</v>
      </c>
      <c r="K63" s="66">
        <f>J64</f>
        <v>1028730.2522222222</v>
      </c>
      <c r="L63" s="66">
        <f>K64</f>
        <v>945256.8908888891</v>
      </c>
      <c r="M63" s="66">
        <f>$D$64</f>
        <v>1084442.134</v>
      </c>
      <c r="N63" s="66">
        <f>M63</f>
        <v>1084442.134</v>
      </c>
      <c r="O63" s="66">
        <f aca="true" t="shared" si="28" ref="O63:X63">N63</f>
        <v>1084442.134</v>
      </c>
      <c r="P63" s="66">
        <f t="shared" si="28"/>
        <v>1084442.134</v>
      </c>
      <c r="Q63" s="66">
        <f t="shared" si="28"/>
        <v>1084442.134</v>
      </c>
      <c r="R63" s="66">
        <f t="shared" si="28"/>
        <v>1084442.134</v>
      </c>
      <c r="S63" s="66">
        <f t="shared" si="28"/>
        <v>1084442.134</v>
      </c>
      <c r="T63" s="66">
        <f t="shared" si="28"/>
        <v>1084442.134</v>
      </c>
      <c r="U63" s="66">
        <f t="shared" si="28"/>
        <v>1084442.134</v>
      </c>
      <c r="V63" s="66">
        <f t="shared" si="28"/>
        <v>1084442.134</v>
      </c>
      <c r="W63" s="66">
        <f t="shared" si="28"/>
        <v>1084442.134</v>
      </c>
      <c r="X63" s="66">
        <f t="shared" si="28"/>
        <v>1084442.134</v>
      </c>
      <c r="Z63" s="66"/>
    </row>
    <row r="64" spans="1:26" ht="14.25">
      <c r="A64" s="48" t="s">
        <v>51</v>
      </c>
      <c r="B64" s="82">
        <f>B56-B61</f>
        <v>0</v>
      </c>
      <c r="C64" s="82">
        <f>C56-C61</f>
        <v>259092.08999999997</v>
      </c>
      <c r="D64" s="82">
        <f>D56-D61</f>
        <v>1084442.134</v>
      </c>
      <c r="E64" s="82">
        <f>E56-E61</f>
        <v>932775.9960000002</v>
      </c>
      <c r="F64" s="57"/>
      <c r="H64" s="82">
        <f aca="true" t="shared" si="29" ref="H64:X64">H56-H61</f>
        <v>932775.9960000003</v>
      </c>
      <c r="I64" s="82">
        <f t="shared" si="29"/>
        <v>1084473.317888889</v>
      </c>
      <c r="J64" s="82">
        <f t="shared" si="29"/>
        <v>1028730.2522222222</v>
      </c>
      <c r="K64" s="82">
        <f t="shared" si="29"/>
        <v>945256.8908888891</v>
      </c>
      <c r="L64" s="82">
        <f t="shared" si="29"/>
        <v>848669.8152222224</v>
      </c>
      <c r="M64" s="82">
        <f t="shared" si="29"/>
        <v>1063293.6496666668</v>
      </c>
      <c r="N64" s="82">
        <f t="shared" si="29"/>
        <v>1049347.924666667</v>
      </c>
      <c r="O64" s="82">
        <f t="shared" si="29"/>
        <v>1028138.4000000001</v>
      </c>
      <c r="P64" s="82">
        <f t="shared" si="29"/>
        <v>1013549.5463333335</v>
      </c>
      <c r="Q64" s="82">
        <f t="shared" si="29"/>
        <v>1010250.6810833334</v>
      </c>
      <c r="R64" s="82">
        <f t="shared" si="29"/>
        <v>1000061.8185</v>
      </c>
      <c r="S64" s="82">
        <f t="shared" si="29"/>
        <v>997265.7678333335</v>
      </c>
      <c r="T64" s="82">
        <f t="shared" si="29"/>
        <v>988727.5473333336</v>
      </c>
      <c r="U64" s="82">
        <f t="shared" si="29"/>
        <v>972380.02425</v>
      </c>
      <c r="V64" s="82">
        <f t="shared" si="29"/>
        <v>954361.5990000002</v>
      </c>
      <c r="W64" s="82">
        <f t="shared" si="29"/>
        <v>943140.4604166667</v>
      </c>
      <c r="X64" s="82">
        <f t="shared" si="29"/>
        <v>932775.9960000003</v>
      </c>
      <c r="Z64" s="66"/>
    </row>
    <row r="65" spans="1:26" ht="15" thickBot="1">
      <c r="A65" s="48" t="s">
        <v>52</v>
      </c>
      <c r="B65" s="45">
        <f>(B64+B63)/2</f>
        <v>0</v>
      </c>
      <c r="C65" s="45">
        <f>(C64+C63)/2</f>
        <v>129546.04499999998</v>
      </c>
      <c r="D65" s="45">
        <f>(D64+D63)/2</f>
        <v>671767.112</v>
      </c>
      <c r="E65" s="45">
        <f>(E64+E63)/2</f>
        <v>1008609.0650000002</v>
      </c>
      <c r="F65" s="57"/>
      <c r="H65" s="45">
        <f>(H64+H63)/2</f>
        <v>1008609.0650000002</v>
      </c>
      <c r="I65" s="45">
        <f aca="true" t="shared" si="30" ref="I65:X65">(I64+I63)/2</f>
        <v>1084457.7259444445</v>
      </c>
      <c r="J65" s="45">
        <f t="shared" si="30"/>
        <v>1056601.7850555556</v>
      </c>
      <c r="K65" s="45">
        <f t="shared" si="30"/>
        <v>986993.5715555556</v>
      </c>
      <c r="L65" s="45">
        <f t="shared" si="30"/>
        <v>896963.3530555557</v>
      </c>
      <c r="M65" s="45">
        <f t="shared" si="30"/>
        <v>1073867.8918333333</v>
      </c>
      <c r="N65" s="45">
        <f t="shared" si="30"/>
        <v>1066895.0293333335</v>
      </c>
      <c r="O65" s="45">
        <f t="shared" si="30"/>
        <v>1056290.267</v>
      </c>
      <c r="P65" s="45">
        <f t="shared" si="30"/>
        <v>1048995.8401666668</v>
      </c>
      <c r="Q65" s="45">
        <f t="shared" si="30"/>
        <v>1047346.4075416668</v>
      </c>
      <c r="R65" s="45">
        <f t="shared" si="30"/>
        <v>1042251.9762500001</v>
      </c>
      <c r="S65" s="45">
        <f t="shared" si="30"/>
        <v>1040853.9509166668</v>
      </c>
      <c r="T65" s="45">
        <f t="shared" si="30"/>
        <v>1036584.8406666669</v>
      </c>
      <c r="U65" s="45">
        <f t="shared" si="30"/>
        <v>1028411.079125</v>
      </c>
      <c r="V65" s="45">
        <f t="shared" si="30"/>
        <v>1019401.8665000001</v>
      </c>
      <c r="W65" s="45">
        <f t="shared" si="30"/>
        <v>1013791.2972083334</v>
      </c>
      <c r="X65" s="45">
        <f t="shared" si="30"/>
        <v>1008609.0650000002</v>
      </c>
      <c r="Z65" s="66"/>
    </row>
    <row r="66" spans="2:6" ht="14.25">
      <c r="B66" s="81"/>
      <c r="C66" s="81"/>
      <c r="D66" s="81"/>
      <c r="E66" s="81"/>
      <c r="F66" s="57"/>
    </row>
    <row r="67" spans="1:6" ht="15">
      <c r="A67" s="47" t="s">
        <v>85</v>
      </c>
      <c r="B67" s="81"/>
      <c r="C67" s="81"/>
      <c r="D67" s="81"/>
      <c r="E67" s="81"/>
      <c r="F67" s="57"/>
    </row>
    <row r="68" spans="2:6" ht="14.25">
      <c r="B68" s="81"/>
      <c r="C68" s="81"/>
      <c r="D68" s="81"/>
      <c r="E68" s="81"/>
      <c r="F68" s="57"/>
    </row>
    <row r="69" spans="1:6" ht="14.25">
      <c r="A69" s="48" t="s">
        <v>83</v>
      </c>
      <c r="B69" s="55">
        <f>+B8+B40+B56</f>
        <v>0</v>
      </c>
      <c r="C69" s="66">
        <f>+C8+C40+C56+C24</f>
        <v>12095172.57</v>
      </c>
      <c r="D69" s="66">
        <f>+D8+D40+D56+D24</f>
        <v>26667649.319999997</v>
      </c>
      <c r="E69" s="66">
        <f>+E8+E40+E56+E24</f>
        <v>33773491.28</v>
      </c>
      <c r="F69" s="57"/>
    </row>
    <row r="70" spans="1:6" ht="14.25">
      <c r="A70" s="48" t="s">
        <v>84</v>
      </c>
      <c r="B70" s="82">
        <f>+B13+B45+B61</f>
        <v>0</v>
      </c>
      <c r="C70" s="82">
        <f>+C13+C45+C61+C29</f>
        <v>422397.93833333335</v>
      </c>
      <c r="D70" s="82">
        <f>+D13+D45+D61+D29</f>
        <v>1818687.4846666667</v>
      </c>
      <c r="E70" s="82">
        <f>+E13+E45+E61+E29</f>
        <v>4010896.2233333336</v>
      </c>
      <c r="F70" s="57"/>
    </row>
    <row r="71" spans="1:5" ht="15" thickBot="1">
      <c r="A71" s="48" t="s">
        <v>51</v>
      </c>
      <c r="B71" s="45">
        <f>+B69-B70</f>
        <v>0</v>
      </c>
      <c r="C71" s="45">
        <f>+C69-C70</f>
        <v>11672774.631666668</v>
      </c>
      <c r="D71" s="45">
        <f>+D69-D70</f>
        <v>24848961.83533333</v>
      </c>
      <c r="E71" s="45">
        <f>+E69-E70</f>
        <v>29762595.05666667</v>
      </c>
    </row>
    <row r="72" spans="2:5" ht="14.25">
      <c r="B72" s="81"/>
      <c r="C72" s="81"/>
      <c r="D72" s="81"/>
      <c r="E72" s="81"/>
    </row>
    <row r="73" spans="1:5" ht="15">
      <c r="A73" s="47" t="s">
        <v>55</v>
      </c>
      <c r="B73" s="81"/>
      <c r="C73" s="81"/>
      <c r="D73" s="81"/>
      <c r="E73" s="81"/>
    </row>
    <row r="74" spans="2:5" ht="14.25">
      <c r="B74" s="81"/>
      <c r="C74" s="81"/>
      <c r="D74" s="81"/>
      <c r="E74" s="81"/>
    </row>
    <row r="75" ht="15">
      <c r="A75" s="47" t="s">
        <v>56</v>
      </c>
    </row>
    <row r="76" spans="1:5" ht="14.25">
      <c r="A76" s="48" t="s">
        <v>57</v>
      </c>
      <c r="B76" s="60">
        <f>B3</f>
        <v>39082</v>
      </c>
      <c r="C76" s="60">
        <f>C3</f>
        <v>39447</v>
      </c>
      <c r="D76" s="60">
        <f>D3</f>
        <v>39813</v>
      </c>
      <c r="E76" s="60">
        <f>E3</f>
        <v>40178</v>
      </c>
    </row>
    <row r="77" ht="14.25"/>
    <row r="78" spans="1:6" ht="14.25">
      <c r="A78" s="48" t="s">
        <v>58</v>
      </c>
      <c r="B78" s="87">
        <v>0</v>
      </c>
      <c r="C78" s="82">
        <f>B80-B84</f>
        <v>0</v>
      </c>
      <c r="D78" s="82">
        <f>C80-C84</f>
        <v>11334518.188800002</v>
      </c>
      <c r="E78" s="82">
        <f>D80-D84</f>
        <v>23470614.410495996</v>
      </c>
      <c r="F78" s="151"/>
    </row>
    <row r="79" spans="1:6" ht="14.25">
      <c r="A79" s="48" t="s">
        <v>59</v>
      </c>
      <c r="B79" s="55">
        <f>B6</f>
        <v>0</v>
      </c>
      <c r="C79" s="55">
        <f>C7</f>
        <v>11806789.780000001</v>
      </c>
      <c r="D79" s="55">
        <f>D7</f>
        <v>13586310.079999998</v>
      </c>
      <c r="E79" s="55">
        <f>E7</f>
        <v>6992380.1000000015</v>
      </c>
      <c r="F79" s="151"/>
    </row>
    <row r="80" spans="1:5" ht="14.25">
      <c r="A80" s="48" t="s">
        <v>60</v>
      </c>
      <c r="B80" s="87">
        <f>SUM(B78:B79)</f>
        <v>0</v>
      </c>
      <c r="C80" s="87">
        <f>SUM(C78:C79)</f>
        <v>11806789.780000001</v>
      </c>
      <c r="D80" s="87">
        <f>SUM(D78:D79)</f>
        <v>24920828.268799998</v>
      </c>
      <c r="E80" s="87">
        <f>SUM(E78:E79)</f>
        <v>30462994.510495998</v>
      </c>
    </row>
    <row r="81" spans="1:6" ht="14.25">
      <c r="A81" s="48" t="s">
        <v>61</v>
      </c>
      <c r="B81" s="66">
        <f>SUM(B79:B79)/2</f>
        <v>0</v>
      </c>
      <c r="C81" s="66">
        <f>SUM(C79:C79)/2</f>
        <v>5903394.890000001</v>
      </c>
      <c r="D81" s="66">
        <f>SUM(D79:D79)/2</f>
        <v>6793155.039999999</v>
      </c>
      <c r="E81" s="66">
        <f>SUM(E79:E79)/2</f>
        <v>3496190.0500000007</v>
      </c>
      <c r="F81" s="151"/>
    </row>
    <row r="82" spans="1:5" ht="14.25">
      <c r="A82" s="48" t="s">
        <v>62</v>
      </c>
      <c r="B82" s="82">
        <f>B78+B81</f>
        <v>0</v>
      </c>
      <c r="C82" s="82">
        <f>C78+C81</f>
        <v>5903394.890000001</v>
      </c>
      <c r="D82" s="82">
        <f>D78+D81</f>
        <v>18127673.2288</v>
      </c>
      <c r="E82" s="82">
        <f>E78+E81</f>
        <v>26966804.460495997</v>
      </c>
    </row>
    <row r="83" spans="1:5" ht="14.25">
      <c r="A83" s="48" t="s">
        <v>63</v>
      </c>
      <c r="B83" s="84">
        <v>0.08</v>
      </c>
      <c r="C83" s="84">
        <v>0.08</v>
      </c>
      <c r="D83" s="84">
        <v>0.08</v>
      </c>
      <c r="E83" s="84">
        <v>0.08</v>
      </c>
    </row>
    <row r="84" spans="1:6" ht="14.25">
      <c r="A84" s="48" t="s">
        <v>64</v>
      </c>
      <c r="B84" s="87">
        <f>B82*B83</f>
        <v>0</v>
      </c>
      <c r="C84" s="87">
        <f>C82*C83</f>
        <v>472271.5912000001</v>
      </c>
      <c r="D84" s="87">
        <f>D82*D83</f>
        <v>1450213.858304</v>
      </c>
      <c r="E84" s="87">
        <f>E82*E83</f>
        <v>2157344.3568396796</v>
      </c>
      <c r="F84" s="57"/>
    </row>
    <row r="85" spans="1:5" ht="15" thickBot="1">
      <c r="A85" s="48" t="s">
        <v>65</v>
      </c>
      <c r="B85" s="45">
        <f>B80-B84</f>
        <v>0</v>
      </c>
      <c r="C85" s="45">
        <f>C80-C84</f>
        <v>11334518.188800002</v>
      </c>
      <c r="D85" s="45">
        <f>D80-D84</f>
        <v>23470614.410495996</v>
      </c>
      <c r="E85" s="45">
        <f>E80-E84</f>
        <v>28305650.15365632</v>
      </c>
    </row>
    <row r="86" ht="14.25"/>
    <row r="87" ht="15">
      <c r="A87" s="47" t="s">
        <v>89</v>
      </c>
    </row>
    <row r="88" spans="1:5" ht="14.25">
      <c r="A88" s="48" t="s">
        <v>88</v>
      </c>
      <c r="B88" s="60">
        <f>B3</f>
        <v>39082</v>
      </c>
      <c r="C88" s="60">
        <f>C3</f>
        <v>39447</v>
      </c>
      <c r="D88" s="60">
        <f>D3</f>
        <v>39813</v>
      </c>
      <c r="E88" s="60">
        <f>E3</f>
        <v>40178</v>
      </c>
    </row>
    <row r="89" ht="14.25"/>
    <row r="90" spans="1:5" ht="14.25">
      <c r="A90" s="48" t="s">
        <v>58</v>
      </c>
      <c r="B90" s="87">
        <v>0</v>
      </c>
      <c r="C90" s="82">
        <f>B97</f>
        <v>0</v>
      </c>
      <c r="D90" s="82">
        <f>C97</f>
        <v>0</v>
      </c>
      <c r="E90" s="82">
        <f>D97</f>
        <v>0</v>
      </c>
    </row>
    <row r="91" spans="1:5" ht="14.25">
      <c r="A91" s="48" t="s">
        <v>59</v>
      </c>
      <c r="B91" s="55">
        <f>B10</f>
        <v>0</v>
      </c>
      <c r="C91" s="55">
        <f>C23</f>
        <v>0</v>
      </c>
      <c r="D91" s="55">
        <f>D23</f>
        <v>0</v>
      </c>
      <c r="E91" s="55">
        <f>E23</f>
        <v>0</v>
      </c>
    </row>
    <row r="92" spans="1:5" ht="14.25">
      <c r="A92" s="48" t="s">
        <v>60</v>
      </c>
      <c r="B92" s="87">
        <f>SUM(B90:B91)</f>
        <v>0</v>
      </c>
      <c r="C92" s="87">
        <f>SUM(C90:C91)</f>
        <v>0</v>
      </c>
      <c r="D92" s="87">
        <f>SUM(D90:D91)</f>
        <v>0</v>
      </c>
      <c r="E92" s="87">
        <f>SUM(E90:E91)</f>
        <v>0</v>
      </c>
    </row>
    <row r="93" spans="1:5" ht="14.25">
      <c r="A93" s="48" t="s">
        <v>61</v>
      </c>
      <c r="B93" s="66">
        <f>SUM(B91:B91)/2</f>
        <v>0</v>
      </c>
      <c r="C93" s="66">
        <f>SUM(C91:C91)/2</f>
        <v>0</v>
      </c>
      <c r="D93" s="66">
        <f>SUM(D91:D91)/2</f>
        <v>0</v>
      </c>
      <c r="E93" s="66">
        <f>SUM(E91:E91)/2</f>
        <v>0</v>
      </c>
    </row>
    <row r="94" spans="1:5" ht="14.25">
      <c r="A94" s="48" t="s">
        <v>62</v>
      </c>
      <c r="B94" s="82">
        <f>B90+B93</f>
        <v>0</v>
      </c>
      <c r="C94" s="82">
        <f>C90+C93</f>
        <v>0</v>
      </c>
      <c r="D94" s="82">
        <f>D90+D93</f>
        <v>0</v>
      </c>
      <c r="E94" s="82">
        <f>E90+E93</f>
        <v>0</v>
      </c>
    </row>
    <row r="95" spans="1:5" ht="14.25">
      <c r="A95" s="48" t="s">
        <v>90</v>
      </c>
      <c r="B95" s="84">
        <v>0.2</v>
      </c>
      <c r="C95" s="84">
        <v>0.2</v>
      </c>
      <c r="D95" s="84">
        <v>0.2</v>
      </c>
      <c r="E95" s="84">
        <v>0.2</v>
      </c>
    </row>
    <row r="96" spans="1:6" ht="14.25">
      <c r="A96" s="48" t="s">
        <v>64</v>
      </c>
      <c r="B96" s="87">
        <f>B94*B95</f>
        <v>0</v>
      </c>
      <c r="C96" s="87">
        <f>C94*C95</f>
        <v>0</v>
      </c>
      <c r="D96" s="87">
        <f>D94*D95</f>
        <v>0</v>
      </c>
      <c r="E96" s="87">
        <f>E94*E95</f>
        <v>0</v>
      </c>
      <c r="F96" s="57"/>
    </row>
    <row r="97" spans="1:5" ht="12.75" customHeight="1" thickBot="1">
      <c r="A97" s="48" t="s">
        <v>65</v>
      </c>
      <c r="B97" s="45">
        <f>B92-B96</f>
        <v>0</v>
      </c>
      <c r="C97" s="45">
        <f>C92-C96</f>
        <v>0</v>
      </c>
      <c r="D97" s="45">
        <f>D92-D96</f>
        <v>0</v>
      </c>
      <c r="E97" s="45">
        <f>E92-E96</f>
        <v>0</v>
      </c>
    </row>
    <row r="98" spans="2:5" ht="12.75" customHeight="1">
      <c r="B98" s="81"/>
      <c r="C98" s="81"/>
      <c r="D98" s="81"/>
      <c r="E98" s="81"/>
    </row>
    <row r="99" ht="15">
      <c r="A99" s="47" t="s">
        <v>66</v>
      </c>
    </row>
    <row r="100" spans="1:5" ht="14.25">
      <c r="A100" s="48" t="s">
        <v>155</v>
      </c>
      <c r="B100" s="60">
        <f>B3</f>
        <v>39082</v>
      </c>
      <c r="C100" s="60">
        <f>C3</f>
        <v>39447</v>
      </c>
      <c r="D100" s="60">
        <f>D3</f>
        <v>39813</v>
      </c>
      <c r="E100" s="60">
        <f>E3</f>
        <v>40178</v>
      </c>
    </row>
    <row r="101" ht="14.25"/>
    <row r="102" spans="1:5" ht="14.25">
      <c r="A102" s="48" t="s">
        <v>58</v>
      </c>
      <c r="B102" s="87">
        <v>0</v>
      </c>
      <c r="C102" s="82">
        <f>B110</f>
        <v>0</v>
      </c>
      <c r="D102" s="82">
        <f>C110</f>
        <v>223496.66225</v>
      </c>
      <c r="E102" s="82">
        <f>D110</f>
        <v>815544.3337625</v>
      </c>
    </row>
    <row r="103" spans="1:5" ht="14.25">
      <c r="A103" s="48" t="s">
        <v>68</v>
      </c>
      <c r="B103" s="55">
        <f>B38</f>
        <v>0</v>
      </c>
      <c r="C103" s="55">
        <f>C39</f>
        <v>502.6900000000023</v>
      </c>
      <c r="D103" s="55">
        <f>D39</f>
        <v>5137.710000000001</v>
      </c>
      <c r="E103" s="55">
        <f>E39</f>
        <v>0</v>
      </c>
    </row>
    <row r="104" spans="1:5" ht="14.25">
      <c r="A104" s="48" t="s">
        <v>69</v>
      </c>
      <c r="B104" s="55">
        <f>B54</f>
        <v>0</v>
      </c>
      <c r="C104" s="55">
        <f>C55</f>
        <v>287880.1</v>
      </c>
      <c r="D104" s="55">
        <f>D55</f>
        <v>981028.96</v>
      </c>
      <c r="E104" s="55">
        <f>E55</f>
        <v>113461.86</v>
      </c>
    </row>
    <row r="105" spans="1:5" ht="14.25">
      <c r="A105" s="48" t="s">
        <v>60</v>
      </c>
      <c r="B105" s="87">
        <f>SUM(B102:B104)</f>
        <v>0</v>
      </c>
      <c r="C105" s="87">
        <f>SUM(C102:C104)</f>
        <v>288382.79</v>
      </c>
      <c r="D105" s="87">
        <f>SUM(D102:D104)</f>
        <v>1209663.33225</v>
      </c>
      <c r="E105" s="87">
        <f>SUM(E102:E104)</f>
        <v>929006.1937625</v>
      </c>
    </row>
    <row r="106" spans="1:5" ht="14.25">
      <c r="A106" s="48" t="s">
        <v>61</v>
      </c>
      <c r="B106" s="66">
        <f>SUM(B103:B104)/2</f>
        <v>0</v>
      </c>
      <c r="C106" s="66">
        <f>SUM(C103:C104)/2</f>
        <v>144191.395</v>
      </c>
      <c r="D106" s="66">
        <f>SUM(D103:D104)/2</f>
        <v>493083.33499999996</v>
      </c>
      <c r="E106" s="66">
        <f>SUM(E103:E104)/2</f>
        <v>56730.93</v>
      </c>
    </row>
    <row r="107" spans="1:5" ht="14.25">
      <c r="A107" s="48" t="s">
        <v>62</v>
      </c>
      <c r="B107" s="82">
        <f>B102+B106</f>
        <v>0</v>
      </c>
      <c r="C107" s="82">
        <f>C102+C106</f>
        <v>144191.395</v>
      </c>
      <c r="D107" s="82">
        <f>D102+D106</f>
        <v>716579.99725</v>
      </c>
      <c r="E107" s="82">
        <f>E102+E106</f>
        <v>872275.2637625</v>
      </c>
    </row>
    <row r="108" spans="1:5" ht="14.25">
      <c r="A108" s="48" t="s">
        <v>70</v>
      </c>
      <c r="B108" s="84">
        <v>0.45</v>
      </c>
      <c r="C108" s="84">
        <v>0.45</v>
      </c>
      <c r="D108" s="84">
        <v>0.55</v>
      </c>
      <c r="E108" s="84">
        <v>0.55</v>
      </c>
    </row>
    <row r="109" spans="1:6" ht="14.25">
      <c r="A109" s="48" t="s">
        <v>64</v>
      </c>
      <c r="B109" s="87">
        <f>B107*B108</f>
        <v>0</v>
      </c>
      <c r="C109" s="87">
        <f>C107*C108</f>
        <v>64886.12775</v>
      </c>
      <c r="D109" s="87">
        <f>D107*D108</f>
        <v>394118.99848750007</v>
      </c>
      <c r="E109" s="87">
        <f>E107*E108</f>
        <v>479751.39506937505</v>
      </c>
      <c r="F109" s="57"/>
    </row>
    <row r="110" spans="1:24" ht="12.75" customHeight="1" thickBot="1">
      <c r="A110" s="48" t="s">
        <v>65</v>
      </c>
      <c r="B110" s="45">
        <f>B105-B109</f>
        <v>0</v>
      </c>
      <c r="C110" s="45">
        <f>C105-C109</f>
        <v>223496.66225</v>
      </c>
      <c r="D110" s="45">
        <f>D105-D109</f>
        <v>815544.3337625</v>
      </c>
      <c r="E110" s="45">
        <f>E105-E109</f>
        <v>449254.7986931249</v>
      </c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</row>
    <row r="111" ht="0.75" customHeight="1"/>
    <row r="112" ht="0" customHeight="1" hidden="1"/>
  </sheetData>
  <sheetProtection/>
  <mergeCells count="1">
    <mergeCell ref="I2:L2"/>
  </mergeCells>
  <printOptions/>
  <pageMargins left="0.7" right="0.7" top="0.98" bottom="0.75" header="0.37" footer="0.3"/>
  <pageSetup fitToHeight="0" horizontalDpi="600" verticalDpi="600" orientation="landscape" paperSize="5" scale="42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1" manualBreakCount="1">
    <brk id="66" max="23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8"/>
  <sheetViews>
    <sheetView tabSelected="1" view="pageBreakPreview" zoomScale="75" zoomScaleSheetLayoutView="75" zoomScalePageLayoutView="0" workbookViewId="0" topLeftCell="A49">
      <selection activeCell="A10" sqref="A10"/>
    </sheetView>
  </sheetViews>
  <sheetFormatPr defaultColWidth="9.140625" defaultRowHeight="0" customHeight="1" zeroHeight="1"/>
  <cols>
    <col min="1" max="1" width="49.8515625" style="50" customWidth="1"/>
    <col min="2" max="2" width="7.140625" style="50" bestFit="1" customWidth="1"/>
    <col min="3" max="3" width="14.421875" style="50" bestFit="1" customWidth="1"/>
    <col min="4" max="4" width="3.421875" style="50" customWidth="1"/>
    <col min="5" max="7" width="16.140625" style="50" bestFit="1" customWidth="1"/>
    <col min="8" max="8" width="16.140625" style="50" customWidth="1"/>
    <col min="9" max="9" width="16.8515625" style="50" customWidth="1"/>
    <col min="10" max="10" width="16.28125" style="50" customWidth="1"/>
    <col min="11" max="21" width="16.140625" style="50" bestFit="1" customWidth="1"/>
    <col min="22" max="22" width="15.00390625" style="50" bestFit="1" customWidth="1"/>
    <col min="23" max="16384" width="9.140625" style="50" customWidth="1"/>
  </cols>
  <sheetData>
    <row r="1" spans="1:21" ht="15">
      <c r="A1" s="102" t="s">
        <v>201</v>
      </c>
      <c r="E1" s="48"/>
      <c r="G1" s="107"/>
      <c r="J1" s="103" t="str">
        <f>'Avg Assets 10'!N1</f>
        <v>Forecast</v>
      </c>
      <c r="K1" s="103" t="str">
        <f>'Avg Assets 10'!O1</f>
        <v>Forecast</v>
      </c>
      <c r="L1" s="103" t="str">
        <f>'Avg Assets 10'!P1</f>
        <v>Forecast</v>
      </c>
      <c r="M1" s="103" t="str">
        <f>'Avg Assets 10'!Q1</f>
        <v>Forecast</v>
      </c>
      <c r="N1" s="103" t="str">
        <f>'Avg Assets 10'!R1</f>
        <v>Forecast</v>
      </c>
      <c r="O1" s="103" t="str">
        <f>'Avg Assets 10'!S1</f>
        <v>Forecast</v>
      </c>
      <c r="P1" s="103" t="str">
        <f>'Avg Assets 10'!T1</f>
        <v>Forecast</v>
      </c>
      <c r="Q1" s="103" t="str">
        <f>'Avg Assets 10'!U1</f>
        <v>Forecast</v>
      </c>
      <c r="R1" s="103" t="str">
        <f>'Avg Assets 10'!V1</f>
        <v>Forecast</v>
      </c>
      <c r="S1" s="103" t="str">
        <f>'Avg Assets 10'!W1</f>
        <v>Forecast</v>
      </c>
      <c r="T1" s="103" t="str">
        <f>'Avg Assets 10'!X1</f>
        <v>Forecast</v>
      </c>
      <c r="U1" s="103" t="str">
        <f>'Avg Assets 10'!Y1</f>
        <v>Forecast</v>
      </c>
    </row>
    <row r="2" ht="15" thickBot="1"/>
    <row r="3" spans="1:22" ht="15.75" thickBot="1">
      <c r="A3" s="102" t="s">
        <v>6</v>
      </c>
      <c r="B3" s="175" t="s">
        <v>167</v>
      </c>
      <c r="C3" s="176"/>
      <c r="E3" s="104" t="s">
        <v>126</v>
      </c>
      <c r="F3" s="104" t="s">
        <v>124</v>
      </c>
      <c r="G3" s="104" t="s">
        <v>127</v>
      </c>
      <c r="H3" s="104" t="s">
        <v>128</v>
      </c>
      <c r="I3" s="104" t="s">
        <v>129</v>
      </c>
      <c r="J3" s="105">
        <v>40179</v>
      </c>
      <c r="K3" s="105">
        <v>40210</v>
      </c>
      <c r="L3" s="105">
        <v>40238</v>
      </c>
      <c r="M3" s="105">
        <v>40269</v>
      </c>
      <c r="N3" s="105">
        <v>40299</v>
      </c>
      <c r="O3" s="105">
        <v>40330</v>
      </c>
      <c r="P3" s="105">
        <v>40360</v>
      </c>
      <c r="Q3" s="105">
        <v>40391</v>
      </c>
      <c r="R3" s="105">
        <v>40422</v>
      </c>
      <c r="S3" s="105">
        <v>40452</v>
      </c>
      <c r="T3" s="105">
        <v>40483</v>
      </c>
      <c r="U3" s="105">
        <v>40513</v>
      </c>
      <c r="V3" s="105">
        <v>40544</v>
      </c>
    </row>
    <row r="4" spans="1:21" ht="14.25">
      <c r="A4" s="50" t="s">
        <v>74</v>
      </c>
      <c r="C4" s="106">
        <f>+'Avg Assets 10'!F17</f>
        <v>29061072.222666666</v>
      </c>
      <c r="D4" s="103"/>
      <c r="E4" s="107">
        <f>U4</f>
        <v>29061072.222666666</v>
      </c>
      <c r="F4" s="107">
        <f>L4</f>
        <v>28877621.48325</v>
      </c>
      <c r="G4" s="107">
        <f>O4</f>
        <v>28904574.796333335</v>
      </c>
      <c r="H4" s="107">
        <f>R4</f>
        <v>28954567.898416664</v>
      </c>
      <c r="I4" s="107">
        <f>U4</f>
        <v>29061072.222666666</v>
      </c>
      <c r="J4" s="107">
        <f>'Avg Assets 10'!N17</f>
        <v>28856832.134805553</v>
      </c>
      <c r="K4" s="107">
        <f>'Avg Assets 10'!O17</f>
        <v>28867508.85633333</v>
      </c>
      <c r="L4" s="107">
        <f>'Avg Assets 10'!P17</f>
        <v>28877621.48325</v>
      </c>
      <c r="M4" s="107">
        <f>'Avg Assets 10'!Q17</f>
        <v>28887170.015555553</v>
      </c>
      <c r="N4" s="107">
        <f>'Avg Assets 10'!R17</f>
        <v>28896154.45325</v>
      </c>
      <c r="O4" s="107">
        <f>'Avg Assets 10'!S17</f>
        <v>28904574.796333335</v>
      </c>
      <c r="P4" s="107">
        <f>'Avg Assets 10'!T17</f>
        <v>28912431.044805557</v>
      </c>
      <c r="Q4" s="107">
        <f>'Avg Assets 10'!U17</f>
        <v>28919723.19866667</v>
      </c>
      <c r="R4" s="107">
        <f>'Avg Assets 10'!V17</f>
        <v>28954567.898416664</v>
      </c>
      <c r="S4" s="107">
        <f>'Avg Assets 10'!W17</f>
        <v>28988688.999638893</v>
      </c>
      <c r="T4" s="107">
        <f>'Avg Assets 10'!X17</f>
        <v>29022085.793444443</v>
      </c>
      <c r="U4" s="107">
        <f>'Avg Assets 10'!Y17</f>
        <v>29061072.222666666</v>
      </c>
    </row>
    <row r="5" spans="1:21" ht="14.25">
      <c r="A5" s="50" t="s">
        <v>95</v>
      </c>
      <c r="C5" s="106">
        <f>'Avg Assets 10'!F33</f>
        <v>0</v>
      </c>
      <c r="D5" s="103"/>
      <c r="E5" s="107">
        <f>U5</f>
        <v>0</v>
      </c>
      <c r="F5" s="107">
        <f>L5</f>
        <v>0</v>
      </c>
      <c r="G5" s="107">
        <f>O5</f>
        <v>0</v>
      </c>
      <c r="H5" s="107">
        <f>R5</f>
        <v>0</v>
      </c>
      <c r="I5" s="107">
        <f>U5</f>
        <v>0</v>
      </c>
      <c r="J5" s="107">
        <f>'Avg Assets 10'!N33</f>
        <v>0</v>
      </c>
      <c r="K5" s="107">
        <f>'Avg Assets 10'!O33</f>
        <v>0</v>
      </c>
      <c r="L5" s="107">
        <f>'Avg Assets 10'!P33</f>
        <v>0</v>
      </c>
      <c r="M5" s="107">
        <f>'Avg Assets 10'!Q33</f>
        <v>0</v>
      </c>
      <c r="N5" s="107">
        <f>'Avg Assets 10'!R33</f>
        <v>0</v>
      </c>
      <c r="O5" s="107">
        <f>'Avg Assets 10'!S33</f>
        <v>0</v>
      </c>
      <c r="P5" s="107">
        <f>'Avg Assets 10'!T33</f>
        <v>0</v>
      </c>
      <c r="Q5" s="107">
        <f>'Avg Assets 10'!U33</f>
        <v>0</v>
      </c>
      <c r="R5" s="107">
        <f>'Avg Assets 10'!V33</f>
        <v>0</v>
      </c>
      <c r="S5" s="107">
        <f>'Avg Assets 10'!W33</f>
        <v>0</v>
      </c>
      <c r="T5" s="107">
        <f>'Avg Assets 10'!X33</f>
        <v>0</v>
      </c>
      <c r="U5" s="107">
        <f>'Avg Assets 10'!Y33</f>
        <v>0</v>
      </c>
    </row>
    <row r="6" spans="1:21" ht="14.25">
      <c r="A6" s="50" t="s">
        <v>75</v>
      </c>
      <c r="C6" s="106">
        <f>+'Avg Assets 10'!F49</f>
        <v>3283.7020000000016</v>
      </c>
      <c r="D6" s="103"/>
      <c r="E6" s="107">
        <f>U6</f>
        <v>3283.702000000002</v>
      </c>
      <c r="F6" s="107">
        <f>L6</f>
        <v>3706.732000000002</v>
      </c>
      <c r="G6" s="107">
        <f>O6</f>
        <v>3565.722000000002</v>
      </c>
      <c r="H6" s="107">
        <f>R6</f>
        <v>3424.7120000000023</v>
      </c>
      <c r="I6" s="107">
        <f>U6</f>
        <v>3283.702000000002</v>
      </c>
      <c r="J6" s="107">
        <f>'Avg Assets 10'!N49</f>
        <v>3800.738666666669</v>
      </c>
      <c r="K6" s="107">
        <f>'Avg Assets 10'!O49</f>
        <v>3753.7353333333353</v>
      </c>
      <c r="L6" s="107">
        <f>'Avg Assets 10'!P49</f>
        <v>3706.732000000002</v>
      </c>
      <c r="M6" s="107">
        <f>'Avg Assets 10'!Q49</f>
        <v>3659.7286666666687</v>
      </c>
      <c r="N6" s="107">
        <f>'Avg Assets 10'!R49</f>
        <v>3612.7253333333356</v>
      </c>
      <c r="O6" s="107">
        <f>'Avg Assets 10'!S49</f>
        <v>3565.722000000002</v>
      </c>
      <c r="P6" s="107">
        <f>'Avg Assets 10'!T49</f>
        <v>3518.7186666666685</v>
      </c>
      <c r="Q6" s="107">
        <f>'Avg Assets 10'!U49</f>
        <v>3471.7153333333354</v>
      </c>
      <c r="R6" s="107">
        <f>'Avg Assets 10'!V49</f>
        <v>3424.7120000000023</v>
      </c>
      <c r="S6" s="107">
        <f>'Avg Assets 10'!W49</f>
        <v>3377.7086666666687</v>
      </c>
      <c r="T6" s="107">
        <f>'Avg Assets 10'!X49</f>
        <v>3330.705333333335</v>
      </c>
      <c r="U6" s="107">
        <f>'Avg Assets 10'!Y49</f>
        <v>3283.702000000002</v>
      </c>
    </row>
    <row r="7" spans="1:21" ht="14.25">
      <c r="A7" s="50" t="s">
        <v>76</v>
      </c>
      <c r="C7" s="106">
        <f>+'Avg Assets 10'!F65</f>
        <v>1764565.6405000004</v>
      </c>
      <c r="D7" s="103"/>
      <c r="E7" s="107">
        <f>U7</f>
        <v>1764565.6405000004</v>
      </c>
      <c r="F7" s="107">
        <f>L7</f>
        <v>911501.0931250001</v>
      </c>
      <c r="G7" s="107">
        <f>O7</f>
        <v>1874630.8155000003</v>
      </c>
      <c r="H7" s="107">
        <f>R7</f>
        <v>1826070.1006250004</v>
      </c>
      <c r="I7" s="107">
        <f>U7</f>
        <v>1764565.6405000004</v>
      </c>
      <c r="J7" s="107">
        <f>'Avg Assets 10'!N65</f>
        <v>925760.0561250001</v>
      </c>
      <c r="K7" s="107">
        <f>'Avg Assets 10'!O65</f>
        <v>918668.4218333336</v>
      </c>
      <c r="L7" s="107">
        <f>'Avg Assets 10'!P65</f>
        <v>911501.0931250001</v>
      </c>
      <c r="M7" s="107">
        <f>'Avg Assets 10'!Q65</f>
        <v>904258.0700000001</v>
      </c>
      <c r="N7" s="107">
        <f>'Avg Assets 10'!R65</f>
        <v>1890666.331625</v>
      </c>
      <c r="O7" s="107">
        <f>'Avg Assets 10'!S65</f>
        <v>1874630.8155000003</v>
      </c>
      <c r="P7" s="107">
        <f>'Avg Assets 10'!T65</f>
        <v>1858519.6049583335</v>
      </c>
      <c r="Q7" s="107">
        <f>'Avg Assets 10'!U65</f>
        <v>1842332.7000000004</v>
      </c>
      <c r="R7" s="107">
        <f>'Avg Assets 10'!V65</f>
        <v>1826070.1006250004</v>
      </c>
      <c r="S7" s="107">
        <f>'Avg Assets 10'!W65</f>
        <v>1805568.6139166672</v>
      </c>
      <c r="T7" s="107">
        <f>'Avg Assets 10'!X65</f>
        <v>1785067.127208334</v>
      </c>
      <c r="U7" s="107">
        <f>'Avg Assets 10'!Y65</f>
        <v>1764565.6405000004</v>
      </c>
    </row>
    <row r="8" spans="1:21" ht="14.25">
      <c r="A8" s="50" t="s">
        <v>7</v>
      </c>
      <c r="C8" s="108">
        <f>SUM(C4:C7)</f>
        <v>30828921.565166667</v>
      </c>
      <c r="D8" s="103"/>
      <c r="E8" s="109">
        <f aca="true" t="shared" si="0" ref="E8:U8">SUM(E4:E7)</f>
        <v>30828921.565166667</v>
      </c>
      <c r="F8" s="109">
        <f t="shared" si="0"/>
        <v>29792829.308375</v>
      </c>
      <c r="G8" s="109">
        <f t="shared" si="0"/>
        <v>30782771.333833333</v>
      </c>
      <c r="H8" s="109">
        <f t="shared" si="0"/>
        <v>30784062.711041667</v>
      </c>
      <c r="I8" s="109">
        <f t="shared" si="0"/>
        <v>30828921.565166667</v>
      </c>
      <c r="J8" s="109">
        <f t="shared" si="0"/>
        <v>29786392.929597218</v>
      </c>
      <c r="K8" s="109">
        <f t="shared" si="0"/>
        <v>29789931.013499998</v>
      </c>
      <c r="L8" s="109">
        <f t="shared" si="0"/>
        <v>29792829.308375</v>
      </c>
      <c r="M8" s="109">
        <f t="shared" si="0"/>
        <v>29795087.81422222</v>
      </c>
      <c r="N8" s="109">
        <f t="shared" si="0"/>
        <v>30790433.51020833</v>
      </c>
      <c r="O8" s="109">
        <f t="shared" si="0"/>
        <v>30782771.333833333</v>
      </c>
      <c r="P8" s="109">
        <f t="shared" si="0"/>
        <v>30774469.368430555</v>
      </c>
      <c r="Q8" s="109">
        <f t="shared" si="0"/>
        <v>30765527.614000004</v>
      </c>
      <c r="R8" s="109">
        <f t="shared" si="0"/>
        <v>30784062.711041667</v>
      </c>
      <c r="S8" s="109">
        <f t="shared" si="0"/>
        <v>30797635.322222225</v>
      </c>
      <c r="T8" s="109">
        <f t="shared" si="0"/>
        <v>30810483.62598611</v>
      </c>
      <c r="U8" s="109">
        <f t="shared" si="0"/>
        <v>30828921.565166667</v>
      </c>
    </row>
    <row r="9" ht="14.25"/>
    <row r="10" spans="1:9" ht="15">
      <c r="A10" s="102" t="s">
        <v>13</v>
      </c>
      <c r="C10" s="106"/>
      <c r="E10" s="110"/>
      <c r="F10" s="110"/>
      <c r="G10" s="110"/>
      <c r="H10" s="110"/>
      <c r="I10" s="110"/>
    </row>
    <row r="11" spans="1:22" ht="14.25">
      <c r="A11" s="111">
        <v>200760</v>
      </c>
      <c r="C11" s="106"/>
      <c r="E11" s="107">
        <f>SUM(J11:U11)</f>
        <v>2721470.7399999998</v>
      </c>
      <c r="F11" s="107">
        <f>SUM(J11:L11)</f>
        <v>782578.64</v>
      </c>
      <c r="G11" s="107">
        <f>SUM(M11:O11)</f>
        <v>664155.71</v>
      </c>
      <c r="H11" s="107">
        <f>SUM(P11:R11)</f>
        <v>635000.83</v>
      </c>
      <c r="I11" s="107">
        <f>SUM(S11:U11)</f>
        <v>639735.56</v>
      </c>
      <c r="J11" s="107">
        <v>293225.74</v>
      </c>
      <c r="K11" s="107">
        <v>240324.47</v>
      </c>
      <c r="L11" s="107">
        <v>249028.43000000002</v>
      </c>
      <c r="M11" s="107">
        <v>222619.38</v>
      </c>
      <c r="N11" s="107">
        <v>219447.96000000002</v>
      </c>
      <c r="O11" s="107">
        <v>222088.37</v>
      </c>
      <c r="P11" s="107">
        <v>207805.99000000002</v>
      </c>
      <c r="Q11" s="107">
        <v>213684.63999999998</v>
      </c>
      <c r="R11" s="107">
        <v>213510.19999999998</v>
      </c>
      <c r="S11" s="107">
        <v>211569.72</v>
      </c>
      <c r="T11" s="107">
        <v>207885.71</v>
      </c>
      <c r="U11" s="107">
        <v>220280.13</v>
      </c>
      <c r="V11" s="103">
        <f>SUM(J11:U11)</f>
        <v>2721470.7399999998</v>
      </c>
    </row>
    <row r="12" spans="1:22" ht="14.25">
      <c r="A12" s="111">
        <v>200770</v>
      </c>
      <c r="C12" s="106"/>
      <c r="E12" s="107">
        <f>SUM(J12:U12)</f>
        <v>124235.73000000001</v>
      </c>
      <c r="F12" s="107">
        <f>SUM(J12:L12)</f>
        <v>31060.08</v>
      </c>
      <c r="G12" s="107">
        <f>SUM(M12:O12)</f>
        <v>31060.08</v>
      </c>
      <c r="H12" s="107">
        <f>SUM(P12:R12)</f>
        <v>31060.08</v>
      </c>
      <c r="I12" s="107">
        <f>SUM(S12:U12)</f>
        <v>31055.49</v>
      </c>
      <c r="J12" s="107">
        <v>10353.36</v>
      </c>
      <c r="K12" s="107">
        <v>10353.36</v>
      </c>
      <c r="L12" s="107">
        <v>10353.36</v>
      </c>
      <c r="M12" s="107">
        <v>10353.36</v>
      </c>
      <c r="N12" s="107">
        <v>10353.36</v>
      </c>
      <c r="O12" s="107">
        <v>10353.36</v>
      </c>
      <c r="P12" s="107">
        <v>10353.36</v>
      </c>
      <c r="Q12" s="107">
        <v>10353.36</v>
      </c>
      <c r="R12" s="107">
        <v>10353.36</v>
      </c>
      <c r="S12" s="107">
        <v>10353.36</v>
      </c>
      <c r="T12" s="107">
        <v>10353.36</v>
      </c>
      <c r="U12" s="107">
        <v>10348.77</v>
      </c>
      <c r="V12" s="103">
        <f>SUM(J12:U12)</f>
        <v>124235.73000000001</v>
      </c>
    </row>
    <row r="13" spans="1:22" ht="14.25">
      <c r="A13" s="111" t="s">
        <v>18</v>
      </c>
      <c r="C13" s="106">
        <f>Inputs!N32</f>
        <v>2845706.4699999997</v>
      </c>
      <c r="D13" s="103"/>
      <c r="E13" s="107">
        <f>SUM(J13:U13)</f>
        <v>2845706.4699999997</v>
      </c>
      <c r="F13" s="107">
        <f>SUM(J13:L13)</f>
        <v>813638.72</v>
      </c>
      <c r="G13" s="107">
        <f>SUM(M13:O13)</f>
        <v>695215.79</v>
      </c>
      <c r="H13" s="107">
        <f>SUM(P13:R13)</f>
        <v>666060.91</v>
      </c>
      <c r="I13" s="107">
        <f>SUM(S13:U13)</f>
        <v>670791.05</v>
      </c>
      <c r="J13" s="107">
        <f aca="true" t="shared" si="1" ref="J13:U13">SUM(J11:J12)</f>
        <v>303579.1</v>
      </c>
      <c r="K13" s="107">
        <f t="shared" si="1"/>
        <v>250677.83000000002</v>
      </c>
      <c r="L13" s="107">
        <f t="shared" si="1"/>
        <v>259381.79000000004</v>
      </c>
      <c r="M13" s="107">
        <f t="shared" si="1"/>
        <v>232972.74</v>
      </c>
      <c r="N13" s="107">
        <f t="shared" si="1"/>
        <v>229801.32</v>
      </c>
      <c r="O13" s="107">
        <f t="shared" si="1"/>
        <v>232441.72999999998</v>
      </c>
      <c r="P13" s="107">
        <f t="shared" si="1"/>
        <v>218159.35000000003</v>
      </c>
      <c r="Q13" s="107">
        <f t="shared" si="1"/>
        <v>224038</v>
      </c>
      <c r="R13" s="107">
        <f t="shared" si="1"/>
        <v>223863.56</v>
      </c>
      <c r="S13" s="107">
        <f t="shared" si="1"/>
        <v>221923.08000000002</v>
      </c>
      <c r="T13" s="107">
        <f t="shared" si="1"/>
        <v>218239.07</v>
      </c>
      <c r="U13" s="107">
        <f t="shared" si="1"/>
        <v>230628.9</v>
      </c>
      <c r="V13" s="103">
        <f>SUM(J13:U13)</f>
        <v>2845706.4699999997</v>
      </c>
    </row>
    <row r="14" spans="3:21" ht="14.25">
      <c r="C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5">
      <c r="A15" s="102" t="s">
        <v>8</v>
      </c>
      <c r="E15" s="107">
        <f>SUM(J15:U15)</f>
        <v>30828921.565166667</v>
      </c>
      <c r="F15" s="107">
        <f>SUM(J15:L15)</f>
        <v>7448207.32709375</v>
      </c>
      <c r="G15" s="107">
        <f>SUM(M15:O15)</f>
        <v>7943178.339822914</v>
      </c>
      <c r="H15" s="107">
        <f>SUM(P15:R15)</f>
        <v>7696661.366364587</v>
      </c>
      <c r="I15" s="107">
        <f>SUM(S15:U15)</f>
        <v>7740874.531885415</v>
      </c>
      <c r="J15" s="107">
        <f>J8/12</f>
        <v>2482199.4107997683</v>
      </c>
      <c r="K15" s="107">
        <f>K8/12*2-J15</f>
        <v>2482789.0914502316</v>
      </c>
      <c r="L15" s="107">
        <f>L8/12*3-SUM($J$15:K15)</f>
        <v>2483218.8248437503</v>
      </c>
      <c r="M15" s="107">
        <f>M8/12*4-SUM($J$15:L15)</f>
        <v>2483488.6109803226</v>
      </c>
      <c r="N15" s="107">
        <f>N8/12*5-SUM($J$15:M15)</f>
        <v>2897651.3578460664</v>
      </c>
      <c r="O15" s="107">
        <f>O8/12*6-SUM($J$15:N15)</f>
        <v>2562038.3709965255</v>
      </c>
      <c r="P15" s="107">
        <f>P8/12*7-SUM($J$15:O15)</f>
        <v>2560388.131334495</v>
      </c>
      <c r="Q15" s="107">
        <f>Q8/12*8-SUM($J$15:P15)</f>
        <v>2558577.9444155097</v>
      </c>
      <c r="R15" s="107">
        <f>R8/12*9-SUM($J$15:Q15)</f>
        <v>2577695.2906145826</v>
      </c>
      <c r="S15" s="107">
        <f>S8/12*10-SUM($J$15:R15)</f>
        <v>2576649.0685706027</v>
      </c>
      <c r="T15" s="107">
        <f>T8/12*11-SUM($J$15:S15)</f>
        <v>2578247.2219687477</v>
      </c>
      <c r="U15" s="107">
        <f>U8/12*12-SUM($J$15:T15)</f>
        <v>2585978.241346065</v>
      </c>
    </row>
    <row r="16" spans="1:21" ht="14.25">
      <c r="A16" s="50" t="s">
        <v>9</v>
      </c>
      <c r="C16" s="49">
        <f>C13</f>
        <v>2845706.4699999997</v>
      </c>
      <c r="D16" s="103"/>
      <c r="E16" s="107">
        <f>SUM(J16:U16)</f>
        <v>2845706.4699999997</v>
      </c>
      <c r="F16" s="107">
        <f>SUM(J16:L16)</f>
        <v>813638.72</v>
      </c>
      <c r="G16" s="107">
        <f>SUM(M16:O16)</f>
        <v>695215.79</v>
      </c>
      <c r="H16" s="107">
        <f>SUM(P16:R16)</f>
        <v>666060.91</v>
      </c>
      <c r="I16" s="107">
        <f>SUM(S16:U16)</f>
        <v>670791.05</v>
      </c>
      <c r="J16" s="107">
        <f aca="true" t="shared" si="2" ref="J16:U16">J13</f>
        <v>303579.1</v>
      </c>
      <c r="K16" s="107">
        <f t="shared" si="2"/>
        <v>250677.83000000002</v>
      </c>
      <c r="L16" s="107">
        <f t="shared" si="2"/>
        <v>259381.79000000004</v>
      </c>
      <c r="M16" s="107">
        <f t="shared" si="2"/>
        <v>232972.74</v>
      </c>
      <c r="N16" s="107">
        <f t="shared" si="2"/>
        <v>229801.32</v>
      </c>
      <c r="O16" s="107">
        <f t="shared" si="2"/>
        <v>232441.72999999998</v>
      </c>
      <c r="P16" s="107">
        <f t="shared" si="2"/>
        <v>218159.35000000003</v>
      </c>
      <c r="Q16" s="107">
        <f t="shared" si="2"/>
        <v>224038</v>
      </c>
      <c r="R16" s="107">
        <f t="shared" si="2"/>
        <v>223863.56</v>
      </c>
      <c r="S16" s="107">
        <f t="shared" si="2"/>
        <v>221923.08000000002</v>
      </c>
      <c r="T16" s="107">
        <f t="shared" si="2"/>
        <v>218239.07</v>
      </c>
      <c r="U16" s="107">
        <f t="shared" si="2"/>
        <v>230628.9</v>
      </c>
    </row>
    <row r="17" spans="1:21" ht="14.25">
      <c r="A17" s="50" t="s">
        <v>142</v>
      </c>
      <c r="B17" s="131">
        <v>0.125</v>
      </c>
      <c r="C17" s="49">
        <f>C16*B17</f>
        <v>355713.30874999997</v>
      </c>
      <c r="D17" s="103"/>
      <c r="E17" s="107">
        <f>SUM(J17:U17)</f>
        <v>355713.30874999997</v>
      </c>
      <c r="F17" s="107">
        <f>SUM(J17:L17)</f>
        <v>101704.84</v>
      </c>
      <c r="G17" s="107">
        <f>SUM(M17:O17)</f>
        <v>86901.97375</v>
      </c>
      <c r="H17" s="107">
        <f>SUM(P17:R17)</f>
        <v>83257.61375</v>
      </c>
      <c r="I17" s="107">
        <f>SUM(S17:U17)</f>
        <v>83848.88125</v>
      </c>
      <c r="J17" s="107">
        <f>J16*$B$17</f>
        <v>37947.3875</v>
      </c>
      <c r="K17" s="107">
        <f>K16*$B$17</f>
        <v>31334.728750000002</v>
      </c>
      <c r="L17" s="107">
        <f aca="true" t="shared" si="3" ref="L17:U17">L16*$B$17</f>
        <v>32422.723750000005</v>
      </c>
      <c r="M17" s="107">
        <f t="shared" si="3"/>
        <v>29121.5925</v>
      </c>
      <c r="N17" s="107">
        <f t="shared" si="3"/>
        <v>28725.165</v>
      </c>
      <c r="O17" s="107">
        <f t="shared" si="3"/>
        <v>29055.216249999998</v>
      </c>
      <c r="P17" s="107">
        <f t="shared" si="3"/>
        <v>27269.918750000004</v>
      </c>
      <c r="Q17" s="107">
        <f t="shared" si="3"/>
        <v>28004.75</v>
      </c>
      <c r="R17" s="107">
        <f t="shared" si="3"/>
        <v>27982.945</v>
      </c>
      <c r="S17" s="107">
        <f t="shared" si="3"/>
        <v>27740.385000000002</v>
      </c>
      <c r="T17" s="107">
        <f t="shared" si="3"/>
        <v>27279.88375</v>
      </c>
      <c r="U17" s="107">
        <f t="shared" si="3"/>
        <v>28828.6125</v>
      </c>
    </row>
    <row r="18" spans="5:21" ht="14.25"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5">
      <c r="A19" s="102" t="s">
        <v>11</v>
      </c>
      <c r="C19" s="108">
        <f>C8+C17</f>
        <v>31184634.873916667</v>
      </c>
      <c r="D19" s="103"/>
      <c r="E19" s="109">
        <f>SUM(J19:U19)</f>
        <v>31184634.873916663</v>
      </c>
      <c r="F19" s="109">
        <f>SUM(J19:L19)</f>
        <v>7549912.16709375</v>
      </c>
      <c r="G19" s="109">
        <f>SUM(M19:O19)</f>
        <v>8030080.313572915</v>
      </c>
      <c r="H19" s="109">
        <f>SUM(P19:R19)</f>
        <v>7779918.980114587</v>
      </c>
      <c r="I19" s="109">
        <f>SUM(S19:U19)</f>
        <v>7824723.413135415</v>
      </c>
      <c r="J19" s="109">
        <f aca="true" t="shared" si="4" ref="J19:U19">J15+J17</f>
        <v>2520146.7982997685</v>
      </c>
      <c r="K19" s="109">
        <f t="shared" si="4"/>
        <v>2514123.8202002314</v>
      </c>
      <c r="L19" s="109">
        <f t="shared" si="4"/>
        <v>2515641.54859375</v>
      </c>
      <c r="M19" s="109">
        <f t="shared" si="4"/>
        <v>2512610.2034803224</v>
      </c>
      <c r="N19" s="109">
        <f t="shared" si="4"/>
        <v>2926376.5228460664</v>
      </c>
      <c r="O19" s="109">
        <f t="shared" si="4"/>
        <v>2591093.5872465256</v>
      </c>
      <c r="P19" s="109">
        <f t="shared" si="4"/>
        <v>2587658.050084495</v>
      </c>
      <c r="Q19" s="109">
        <f t="shared" si="4"/>
        <v>2586582.6944155097</v>
      </c>
      <c r="R19" s="109">
        <f t="shared" si="4"/>
        <v>2605678.2356145824</v>
      </c>
      <c r="S19" s="109">
        <f t="shared" si="4"/>
        <v>2604389.4535706025</v>
      </c>
      <c r="T19" s="109">
        <f t="shared" si="4"/>
        <v>2605527.1057187477</v>
      </c>
      <c r="U19" s="109">
        <f t="shared" si="4"/>
        <v>2614806.853846065</v>
      </c>
    </row>
    <row r="20" spans="5:21" ht="14.25"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ht="15">
      <c r="A21" s="102" t="s">
        <v>12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4.25">
      <c r="A22" s="50" t="s">
        <v>150</v>
      </c>
      <c r="B22" s="164">
        <f>Inputs!D6</f>
        <v>0.04</v>
      </c>
      <c r="C22" s="49">
        <f>C19*B22</f>
        <v>1247385.3949566667</v>
      </c>
      <c r="D22" s="103"/>
      <c r="E22" s="107">
        <f>SUM(J22:U22)</f>
        <v>1247385.3949566667</v>
      </c>
      <c r="F22" s="107">
        <f>SUM(J22:L22)</f>
        <v>301996.48668375</v>
      </c>
      <c r="G22" s="107">
        <f>SUM(M22:O22)</f>
        <v>321203.2125429166</v>
      </c>
      <c r="H22" s="107">
        <f>SUM(P22:R22)</f>
        <v>311196.7592045835</v>
      </c>
      <c r="I22" s="107">
        <f>SUM(S22:U22)</f>
        <v>312988.9365254166</v>
      </c>
      <c r="J22" s="107">
        <f aca="true" t="shared" si="5" ref="J22:U22">J19*$B$22</f>
        <v>100805.87193199074</v>
      </c>
      <c r="K22" s="107">
        <f t="shared" si="5"/>
        <v>100564.95280800926</v>
      </c>
      <c r="L22" s="107">
        <f t="shared" si="5"/>
        <v>100625.66194375</v>
      </c>
      <c r="M22" s="107">
        <f t="shared" si="5"/>
        <v>100504.4081392129</v>
      </c>
      <c r="N22" s="107">
        <f t="shared" si="5"/>
        <v>117055.06091384265</v>
      </c>
      <c r="O22" s="107">
        <f t="shared" si="5"/>
        <v>103643.74348986102</v>
      </c>
      <c r="P22" s="107">
        <f t="shared" si="5"/>
        <v>103506.3220033798</v>
      </c>
      <c r="Q22" s="107">
        <f t="shared" si="5"/>
        <v>103463.3077766204</v>
      </c>
      <c r="R22" s="107">
        <f t="shared" si="5"/>
        <v>104227.1294245833</v>
      </c>
      <c r="S22" s="107">
        <f t="shared" si="5"/>
        <v>104175.5781428241</v>
      </c>
      <c r="T22" s="107">
        <f t="shared" si="5"/>
        <v>104221.08422874991</v>
      </c>
      <c r="U22" s="107">
        <f t="shared" si="5"/>
        <v>104592.27415384259</v>
      </c>
    </row>
    <row r="23" spans="1:21" ht="14.25">
      <c r="A23" s="50" t="s">
        <v>151</v>
      </c>
      <c r="B23" s="164">
        <f>Inputs!D7</f>
        <v>0.56</v>
      </c>
      <c r="C23" s="49">
        <f>C19*B23</f>
        <v>17463395.529393334</v>
      </c>
      <c r="D23" s="103"/>
      <c r="E23" s="107">
        <f>SUM(J23:U23)</f>
        <v>17463395.529393334</v>
      </c>
      <c r="F23" s="107">
        <f>SUM(J23:L23)</f>
        <v>4227950.8135725</v>
      </c>
      <c r="G23" s="107">
        <f>SUM(M23:O23)</f>
        <v>4496844.975600832</v>
      </c>
      <c r="H23" s="107">
        <f>SUM(P23:R23)</f>
        <v>4356754.628864169</v>
      </c>
      <c r="I23" s="107">
        <f>SUM(S23:U23)</f>
        <v>4381845.111355833</v>
      </c>
      <c r="J23" s="107">
        <f aca="true" t="shared" si="6" ref="J23:U23">J19*$B$23</f>
        <v>1411282.2070478704</v>
      </c>
      <c r="K23" s="107">
        <f t="shared" si="6"/>
        <v>1407909.3393121297</v>
      </c>
      <c r="L23" s="107">
        <f t="shared" si="6"/>
        <v>1408759.2672125003</v>
      </c>
      <c r="M23" s="107">
        <f t="shared" si="6"/>
        <v>1407061.7139489807</v>
      </c>
      <c r="N23" s="107">
        <f t="shared" si="6"/>
        <v>1638770.8527937974</v>
      </c>
      <c r="O23" s="107">
        <f t="shared" si="6"/>
        <v>1451012.4088580546</v>
      </c>
      <c r="P23" s="107">
        <f t="shared" si="6"/>
        <v>1449088.5080473174</v>
      </c>
      <c r="Q23" s="107">
        <f t="shared" si="6"/>
        <v>1448486.3088726855</v>
      </c>
      <c r="R23" s="107">
        <f t="shared" si="6"/>
        <v>1459179.8119441662</v>
      </c>
      <c r="S23" s="107">
        <f t="shared" si="6"/>
        <v>1458458.0939995374</v>
      </c>
      <c r="T23" s="107">
        <f t="shared" si="6"/>
        <v>1459095.1792024989</v>
      </c>
      <c r="U23" s="107">
        <f t="shared" si="6"/>
        <v>1464291.8381537965</v>
      </c>
    </row>
    <row r="24" spans="1:21" ht="14.25">
      <c r="A24" s="50" t="s">
        <v>78</v>
      </c>
      <c r="B24" s="164">
        <f>+Inputs!B8</f>
        <v>0.4</v>
      </c>
      <c r="C24" s="49">
        <f>C19*B24</f>
        <v>12473853.949566668</v>
      </c>
      <c r="D24" s="103"/>
      <c r="E24" s="107">
        <f>SUM(J24:U24)</f>
        <v>12473853.949566668</v>
      </c>
      <c r="F24" s="107">
        <f>SUM(J24:L24)</f>
        <v>3019964.8668375006</v>
      </c>
      <c r="G24" s="107">
        <f>SUM(M24:O24)</f>
        <v>3212032.1254291655</v>
      </c>
      <c r="H24" s="107">
        <f>SUM(P24:R24)</f>
        <v>3111967.592045835</v>
      </c>
      <c r="I24" s="107">
        <f>SUM(S24:U24)</f>
        <v>3129889.365254166</v>
      </c>
      <c r="J24" s="107">
        <f aca="true" t="shared" si="7" ref="J24:U24">J19*$B$24</f>
        <v>1008058.7193199075</v>
      </c>
      <c r="K24" s="107">
        <f t="shared" si="7"/>
        <v>1005649.5280800926</v>
      </c>
      <c r="L24" s="107">
        <f t="shared" si="7"/>
        <v>1006256.6194375001</v>
      </c>
      <c r="M24" s="107">
        <f t="shared" si="7"/>
        <v>1005044.081392129</v>
      </c>
      <c r="N24" s="107">
        <f t="shared" si="7"/>
        <v>1170550.6091384266</v>
      </c>
      <c r="O24" s="107">
        <f t="shared" si="7"/>
        <v>1036437.4348986102</v>
      </c>
      <c r="P24" s="107">
        <f t="shared" si="7"/>
        <v>1035063.220033798</v>
      </c>
      <c r="Q24" s="107">
        <f t="shared" si="7"/>
        <v>1034633.0777662039</v>
      </c>
      <c r="R24" s="107">
        <f t="shared" si="7"/>
        <v>1042271.2942458331</v>
      </c>
      <c r="S24" s="107">
        <f t="shared" si="7"/>
        <v>1041755.781428241</v>
      </c>
      <c r="T24" s="107">
        <f t="shared" si="7"/>
        <v>1042210.8422874991</v>
      </c>
      <c r="U24" s="107">
        <f t="shared" si="7"/>
        <v>1045922.7415384259</v>
      </c>
    </row>
    <row r="25" spans="2:21" ht="14.25">
      <c r="B25" s="113"/>
      <c r="C25" s="108">
        <f>SUM(C22:C24)</f>
        <v>31184634.87391667</v>
      </c>
      <c r="D25" s="103"/>
      <c r="E25" s="109">
        <f>SUM(J25:U25)</f>
        <v>31184634.873916663</v>
      </c>
      <c r="F25" s="109">
        <f>SUM(J25:L25)</f>
        <v>7549912.16709375</v>
      </c>
      <c r="G25" s="109">
        <f>SUM(M25:O25)</f>
        <v>8030080.313572915</v>
      </c>
      <c r="H25" s="109">
        <f>SUM(P25:R25)</f>
        <v>7779918.980114588</v>
      </c>
      <c r="I25" s="109">
        <f>SUM(S25:U25)</f>
        <v>7824723.413135415</v>
      </c>
      <c r="J25" s="109">
        <f aca="true" t="shared" si="8" ref="J25:U25">SUM(J22:J24)</f>
        <v>2520146.798299769</v>
      </c>
      <c r="K25" s="109">
        <f t="shared" si="8"/>
        <v>2514123.8202002314</v>
      </c>
      <c r="L25" s="109">
        <f t="shared" si="8"/>
        <v>2515641.54859375</v>
      </c>
      <c r="M25" s="109">
        <f t="shared" si="8"/>
        <v>2512610.203480323</v>
      </c>
      <c r="N25" s="109">
        <f t="shared" si="8"/>
        <v>2926376.5228460664</v>
      </c>
      <c r="O25" s="109">
        <f t="shared" si="8"/>
        <v>2591093.587246526</v>
      </c>
      <c r="P25" s="109">
        <f t="shared" si="8"/>
        <v>2587658.050084495</v>
      </c>
      <c r="Q25" s="109">
        <f t="shared" si="8"/>
        <v>2586582.6944155097</v>
      </c>
      <c r="R25" s="109">
        <f t="shared" si="8"/>
        <v>2605678.235614583</v>
      </c>
      <c r="S25" s="109">
        <f t="shared" si="8"/>
        <v>2604389.4535706025</v>
      </c>
      <c r="T25" s="109">
        <f t="shared" si="8"/>
        <v>2605527.1057187477</v>
      </c>
      <c r="U25" s="109">
        <f t="shared" si="8"/>
        <v>2614806.853846065</v>
      </c>
    </row>
    <row r="26" spans="2:21" ht="14.25">
      <c r="B26" s="113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4.25">
      <c r="A27" s="50" t="s">
        <v>152</v>
      </c>
      <c r="B27" s="164">
        <f>Inputs!D10</f>
        <v>0.0447</v>
      </c>
      <c r="C27" s="49">
        <f>C22*B27</f>
        <v>55758.127154563</v>
      </c>
      <c r="D27" s="103"/>
      <c r="E27" s="107">
        <f>SUM(J27:U27)</f>
        <v>55758.127154562986</v>
      </c>
      <c r="F27" s="107">
        <f>SUM(J27:L27)</f>
        <v>13499.242954763624</v>
      </c>
      <c r="G27" s="107">
        <f>SUM(M27:O27)</f>
        <v>14357.783600668372</v>
      </c>
      <c r="H27" s="107">
        <f>SUM(P27:R27)</f>
        <v>13910.495136444883</v>
      </c>
      <c r="I27" s="107">
        <f>SUM(S27:U27)</f>
        <v>13990.605462686122</v>
      </c>
      <c r="J27" s="107">
        <f aca="true" t="shared" si="9" ref="J27:U27">J22*$B$27</f>
        <v>4506.022475359986</v>
      </c>
      <c r="K27" s="107">
        <f t="shared" si="9"/>
        <v>4495.2533905180135</v>
      </c>
      <c r="L27" s="107">
        <f t="shared" si="9"/>
        <v>4497.967088885624</v>
      </c>
      <c r="M27" s="107">
        <f t="shared" si="9"/>
        <v>4492.547043822817</v>
      </c>
      <c r="N27" s="107">
        <f t="shared" si="9"/>
        <v>5232.361222848766</v>
      </c>
      <c r="O27" s="107">
        <f t="shared" si="9"/>
        <v>4632.875333996787</v>
      </c>
      <c r="P27" s="107">
        <f t="shared" si="9"/>
        <v>4626.732593551077</v>
      </c>
      <c r="Q27" s="107">
        <f t="shared" si="9"/>
        <v>4624.809857614931</v>
      </c>
      <c r="R27" s="107">
        <f t="shared" si="9"/>
        <v>4658.952685278873</v>
      </c>
      <c r="S27" s="107">
        <f t="shared" si="9"/>
        <v>4656.648342984237</v>
      </c>
      <c r="T27" s="107">
        <f t="shared" si="9"/>
        <v>4658.682465025121</v>
      </c>
      <c r="U27" s="107">
        <f t="shared" si="9"/>
        <v>4675.274654676763</v>
      </c>
    </row>
    <row r="28" spans="1:21" ht="14.25">
      <c r="A28" s="50" t="s">
        <v>153</v>
      </c>
      <c r="B28" s="164">
        <f>Inputs!D11</f>
        <v>0.0526</v>
      </c>
      <c r="C28" s="49">
        <f>C23*B28</f>
        <v>918574.6048460894</v>
      </c>
      <c r="D28" s="103"/>
      <c r="E28" s="107">
        <f>SUM(J28:U28)</f>
        <v>918574.6048460895</v>
      </c>
      <c r="F28" s="107">
        <f>SUM(J28:L28)</f>
        <v>222390.21279391355</v>
      </c>
      <c r="G28" s="107">
        <f>SUM(M28:O28)</f>
        <v>236534.0457166038</v>
      </c>
      <c r="H28" s="107">
        <f>SUM(P28:R28)</f>
        <v>229165.2934782553</v>
      </c>
      <c r="I28" s="107">
        <f>SUM(S28:U28)</f>
        <v>230485.0528573168</v>
      </c>
      <c r="J28" s="107">
        <f aca="true" t="shared" si="10" ref="J28:U28">J23*$B$28</f>
        <v>74233.44409071798</v>
      </c>
      <c r="K28" s="107">
        <f t="shared" si="10"/>
        <v>74056.03124781803</v>
      </c>
      <c r="L28" s="107">
        <f t="shared" si="10"/>
        <v>74100.73745537752</v>
      </c>
      <c r="M28" s="107">
        <f t="shared" si="10"/>
        <v>74011.44615371639</v>
      </c>
      <c r="N28" s="107">
        <f t="shared" si="10"/>
        <v>86199.34685695375</v>
      </c>
      <c r="O28" s="107">
        <f t="shared" si="10"/>
        <v>76323.25270593367</v>
      </c>
      <c r="P28" s="107">
        <f t="shared" si="10"/>
        <v>76222.0555232889</v>
      </c>
      <c r="Q28" s="107">
        <f t="shared" si="10"/>
        <v>76190.37984670326</v>
      </c>
      <c r="R28" s="107">
        <f t="shared" si="10"/>
        <v>76752.85810826314</v>
      </c>
      <c r="S28" s="107">
        <f t="shared" si="10"/>
        <v>76714.89574437567</v>
      </c>
      <c r="T28" s="107">
        <f t="shared" si="10"/>
        <v>76748.40642605144</v>
      </c>
      <c r="U28" s="107">
        <f t="shared" si="10"/>
        <v>77021.7506868897</v>
      </c>
    </row>
    <row r="29" spans="1:21" ht="14.25">
      <c r="A29" s="50" t="s">
        <v>71</v>
      </c>
      <c r="B29" s="164">
        <f>Inputs!D12</f>
        <v>0.0857</v>
      </c>
      <c r="C29" s="49">
        <f>C24*B29</f>
        <v>1069009.2834778635</v>
      </c>
      <c r="D29" s="103"/>
      <c r="E29" s="107">
        <f>SUM(J29:U29)</f>
        <v>1069009.2834778633</v>
      </c>
      <c r="F29" s="107">
        <f>SUM(J29:L29)</f>
        <v>258810.98908797378</v>
      </c>
      <c r="G29" s="107">
        <f>SUM(M29:O29)</f>
        <v>275271.15314927953</v>
      </c>
      <c r="H29" s="107">
        <f>SUM(P29:R29)</f>
        <v>266695.62263832806</v>
      </c>
      <c r="I29" s="107">
        <f>SUM(S29:U29)</f>
        <v>268231.51860228204</v>
      </c>
      <c r="J29" s="107">
        <f aca="true" t="shared" si="11" ref="J29:U29">J24*$B$29</f>
        <v>86390.63224571607</v>
      </c>
      <c r="K29" s="107">
        <f t="shared" si="11"/>
        <v>86184.16455646393</v>
      </c>
      <c r="L29" s="107">
        <f t="shared" si="11"/>
        <v>86236.19228579376</v>
      </c>
      <c r="M29" s="107">
        <f t="shared" si="11"/>
        <v>86132.27777530545</v>
      </c>
      <c r="N29" s="107">
        <f t="shared" si="11"/>
        <v>100316.18720316316</v>
      </c>
      <c r="O29" s="107">
        <f t="shared" si="11"/>
        <v>88822.6881708109</v>
      </c>
      <c r="P29" s="107">
        <f t="shared" si="11"/>
        <v>88704.91795689649</v>
      </c>
      <c r="Q29" s="107">
        <f t="shared" si="11"/>
        <v>88668.05476456367</v>
      </c>
      <c r="R29" s="107">
        <f t="shared" si="11"/>
        <v>89322.64991686789</v>
      </c>
      <c r="S29" s="107">
        <f t="shared" si="11"/>
        <v>89278.47046840025</v>
      </c>
      <c r="T29" s="107">
        <f t="shared" si="11"/>
        <v>89317.46918403867</v>
      </c>
      <c r="U29" s="107">
        <f t="shared" si="11"/>
        <v>89635.5789498431</v>
      </c>
    </row>
    <row r="30" spans="1:21" ht="15">
      <c r="A30" s="102" t="s">
        <v>12</v>
      </c>
      <c r="C30" s="108">
        <f>SUM(C27:C29)</f>
        <v>2043342.015478516</v>
      </c>
      <c r="D30" s="103"/>
      <c r="E30" s="109">
        <f>SUM(J30:U30)</f>
        <v>2043342.015478516</v>
      </c>
      <c r="F30" s="109">
        <f>SUM(J30:L30)</f>
        <v>494700.444836651</v>
      </c>
      <c r="G30" s="109">
        <f>SUM(M30:O30)</f>
        <v>526162.9824665517</v>
      </c>
      <c r="H30" s="109">
        <f>SUM(P30:R30)</f>
        <v>509771.41125302826</v>
      </c>
      <c r="I30" s="109">
        <f>SUM(S30:U30)</f>
        <v>512707.17692228494</v>
      </c>
      <c r="J30" s="109">
        <f aca="true" t="shared" si="12" ref="J30:U30">SUM(J27:J29)</f>
        <v>165130.09881179404</v>
      </c>
      <c r="K30" s="109">
        <f t="shared" si="12"/>
        <v>164735.4491948</v>
      </c>
      <c r="L30" s="109">
        <f t="shared" si="12"/>
        <v>164834.8968300569</v>
      </c>
      <c r="M30" s="109">
        <f t="shared" si="12"/>
        <v>164636.27097284468</v>
      </c>
      <c r="N30" s="109">
        <f t="shared" si="12"/>
        <v>191747.89528296568</v>
      </c>
      <c r="O30" s="109">
        <f t="shared" si="12"/>
        <v>169778.81621074135</v>
      </c>
      <c r="P30" s="109">
        <f t="shared" si="12"/>
        <v>169553.70607373648</v>
      </c>
      <c r="Q30" s="109">
        <f t="shared" si="12"/>
        <v>169483.24446888187</v>
      </c>
      <c r="R30" s="109">
        <f t="shared" si="12"/>
        <v>170734.4607104099</v>
      </c>
      <c r="S30" s="109">
        <f t="shared" si="12"/>
        <v>170650.01455576014</v>
      </c>
      <c r="T30" s="109">
        <f t="shared" si="12"/>
        <v>170724.55807511523</v>
      </c>
      <c r="U30" s="109">
        <f t="shared" si="12"/>
        <v>171332.60429140955</v>
      </c>
    </row>
    <row r="31" spans="1:21" ht="15">
      <c r="A31" s="102"/>
      <c r="C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5">
      <c r="A32" s="102" t="s">
        <v>14</v>
      </c>
      <c r="C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4.25">
      <c r="A33" s="111" t="s">
        <v>186</v>
      </c>
      <c r="C33" s="49">
        <f>+SUM('Avg Assets 10'!F11:F12)</f>
        <v>2249695.232</v>
      </c>
      <c r="D33" s="103"/>
      <c r="E33" s="107">
        <f>SUM(J33:U33)</f>
        <v>2249695.232</v>
      </c>
      <c r="F33" s="107">
        <f>SUM(J33:L33)</f>
        <v>545161.8508333333</v>
      </c>
      <c r="G33" s="107">
        <f>SUM(M33:O33)</f>
        <v>555315.5538333333</v>
      </c>
      <c r="H33" s="107">
        <f>SUM(P33:R33)</f>
        <v>566911.1358333334</v>
      </c>
      <c r="I33" s="107">
        <f>SUM(S33:U33)</f>
        <v>582306.6915</v>
      </c>
      <c r="J33" s="107">
        <f>+'Avg Assets 10'!N11+'Avg Assets 10'!N12</f>
        <v>180592.4277222222</v>
      </c>
      <c r="K33" s="107">
        <f>+'Avg Assets 10'!O11+'Avg Assets 10'!O12</f>
        <v>181720.61694444442</v>
      </c>
      <c r="L33" s="107">
        <f>+'Avg Assets 10'!P11+'Avg Assets 10'!P12</f>
        <v>182848.80616666665</v>
      </c>
      <c r="M33" s="107">
        <f>+'Avg Assets 10'!Q11+'Avg Assets 10'!Q12</f>
        <v>183976.99538888887</v>
      </c>
      <c r="N33" s="107">
        <f>+'Avg Assets 10'!R11+'Avg Assets 10'!R12</f>
        <v>185105.1846111111</v>
      </c>
      <c r="O33" s="107">
        <f>+'Avg Assets 10'!S11+'Avg Assets 10'!S12</f>
        <v>186233.37383333332</v>
      </c>
      <c r="P33" s="107">
        <f>+'Avg Assets 10'!T11+'Avg Assets 10'!T12</f>
        <v>187361.56305555554</v>
      </c>
      <c r="Q33" s="107">
        <f>+'Avg Assets 10'!U11+'Avg Assets 10'!U12</f>
        <v>188489.75227777776</v>
      </c>
      <c r="R33" s="107">
        <f>+'Avg Assets 10'!V11+'Avg Assets 10'!V12</f>
        <v>191059.8205</v>
      </c>
      <c r="S33" s="107">
        <f>+'Avg Assets 10'!W11+'Avg Assets 10'!W12</f>
        <v>192508.46755555554</v>
      </c>
      <c r="T33" s="107">
        <f>+'Avg Assets 10'!X11+'Avg Assets 10'!X12</f>
        <v>193957.08238888887</v>
      </c>
      <c r="U33" s="107">
        <f>+'Avg Assets 10'!Y11+'Avg Assets 10'!Y12</f>
        <v>195841.14155555554</v>
      </c>
    </row>
    <row r="34" spans="1:21" ht="14.25">
      <c r="A34" s="111" t="s">
        <v>87</v>
      </c>
      <c r="C34" s="49">
        <f>+SUM('Avg Assets 10'!F27:F28)</f>
        <v>0</v>
      </c>
      <c r="D34" s="103"/>
      <c r="E34" s="107">
        <f>SUM(J34:U34)</f>
        <v>0</v>
      </c>
      <c r="F34" s="107">
        <f>SUM(J34:L34)</f>
        <v>0</v>
      </c>
      <c r="G34" s="107">
        <f>SUM(M34:O34)</f>
        <v>0</v>
      </c>
      <c r="H34" s="107">
        <f>SUM(P34:R34)</f>
        <v>0</v>
      </c>
      <c r="I34" s="107">
        <f>SUM(S34:U34)</f>
        <v>0</v>
      </c>
      <c r="J34" s="107">
        <f>'Avg Assets 10'!N27+'Avg Assets 10'!N28</f>
        <v>0</v>
      </c>
      <c r="K34" s="107">
        <f>'Avg Assets 10'!O27+'Avg Assets 10'!O28</f>
        <v>0</v>
      </c>
      <c r="L34" s="107">
        <f>'Avg Assets 10'!P27+'Avg Assets 10'!P28</f>
        <v>0</v>
      </c>
      <c r="M34" s="107">
        <f>'Avg Assets 10'!Q27+'Avg Assets 10'!Q28</f>
        <v>0</v>
      </c>
      <c r="N34" s="107">
        <f>'Avg Assets 10'!R27+'Avg Assets 10'!R28</f>
        <v>0</v>
      </c>
      <c r="O34" s="107">
        <f>'Avg Assets 10'!S27+'Avg Assets 10'!S28</f>
        <v>0</v>
      </c>
      <c r="P34" s="107">
        <f>'Avg Assets 10'!T27+'Avg Assets 10'!T28</f>
        <v>0</v>
      </c>
      <c r="Q34" s="107">
        <f>'Avg Assets 10'!U27+'Avg Assets 10'!U28</f>
        <v>0</v>
      </c>
      <c r="R34" s="107">
        <f>'Avg Assets 10'!V27+'Avg Assets 10'!V28</f>
        <v>0</v>
      </c>
      <c r="S34" s="107">
        <f>'Avg Assets 10'!W27+'Avg Assets 10'!W28</f>
        <v>0</v>
      </c>
      <c r="T34" s="107">
        <f>'Avg Assets 10'!X27+'Avg Assets 10'!X28</f>
        <v>0</v>
      </c>
      <c r="U34" s="107">
        <f>'Avg Assets 10'!Y27+'Avg Assets 10'!Y28</f>
        <v>0</v>
      </c>
    </row>
    <row r="35" spans="1:21" ht="14.25">
      <c r="A35" s="111" t="s">
        <v>73</v>
      </c>
      <c r="C35" s="49">
        <f>+SUM('Avg Assets 10'!F43:F44)</f>
        <v>1128.0800000000006</v>
      </c>
      <c r="D35" s="103"/>
      <c r="E35" s="107">
        <f>SUM(J35:U35)</f>
        <v>1128.0800000000004</v>
      </c>
      <c r="F35" s="107">
        <f>SUM(J35:L35)</f>
        <v>282.02000000000015</v>
      </c>
      <c r="G35" s="107">
        <f>SUM(M35:O35)</f>
        <v>282.02000000000015</v>
      </c>
      <c r="H35" s="107">
        <f>SUM(P35:R35)</f>
        <v>282.02000000000015</v>
      </c>
      <c r="I35" s="107">
        <f>SUM(S35:U35)</f>
        <v>282.02000000000015</v>
      </c>
      <c r="J35" s="107">
        <f>'Avg Assets 10'!N43+'Avg Assets 10'!N44</f>
        <v>94.00666666666672</v>
      </c>
      <c r="K35" s="107">
        <f>'Avg Assets 10'!O43+'Avg Assets 10'!O44</f>
        <v>94.00666666666672</v>
      </c>
      <c r="L35" s="107">
        <f>'Avg Assets 10'!P43+'Avg Assets 10'!P44</f>
        <v>94.00666666666672</v>
      </c>
      <c r="M35" s="107">
        <f>'Avg Assets 10'!Q43+'Avg Assets 10'!Q44</f>
        <v>94.00666666666672</v>
      </c>
      <c r="N35" s="107">
        <f>'Avg Assets 10'!R43+'Avg Assets 10'!R44</f>
        <v>94.00666666666672</v>
      </c>
      <c r="O35" s="107">
        <f>'Avg Assets 10'!S43+'Avg Assets 10'!S44</f>
        <v>94.00666666666672</v>
      </c>
      <c r="P35" s="107">
        <f>'Avg Assets 10'!T43+'Avg Assets 10'!T44</f>
        <v>94.00666666666672</v>
      </c>
      <c r="Q35" s="107">
        <f>'Avg Assets 10'!U43+'Avg Assets 10'!U44</f>
        <v>94.00666666666672</v>
      </c>
      <c r="R35" s="107">
        <f>'Avg Assets 10'!V43+'Avg Assets 10'!V44</f>
        <v>94.00666666666672</v>
      </c>
      <c r="S35" s="107">
        <f>'Avg Assets 10'!W43+'Avg Assets 10'!W44</f>
        <v>94.00666666666672</v>
      </c>
      <c r="T35" s="107">
        <f>'Avg Assets 10'!X43+'Avg Assets 10'!X44</f>
        <v>94.00666666666672</v>
      </c>
      <c r="U35" s="107">
        <f>'Avg Assets 10'!Y43+'Avg Assets 10'!Y44</f>
        <v>94.00666666666672</v>
      </c>
    </row>
    <row r="36" spans="1:21" ht="14.25">
      <c r="A36" s="111" t="s">
        <v>187</v>
      </c>
      <c r="C36" s="115">
        <f>+SUM('Avg Assets 10'!F59:F60)</f>
        <v>492035.68100000004</v>
      </c>
      <c r="D36" s="103"/>
      <c r="E36" s="116">
        <f>SUM(J36:U36)</f>
        <v>492035.68100000004</v>
      </c>
      <c r="F36" s="116">
        <f>SUM(J36:L36)</f>
        <v>69799.79575</v>
      </c>
      <c r="G36" s="116">
        <f>SUM(M36:O36)</f>
        <v>174855.54525000002</v>
      </c>
      <c r="H36" s="116">
        <f>SUM(P36:R36)</f>
        <v>124371.41975</v>
      </c>
      <c r="I36" s="116">
        <f>SUM(S36:U36)</f>
        <v>123008.92025</v>
      </c>
      <c r="J36" s="116">
        <f>'Avg Assets 10'!N59+'Avg Assets 10'!N60</f>
        <v>23115.209749999998</v>
      </c>
      <c r="K36" s="116">
        <f>'Avg Assets 10'!O59+'Avg Assets 10'!O60</f>
        <v>23266.598583333332</v>
      </c>
      <c r="L36" s="116">
        <f>'Avg Assets 10'!P59+'Avg Assets 10'!P60</f>
        <v>23417.987416666667</v>
      </c>
      <c r="M36" s="116">
        <f>'Avg Assets 10'!Q59+'Avg Assets 10'!Q60</f>
        <v>23569.37625</v>
      </c>
      <c r="N36" s="116">
        <f>'Avg Assets 10'!R59+'Avg Assets 10'!R60</f>
        <v>110131.80675</v>
      </c>
      <c r="O36" s="116">
        <f>'Avg Assets 10'!S59+'Avg Assets 10'!S60</f>
        <v>41154.36225</v>
      </c>
      <c r="P36" s="116">
        <f>'Avg Assets 10'!T59+'Avg Assets 10'!T60</f>
        <v>41305.751083333336</v>
      </c>
      <c r="Q36" s="116">
        <f>'Avg Assets 10'!U59+'Avg Assets 10'!U60</f>
        <v>41457.13991666667</v>
      </c>
      <c r="R36" s="116">
        <f>'Avg Assets 10'!V59+'Avg Assets 10'!V60</f>
        <v>41608.52875</v>
      </c>
      <c r="S36" s="116">
        <f>'Avg Assets 10'!W59+'Avg Assets 10'!W60</f>
        <v>41002.97341666667</v>
      </c>
      <c r="T36" s="116">
        <f>'Avg Assets 10'!X59+'Avg Assets 10'!X60</f>
        <v>41002.97341666667</v>
      </c>
      <c r="U36" s="116">
        <f>'Avg Assets 10'!Y59+'Avg Assets 10'!Y60</f>
        <v>41002.97341666667</v>
      </c>
    </row>
    <row r="37" spans="1:21" ht="15">
      <c r="A37" s="102" t="s">
        <v>15</v>
      </c>
      <c r="B37" s="117"/>
      <c r="C37" s="118">
        <f>SUM(C33:C36)</f>
        <v>2742858.993</v>
      </c>
      <c r="D37" s="103"/>
      <c r="E37" s="119">
        <f>SUM(E33:E36)</f>
        <v>2742858.993</v>
      </c>
      <c r="F37" s="107">
        <f>SUM(J37:L37)</f>
        <v>615243.6665833333</v>
      </c>
      <c r="G37" s="107">
        <f>SUM(M37:O37)</f>
        <v>730453.1190833333</v>
      </c>
      <c r="H37" s="107">
        <f>SUM(P37:R37)</f>
        <v>691564.5755833333</v>
      </c>
      <c r="I37" s="107">
        <f>SUM(S37:U37)</f>
        <v>705597.63175</v>
      </c>
      <c r="J37" s="107">
        <f aca="true" t="shared" si="13" ref="J37:U37">SUM(J33:J36)</f>
        <v>203801.64413888886</v>
      </c>
      <c r="K37" s="107">
        <f t="shared" si="13"/>
        <v>205081.22219444442</v>
      </c>
      <c r="L37" s="107">
        <f t="shared" si="13"/>
        <v>206360.80024999997</v>
      </c>
      <c r="M37" s="107">
        <f t="shared" si="13"/>
        <v>207640.37830555553</v>
      </c>
      <c r="N37" s="107">
        <f t="shared" si="13"/>
        <v>295330.99802777776</v>
      </c>
      <c r="O37" s="107">
        <f t="shared" si="13"/>
        <v>227481.74274999998</v>
      </c>
      <c r="P37" s="107">
        <f t="shared" si="13"/>
        <v>228761.32080555553</v>
      </c>
      <c r="Q37" s="107">
        <f t="shared" si="13"/>
        <v>230040.89886111108</v>
      </c>
      <c r="R37" s="107">
        <f t="shared" si="13"/>
        <v>232762.35591666665</v>
      </c>
      <c r="S37" s="107">
        <f t="shared" si="13"/>
        <v>233605.44763888887</v>
      </c>
      <c r="T37" s="107">
        <f t="shared" si="13"/>
        <v>235054.0624722222</v>
      </c>
      <c r="U37" s="107">
        <f t="shared" si="13"/>
        <v>236938.12163888887</v>
      </c>
    </row>
    <row r="38" spans="5:21" ht="14.25"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">
      <c r="A39" s="102" t="s">
        <v>16</v>
      </c>
      <c r="C39" s="120">
        <f>SUM(C30,C37,C13)</f>
        <v>7631907.4784785155</v>
      </c>
      <c r="D39" s="103"/>
      <c r="E39" s="109">
        <f>SUM(E30,E37,E13)</f>
        <v>7631907.4784785155</v>
      </c>
      <c r="F39" s="109">
        <f>SUM(J39:L39)</f>
        <v>1923582.831419984</v>
      </c>
      <c r="G39" s="109">
        <f>SUM(M39:O39)</f>
        <v>1951831.891549885</v>
      </c>
      <c r="H39" s="109">
        <f>SUM(P39:R39)</f>
        <v>1867396.8968363616</v>
      </c>
      <c r="I39" s="109">
        <f>SUM(S39:U39)</f>
        <v>1889095.858672285</v>
      </c>
      <c r="J39" s="109">
        <f aca="true" t="shared" si="14" ref="J39:U39">SUM(J30,J37,J13)</f>
        <v>672510.8429506829</v>
      </c>
      <c r="K39" s="109">
        <f t="shared" si="14"/>
        <v>620494.5013892443</v>
      </c>
      <c r="L39" s="109">
        <f t="shared" si="14"/>
        <v>630577.4870800569</v>
      </c>
      <c r="M39" s="109">
        <f t="shared" si="14"/>
        <v>605249.3892784002</v>
      </c>
      <c r="N39" s="109">
        <f t="shared" si="14"/>
        <v>716880.2133107434</v>
      </c>
      <c r="O39" s="109">
        <f t="shared" si="14"/>
        <v>629702.2889607414</v>
      </c>
      <c r="P39" s="109">
        <f t="shared" si="14"/>
        <v>616474.3768792921</v>
      </c>
      <c r="Q39" s="109">
        <f t="shared" si="14"/>
        <v>623562.1433299929</v>
      </c>
      <c r="R39" s="109">
        <f t="shared" si="14"/>
        <v>627360.3766270767</v>
      </c>
      <c r="S39" s="109">
        <f t="shared" si="14"/>
        <v>626178.5421946491</v>
      </c>
      <c r="T39" s="109">
        <f t="shared" si="14"/>
        <v>624017.6905473375</v>
      </c>
      <c r="U39" s="109">
        <f t="shared" si="14"/>
        <v>638899.6259302985</v>
      </c>
    </row>
    <row r="40" spans="1:21" ht="15">
      <c r="A40" s="102"/>
      <c r="C40" s="118"/>
      <c r="E40" s="119"/>
      <c r="F40" s="119"/>
      <c r="G40" s="119"/>
      <c r="H40" s="119"/>
      <c r="I40" s="119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">
      <c r="A41" s="102" t="s">
        <v>17</v>
      </c>
      <c r="C41" s="118"/>
      <c r="E41" s="119"/>
      <c r="F41" s="119"/>
      <c r="G41" s="119"/>
      <c r="H41" s="119"/>
      <c r="I41" s="119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ht="14.25">
      <c r="A42" s="111" t="s">
        <v>18</v>
      </c>
      <c r="C42" s="118">
        <f>-C13</f>
        <v>-2845706.4699999997</v>
      </c>
      <c r="D42" s="103"/>
      <c r="E42" s="107">
        <f>SUM(J42:U42)</f>
        <v>-2845706.4699999997</v>
      </c>
      <c r="F42" s="107">
        <f>SUM(J42:L42)</f>
        <v>-813638.72</v>
      </c>
      <c r="G42" s="107">
        <f>SUM(M42:O42)</f>
        <v>-695215.79</v>
      </c>
      <c r="H42" s="107">
        <f>SUM(P42:R42)</f>
        <v>-666060.91</v>
      </c>
      <c r="I42" s="107">
        <f>SUM(S42:U42)</f>
        <v>-670791.05</v>
      </c>
      <c r="J42" s="119">
        <f aca="true" t="shared" si="15" ref="J42:U42">-J13</f>
        <v>-303579.1</v>
      </c>
      <c r="K42" s="119">
        <f t="shared" si="15"/>
        <v>-250677.83000000002</v>
      </c>
      <c r="L42" s="119">
        <f t="shared" si="15"/>
        <v>-259381.79000000004</v>
      </c>
      <c r="M42" s="119">
        <f t="shared" si="15"/>
        <v>-232972.74</v>
      </c>
      <c r="N42" s="119">
        <f t="shared" si="15"/>
        <v>-229801.32</v>
      </c>
      <c r="O42" s="119">
        <f t="shared" si="15"/>
        <v>-232441.72999999998</v>
      </c>
      <c r="P42" s="119">
        <f t="shared" si="15"/>
        <v>-218159.35000000003</v>
      </c>
      <c r="Q42" s="119">
        <f t="shared" si="15"/>
        <v>-224038</v>
      </c>
      <c r="R42" s="119">
        <f t="shared" si="15"/>
        <v>-223863.56</v>
      </c>
      <c r="S42" s="119">
        <f t="shared" si="15"/>
        <v>-221923.08000000002</v>
      </c>
      <c r="T42" s="119">
        <f t="shared" si="15"/>
        <v>-218239.07</v>
      </c>
      <c r="U42" s="119">
        <f t="shared" si="15"/>
        <v>-230628.9</v>
      </c>
    </row>
    <row r="43" spans="1:21" ht="14.25">
      <c r="A43" s="111" t="s">
        <v>19</v>
      </c>
      <c r="C43" s="49">
        <f>-SUM(C33:C36)</f>
        <v>-2742858.993</v>
      </c>
      <c r="D43" s="103"/>
      <c r="E43" s="107">
        <f>SUM(J43:U43)</f>
        <v>-2742858.9930000002</v>
      </c>
      <c r="F43" s="107">
        <f>SUM(J43:L43)</f>
        <v>-615243.6665833333</v>
      </c>
      <c r="G43" s="107">
        <f>SUM(M43:O43)</f>
        <v>-730453.1190833333</v>
      </c>
      <c r="H43" s="107">
        <f>SUM(P43:R43)</f>
        <v>-691564.5755833333</v>
      </c>
      <c r="I43" s="107">
        <f>SUM(S43:U43)</f>
        <v>-705597.63175</v>
      </c>
      <c r="J43" s="107">
        <f aca="true" t="shared" si="16" ref="J43:U43">-J37</f>
        <v>-203801.64413888886</v>
      </c>
      <c r="K43" s="107">
        <f t="shared" si="16"/>
        <v>-205081.22219444442</v>
      </c>
      <c r="L43" s="107">
        <f t="shared" si="16"/>
        <v>-206360.80024999997</v>
      </c>
      <c r="M43" s="107">
        <f t="shared" si="16"/>
        <v>-207640.37830555553</v>
      </c>
      <c r="N43" s="107">
        <f t="shared" si="16"/>
        <v>-295330.99802777776</v>
      </c>
      <c r="O43" s="107">
        <f t="shared" si="16"/>
        <v>-227481.74274999998</v>
      </c>
      <c r="P43" s="107">
        <f t="shared" si="16"/>
        <v>-228761.32080555553</v>
      </c>
      <c r="Q43" s="107">
        <f t="shared" si="16"/>
        <v>-230040.89886111108</v>
      </c>
      <c r="R43" s="107">
        <f t="shared" si="16"/>
        <v>-232762.35591666665</v>
      </c>
      <c r="S43" s="107">
        <f t="shared" si="16"/>
        <v>-233605.44763888887</v>
      </c>
      <c r="T43" s="107">
        <f t="shared" si="16"/>
        <v>-235054.0624722222</v>
      </c>
      <c r="U43" s="107">
        <f t="shared" si="16"/>
        <v>-236938.12163888887</v>
      </c>
    </row>
    <row r="44" spans="1:21" ht="14.25">
      <c r="A44" s="111" t="s">
        <v>20</v>
      </c>
      <c r="C44" s="49">
        <f>-C27-C28</f>
        <v>-974332.7320006524</v>
      </c>
      <c r="D44" s="103"/>
      <c r="E44" s="107">
        <f>SUM(J44:U44)</f>
        <v>-974332.7320006525</v>
      </c>
      <c r="F44" s="107">
        <f>SUM(J44:L44)</f>
        <v>-235889.45574867714</v>
      </c>
      <c r="G44" s="107">
        <f>SUM(M44:O44)</f>
        <v>-250891.82931727218</v>
      </c>
      <c r="H44" s="107">
        <f>SUM(P44:R44)</f>
        <v>-243075.7886147002</v>
      </c>
      <c r="I44" s="107">
        <f>SUM(S44:U44)</f>
        <v>-244475.65832000296</v>
      </c>
      <c r="J44" s="107">
        <f aca="true" t="shared" si="17" ref="J44:U44">-J27-J28</f>
        <v>-78739.46656607797</v>
      </c>
      <c r="K44" s="107">
        <f t="shared" si="17"/>
        <v>-78551.28463833604</v>
      </c>
      <c r="L44" s="107">
        <f t="shared" si="17"/>
        <v>-78598.70454426314</v>
      </c>
      <c r="M44" s="107">
        <f t="shared" si="17"/>
        <v>-78503.99319753921</v>
      </c>
      <c r="N44" s="107">
        <f t="shared" si="17"/>
        <v>-91431.70807980251</v>
      </c>
      <c r="O44" s="107">
        <f t="shared" si="17"/>
        <v>-80956.12803993045</v>
      </c>
      <c r="P44" s="107">
        <f t="shared" si="17"/>
        <v>-80848.78811683998</v>
      </c>
      <c r="Q44" s="107">
        <f t="shared" si="17"/>
        <v>-80815.1897043182</v>
      </c>
      <c r="R44" s="107">
        <f t="shared" si="17"/>
        <v>-81411.81079354201</v>
      </c>
      <c r="S44" s="107">
        <f t="shared" si="17"/>
        <v>-81371.5440873599</v>
      </c>
      <c r="T44" s="107">
        <f t="shared" si="17"/>
        <v>-81407.08889107656</v>
      </c>
      <c r="U44" s="107">
        <f t="shared" si="17"/>
        <v>-81697.02534156646</v>
      </c>
    </row>
    <row r="45" spans="1:21" ht="15">
      <c r="A45" s="102" t="s">
        <v>21</v>
      </c>
      <c r="B45" s="117"/>
      <c r="C45" s="108">
        <f>SUM(C39:C44)</f>
        <v>1069009.2834778638</v>
      </c>
      <c r="D45" s="103"/>
      <c r="E45" s="109">
        <f>SUM(J45:U45)</f>
        <v>1069009.2834778633</v>
      </c>
      <c r="F45" s="109">
        <f>SUM(J45:L45)</f>
        <v>258810.98908797372</v>
      </c>
      <c r="G45" s="109">
        <f>SUM(M45:O45)</f>
        <v>275271.1531492794</v>
      </c>
      <c r="H45" s="109">
        <f>SUM(P45:R45)</f>
        <v>266695.6226383281</v>
      </c>
      <c r="I45" s="109">
        <f>SUM(S45:U45)</f>
        <v>268231.51860228216</v>
      </c>
      <c r="J45" s="109">
        <f aca="true" t="shared" si="18" ref="J45:U45">SUM(J42:J44)+J39</f>
        <v>86390.63224571606</v>
      </c>
      <c r="K45" s="109">
        <f t="shared" si="18"/>
        <v>86184.16455646383</v>
      </c>
      <c r="L45" s="109">
        <f t="shared" si="18"/>
        <v>86236.19228579383</v>
      </c>
      <c r="M45" s="109">
        <f t="shared" si="18"/>
        <v>86132.27777530544</v>
      </c>
      <c r="N45" s="109">
        <f t="shared" si="18"/>
        <v>100316.18720316305</v>
      </c>
      <c r="O45" s="109">
        <f t="shared" si="18"/>
        <v>88822.68817081093</v>
      </c>
      <c r="P45" s="109">
        <f t="shared" si="18"/>
        <v>88704.91795689659</v>
      </c>
      <c r="Q45" s="109">
        <f t="shared" si="18"/>
        <v>88668.05476456357</v>
      </c>
      <c r="R45" s="109">
        <f t="shared" si="18"/>
        <v>89322.64991686796</v>
      </c>
      <c r="S45" s="109">
        <f t="shared" si="18"/>
        <v>89278.47046840028</v>
      </c>
      <c r="T45" s="109">
        <f t="shared" si="18"/>
        <v>89317.4691840387</v>
      </c>
      <c r="U45" s="109">
        <f t="shared" si="18"/>
        <v>89635.57894984318</v>
      </c>
    </row>
    <row r="46" spans="1:21" ht="15">
      <c r="A46" s="102"/>
      <c r="C46" s="106"/>
      <c r="E46" s="107"/>
      <c r="F46" s="107"/>
      <c r="G46" s="107"/>
      <c r="H46" s="107"/>
      <c r="I46" s="107"/>
      <c r="J46" s="122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ht="15">
      <c r="A47" s="102" t="s">
        <v>80</v>
      </c>
      <c r="C47" s="49">
        <f>+'PILs 10'!D30</f>
        <v>292793.0859887781</v>
      </c>
      <c r="D47" s="103"/>
      <c r="E47" s="107">
        <f>SUM(J47:U47)</f>
        <v>292793.0859887781</v>
      </c>
      <c r="F47" s="107">
        <f>SUM(J47:L47)</f>
        <v>73198.27149719452</v>
      </c>
      <c r="G47" s="107">
        <f>SUM(M47:O47)</f>
        <v>73198.27149719452</v>
      </c>
      <c r="H47" s="107">
        <f>SUM(P47:R47)</f>
        <v>73198.27149719452</v>
      </c>
      <c r="I47" s="107">
        <f>SUM(S47:U47)</f>
        <v>73198.27149719452</v>
      </c>
      <c r="J47" s="107">
        <f aca="true" t="shared" si="19" ref="J47:U47">$C$47/12</f>
        <v>24399.423832398174</v>
      </c>
      <c r="K47" s="107">
        <f t="shared" si="19"/>
        <v>24399.423832398174</v>
      </c>
      <c r="L47" s="107">
        <f t="shared" si="19"/>
        <v>24399.423832398174</v>
      </c>
      <c r="M47" s="107">
        <f t="shared" si="19"/>
        <v>24399.423832398174</v>
      </c>
      <c r="N47" s="107">
        <f t="shared" si="19"/>
        <v>24399.423832398174</v>
      </c>
      <c r="O47" s="107">
        <f t="shared" si="19"/>
        <v>24399.423832398174</v>
      </c>
      <c r="P47" s="107">
        <f t="shared" si="19"/>
        <v>24399.423832398174</v>
      </c>
      <c r="Q47" s="107">
        <f t="shared" si="19"/>
        <v>24399.423832398174</v>
      </c>
      <c r="R47" s="107">
        <f t="shared" si="19"/>
        <v>24399.423832398174</v>
      </c>
      <c r="S47" s="107">
        <f t="shared" si="19"/>
        <v>24399.423832398174</v>
      </c>
      <c r="T47" s="107">
        <f t="shared" si="19"/>
        <v>24399.423832398174</v>
      </c>
      <c r="U47" s="107">
        <f t="shared" si="19"/>
        <v>24399.423832398174</v>
      </c>
    </row>
    <row r="48" spans="3:21" ht="14.25">
      <c r="C48" s="106"/>
      <c r="E48" s="107"/>
      <c r="F48" s="107"/>
      <c r="G48" s="107"/>
      <c r="H48" s="107"/>
      <c r="I48" s="107"/>
      <c r="J48" s="122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ht="14.25">
      <c r="A49" s="50" t="str">
        <f>A39</f>
        <v>Revenue Requirement Before PILs</v>
      </c>
      <c r="C49" s="106">
        <f>C39</f>
        <v>7631907.4784785155</v>
      </c>
      <c r="D49" s="103"/>
      <c r="E49" s="107">
        <f>SUM(J49:U49)</f>
        <v>7631907.4784785155</v>
      </c>
      <c r="F49" s="107">
        <f>SUM(J49:L49)</f>
        <v>1923582.831419984</v>
      </c>
      <c r="G49" s="107">
        <f>SUM(M49:O49)</f>
        <v>1951831.891549885</v>
      </c>
      <c r="H49" s="107">
        <f>SUM(P49:R49)</f>
        <v>1867396.8968363616</v>
      </c>
      <c r="I49" s="107">
        <f>SUM(S49:U49)</f>
        <v>1889095.858672285</v>
      </c>
      <c r="J49" s="119">
        <f aca="true" t="shared" si="20" ref="J49:U49">J39</f>
        <v>672510.8429506829</v>
      </c>
      <c r="K49" s="119">
        <f t="shared" si="20"/>
        <v>620494.5013892443</v>
      </c>
      <c r="L49" s="119">
        <f t="shared" si="20"/>
        <v>630577.4870800569</v>
      </c>
      <c r="M49" s="119">
        <f t="shared" si="20"/>
        <v>605249.3892784002</v>
      </c>
      <c r="N49" s="119">
        <f t="shared" si="20"/>
        <v>716880.2133107434</v>
      </c>
      <c r="O49" s="119">
        <f t="shared" si="20"/>
        <v>629702.2889607414</v>
      </c>
      <c r="P49" s="119">
        <f t="shared" si="20"/>
        <v>616474.3768792921</v>
      </c>
      <c r="Q49" s="119">
        <f t="shared" si="20"/>
        <v>623562.1433299929</v>
      </c>
      <c r="R49" s="119">
        <f t="shared" si="20"/>
        <v>627360.3766270767</v>
      </c>
      <c r="S49" s="119">
        <f t="shared" si="20"/>
        <v>626178.5421946491</v>
      </c>
      <c r="T49" s="119">
        <f t="shared" si="20"/>
        <v>624017.6905473375</v>
      </c>
      <c r="U49" s="119">
        <f t="shared" si="20"/>
        <v>638899.6259302985</v>
      </c>
    </row>
    <row r="50" spans="1:21" ht="14.25">
      <c r="A50" s="50" t="s">
        <v>80</v>
      </c>
      <c r="C50" s="106">
        <f>C47</f>
        <v>292793.0859887781</v>
      </c>
      <c r="D50" s="103"/>
      <c r="E50" s="107">
        <f>SUM(J50:U50)</f>
        <v>292793.0859887781</v>
      </c>
      <c r="F50" s="107">
        <f>SUM(J50:L50)</f>
        <v>73198.27149719452</v>
      </c>
      <c r="G50" s="107">
        <f>SUM(M50:O50)</f>
        <v>73198.27149719452</v>
      </c>
      <c r="H50" s="107">
        <f>SUM(P50:R50)</f>
        <v>73198.27149719452</v>
      </c>
      <c r="I50" s="107">
        <f>SUM(S50:U50)</f>
        <v>73198.27149719452</v>
      </c>
      <c r="J50" s="119">
        <f aca="true" t="shared" si="21" ref="J50:U50">J47</f>
        <v>24399.423832398174</v>
      </c>
      <c r="K50" s="119">
        <f t="shared" si="21"/>
        <v>24399.423832398174</v>
      </c>
      <c r="L50" s="119">
        <f t="shared" si="21"/>
        <v>24399.423832398174</v>
      </c>
      <c r="M50" s="119">
        <f t="shared" si="21"/>
        <v>24399.423832398174</v>
      </c>
      <c r="N50" s="119">
        <f t="shared" si="21"/>
        <v>24399.423832398174</v>
      </c>
      <c r="O50" s="119">
        <f t="shared" si="21"/>
        <v>24399.423832398174</v>
      </c>
      <c r="P50" s="119">
        <f t="shared" si="21"/>
        <v>24399.423832398174</v>
      </c>
      <c r="Q50" s="119">
        <f t="shared" si="21"/>
        <v>24399.423832398174</v>
      </c>
      <c r="R50" s="119">
        <f t="shared" si="21"/>
        <v>24399.423832398174</v>
      </c>
      <c r="S50" s="119">
        <f t="shared" si="21"/>
        <v>24399.423832398174</v>
      </c>
      <c r="T50" s="119">
        <f t="shared" si="21"/>
        <v>24399.423832398174</v>
      </c>
      <c r="U50" s="119">
        <f t="shared" si="21"/>
        <v>24399.423832398174</v>
      </c>
    </row>
    <row r="51" spans="3:21" ht="14.25">
      <c r="C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spans="1:21" ht="15.75" thickBot="1">
      <c r="A52" s="102" t="s">
        <v>22</v>
      </c>
      <c r="C52" s="123">
        <f>SUM(C49:C50)</f>
        <v>7924700.564467293</v>
      </c>
      <c r="D52" s="103"/>
      <c r="E52" s="124">
        <f>SUM(J52:U52)</f>
        <v>7924700.564467295</v>
      </c>
      <c r="F52" s="124">
        <f>SUM(J52:L52)</f>
        <v>1996781.1029171785</v>
      </c>
      <c r="G52" s="124">
        <f>SUM(M52:O52)</f>
        <v>2025030.1630470795</v>
      </c>
      <c r="H52" s="124">
        <f>SUM(P52:R52)</f>
        <v>1940595.168333556</v>
      </c>
      <c r="I52" s="124">
        <f>SUM(S52:U52)</f>
        <v>1962294.1301694796</v>
      </c>
      <c r="J52" s="124">
        <f aca="true" t="shared" si="22" ref="J52:U52">SUM(J49:J50)</f>
        <v>696910.266783081</v>
      </c>
      <c r="K52" s="124">
        <f t="shared" si="22"/>
        <v>644893.9252216425</v>
      </c>
      <c r="L52" s="124">
        <f t="shared" si="22"/>
        <v>654976.9109124551</v>
      </c>
      <c r="M52" s="124">
        <f t="shared" si="22"/>
        <v>629648.8131107984</v>
      </c>
      <c r="N52" s="124">
        <f t="shared" si="22"/>
        <v>741279.6371431416</v>
      </c>
      <c r="O52" s="124">
        <f t="shared" si="22"/>
        <v>654101.7127931395</v>
      </c>
      <c r="P52" s="124">
        <f t="shared" si="22"/>
        <v>640873.8007116902</v>
      </c>
      <c r="Q52" s="124">
        <f t="shared" si="22"/>
        <v>647961.567162391</v>
      </c>
      <c r="R52" s="124">
        <f t="shared" si="22"/>
        <v>651759.8004594748</v>
      </c>
      <c r="S52" s="124">
        <f t="shared" si="22"/>
        <v>650577.9660270473</v>
      </c>
      <c r="T52" s="124">
        <f t="shared" si="22"/>
        <v>648417.1143797357</v>
      </c>
      <c r="U52" s="124">
        <f t="shared" si="22"/>
        <v>663299.0497626966</v>
      </c>
    </row>
    <row r="53" spans="1:21" ht="15">
      <c r="A53" s="102"/>
      <c r="C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ht="14.25">
      <c r="A54" s="50" t="s">
        <v>130</v>
      </c>
      <c r="J54" s="127">
        <v>0.0055</v>
      </c>
      <c r="K54" s="127">
        <f>J54</f>
        <v>0.0055</v>
      </c>
      <c r="L54" s="127">
        <f>K54</f>
        <v>0.0055</v>
      </c>
      <c r="M54" s="127">
        <f>L54</f>
        <v>0.0055</v>
      </c>
      <c r="N54" s="127">
        <f>M54</f>
        <v>0.0055</v>
      </c>
      <c r="O54" s="127">
        <f aca="true" t="shared" si="23" ref="O54:U54">N54</f>
        <v>0.0055</v>
      </c>
      <c r="P54" s="127">
        <f t="shared" si="23"/>
        <v>0.0055</v>
      </c>
      <c r="Q54" s="127">
        <f t="shared" si="23"/>
        <v>0.0055</v>
      </c>
      <c r="R54" s="127">
        <f t="shared" si="23"/>
        <v>0.0055</v>
      </c>
      <c r="S54" s="127">
        <f t="shared" si="23"/>
        <v>0.0055</v>
      </c>
      <c r="T54" s="127">
        <f t="shared" si="23"/>
        <v>0.0055</v>
      </c>
      <c r="U54" s="127">
        <f t="shared" si="23"/>
        <v>0.0055</v>
      </c>
    </row>
    <row r="55" spans="1:21" ht="14.25">
      <c r="A55" s="50" t="s">
        <v>110</v>
      </c>
      <c r="B55" s="128"/>
      <c r="C55" s="128">
        <f>E55</f>
        <v>-5997058.284</v>
      </c>
      <c r="D55" s="103"/>
      <c r="E55" s="103">
        <f>SUM(J55:U55)</f>
        <v>-5997058.284</v>
      </c>
      <c r="F55" s="103">
        <f>SUM(J55:L55)</f>
        <v>-1492799.9855999998</v>
      </c>
      <c r="G55" s="103">
        <f>SUM(M55:O55)</f>
        <v>-1497217.2264</v>
      </c>
      <c r="H55" s="103">
        <f>SUM(P55:R55)</f>
        <v>-1501472.0447999998</v>
      </c>
      <c r="I55" s="103">
        <f>SUM(S55:U55)</f>
        <v>-1505569.0272</v>
      </c>
      <c r="J55" s="119">
        <f aca="true" t="shared" si="24" ref="J55:U55">-J87*J88</f>
        <v>-497098.4928</v>
      </c>
      <c r="K55" s="119">
        <f t="shared" si="24"/>
        <v>-497605.1135999999</v>
      </c>
      <c r="L55" s="119">
        <f t="shared" si="24"/>
        <v>-498096.3791999998</v>
      </c>
      <c r="M55" s="119">
        <f t="shared" si="24"/>
        <v>-498587.62799999997</v>
      </c>
      <c r="N55" s="119">
        <f t="shared" si="24"/>
        <v>-499076.4408</v>
      </c>
      <c r="O55" s="119">
        <f t="shared" si="24"/>
        <v>-499553.1575999999</v>
      </c>
      <c r="P55" s="119">
        <f t="shared" si="24"/>
        <v>-500024.9352</v>
      </c>
      <c r="Q55" s="119">
        <f t="shared" si="24"/>
        <v>-500494.31039999984</v>
      </c>
      <c r="R55" s="119">
        <f t="shared" si="24"/>
        <v>-500952.79920000007</v>
      </c>
      <c r="S55" s="119">
        <f t="shared" si="24"/>
        <v>-501408.86879999994</v>
      </c>
      <c r="T55" s="119">
        <f t="shared" si="24"/>
        <v>-501862.55279999995</v>
      </c>
      <c r="U55" s="119">
        <f t="shared" si="24"/>
        <v>-502297.60560000007</v>
      </c>
    </row>
    <row r="56" spans="1:21" ht="14.25">
      <c r="A56" s="50" t="s">
        <v>111</v>
      </c>
      <c r="C56" s="110">
        <f>+C52+C55</f>
        <v>1927642.2804672932</v>
      </c>
      <c r="D56" s="103"/>
      <c r="E56" s="103">
        <f>SUM(J56:U56)</f>
        <v>1927642.2804672944</v>
      </c>
      <c r="F56" s="103">
        <f>SUM(J56:L56)</f>
        <v>503981.1173171788</v>
      </c>
      <c r="G56" s="103">
        <f>SUM(M56:O56)</f>
        <v>527812.9366470797</v>
      </c>
      <c r="H56" s="103">
        <f>SUM(P56:R56)</f>
        <v>439123.1235335561</v>
      </c>
      <c r="I56" s="103">
        <f>SUM(S56:U56)</f>
        <v>456725.1029694796</v>
      </c>
      <c r="J56" s="107">
        <f aca="true" t="shared" si="25" ref="J56:U56">+J52+J55</f>
        <v>199811.773983081</v>
      </c>
      <c r="K56" s="107">
        <f t="shared" si="25"/>
        <v>147288.81162164256</v>
      </c>
      <c r="L56" s="107">
        <f t="shared" si="25"/>
        <v>156880.53171245527</v>
      </c>
      <c r="M56" s="107">
        <f t="shared" si="25"/>
        <v>131061.1851107984</v>
      </c>
      <c r="N56" s="107">
        <f t="shared" si="25"/>
        <v>242203.1963431416</v>
      </c>
      <c r="O56" s="107">
        <f t="shared" si="25"/>
        <v>154548.5551931396</v>
      </c>
      <c r="P56" s="107">
        <f t="shared" si="25"/>
        <v>140848.8655116902</v>
      </c>
      <c r="Q56" s="107">
        <f t="shared" si="25"/>
        <v>147467.2567623912</v>
      </c>
      <c r="R56" s="107">
        <f t="shared" si="25"/>
        <v>150807.00125947472</v>
      </c>
      <c r="S56" s="107">
        <f t="shared" si="25"/>
        <v>149169.0972270473</v>
      </c>
      <c r="T56" s="107">
        <f t="shared" si="25"/>
        <v>146554.56157973572</v>
      </c>
      <c r="U56" s="107">
        <f t="shared" si="25"/>
        <v>161001.44416269654</v>
      </c>
    </row>
    <row r="57" spans="1:21" ht="14.25">
      <c r="A57" s="50" t="s">
        <v>112</v>
      </c>
      <c r="C57" s="128">
        <f>E57</f>
        <v>-4790.145082327889</v>
      </c>
      <c r="D57" s="103"/>
      <c r="E57" s="103">
        <f>SUM(J57:U57)</f>
        <v>-4790.145082327889</v>
      </c>
      <c r="F57" s="103">
        <f>SUM(J57:L57)</f>
        <v>-2177.1051107108747</v>
      </c>
      <c r="G57" s="103">
        <f>SUM(M57:O57)</f>
        <v>-1529.443172272212</v>
      </c>
      <c r="H57" s="103">
        <f>SUM(P57:R57)</f>
        <v>-850.8986649217608</v>
      </c>
      <c r="I57" s="103">
        <f>SUM(S57:U57)</f>
        <v>-232.6981344230427</v>
      </c>
      <c r="J57" s="128">
        <f>J59*J54/365*(K$3-J$3)</f>
        <v>-834.7776524171245</v>
      </c>
      <c r="K57" s="128">
        <f aca="true" t="shared" si="26" ref="K57:U57">K59*K54/365*(L$3-K$3)</f>
        <v>-669.6885725769143</v>
      </c>
      <c r="L57" s="128">
        <f t="shared" si="26"/>
        <v>-672.6388857168358</v>
      </c>
      <c r="M57" s="128">
        <f t="shared" si="26"/>
        <v>-580.0222606177769</v>
      </c>
      <c r="N57" s="128">
        <f t="shared" si="26"/>
        <v>-538.1346042966586</v>
      </c>
      <c r="O57" s="128">
        <f t="shared" si="26"/>
        <v>-411.28630735777654</v>
      </c>
      <c r="P57" s="128">
        <f t="shared" si="26"/>
        <v>-352.8026217297108</v>
      </c>
      <c r="Q57" s="128">
        <f t="shared" si="26"/>
        <v>-287.00883660712674</v>
      </c>
      <c r="R57" s="128">
        <f t="shared" si="26"/>
        <v>-211.08720658492325</v>
      </c>
      <c r="S57" s="128">
        <f t="shared" si="26"/>
        <v>-147.6779845722551</v>
      </c>
      <c r="T57" s="128">
        <f t="shared" si="26"/>
        <v>-75.4815730225229</v>
      </c>
      <c r="U57" s="128">
        <f t="shared" si="26"/>
        <v>-9.538576828264695</v>
      </c>
    </row>
    <row r="58" spans="1:9" ht="15">
      <c r="A58" s="102" t="s">
        <v>138</v>
      </c>
      <c r="C58" s="128">
        <f>+C56+C57</f>
        <v>1922852.1353849652</v>
      </c>
      <c r="D58" s="103"/>
      <c r="E58" s="128">
        <f>+E56+E57</f>
        <v>1922852.1353849664</v>
      </c>
      <c r="F58" s="128">
        <f>+F56+F57</f>
        <v>501804.0122064679</v>
      </c>
      <c r="G58" s="128">
        <f>+G56+G57</f>
        <v>526283.4934748075</v>
      </c>
      <c r="H58" s="128">
        <f>+H56+H57</f>
        <v>438272.22486863437</v>
      </c>
      <c r="I58" s="128">
        <f>+I56+I57</f>
        <v>456492.4048350565</v>
      </c>
    </row>
    <row r="59" spans="1:22" ht="15">
      <c r="A59" s="102" t="s">
        <v>139</v>
      </c>
      <c r="C59" s="128">
        <f>'Rev Req 09'!C59+'Rev Req 10'!C58</f>
        <v>32820.83587712073</v>
      </c>
      <c r="D59" s="103"/>
      <c r="E59" s="128">
        <f>E58+'Rev Req 07'!C53+'Rev Req 06'!C53+'Rev Req 08'!E58+'Rev Req 09'!E58</f>
        <v>25663.435781417706</v>
      </c>
      <c r="F59" s="128"/>
      <c r="G59" s="128"/>
      <c r="H59" s="128"/>
      <c r="I59" s="128"/>
      <c r="J59" s="128">
        <f>'Rev Req 09'!J59+'Rev Req 09'!C56</f>
        <v>-1787060.6635322608</v>
      </c>
      <c r="K59" s="103">
        <f aca="true" t="shared" si="27" ref="K59:V59">J59+J56</f>
        <v>-1587248.88954918</v>
      </c>
      <c r="L59" s="103">
        <f t="shared" si="27"/>
        <v>-1439960.0779275373</v>
      </c>
      <c r="M59" s="103">
        <f t="shared" si="27"/>
        <v>-1283079.546215082</v>
      </c>
      <c r="N59" s="103">
        <f t="shared" si="27"/>
        <v>-1152018.3611042837</v>
      </c>
      <c r="O59" s="103">
        <f t="shared" si="27"/>
        <v>-909815.1647611421</v>
      </c>
      <c r="P59" s="103">
        <f t="shared" si="27"/>
        <v>-755266.6095680025</v>
      </c>
      <c r="Q59" s="103">
        <f t="shared" si="27"/>
        <v>-614417.7440563124</v>
      </c>
      <c r="R59" s="103">
        <f t="shared" si="27"/>
        <v>-466950.4872939212</v>
      </c>
      <c r="S59" s="103">
        <f t="shared" si="27"/>
        <v>-316143.48603444645</v>
      </c>
      <c r="T59" s="103">
        <f t="shared" si="27"/>
        <v>-166974.38880739914</v>
      </c>
      <c r="U59" s="103">
        <f t="shared" si="27"/>
        <v>-20419.827227663423</v>
      </c>
      <c r="V59" s="103">
        <f t="shared" si="27"/>
        <v>140581.61693503312</v>
      </c>
    </row>
    <row r="60" spans="3:10" ht="14.25">
      <c r="C60" s="128"/>
      <c r="E60" s="128"/>
      <c r="F60" s="107"/>
      <c r="G60" s="103"/>
      <c r="H60" s="103"/>
      <c r="I60" s="103"/>
      <c r="J60" s="128"/>
    </row>
    <row r="61" spans="1:15" ht="15">
      <c r="A61" s="102" t="s">
        <v>107</v>
      </c>
      <c r="C61" s="128"/>
      <c r="E61" s="128"/>
      <c r="F61" s="128"/>
      <c r="G61" s="128"/>
      <c r="H61" s="128"/>
      <c r="I61" s="128"/>
      <c r="J61" s="128"/>
      <c r="M61" s="128"/>
      <c r="N61" s="128"/>
      <c r="O61" s="128"/>
    </row>
    <row r="62" spans="1:11" ht="15">
      <c r="A62" s="102"/>
      <c r="C62" s="128"/>
      <c r="E62" s="128"/>
      <c r="F62" s="128"/>
      <c r="G62" s="128"/>
      <c r="H62" s="128"/>
      <c r="I62" s="128"/>
      <c r="J62" s="103"/>
      <c r="K62" s="128"/>
    </row>
    <row r="63" spans="1:4" ht="15">
      <c r="A63" s="102" t="s">
        <v>108</v>
      </c>
      <c r="D63" s="128"/>
    </row>
    <row r="64" spans="1:22" ht="14.25">
      <c r="A64" s="50" t="s">
        <v>109</v>
      </c>
      <c r="C64" s="128">
        <f>+C30</f>
        <v>2043342.015478516</v>
      </c>
      <c r="D64" s="103"/>
      <c r="E64" s="128">
        <f aca="true" t="shared" si="28" ref="E64:U64">+E30</f>
        <v>2043342.015478516</v>
      </c>
      <c r="F64" s="128">
        <f t="shared" si="28"/>
        <v>494700.444836651</v>
      </c>
      <c r="G64" s="128">
        <f t="shared" si="28"/>
        <v>526162.9824665517</v>
      </c>
      <c r="H64" s="128">
        <f t="shared" si="28"/>
        <v>509771.41125302826</v>
      </c>
      <c r="I64" s="128">
        <f t="shared" si="28"/>
        <v>512707.17692228494</v>
      </c>
      <c r="J64" s="128">
        <f t="shared" si="28"/>
        <v>165130.09881179404</v>
      </c>
      <c r="K64" s="128">
        <f t="shared" si="28"/>
        <v>164735.4491948</v>
      </c>
      <c r="L64" s="128">
        <f t="shared" si="28"/>
        <v>164834.8968300569</v>
      </c>
      <c r="M64" s="128">
        <f t="shared" si="28"/>
        <v>164636.27097284468</v>
      </c>
      <c r="N64" s="128">
        <f t="shared" si="28"/>
        <v>191747.89528296568</v>
      </c>
      <c r="O64" s="128">
        <f t="shared" si="28"/>
        <v>169778.81621074135</v>
      </c>
      <c r="P64" s="128">
        <f t="shared" si="28"/>
        <v>169553.70607373648</v>
      </c>
      <c r="Q64" s="128">
        <f t="shared" si="28"/>
        <v>169483.24446888187</v>
      </c>
      <c r="R64" s="128">
        <f t="shared" si="28"/>
        <v>170734.4607104099</v>
      </c>
      <c r="S64" s="128">
        <f t="shared" si="28"/>
        <v>170650.01455576014</v>
      </c>
      <c r="T64" s="128">
        <f t="shared" si="28"/>
        <v>170724.55807511523</v>
      </c>
      <c r="U64" s="128">
        <f t="shared" si="28"/>
        <v>171332.60429140955</v>
      </c>
      <c r="V64" s="128">
        <f>SUM(J64:U64)</f>
        <v>2043342.015478516</v>
      </c>
    </row>
    <row r="65" spans="1:22" ht="14.25">
      <c r="A65" s="50" t="s">
        <v>110</v>
      </c>
      <c r="C65" s="128">
        <f>+C55</f>
        <v>-5997058.284</v>
      </c>
      <c r="D65" s="103"/>
      <c r="E65" s="128">
        <f aca="true" t="shared" si="29" ref="E65:U65">+E55</f>
        <v>-5997058.284</v>
      </c>
      <c r="F65" s="128">
        <f t="shared" si="29"/>
        <v>-1492799.9855999998</v>
      </c>
      <c r="G65" s="128">
        <f t="shared" si="29"/>
        <v>-1497217.2264</v>
      </c>
      <c r="H65" s="128">
        <f t="shared" si="29"/>
        <v>-1501472.0447999998</v>
      </c>
      <c r="I65" s="128">
        <f t="shared" si="29"/>
        <v>-1505569.0272</v>
      </c>
      <c r="J65" s="128">
        <f t="shared" si="29"/>
        <v>-497098.4928</v>
      </c>
      <c r="K65" s="128">
        <f t="shared" si="29"/>
        <v>-497605.1135999999</v>
      </c>
      <c r="L65" s="128">
        <f t="shared" si="29"/>
        <v>-498096.3791999998</v>
      </c>
      <c r="M65" s="128">
        <f t="shared" si="29"/>
        <v>-498587.62799999997</v>
      </c>
      <c r="N65" s="128">
        <f t="shared" si="29"/>
        <v>-499076.4408</v>
      </c>
      <c r="O65" s="128">
        <f t="shared" si="29"/>
        <v>-499553.1575999999</v>
      </c>
      <c r="P65" s="128">
        <f t="shared" si="29"/>
        <v>-500024.9352</v>
      </c>
      <c r="Q65" s="128">
        <f t="shared" si="29"/>
        <v>-500494.31039999984</v>
      </c>
      <c r="R65" s="128">
        <f t="shared" si="29"/>
        <v>-500952.79920000007</v>
      </c>
      <c r="S65" s="128">
        <f t="shared" si="29"/>
        <v>-501408.86879999994</v>
      </c>
      <c r="T65" s="128">
        <f t="shared" si="29"/>
        <v>-501862.55279999995</v>
      </c>
      <c r="U65" s="128">
        <f t="shared" si="29"/>
        <v>-502297.60560000007</v>
      </c>
      <c r="V65" s="128">
        <f>SUM(J65:U65)</f>
        <v>-5997058.284</v>
      </c>
    </row>
    <row r="66" spans="1:22" ht="14.25">
      <c r="A66" s="50" t="s">
        <v>116</v>
      </c>
      <c r="C66" s="157">
        <f>+C64+C65</f>
        <v>-3953716.268521484</v>
      </c>
      <c r="D66" s="158"/>
      <c r="E66" s="157">
        <f aca="true" t="shared" si="30" ref="E66:V66">+E64+E65</f>
        <v>-3953716.268521484</v>
      </c>
      <c r="F66" s="157">
        <f t="shared" si="30"/>
        <v>-998099.5407633488</v>
      </c>
      <c r="G66" s="157">
        <f t="shared" si="30"/>
        <v>-971054.2439334483</v>
      </c>
      <c r="H66" s="157">
        <f t="shared" si="30"/>
        <v>-991700.6335469715</v>
      </c>
      <c r="I66" s="157">
        <f t="shared" si="30"/>
        <v>-992861.8502777149</v>
      </c>
      <c r="J66" s="157">
        <f t="shared" si="30"/>
        <v>-331968.39398820593</v>
      </c>
      <c r="K66" s="157">
        <f t="shared" si="30"/>
        <v>-332869.66440519993</v>
      </c>
      <c r="L66" s="157">
        <f t="shared" si="30"/>
        <v>-333261.4823699429</v>
      </c>
      <c r="M66" s="157">
        <f t="shared" si="30"/>
        <v>-333951.3570271553</v>
      </c>
      <c r="N66" s="157">
        <f t="shared" si="30"/>
        <v>-307328.5455170343</v>
      </c>
      <c r="O66" s="157">
        <f t="shared" si="30"/>
        <v>-329774.34138925857</v>
      </c>
      <c r="P66" s="157">
        <f t="shared" si="30"/>
        <v>-330471.2291262635</v>
      </c>
      <c r="Q66" s="157">
        <f t="shared" si="30"/>
        <v>-331011.065931118</v>
      </c>
      <c r="R66" s="157">
        <f t="shared" si="30"/>
        <v>-330218.33848959015</v>
      </c>
      <c r="S66" s="157">
        <f t="shared" si="30"/>
        <v>-330758.8542442398</v>
      </c>
      <c r="T66" s="157">
        <f t="shared" si="30"/>
        <v>-331137.99472488475</v>
      </c>
      <c r="U66" s="157">
        <f t="shared" si="30"/>
        <v>-330965.0013085905</v>
      </c>
      <c r="V66" s="157">
        <f t="shared" si="30"/>
        <v>-3953716.268521484</v>
      </c>
    </row>
    <row r="67" spans="3:9" ht="14.25">
      <c r="C67" s="128"/>
      <c r="E67" s="128"/>
      <c r="F67" s="128"/>
      <c r="G67" s="128"/>
      <c r="H67" s="128"/>
      <c r="I67" s="128"/>
    </row>
    <row r="68" spans="1:9" ht="15">
      <c r="A68" s="102" t="s">
        <v>114</v>
      </c>
      <c r="C68" s="128"/>
      <c r="E68" s="128"/>
      <c r="F68" s="128"/>
      <c r="G68" s="128"/>
      <c r="H68" s="128"/>
      <c r="I68" s="128"/>
    </row>
    <row r="69" spans="1:22" ht="14.25">
      <c r="A69" s="111" t="s">
        <v>18</v>
      </c>
      <c r="C69" s="128">
        <f>-C42</f>
        <v>2845706.4699999997</v>
      </c>
      <c r="D69" s="103"/>
      <c r="E69" s="128">
        <f aca="true" t="shared" si="31" ref="E69:U69">-E42</f>
        <v>2845706.4699999997</v>
      </c>
      <c r="F69" s="128">
        <f t="shared" si="31"/>
        <v>813638.72</v>
      </c>
      <c r="G69" s="128">
        <f t="shared" si="31"/>
        <v>695215.79</v>
      </c>
      <c r="H69" s="128">
        <f t="shared" si="31"/>
        <v>666060.91</v>
      </c>
      <c r="I69" s="128">
        <f t="shared" si="31"/>
        <v>670791.05</v>
      </c>
      <c r="J69" s="128">
        <f t="shared" si="31"/>
        <v>303579.1</v>
      </c>
      <c r="K69" s="128">
        <f t="shared" si="31"/>
        <v>250677.83000000002</v>
      </c>
      <c r="L69" s="128">
        <f t="shared" si="31"/>
        <v>259381.79000000004</v>
      </c>
      <c r="M69" s="128">
        <f t="shared" si="31"/>
        <v>232972.74</v>
      </c>
      <c r="N69" s="128">
        <f t="shared" si="31"/>
        <v>229801.32</v>
      </c>
      <c r="O69" s="128">
        <f t="shared" si="31"/>
        <v>232441.72999999998</v>
      </c>
      <c r="P69" s="128">
        <f t="shared" si="31"/>
        <v>218159.35000000003</v>
      </c>
      <c r="Q69" s="128">
        <f t="shared" si="31"/>
        <v>224038</v>
      </c>
      <c r="R69" s="128">
        <f t="shared" si="31"/>
        <v>223863.56</v>
      </c>
      <c r="S69" s="128">
        <f t="shared" si="31"/>
        <v>221923.08000000002</v>
      </c>
      <c r="T69" s="128">
        <f t="shared" si="31"/>
        <v>218239.07</v>
      </c>
      <c r="U69" s="128">
        <f t="shared" si="31"/>
        <v>230628.9</v>
      </c>
      <c r="V69" s="128">
        <f aca="true" t="shared" si="32" ref="V69:V75">SUM(J69:U69)</f>
        <v>2845706.4699999997</v>
      </c>
    </row>
    <row r="70" spans="1:22" ht="14.25">
      <c r="A70" s="111" t="s">
        <v>19</v>
      </c>
      <c r="C70" s="128">
        <f>-C43</f>
        <v>2742858.993</v>
      </c>
      <c r="D70" s="103"/>
      <c r="E70" s="128">
        <f aca="true" t="shared" si="33" ref="E70:U70">-E43</f>
        <v>2742858.9930000002</v>
      </c>
      <c r="F70" s="128">
        <f t="shared" si="33"/>
        <v>615243.6665833333</v>
      </c>
      <c r="G70" s="128">
        <f t="shared" si="33"/>
        <v>730453.1190833333</v>
      </c>
      <c r="H70" s="128">
        <f t="shared" si="33"/>
        <v>691564.5755833333</v>
      </c>
      <c r="I70" s="128">
        <f t="shared" si="33"/>
        <v>705597.63175</v>
      </c>
      <c r="J70" s="128">
        <f t="shared" si="33"/>
        <v>203801.64413888886</v>
      </c>
      <c r="K70" s="128">
        <f t="shared" si="33"/>
        <v>205081.22219444442</v>
      </c>
      <c r="L70" s="128">
        <f t="shared" si="33"/>
        <v>206360.80024999997</v>
      </c>
      <c r="M70" s="128">
        <f t="shared" si="33"/>
        <v>207640.37830555553</v>
      </c>
      <c r="N70" s="128">
        <f t="shared" si="33"/>
        <v>295330.99802777776</v>
      </c>
      <c r="O70" s="128">
        <f t="shared" si="33"/>
        <v>227481.74274999998</v>
      </c>
      <c r="P70" s="128">
        <f t="shared" si="33"/>
        <v>228761.32080555553</v>
      </c>
      <c r="Q70" s="128">
        <f t="shared" si="33"/>
        <v>230040.89886111108</v>
      </c>
      <c r="R70" s="128">
        <f t="shared" si="33"/>
        <v>232762.35591666665</v>
      </c>
      <c r="S70" s="128">
        <f t="shared" si="33"/>
        <v>233605.44763888887</v>
      </c>
      <c r="T70" s="128">
        <f t="shared" si="33"/>
        <v>235054.0624722222</v>
      </c>
      <c r="U70" s="128">
        <f t="shared" si="33"/>
        <v>236938.12163888887</v>
      </c>
      <c r="V70" s="128">
        <f t="shared" si="32"/>
        <v>2742858.9930000002</v>
      </c>
    </row>
    <row r="71" spans="1:22" ht="14.25">
      <c r="A71" s="50" t="s">
        <v>115</v>
      </c>
      <c r="C71" s="128">
        <f>+C47</f>
        <v>292793.0859887781</v>
      </c>
      <c r="D71" s="103"/>
      <c r="E71" s="128">
        <f aca="true" t="shared" si="34" ref="E71:U71">+E47</f>
        <v>292793.0859887781</v>
      </c>
      <c r="F71" s="128">
        <f t="shared" si="34"/>
        <v>73198.27149719452</v>
      </c>
      <c r="G71" s="128">
        <f t="shared" si="34"/>
        <v>73198.27149719452</v>
      </c>
      <c r="H71" s="128">
        <f t="shared" si="34"/>
        <v>73198.27149719452</v>
      </c>
      <c r="I71" s="128">
        <f t="shared" si="34"/>
        <v>73198.27149719452</v>
      </c>
      <c r="J71" s="128">
        <f t="shared" si="34"/>
        <v>24399.423832398174</v>
      </c>
      <c r="K71" s="128">
        <f t="shared" si="34"/>
        <v>24399.423832398174</v>
      </c>
      <c r="L71" s="128">
        <f t="shared" si="34"/>
        <v>24399.423832398174</v>
      </c>
      <c r="M71" s="128">
        <f t="shared" si="34"/>
        <v>24399.423832398174</v>
      </c>
      <c r="N71" s="128">
        <f t="shared" si="34"/>
        <v>24399.423832398174</v>
      </c>
      <c r="O71" s="128">
        <f t="shared" si="34"/>
        <v>24399.423832398174</v>
      </c>
      <c r="P71" s="128">
        <f t="shared" si="34"/>
        <v>24399.423832398174</v>
      </c>
      <c r="Q71" s="128">
        <f t="shared" si="34"/>
        <v>24399.423832398174</v>
      </c>
      <c r="R71" s="128">
        <f t="shared" si="34"/>
        <v>24399.423832398174</v>
      </c>
      <c r="S71" s="128">
        <f t="shared" si="34"/>
        <v>24399.423832398174</v>
      </c>
      <c r="T71" s="128">
        <f t="shared" si="34"/>
        <v>24399.423832398174</v>
      </c>
      <c r="U71" s="128">
        <f t="shared" si="34"/>
        <v>24399.423832398174</v>
      </c>
      <c r="V71" s="128">
        <f t="shared" si="32"/>
        <v>292793.0859887781</v>
      </c>
    </row>
    <row r="72" spans="1:22" ht="14.25">
      <c r="A72" s="50" t="s">
        <v>112</v>
      </c>
      <c r="C72" s="128">
        <f>+C57</f>
        <v>-4790.145082327889</v>
      </c>
      <c r="D72" s="103"/>
      <c r="E72" s="128">
        <f aca="true" t="shared" si="35" ref="E72:U72">+E57</f>
        <v>-4790.145082327889</v>
      </c>
      <c r="F72" s="128">
        <f t="shared" si="35"/>
        <v>-2177.1051107108747</v>
      </c>
      <c r="G72" s="128">
        <f t="shared" si="35"/>
        <v>-1529.443172272212</v>
      </c>
      <c r="H72" s="128">
        <f t="shared" si="35"/>
        <v>-850.8986649217608</v>
      </c>
      <c r="I72" s="128">
        <f t="shared" si="35"/>
        <v>-232.6981344230427</v>
      </c>
      <c r="J72" s="128">
        <f t="shared" si="35"/>
        <v>-834.7776524171245</v>
      </c>
      <c r="K72" s="128">
        <f t="shared" si="35"/>
        <v>-669.6885725769143</v>
      </c>
      <c r="L72" s="128">
        <f t="shared" si="35"/>
        <v>-672.6388857168358</v>
      </c>
      <c r="M72" s="128">
        <f t="shared" si="35"/>
        <v>-580.0222606177769</v>
      </c>
      <c r="N72" s="128">
        <f t="shared" si="35"/>
        <v>-538.1346042966586</v>
      </c>
      <c r="O72" s="128">
        <f t="shared" si="35"/>
        <v>-411.28630735777654</v>
      </c>
      <c r="P72" s="128">
        <f t="shared" si="35"/>
        <v>-352.8026217297108</v>
      </c>
      <c r="Q72" s="128">
        <f t="shared" si="35"/>
        <v>-287.00883660712674</v>
      </c>
      <c r="R72" s="128">
        <f t="shared" si="35"/>
        <v>-211.08720658492325</v>
      </c>
      <c r="S72" s="128">
        <f t="shared" si="35"/>
        <v>-147.6779845722551</v>
      </c>
      <c r="T72" s="128">
        <f t="shared" si="35"/>
        <v>-75.4815730225229</v>
      </c>
      <c r="U72" s="128">
        <f t="shared" si="35"/>
        <v>-9.538576828264695</v>
      </c>
      <c r="V72" s="128">
        <f t="shared" si="32"/>
        <v>-4790.145082327889</v>
      </c>
    </row>
    <row r="73" spans="1:22" ht="12.75" customHeight="1">
      <c r="A73" s="50" t="s">
        <v>117</v>
      </c>
      <c r="C73" s="157">
        <f>SUM(C69:C72)</f>
        <v>5876568.40390645</v>
      </c>
      <c r="D73" s="158"/>
      <c r="E73" s="157">
        <f aca="true" t="shared" si="36" ref="E73:V73">SUM(E69:E72)</f>
        <v>5876568.40390645</v>
      </c>
      <c r="F73" s="157">
        <f t="shared" si="36"/>
        <v>1499903.5529698168</v>
      </c>
      <c r="G73" s="157">
        <f t="shared" si="36"/>
        <v>1497337.7374082555</v>
      </c>
      <c r="H73" s="157">
        <f t="shared" si="36"/>
        <v>1429972.858415606</v>
      </c>
      <c r="I73" s="157">
        <f t="shared" si="36"/>
        <v>1449354.2551127714</v>
      </c>
      <c r="J73" s="157">
        <f t="shared" si="36"/>
        <v>530945.39031887</v>
      </c>
      <c r="K73" s="157">
        <f t="shared" si="36"/>
        <v>479488.78745426575</v>
      </c>
      <c r="L73" s="157">
        <f t="shared" si="36"/>
        <v>489469.37519668136</v>
      </c>
      <c r="M73" s="157">
        <f t="shared" si="36"/>
        <v>464432.519877336</v>
      </c>
      <c r="N73" s="157">
        <f t="shared" si="36"/>
        <v>548993.6072558793</v>
      </c>
      <c r="O73" s="157">
        <f t="shared" si="36"/>
        <v>483911.6102750404</v>
      </c>
      <c r="P73" s="157">
        <f t="shared" si="36"/>
        <v>470967.292016224</v>
      </c>
      <c r="Q73" s="157">
        <f t="shared" si="36"/>
        <v>478191.3138569022</v>
      </c>
      <c r="R73" s="157">
        <f t="shared" si="36"/>
        <v>480814.2525424799</v>
      </c>
      <c r="S73" s="157">
        <f t="shared" si="36"/>
        <v>479780.27348671487</v>
      </c>
      <c r="T73" s="157">
        <f t="shared" si="36"/>
        <v>477617.0747315979</v>
      </c>
      <c r="U73" s="157">
        <f t="shared" si="36"/>
        <v>491956.9068944588</v>
      </c>
      <c r="V73" s="157">
        <f t="shared" si="36"/>
        <v>5876568.40390645</v>
      </c>
    </row>
    <row r="74" spans="3:9" ht="12.75" customHeight="1">
      <c r="C74" s="128"/>
      <c r="D74" s="103"/>
      <c r="E74" s="128"/>
      <c r="F74" s="128"/>
      <c r="G74" s="128"/>
      <c r="H74" s="128"/>
      <c r="I74" s="128"/>
    </row>
    <row r="75" spans="1:22" ht="15.75" thickBot="1">
      <c r="A75" s="102" t="s">
        <v>118</v>
      </c>
      <c r="C75" s="159">
        <f>+C73+C66</f>
        <v>1922852.1353849657</v>
      </c>
      <c r="D75" s="160"/>
      <c r="E75" s="159">
        <f>+E73+E66</f>
        <v>1922852.1353849657</v>
      </c>
      <c r="F75" s="159">
        <f>+F73+F66</f>
        <v>501804.01220646803</v>
      </c>
      <c r="G75" s="159">
        <f>+G73+G66</f>
        <v>526283.4934748071</v>
      </c>
      <c r="H75" s="159">
        <f>+H73+H66</f>
        <v>438272.2248686345</v>
      </c>
      <c r="I75" s="159">
        <f>+I73+I66</f>
        <v>456492.4048350565</v>
      </c>
      <c r="J75" s="159">
        <f aca="true" t="shared" si="37" ref="J75:U75">J65</f>
        <v>-497098.4928</v>
      </c>
      <c r="K75" s="159">
        <f t="shared" si="37"/>
        <v>-497605.1135999999</v>
      </c>
      <c r="L75" s="159">
        <f t="shared" si="37"/>
        <v>-498096.3791999998</v>
      </c>
      <c r="M75" s="159">
        <f t="shared" si="37"/>
        <v>-498587.62799999997</v>
      </c>
      <c r="N75" s="159">
        <f t="shared" si="37"/>
        <v>-499076.4408</v>
      </c>
      <c r="O75" s="159">
        <f t="shared" si="37"/>
        <v>-499553.1575999999</v>
      </c>
      <c r="P75" s="159">
        <f t="shared" si="37"/>
        <v>-500024.9352</v>
      </c>
      <c r="Q75" s="159">
        <f t="shared" si="37"/>
        <v>-500494.31039999984</v>
      </c>
      <c r="R75" s="159">
        <f t="shared" si="37"/>
        <v>-500952.79920000007</v>
      </c>
      <c r="S75" s="159">
        <f t="shared" si="37"/>
        <v>-501408.86879999994</v>
      </c>
      <c r="T75" s="159">
        <f t="shared" si="37"/>
        <v>-501862.55279999995</v>
      </c>
      <c r="U75" s="159">
        <f t="shared" si="37"/>
        <v>-502297.60560000007</v>
      </c>
      <c r="V75" s="159">
        <f t="shared" si="32"/>
        <v>-5997058.284</v>
      </c>
    </row>
    <row r="76" ht="0" customHeight="1" hidden="1"/>
    <row r="77" spans="10:21" ht="15" thickTop="1"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</row>
    <row r="78" ht="27" customHeight="1">
      <c r="C78" s="128"/>
    </row>
    <row r="79" ht="12.75" customHeight="1">
      <c r="C79" s="128"/>
    </row>
    <row r="80" spans="3:10" ht="12.75" customHeight="1">
      <c r="C80" s="128"/>
      <c r="J80" s="162" t="s">
        <v>177</v>
      </c>
    </row>
    <row r="81" spans="3:10" ht="12.75" customHeight="1">
      <c r="C81" s="128"/>
      <c r="J81" s="119">
        <v>4012856.9181313184</v>
      </c>
    </row>
    <row r="82" ht="12.75" customHeight="1">
      <c r="C82" s="128"/>
    </row>
    <row r="83" spans="9:12" ht="12.75" customHeight="1">
      <c r="I83" s="102" t="s">
        <v>176</v>
      </c>
      <c r="J83" s="103"/>
      <c r="K83" s="103"/>
      <c r="L83" s="103"/>
    </row>
    <row r="84" spans="10:12" ht="12.75" customHeight="1">
      <c r="J84" s="103"/>
      <c r="K84" s="103"/>
      <c r="L84" s="103"/>
    </row>
    <row r="85" spans="10:12" ht="12.75" customHeight="1">
      <c r="J85" s="162" t="s">
        <v>175</v>
      </c>
      <c r="K85" s="103"/>
      <c r="L85" s="103"/>
    </row>
    <row r="86" spans="10:21" ht="12.75" customHeight="1">
      <c r="J86" s="163" t="s">
        <v>158</v>
      </c>
      <c r="K86" s="163" t="s">
        <v>159</v>
      </c>
      <c r="L86" s="163" t="s">
        <v>165</v>
      </c>
      <c r="M86" s="104" t="s">
        <v>166</v>
      </c>
      <c r="N86" s="104" t="s">
        <v>160</v>
      </c>
      <c r="O86" s="104" t="s">
        <v>161</v>
      </c>
      <c r="P86" s="104" t="s">
        <v>162</v>
      </c>
      <c r="Q86" s="104" t="s">
        <v>170</v>
      </c>
      <c r="R86" s="104" t="s">
        <v>171</v>
      </c>
      <c r="S86" s="104" t="s">
        <v>172</v>
      </c>
      <c r="T86" s="104" t="s">
        <v>173</v>
      </c>
      <c r="U86" s="104" t="s">
        <v>174</v>
      </c>
    </row>
    <row r="87" spans="9:21" ht="12.75" customHeight="1">
      <c r="I87" s="50" t="s">
        <v>157</v>
      </c>
      <c r="J87" s="119">
        <v>1.68</v>
      </c>
      <c r="K87" s="50">
        <f>J87</f>
        <v>1.68</v>
      </c>
      <c r="L87" s="50">
        <f>K87</f>
        <v>1.68</v>
      </c>
      <c r="M87" s="50">
        <f>L87</f>
        <v>1.68</v>
      </c>
      <c r="N87" s="119">
        <f>ROUND(J81/SUM(N88:U88),2)</f>
        <v>1.68</v>
      </c>
      <c r="O87" s="50">
        <f>N87</f>
        <v>1.68</v>
      </c>
      <c r="P87" s="50">
        <f aca="true" t="shared" si="38" ref="P87:U87">O87</f>
        <v>1.68</v>
      </c>
      <c r="Q87" s="50">
        <f t="shared" si="38"/>
        <v>1.68</v>
      </c>
      <c r="R87" s="50">
        <f t="shared" si="38"/>
        <v>1.68</v>
      </c>
      <c r="S87" s="50">
        <f t="shared" si="38"/>
        <v>1.68</v>
      </c>
      <c r="T87" s="50">
        <f t="shared" si="38"/>
        <v>1.68</v>
      </c>
      <c r="U87" s="50">
        <f t="shared" si="38"/>
        <v>1.68</v>
      </c>
    </row>
    <row r="88" spans="9:21" ht="12.75" customHeight="1">
      <c r="I88" s="50" t="s">
        <v>148</v>
      </c>
      <c r="J88" s="165">
        <v>295891.96</v>
      </c>
      <c r="K88" s="165">
        <v>296193.51999999996</v>
      </c>
      <c r="L88" s="165">
        <v>296485.9399999999</v>
      </c>
      <c r="M88" s="165">
        <v>296778.35</v>
      </c>
      <c r="N88" s="165">
        <v>297069.31</v>
      </c>
      <c r="O88" s="165">
        <v>297353.06999999995</v>
      </c>
      <c r="P88" s="165">
        <v>297633.89</v>
      </c>
      <c r="Q88" s="165">
        <v>297913.2799999999</v>
      </c>
      <c r="R88" s="165">
        <v>298186.19000000006</v>
      </c>
      <c r="S88" s="165">
        <v>298457.66</v>
      </c>
      <c r="T88" s="165">
        <v>298727.70999999996</v>
      </c>
      <c r="U88" s="165">
        <v>298986.67000000004</v>
      </c>
    </row>
  </sheetData>
  <sheetProtection/>
  <mergeCells count="1">
    <mergeCell ref="B3:C3"/>
  </mergeCells>
  <printOptions/>
  <pageMargins left="0.7" right="0.7" top="0.98" bottom="0.75" header="0.37" footer="0.3"/>
  <pageSetup fitToHeight="0" horizontalDpi="600" verticalDpi="600" orientation="landscape" paperSize="5" scale="46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1" manualBreakCount="1">
    <brk id="59" max="255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12.75" customHeight="1"/>
  <cols>
    <col min="1" max="1" width="47.8515625" style="91" bestFit="1" customWidth="1"/>
    <col min="2" max="2" width="14.421875" style="91" bestFit="1" customWidth="1"/>
    <col min="3" max="3" width="11.8515625" style="91" bestFit="1" customWidth="1"/>
    <col min="4" max="4" width="14.8515625" style="91" bestFit="1" customWidth="1"/>
    <col min="5" max="5" width="1.7109375" style="91" customWidth="1"/>
    <col min="6" max="16384" width="9.140625" style="91" customWidth="1"/>
  </cols>
  <sheetData>
    <row r="1" spans="1:2" ht="15">
      <c r="A1" s="90" t="s">
        <v>202</v>
      </c>
      <c r="B1" s="48" t="s">
        <v>164</v>
      </c>
    </row>
    <row r="3" ht="14.25">
      <c r="B3" s="92">
        <v>40543</v>
      </c>
    </row>
    <row r="4" ht="15">
      <c r="A4" s="90" t="s">
        <v>23</v>
      </c>
    </row>
    <row r="5" spans="1:2" ht="14.25">
      <c r="A5" s="91" t="s">
        <v>38</v>
      </c>
      <c r="B5" s="99">
        <f>+'Rev Req 10'!C45</f>
        <v>1069009.2834778638</v>
      </c>
    </row>
    <row r="6" spans="1:2" ht="14.25">
      <c r="A6" s="91" t="s">
        <v>39</v>
      </c>
      <c r="B6" s="96">
        <f>+'Rev Req 10'!C37</f>
        <v>2742858.993</v>
      </c>
    </row>
    <row r="7" spans="1:2" ht="14.25">
      <c r="A7" s="91" t="s">
        <v>40</v>
      </c>
      <c r="B7" s="106">
        <f>-'Avg Assets 10'!F84</f>
        <v>-2373247.8938925057</v>
      </c>
    </row>
    <row r="8" spans="1:2" ht="14.25">
      <c r="A8" s="91" t="s">
        <v>91</v>
      </c>
      <c r="B8" s="106">
        <f>-'Avg Assets 10'!F96</f>
        <v>0</v>
      </c>
    </row>
    <row r="9" spans="1:2" ht="14.25">
      <c r="A9" s="91" t="s">
        <v>156</v>
      </c>
      <c r="B9" s="106">
        <f>-'Avg Assets 10'!F109</f>
        <v>-839884.2560312188</v>
      </c>
    </row>
    <row r="10" spans="1:3" ht="14.25">
      <c r="A10" s="91" t="s">
        <v>24</v>
      </c>
      <c r="B10" s="97">
        <f>SUM(B5:B9)</f>
        <v>598736.1265541391</v>
      </c>
      <c r="C10" s="99">
        <f>B10-B12</f>
        <v>413187.80093501136</v>
      </c>
    </row>
    <row r="11" spans="1:2" ht="14.25">
      <c r="A11" s="91" t="s">
        <v>42</v>
      </c>
      <c r="B11" s="141">
        <f>Inputs!E15</f>
        <v>0.3099</v>
      </c>
    </row>
    <row r="12" spans="1:2" ht="14.25">
      <c r="A12" s="91" t="s">
        <v>25</v>
      </c>
      <c r="B12" s="94">
        <f>B10*B11</f>
        <v>185548.32561912772</v>
      </c>
    </row>
    <row r="13" ht="14.25"/>
    <row r="14" ht="15">
      <c r="A14" s="90" t="s">
        <v>26</v>
      </c>
    </row>
    <row r="15" spans="1:2" ht="14.25">
      <c r="A15" s="91" t="s">
        <v>43</v>
      </c>
      <c r="B15" s="106">
        <f>+'Avg Assets 10'!F16</f>
        <v>29296173.126666665</v>
      </c>
    </row>
    <row r="16" spans="1:2" ht="14.25">
      <c r="A16" s="91" t="s">
        <v>86</v>
      </c>
      <c r="B16" s="106">
        <f>'Avg Assets 10'!F32</f>
        <v>0</v>
      </c>
    </row>
    <row r="17" spans="1:2" ht="14.25">
      <c r="A17" s="91" t="s">
        <v>44</v>
      </c>
      <c r="B17" s="106">
        <f>+'Avg Assets 10'!F48</f>
        <v>2719.662000000001</v>
      </c>
    </row>
    <row r="18" spans="1:2" ht="14.25">
      <c r="A18" s="91" t="s">
        <v>5</v>
      </c>
      <c r="B18" s="106">
        <f>+'Avg Assets 10'!F64</f>
        <v>2596355.2850000006</v>
      </c>
    </row>
    <row r="19" spans="1:2" ht="14.25">
      <c r="A19" s="91" t="s">
        <v>27</v>
      </c>
      <c r="B19" s="99">
        <f>SUM(B15:B18)</f>
        <v>31895248.073666666</v>
      </c>
    </row>
    <row r="20" spans="1:2" ht="14.25">
      <c r="A20" s="91" t="s">
        <v>28</v>
      </c>
      <c r="B20" s="96">
        <v>0</v>
      </c>
    </row>
    <row r="21" spans="1:2" ht="14.25">
      <c r="A21" s="91" t="s">
        <v>29</v>
      </c>
      <c r="B21" s="97">
        <f>B19-B20</f>
        <v>31895248.073666666</v>
      </c>
    </row>
    <row r="22" spans="1:2" ht="14.25">
      <c r="A22" s="91" t="s">
        <v>30</v>
      </c>
      <c r="B22" s="143">
        <f>0.15%/2</f>
        <v>0.00075</v>
      </c>
    </row>
    <row r="23" spans="1:2" ht="14.25">
      <c r="A23" s="91" t="s">
        <v>31</v>
      </c>
      <c r="B23" s="94">
        <f>B21*B22</f>
        <v>23921.43605525</v>
      </c>
    </row>
    <row r="24" spans="3:4" ht="14.25">
      <c r="C24" s="144"/>
      <c r="D24" s="144"/>
    </row>
    <row r="25" ht="14.25"/>
    <row r="26" spans="1:4" ht="15">
      <c r="A26" s="145" t="s">
        <v>32</v>
      </c>
      <c r="C26" s="141"/>
      <c r="D26" s="146"/>
    </row>
    <row r="27" spans="2:4" ht="28.5">
      <c r="B27" s="91" t="s">
        <v>33</v>
      </c>
      <c r="C27" s="147" t="s">
        <v>32</v>
      </c>
      <c r="D27" s="148" t="s">
        <v>34</v>
      </c>
    </row>
    <row r="28" spans="1:4" ht="14.25">
      <c r="A28" s="91" t="s">
        <v>35</v>
      </c>
      <c r="B28" s="99">
        <f>B12</f>
        <v>185548.32561912772</v>
      </c>
      <c r="C28" s="149">
        <f>B11</f>
        <v>0.3099</v>
      </c>
      <c r="D28" s="96">
        <f>B28/(1-C28)</f>
        <v>268871.6499335281</v>
      </c>
    </row>
    <row r="29" spans="1:4" ht="14.25">
      <c r="A29" s="91" t="s">
        <v>36</v>
      </c>
      <c r="B29" s="99">
        <f>B23</f>
        <v>23921.43605525</v>
      </c>
      <c r="D29" s="96">
        <f>B29</f>
        <v>23921.43605525</v>
      </c>
    </row>
    <row r="30" spans="1:5" ht="15">
      <c r="A30" s="91" t="s">
        <v>37</v>
      </c>
      <c r="B30" s="97">
        <f>SUM(B28:B29)</f>
        <v>209469.76167437772</v>
      </c>
      <c r="D30" s="150">
        <f>SUM(D28:D29)</f>
        <v>292793.0859887781</v>
      </c>
      <c r="E30" s="100"/>
    </row>
    <row r="31" ht="13.5" customHeight="1"/>
    <row r="32" ht="12.75" customHeight="1">
      <c r="B32" s="144"/>
    </row>
    <row r="33" ht="12.75" customHeight="1">
      <c r="B33" s="144"/>
    </row>
    <row r="34" ht="12.75" customHeight="1">
      <c r="B34" s="144"/>
    </row>
    <row r="35" ht="12.75" customHeight="1">
      <c r="B35" s="144"/>
    </row>
    <row r="36" ht="12.75" customHeight="1">
      <c r="B36" s="144"/>
    </row>
    <row r="37" ht="12.75" customHeight="1">
      <c r="B37" s="144"/>
    </row>
    <row r="38" ht="12.75" customHeight="1">
      <c r="B38" s="144"/>
    </row>
    <row r="39" ht="12.75" customHeight="1">
      <c r="B39" s="144"/>
    </row>
    <row r="40" ht="12.75" customHeight="1">
      <c r="B40" s="144"/>
    </row>
    <row r="41" ht="12.75" customHeight="1">
      <c r="B41" s="144"/>
    </row>
    <row r="42" ht="12.75" customHeight="1">
      <c r="B42" s="144"/>
    </row>
    <row r="43" ht="12.75" customHeight="1">
      <c r="B43" s="144"/>
    </row>
    <row r="44" ht="12.75" customHeight="1">
      <c r="B44" s="144"/>
    </row>
    <row r="45" ht="12.75" customHeight="1">
      <c r="B45" s="144"/>
    </row>
    <row r="46" ht="12.75" customHeight="1">
      <c r="B46" s="144"/>
    </row>
    <row r="47" ht="12.75" customHeight="1">
      <c r="B47" s="144"/>
    </row>
    <row r="48" ht="12.75" customHeight="1">
      <c r="B48" s="144"/>
    </row>
    <row r="49" ht="12.75" customHeight="1">
      <c r="B49" s="144"/>
    </row>
    <row r="50" spans="2:3" ht="12.75" customHeight="1">
      <c r="B50" s="144"/>
      <c r="C50" s="144"/>
    </row>
  </sheetData>
  <sheetProtection/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10"/>
  <sheetViews>
    <sheetView tabSelected="1" view="pageBreakPreview" zoomScale="60" zoomScalePageLayoutView="0" workbookViewId="0" topLeftCell="A67">
      <selection activeCell="A10" sqref="A10"/>
    </sheetView>
  </sheetViews>
  <sheetFormatPr defaultColWidth="9.140625" defaultRowHeight="0" customHeight="1" zeroHeight="1"/>
  <cols>
    <col min="1" max="1" width="53.421875" style="48" customWidth="1"/>
    <col min="2" max="2" width="14.57421875" style="48" bestFit="1" customWidth="1"/>
    <col min="3" max="6" width="17.28125" style="48" customWidth="1"/>
    <col min="7" max="7" width="4.140625" style="48" customWidth="1"/>
    <col min="8" max="8" width="24.00390625" style="48" bestFit="1" customWidth="1"/>
    <col min="9" max="9" width="14.8515625" style="48" bestFit="1" customWidth="1"/>
    <col min="10" max="25" width="14.421875" style="48" bestFit="1" customWidth="1"/>
    <col min="26" max="26" width="12.8515625" style="48" bestFit="1" customWidth="1"/>
    <col min="27" max="27" width="13.421875" style="48" customWidth="1"/>
    <col min="28" max="30" width="9.140625" style="48" customWidth="1"/>
    <col min="31" max="31" width="11.421875" style="48" customWidth="1"/>
    <col min="32" max="32" width="12.28125" style="48" customWidth="1"/>
    <col min="33" max="35" width="11.28125" style="48" bestFit="1" customWidth="1"/>
    <col min="36" max="36" width="11.421875" style="48" bestFit="1" customWidth="1"/>
    <col min="37" max="42" width="11.57421875" style="48" bestFit="1" customWidth="1"/>
    <col min="43" max="43" width="11.28125" style="48" bestFit="1" customWidth="1"/>
    <col min="44" max="44" width="13.140625" style="48" bestFit="1" customWidth="1"/>
    <col min="45" max="47" width="11.28125" style="48" bestFit="1" customWidth="1"/>
    <col min="48" max="48" width="12.8515625" style="48" bestFit="1" customWidth="1"/>
    <col min="49" max="54" width="9.140625" style="48" customWidth="1"/>
    <col min="55" max="55" width="12.00390625" style="48" customWidth="1"/>
    <col min="56" max="56" width="9.140625" style="48" customWidth="1"/>
    <col min="57" max="68" width="11.140625" style="48" bestFit="1" customWidth="1"/>
    <col min="69" max="16384" width="9.140625" style="48" customWidth="1"/>
  </cols>
  <sheetData>
    <row r="1" spans="1:25" ht="15">
      <c r="A1" s="47" t="s">
        <v>199</v>
      </c>
      <c r="N1" s="151" t="s">
        <v>200</v>
      </c>
      <c r="O1" s="151" t="s">
        <v>200</v>
      </c>
      <c r="P1" s="151" t="s">
        <v>200</v>
      </c>
      <c r="Q1" s="151" t="s">
        <v>200</v>
      </c>
      <c r="R1" s="151" t="s">
        <v>200</v>
      </c>
      <c r="S1" s="151" t="s">
        <v>200</v>
      </c>
      <c r="T1" s="151" t="s">
        <v>200</v>
      </c>
      <c r="U1" s="151" t="s">
        <v>200</v>
      </c>
      <c r="V1" s="151" t="s">
        <v>200</v>
      </c>
      <c r="W1" s="151" t="s">
        <v>200</v>
      </c>
      <c r="X1" s="151" t="s">
        <v>200</v>
      </c>
      <c r="Y1" s="151" t="s">
        <v>200</v>
      </c>
    </row>
    <row r="2" spans="2:25" ht="28.5">
      <c r="B2" s="156" t="s">
        <v>140</v>
      </c>
      <c r="C2" s="156" t="s">
        <v>141</v>
      </c>
      <c r="J2" s="174" t="s">
        <v>147</v>
      </c>
      <c r="K2" s="174"/>
      <c r="L2" s="174"/>
      <c r="M2" s="174"/>
      <c r="N2" s="48">
        <v>1</v>
      </c>
      <c r="O2" s="48">
        <f aca="true" t="shared" si="0" ref="O2:Y2">+N2+1</f>
        <v>2</v>
      </c>
      <c r="P2" s="48">
        <f t="shared" si="0"/>
        <v>3</v>
      </c>
      <c r="Q2" s="48">
        <f t="shared" si="0"/>
        <v>4</v>
      </c>
      <c r="R2" s="48">
        <f t="shared" si="0"/>
        <v>5</v>
      </c>
      <c r="S2" s="48">
        <f t="shared" si="0"/>
        <v>6</v>
      </c>
      <c r="T2" s="48">
        <f t="shared" si="0"/>
        <v>7</v>
      </c>
      <c r="U2" s="48">
        <f t="shared" si="0"/>
        <v>8</v>
      </c>
      <c r="V2" s="48">
        <f t="shared" si="0"/>
        <v>9</v>
      </c>
      <c r="W2" s="48">
        <f t="shared" si="0"/>
        <v>10</v>
      </c>
      <c r="X2" s="48">
        <f t="shared" si="0"/>
        <v>11</v>
      </c>
      <c r="Y2" s="48">
        <f t="shared" si="0"/>
        <v>12</v>
      </c>
    </row>
    <row r="3" spans="1:25" ht="15">
      <c r="A3" s="47" t="s">
        <v>45</v>
      </c>
      <c r="B3" s="60">
        <v>39082</v>
      </c>
      <c r="C3" s="60">
        <v>39447</v>
      </c>
      <c r="D3" s="60">
        <v>39813</v>
      </c>
      <c r="E3" s="60">
        <v>40178</v>
      </c>
      <c r="F3" s="60">
        <v>40543</v>
      </c>
      <c r="I3" s="50" t="s">
        <v>126</v>
      </c>
      <c r="J3" s="50" t="s">
        <v>124</v>
      </c>
      <c r="K3" s="50" t="s">
        <v>127</v>
      </c>
      <c r="L3" s="50" t="s">
        <v>128</v>
      </c>
      <c r="M3" s="50" t="s">
        <v>129</v>
      </c>
      <c r="N3" s="105">
        <v>40179</v>
      </c>
      <c r="O3" s="105">
        <v>40210</v>
      </c>
      <c r="P3" s="105">
        <v>40238</v>
      </c>
      <c r="Q3" s="105">
        <v>40269</v>
      </c>
      <c r="R3" s="105">
        <v>40299</v>
      </c>
      <c r="S3" s="105">
        <v>40330</v>
      </c>
      <c r="T3" s="105">
        <v>40360</v>
      </c>
      <c r="U3" s="105">
        <v>40391</v>
      </c>
      <c r="V3" s="105">
        <v>40422</v>
      </c>
      <c r="W3" s="105">
        <v>40452</v>
      </c>
      <c r="X3" s="105">
        <v>40483</v>
      </c>
      <c r="Y3" s="105">
        <v>40513</v>
      </c>
    </row>
    <row r="4" ht="14.25"/>
    <row r="5" spans="1:27" ht="14.25">
      <c r="A5" s="48" t="s">
        <v>46</v>
      </c>
      <c r="B5" s="87">
        <v>0</v>
      </c>
      <c r="C5" s="87">
        <f>B8</f>
        <v>0</v>
      </c>
      <c r="D5" s="87">
        <f>C8</f>
        <v>11806789.780000001</v>
      </c>
      <c r="E5" s="87">
        <f>D8</f>
        <v>25393099.86</v>
      </c>
      <c r="F5" s="87">
        <f>E8</f>
        <v>32385479.96</v>
      </c>
      <c r="H5" s="48" t="s">
        <v>132</v>
      </c>
      <c r="I5" s="66">
        <f>N5</f>
        <v>32385479.96</v>
      </c>
      <c r="J5" s="66">
        <f>P5</f>
        <v>32385479.96</v>
      </c>
      <c r="K5" s="66">
        <f>S5</f>
        <v>32385479.96</v>
      </c>
      <c r="L5" s="66">
        <f>V5</f>
        <v>32385479.96</v>
      </c>
      <c r="M5" s="66">
        <f>Y5</f>
        <v>32385479.96</v>
      </c>
      <c r="N5" s="66">
        <f>E8</f>
        <v>32385479.96</v>
      </c>
      <c r="O5" s="66">
        <f aca="true" t="shared" si="1" ref="O5:Y5">N5</f>
        <v>32385479.96</v>
      </c>
      <c r="P5" s="66">
        <f t="shared" si="1"/>
        <v>32385479.96</v>
      </c>
      <c r="Q5" s="66">
        <f t="shared" si="1"/>
        <v>32385479.96</v>
      </c>
      <c r="R5" s="66">
        <f t="shared" si="1"/>
        <v>32385479.96</v>
      </c>
      <c r="S5" s="66">
        <f t="shared" si="1"/>
        <v>32385479.96</v>
      </c>
      <c r="T5" s="66">
        <f t="shared" si="1"/>
        <v>32385479.96</v>
      </c>
      <c r="U5" s="66">
        <f t="shared" si="1"/>
        <v>32385479.96</v>
      </c>
      <c r="V5" s="66">
        <f t="shared" si="1"/>
        <v>32385479.96</v>
      </c>
      <c r="W5" s="66">
        <f t="shared" si="1"/>
        <v>32385479.96</v>
      </c>
      <c r="X5" s="66">
        <f t="shared" si="1"/>
        <v>32385479.96</v>
      </c>
      <c r="Y5" s="66">
        <f t="shared" si="1"/>
        <v>32385479.96</v>
      </c>
      <c r="AA5" s="66"/>
    </row>
    <row r="6" spans="1:27" ht="14.25">
      <c r="A6" s="48" t="s">
        <v>122</v>
      </c>
      <c r="B6" s="71"/>
      <c r="C6" s="55"/>
      <c r="D6" s="55"/>
      <c r="E6" s="55"/>
      <c r="F6" s="55"/>
      <c r="H6" s="48" t="s">
        <v>178</v>
      </c>
      <c r="O6" s="153">
        <f>N7</f>
        <v>242314.06000000003</v>
      </c>
      <c r="P6" s="153">
        <f>SUM($N$7:O7)</f>
        <v>445388.12000000005</v>
      </c>
      <c r="Q6" s="153">
        <f>SUM($N$7:P7)</f>
        <v>648462.18</v>
      </c>
      <c r="R6" s="153">
        <f>SUM($N$7:Q7)</f>
        <v>851536.2400000001</v>
      </c>
      <c r="S6" s="153">
        <f>SUM($N$7:R7)</f>
        <v>1054610.3</v>
      </c>
      <c r="T6" s="153">
        <f>SUM($N$7:S7)</f>
        <v>1257684.36</v>
      </c>
      <c r="U6" s="153">
        <f>SUM($N$7:T7)</f>
        <v>1460758.4200000002</v>
      </c>
      <c r="V6" s="153">
        <f>SUM($N$7:U7)</f>
        <v>1663832.4800000002</v>
      </c>
      <c r="W6" s="153">
        <f>SUM($N$7:V7)</f>
        <v>1924581.7000000002</v>
      </c>
      <c r="X6" s="153">
        <f>SUM($N$7:W7)</f>
        <v>2185332.37</v>
      </c>
      <c r="Y6" s="153">
        <f>SUM($N$7:X7)</f>
        <v>2446083.04</v>
      </c>
      <c r="Z6" s="153"/>
      <c r="AA6" s="66"/>
    </row>
    <row r="7" spans="1:27" ht="14.25">
      <c r="A7" s="48" t="s">
        <v>123</v>
      </c>
      <c r="B7" s="55"/>
      <c r="C7" s="55">
        <f>'Avg Assets 09'!C7</f>
        <v>11806789.780000001</v>
      </c>
      <c r="D7" s="55">
        <f>'Avg Assets 09'!D7</f>
        <v>13586310.079999998</v>
      </c>
      <c r="E7" s="55">
        <f>Inputs!K19</f>
        <v>6992380.1000000015</v>
      </c>
      <c r="F7" s="55">
        <f>Inputs!M19</f>
        <v>2719897.04</v>
      </c>
      <c r="H7" s="153" t="s">
        <v>136</v>
      </c>
      <c r="I7" s="153">
        <f>SUM(N7:Y7)</f>
        <v>2719897.04</v>
      </c>
      <c r="J7" s="153">
        <f>SUM(N7:P7)</f>
        <v>648462.18</v>
      </c>
      <c r="K7" s="153">
        <f>SUM(Q7:S7)</f>
        <v>609222.18</v>
      </c>
      <c r="L7" s="153">
        <f>SUM(T7:V7)</f>
        <v>666897.3400000001</v>
      </c>
      <c r="M7" s="153">
        <f>SUM(W7:Y7)</f>
        <v>795315.3400000001</v>
      </c>
      <c r="N7" s="155">
        <v>242314.06000000003</v>
      </c>
      <c r="O7" s="155">
        <v>203074.06000000003</v>
      </c>
      <c r="P7" s="155">
        <v>203074.06000000003</v>
      </c>
      <c r="Q7" s="155">
        <v>203074.06000000003</v>
      </c>
      <c r="R7" s="155">
        <v>203074.06000000003</v>
      </c>
      <c r="S7" s="155">
        <v>203074.06000000003</v>
      </c>
      <c r="T7" s="155">
        <v>203074.06000000003</v>
      </c>
      <c r="U7" s="155">
        <v>203074.06000000003</v>
      </c>
      <c r="V7" s="155">
        <v>260749.22</v>
      </c>
      <c r="W7" s="155">
        <v>260750.67</v>
      </c>
      <c r="X7" s="155">
        <v>260750.67</v>
      </c>
      <c r="Y7" s="155">
        <v>273814</v>
      </c>
      <c r="Z7" s="153"/>
      <c r="AA7" s="66"/>
    </row>
    <row r="8" spans="1:27" ht="14.25">
      <c r="A8" s="48" t="s">
        <v>47</v>
      </c>
      <c r="B8" s="82">
        <f>SUM(B5:B7)</f>
        <v>0</v>
      </c>
      <c r="C8" s="82">
        <f>SUM(C5:C7)</f>
        <v>11806789.780000001</v>
      </c>
      <c r="D8" s="82">
        <f>SUM(D5:D7)</f>
        <v>25393099.86</v>
      </c>
      <c r="E8" s="82">
        <f>SUM(E5:E7)</f>
        <v>32385479.96</v>
      </c>
      <c r="F8" s="82">
        <f>SUM(F5:F7)</f>
        <v>35105377</v>
      </c>
      <c r="H8" s="48" t="s">
        <v>133</v>
      </c>
      <c r="I8" s="82">
        <f aca="true" t="shared" si="2" ref="I8:Y8">SUM(I5:I7)</f>
        <v>35105377</v>
      </c>
      <c r="J8" s="82">
        <f t="shared" si="2"/>
        <v>33033942.14</v>
      </c>
      <c r="K8" s="82">
        <f t="shared" si="2"/>
        <v>32994702.14</v>
      </c>
      <c r="L8" s="82">
        <f t="shared" si="2"/>
        <v>33052377.3</v>
      </c>
      <c r="M8" s="82">
        <f t="shared" si="2"/>
        <v>33180795.3</v>
      </c>
      <c r="N8" s="82">
        <f t="shared" si="2"/>
        <v>32627794.02</v>
      </c>
      <c r="O8" s="82">
        <f t="shared" si="2"/>
        <v>32830868.08</v>
      </c>
      <c r="P8" s="82">
        <f t="shared" si="2"/>
        <v>33033942.14</v>
      </c>
      <c r="Q8" s="82">
        <f t="shared" si="2"/>
        <v>33237016.2</v>
      </c>
      <c r="R8" s="82">
        <f t="shared" si="2"/>
        <v>33440090.259999998</v>
      </c>
      <c r="S8" s="82">
        <f t="shared" si="2"/>
        <v>33643164.32</v>
      </c>
      <c r="T8" s="82">
        <f t="shared" si="2"/>
        <v>33846238.38</v>
      </c>
      <c r="U8" s="82">
        <f t="shared" si="2"/>
        <v>34049312.440000005</v>
      </c>
      <c r="V8" s="82">
        <f t="shared" si="2"/>
        <v>34310061.66</v>
      </c>
      <c r="W8" s="82">
        <f t="shared" si="2"/>
        <v>34570812.330000006</v>
      </c>
      <c r="X8" s="82">
        <f t="shared" si="2"/>
        <v>34831563</v>
      </c>
      <c r="Y8" s="82">
        <f t="shared" si="2"/>
        <v>35105377</v>
      </c>
      <c r="AA8" s="66"/>
    </row>
    <row r="9" spans="2:27" ht="14.25">
      <c r="B9" s="81"/>
      <c r="C9" s="81"/>
      <c r="D9" s="81"/>
      <c r="E9" s="81"/>
      <c r="F9" s="81"/>
      <c r="AA9" s="66"/>
    </row>
    <row r="10" spans="1:27" ht="14.25">
      <c r="A10" s="48" t="s">
        <v>48</v>
      </c>
      <c r="B10" s="82">
        <v>0</v>
      </c>
      <c r="C10" s="82">
        <f>B13</f>
        <v>0</v>
      </c>
      <c r="D10" s="82">
        <f>C13</f>
        <v>393559.6593333334</v>
      </c>
      <c r="E10" s="82">
        <f>D13</f>
        <v>1633555.9806666668</v>
      </c>
      <c r="F10" s="82">
        <f>E13</f>
        <v>3559508.6413333337</v>
      </c>
      <c r="I10" s="82">
        <f>N10</f>
        <v>3559508.6413333337</v>
      </c>
      <c r="J10" s="82">
        <f>E13</f>
        <v>3559508.6413333337</v>
      </c>
      <c r="K10" s="82">
        <f>J13</f>
        <v>3761043.3804444447</v>
      </c>
      <c r="L10" s="82">
        <f>K13</f>
        <v>5940382.783777778</v>
      </c>
      <c r="M10" s="82">
        <f>L13</f>
        <v>8121644.692444446</v>
      </c>
      <c r="N10" s="82">
        <f>E13</f>
        <v>3559508.6413333337</v>
      </c>
      <c r="O10" s="82">
        <f aca="true" t="shared" si="3" ref="O10:Y10">N13</f>
        <v>3740101.069055556</v>
      </c>
      <c r="P10" s="82">
        <f t="shared" si="3"/>
        <v>3921821.686</v>
      </c>
      <c r="Q10" s="82">
        <f t="shared" si="3"/>
        <v>4104670.492166667</v>
      </c>
      <c r="R10" s="82">
        <f t="shared" si="3"/>
        <v>4288647.487555556</v>
      </c>
      <c r="S10" s="82">
        <f t="shared" si="3"/>
        <v>4473752.672166667</v>
      </c>
      <c r="T10" s="82">
        <f t="shared" si="3"/>
        <v>4659986.046</v>
      </c>
      <c r="U10" s="82">
        <f t="shared" si="3"/>
        <v>4847347.609055555</v>
      </c>
      <c r="V10" s="82">
        <f t="shared" si="3"/>
        <v>5035837.361333333</v>
      </c>
      <c r="W10" s="82">
        <f t="shared" si="3"/>
        <v>5226897.181833333</v>
      </c>
      <c r="X10" s="82">
        <f t="shared" si="3"/>
        <v>5419405.649388889</v>
      </c>
      <c r="Y10" s="82">
        <f t="shared" si="3"/>
        <v>5613362.731777778</v>
      </c>
      <c r="AA10" s="66"/>
    </row>
    <row r="11" spans="1:27" ht="14.25">
      <c r="A11" s="48" t="s">
        <v>103</v>
      </c>
      <c r="B11" s="66">
        <f>B6/Inputs!B26/2</f>
        <v>0</v>
      </c>
      <c r="C11" s="66">
        <f>C5/Inputs!$B$26</f>
        <v>0</v>
      </c>
      <c r="D11" s="66">
        <f>D5/Inputs!$B$26</f>
        <v>787119.3186666667</v>
      </c>
      <c r="E11" s="66">
        <f>E5/Inputs!$B$26</f>
        <v>1692873.324</v>
      </c>
      <c r="F11" s="66">
        <f>F5/Inputs!$B$26</f>
        <v>2159031.9973333334</v>
      </c>
      <c r="H11" s="48" t="s">
        <v>134</v>
      </c>
      <c r="I11" s="153">
        <f>SUM(N11:Y11)</f>
        <v>2159031.9973333334</v>
      </c>
      <c r="J11" s="66">
        <f>J5/Inputs!$B$26/12</f>
        <v>179919.3331111111</v>
      </c>
      <c r="K11" s="66">
        <f>K5/Inputs!$B$26</f>
        <v>2159031.9973333334</v>
      </c>
      <c r="L11" s="66">
        <f>L5/Inputs!$B$26</f>
        <v>2159031.9973333334</v>
      </c>
      <c r="M11" s="66">
        <f>M5/Inputs!$B$26</f>
        <v>2159031.9973333334</v>
      </c>
      <c r="N11" s="66">
        <f>N5/Inputs!$B$26/12</f>
        <v>179919.3331111111</v>
      </c>
      <c r="O11" s="66">
        <f>O5/Inputs!$B$26/12</f>
        <v>179919.3331111111</v>
      </c>
      <c r="P11" s="66">
        <f>P5/Inputs!$B$26/12</f>
        <v>179919.3331111111</v>
      </c>
      <c r="Q11" s="66">
        <f>Q5/Inputs!$B$26/12</f>
        <v>179919.3331111111</v>
      </c>
      <c r="R11" s="66">
        <f>R5/Inputs!$B$26/12</f>
        <v>179919.3331111111</v>
      </c>
      <c r="S11" s="66">
        <f>S5/Inputs!$B$26/12</f>
        <v>179919.3331111111</v>
      </c>
      <c r="T11" s="66">
        <f>T5/Inputs!$B$26/12</f>
        <v>179919.3331111111</v>
      </c>
      <c r="U11" s="66">
        <f>U5/Inputs!$B$26/12</f>
        <v>179919.3331111111</v>
      </c>
      <c r="V11" s="66">
        <f>V5/Inputs!$B$26/12</f>
        <v>179919.3331111111</v>
      </c>
      <c r="W11" s="66">
        <f>W5/Inputs!$B$26/12</f>
        <v>179919.3331111111</v>
      </c>
      <c r="X11" s="66">
        <f>X5/Inputs!$B$26/12</f>
        <v>179919.3331111111</v>
      </c>
      <c r="Y11" s="66">
        <f>Y5/Inputs!$B$26/12</f>
        <v>179919.3331111111</v>
      </c>
      <c r="AA11" s="66"/>
    </row>
    <row r="12" spans="1:27" ht="14.25">
      <c r="A12" s="48" t="s">
        <v>104</v>
      </c>
      <c r="B12" s="55"/>
      <c r="C12" s="55">
        <f>C7/Inputs!$B$26/2</f>
        <v>393559.6593333334</v>
      </c>
      <c r="D12" s="55">
        <f>D7/Inputs!$B$26/2</f>
        <v>452877.0026666666</v>
      </c>
      <c r="E12" s="55">
        <f>E7/Inputs!$B$26/2</f>
        <v>233079.33666666673</v>
      </c>
      <c r="F12" s="55">
        <f>F7/Inputs!$B$26/2</f>
        <v>90663.23466666667</v>
      </c>
      <c r="H12" s="48" t="s">
        <v>135</v>
      </c>
      <c r="I12" s="153">
        <f>SUM(N12:Y12)</f>
        <v>90663.23466666667</v>
      </c>
      <c r="J12" s="55">
        <f>J7/Inputs!$B$26/2</f>
        <v>21615.406000000003</v>
      </c>
      <c r="K12" s="55">
        <f>K7/Inputs!$B$26/2</f>
        <v>20307.406000000003</v>
      </c>
      <c r="L12" s="55">
        <f>L7/Inputs!$B$26/2</f>
        <v>22229.911333333337</v>
      </c>
      <c r="M12" s="55">
        <f>M7/Inputs!$B$26/2</f>
        <v>26510.511333333336</v>
      </c>
      <c r="N12" s="55">
        <f>N7/Inputs!$B$26/2/12</f>
        <v>673.0946111111112</v>
      </c>
      <c r="O12" s="55">
        <f>O7/Inputs!$B$26/2/12*O2+O6/Inputs!$B$26/2/12</f>
        <v>1801.2838333333339</v>
      </c>
      <c r="P12" s="55">
        <f>P7/Inputs!$B$26/2/12*P2+P6/Inputs!$B$26/2/12</f>
        <v>2929.473055555556</v>
      </c>
      <c r="Q12" s="55">
        <f>Q7/Inputs!$B$26/2/12*Q2+Q6/Inputs!$B$26/2/12</f>
        <v>4057.6622777777784</v>
      </c>
      <c r="R12" s="55">
        <f>R7/Inputs!$B$26/2/12*R2+R6/Inputs!$B$26/2/12</f>
        <v>5185.851500000001</v>
      </c>
      <c r="S12" s="55">
        <f>S7/Inputs!$B$26/2/12*S2+S6/Inputs!$B$26/2/12</f>
        <v>6314.040722222224</v>
      </c>
      <c r="T12" s="55">
        <f>T7/Inputs!$B$26/2/12*T2+T6/Inputs!$B$26/2/12</f>
        <v>7442.229944444446</v>
      </c>
      <c r="U12" s="55">
        <f>U7/Inputs!$B$26/2/12*U2+U6/Inputs!$B$26/2/12</f>
        <v>8570.419166666668</v>
      </c>
      <c r="V12" s="55">
        <f>V7/Inputs!$B$26/2/12*V2+V6/Inputs!$B$26/2/12</f>
        <v>11140.48738888889</v>
      </c>
      <c r="W12" s="55">
        <f>W7/Inputs!$B$26/2/12*W2+W6/Inputs!$B$26/2/12</f>
        <v>12589.134444444444</v>
      </c>
      <c r="X12" s="55">
        <f>X7/Inputs!$B$26/2/12*X2+X6/Inputs!$B$26/2/12</f>
        <v>14037.749277777777</v>
      </c>
      <c r="Y12" s="55">
        <f>Y7/Inputs!$B$26/2/12*Y2+Y6/Inputs!$B$26/2/12</f>
        <v>15921.808444444445</v>
      </c>
      <c r="AA12" s="66"/>
    </row>
    <row r="13" spans="1:27" ht="14.25">
      <c r="A13" s="48" t="s">
        <v>49</v>
      </c>
      <c r="B13" s="87">
        <f>SUM(B10:B12)</f>
        <v>0</v>
      </c>
      <c r="C13" s="87">
        <f>SUM(C10:C12)</f>
        <v>393559.6593333334</v>
      </c>
      <c r="D13" s="87">
        <f>SUM(D10:D12)</f>
        <v>1633555.9806666668</v>
      </c>
      <c r="E13" s="87">
        <f>SUM(E10:E12)</f>
        <v>3559508.6413333337</v>
      </c>
      <c r="F13" s="87">
        <f>SUM(F10:F12)</f>
        <v>5809203.873333334</v>
      </c>
      <c r="I13" s="87">
        <f aca="true" t="shared" si="4" ref="I13:Y13">SUM(I10:I12)</f>
        <v>5809203.873333334</v>
      </c>
      <c r="J13" s="87">
        <f t="shared" si="4"/>
        <v>3761043.3804444447</v>
      </c>
      <c r="K13" s="87">
        <f t="shared" si="4"/>
        <v>5940382.783777778</v>
      </c>
      <c r="L13" s="87">
        <f t="shared" si="4"/>
        <v>8121644.692444446</v>
      </c>
      <c r="M13" s="87">
        <f t="shared" si="4"/>
        <v>10307187.201111112</v>
      </c>
      <c r="N13" s="87">
        <f t="shared" si="4"/>
        <v>3740101.069055556</v>
      </c>
      <c r="O13" s="87">
        <f t="shared" si="4"/>
        <v>3921821.686</v>
      </c>
      <c r="P13" s="87">
        <f t="shared" si="4"/>
        <v>4104670.492166667</v>
      </c>
      <c r="Q13" s="87">
        <f t="shared" si="4"/>
        <v>4288647.487555556</v>
      </c>
      <c r="R13" s="87">
        <f t="shared" si="4"/>
        <v>4473752.672166667</v>
      </c>
      <c r="S13" s="87">
        <f t="shared" si="4"/>
        <v>4659986.046</v>
      </c>
      <c r="T13" s="87">
        <f t="shared" si="4"/>
        <v>4847347.609055555</v>
      </c>
      <c r="U13" s="87">
        <f t="shared" si="4"/>
        <v>5035837.361333333</v>
      </c>
      <c r="V13" s="87">
        <f t="shared" si="4"/>
        <v>5226897.181833333</v>
      </c>
      <c r="W13" s="87">
        <f t="shared" si="4"/>
        <v>5419405.649388889</v>
      </c>
      <c r="X13" s="87">
        <f t="shared" si="4"/>
        <v>5613362.731777778</v>
      </c>
      <c r="Y13" s="87">
        <f t="shared" si="4"/>
        <v>5809203.873333333</v>
      </c>
      <c r="AA13" s="66"/>
    </row>
    <row r="14" spans="2:27" ht="14.25">
      <c r="B14" s="87"/>
      <c r="C14" s="87"/>
      <c r="D14" s="87"/>
      <c r="E14" s="87"/>
      <c r="F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AA14" s="66"/>
    </row>
    <row r="15" spans="1:27" ht="14.25">
      <c r="A15" s="48" t="s">
        <v>50</v>
      </c>
      <c r="B15" s="55">
        <f>0</f>
        <v>0</v>
      </c>
      <c r="C15" s="66">
        <f>B16</f>
        <v>0</v>
      </c>
      <c r="D15" s="66">
        <f>C16</f>
        <v>11413230.120666668</v>
      </c>
      <c r="E15" s="66">
        <f>D16</f>
        <v>23759543.879333332</v>
      </c>
      <c r="F15" s="66">
        <f>E16</f>
        <v>28825971.318666667</v>
      </c>
      <c r="I15" s="66">
        <f>N15</f>
        <v>28825971.318666667</v>
      </c>
      <c r="J15" s="66">
        <f>E16</f>
        <v>28825971.318666667</v>
      </c>
      <c r="K15" s="66">
        <f>J16</f>
        <v>29272898.759555556</v>
      </c>
      <c r="L15" s="66">
        <f>K16</f>
        <v>27054319.356222223</v>
      </c>
      <c r="M15" s="66">
        <f>L16</f>
        <v>24930732.607555553</v>
      </c>
      <c r="N15" s="66">
        <f>$E$16</f>
        <v>28825971.318666667</v>
      </c>
      <c r="O15" s="66">
        <f aca="true" t="shared" si="5" ref="O15:Y15">N15</f>
        <v>28825971.318666667</v>
      </c>
      <c r="P15" s="66">
        <f t="shared" si="5"/>
        <v>28825971.318666667</v>
      </c>
      <c r="Q15" s="66">
        <f t="shared" si="5"/>
        <v>28825971.318666667</v>
      </c>
      <c r="R15" s="66">
        <f t="shared" si="5"/>
        <v>28825971.318666667</v>
      </c>
      <c r="S15" s="66">
        <f t="shared" si="5"/>
        <v>28825971.318666667</v>
      </c>
      <c r="T15" s="66">
        <f t="shared" si="5"/>
        <v>28825971.318666667</v>
      </c>
      <c r="U15" s="66">
        <f t="shared" si="5"/>
        <v>28825971.318666667</v>
      </c>
      <c r="V15" s="66">
        <f t="shared" si="5"/>
        <v>28825971.318666667</v>
      </c>
      <c r="W15" s="66">
        <f t="shared" si="5"/>
        <v>28825971.318666667</v>
      </c>
      <c r="X15" s="66">
        <f t="shared" si="5"/>
        <v>28825971.318666667</v>
      </c>
      <c r="Y15" s="66">
        <f t="shared" si="5"/>
        <v>28825971.318666667</v>
      </c>
      <c r="AA15" s="66"/>
    </row>
    <row r="16" spans="1:27" ht="14.25">
      <c r="A16" s="48" t="s">
        <v>51</v>
      </c>
      <c r="B16" s="82">
        <f>B8-B13</f>
        <v>0</v>
      </c>
      <c r="C16" s="82">
        <f>C8-C13</f>
        <v>11413230.120666668</v>
      </c>
      <c r="D16" s="82">
        <f>D8-D13</f>
        <v>23759543.879333332</v>
      </c>
      <c r="E16" s="82">
        <f>E8-E13</f>
        <v>28825971.318666667</v>
      </c>
      <c r="F16" s="82">
        <f>F8-F13</f>
        <v>29296173.126666665</v>
      </c>
      <c r="G16" s="57"/>
      <c r="I16" s="82">
        <f aca="true" t="shared" si="6" ref="I16:Y16">I8-I13</f>
        <v>29296173.126666665</v>
      </c>
      <c r="J16" s="82">
        <f t="shared" si="6"/>
        <v>29272898.759555556</v>
      </c>
      <c r="K16" s="82">
        <f t="shared" si="6"/>
        <v>27054319.356222223</v>
      </c>
      <c r="L16" s="82">
        <f t="shared" si="6"/>
        <v>24930732.607555553</v>
      </c>
      <c r="M16" s="82">
        <f t="shared" si="6"/>
        <v>22873608.09888889</v>
      </c>
      <c r="N16" s="82">
        <f t="shared" si="6"/>
        <v>28887692.950944442</v>
      </c>
      <c r="O16" s="82">
        <f t="shared" si="6"/>
        <v>28909046.393999998</v>
      </c>
      <c r="P16" s="82">
        <f t="shared" si="6"/>
        <v>28929271.647833332</v>
      </c>
      <c r="Q16" s="82">
        <f t="shared" si="6"/>
        <v>28948368.712444443</v>
      </c>
      <c r="R16" s="82">
        <f t="shared" si="6"/>
        <v>28966337.58783333</v>
      </c>
      <c r="S16" s="82">
        <f t="shared" si="6"/>
        <v>28983178.274</v>
      </c>
      <c r="T16" s="82">
        <f t="shared" si="6"/>
        <v>28998890.770944446</v>
      </c>
      <c r="U16" s="82">
        <f t="shared" si="6"/>
        <v>29013475.078666672</v>
      </c>
      <c r="V16" s="82">
        <f t="shared" si="6"/>
        <v>29083164.478166662</v>
      </c>
      <c r="W16" s="82">
        <f t="shared" si="6"/>
        <v>29151406.68061112</v>
      </c>
      <c r="X16" s="82">
        <f t="shared" si="6"/>
        <v>29218200.26822222</v>
      </c>
      <c r="Y16" s="82">
        <f t="shared" si="6"/>
        <v>29296173.126666665</v>
      </c>
      <c r="AA16" s="66"/>
    </row>
    <row r="17" spans="1:27" ht="15" thickBot="1">
      <c r="A17" s="48" t="s">
        <v>52</v>
      </c>
      <c r="B17" s="45">
        <f>(B16+B15)/2</f>
        <v>0</v>
      </c>
      <c r="C17" s="45">
        <f>(C16+C15)/2</f>
        <v>5706615.060333334</v>
      </c>
      <c r="D17" s="45">
        <f>(D16+D15)/2</f>
        <v>17586387</v>
      </c>
      <c r="E17" s="45">
        <f>(E16+E15)/2</f>
        <v>26292757.599</v>
      </c>
      <c r="F17" s="45">
        <f>(F16+F15)/2</f>
        <v>29061072.222666666</v>
      </c>
      <c r="G17" s="57"/>
      <c r="I17" s="45">
        <f aca="true" t="shared" si="7" ref="I17:Y17">(I16+I15)/2</f>
        <v>29061072.222666666</v>
      </c>
      <c r="J17" s="45">
        <f t="shared" si="7"/>
        <v>29049435.03911111</v>
      </c>
      <c r="K17" s="45">
        <f t="shared" si="7"/>
        <v>28163609.057888888</v>
      </c>
      <c r="L17" s="45">
        <f t="shared" si="7"/>
        <v>25992525.98188889</v>
      </c>
      <c r="M17" s="45">
        <f t="shared" si="7"/>
        <v>23902170.35322222</v>
      </c>
      <c r="N17" s="45">
        <f t="shared" si="7"/>
        <v>28856832.134805553</v>
      </c>
      <c r="O17" s="45">
        <f t="shared" si="7"/>
        <v>28867508.85633333</v>
      </c>
      <c r="P17" s="45">
        <f t="shared" si="7"/>
        <v>28877621.48325</v>
      </c>
      <c r="Q17" s="45">
        <f t="shared" si="7"/>
        <v>28887170.015555553</v>
      </c>
      <c r="R17" s="45">
        <f t="shared" si="7"/>
        <v>28896154.45325</v>
      </c>
      <c r="S17" s="45">
        <f t="shared" si="7"/>
        <v>28904574.796333335</v>
      </c>
      <c r="T17" s="45">
        <f t="shared" si="7"/>
        <v>28912431.044805557</v>
      </c>
      <c r="U17" s="45">
        <f t="shared" si="7"/>
        <v>28919723.19866667</v>
      </c>
      <c r="V17" s="45">
        <f t="shared" si="7"/>
        <v>28954567.898416664</v>
      </c>
      <c r="W17" s="45">
        <f t="shared" si="7"/>
        <v>28988688.999638893</v>
      </c>
      <c r="X17" s="45">
        <f t="shared" si="7"/>
        <v>29022085.793444443</v>
      </c>
      <c r="Y17" s="45">
        <f t="shared" si="7"/>
        <v>29061072.222666666</v>
      </c>
      <c r="AA17" s="66"/>
    </row>
    <row r="18" spans="2:27" ht="14.25">
      <c r="B18" s="81"/>
      <c r="C18" s="81"/>
      <c r="D18" s="81"/>
      <c r="E18" s="81"/>
      <c r="F18" s="81"/>
      <c r="AA18" s="66"/>
    </row>
    <row r="19" spans="1:27" ht="15">
      <c r="A19" s="47" t="s">
        <v>92</v>
      </c>
      <c r="B19" s="60">
        <f>B3</f>
        <v>39082</v>
      </c>
      <c r="C19" s="60">
        <f>C3</f>
        <v>39447</v>
      </c>
      <c r="D19" s="60">
        <f>D3</f>
        <v>39813</v>
      </c>
      <c r="E19" s="60">
        <f>E3</f>
        <v>40178</v>
      </c>
      <c r="F19" s="60">
        <f>F3</f>
        <v>40543</v>
      </c>
      <c r="AA19" s="66"/>
    </row>
    <row r="20" ht="14.25">
      <c r="AA20" s="66"/>
    </row>
    <row r="21" spans="1:27" ht="14.25">
      <c r="A21" s="48" t="s">
        <v>46</v>
      </c>
      <c r="B21" s="87">
        <v>0</v>
      </c>
      <c r="C21" s="87">
        <f>B24</f>
        <v>0</v>
      </c>
      <c r="D21" s="87">
        <f>C24</f>
        <v>0</v>
      </c>
      <c r="E21" s="87">
        <f>D24</f>
        <v>0</v>
      </c>
      <c r="F21" s="87">
        <f>E24</f>
        <v>0</v>
      </c>
      <c r="H21" s="48" t="s">
        <v>132</v>
      </c>
      <c r="I21" s="66">
        <f>N21</f>
        <v>0</v>
      </c>
      <c r="J21" s="66">
        <f>P21</f>
        <v>0</v>
      </c>
      <c r="K21" s="66">
        <f>S21</f>
        <v>0</v>
      </c>
      <c r="L21" s="66">
        <f>V21</f>
        <v>0</v>
      </c>
      <c r="M21" s="66">
        <f>Y21</f>
        <v>0</v>
      </c>
      <c r="N21" s="66">
        <f>E24</f>
        <v>0</v>
      </c>
      <c r="O21" s="66">
        <f aca="true" t="shared" si="8" ref="O21:Y21">N21</f>
        <v>0</v>
      </c>
      <c r="P21" s="66">
        <f t="shared" si="8"/>
        <v>0</v>
      </c>
      <c r="Q21" s="66">
        <f t="shared" si="8"/>
        <v>0</v>
      </c>
      <c r="R21" s="66">
        <f t="shared" si="8"/>
        <v>0</v>
      </c>
      <c r="S21" s="66">
        <f t="shared" si="8"/>
        <v>0</v>
      </c>
      <c r="T21" s="66">
        <f t="shared" si="8"/>
        <v>0</v>
      </c>
      <c r="U21" s="66">
        <f t="shared" si="8"/>
        <v>0</v>
      </c>
      <c r="V21" s="66">
        <f t="shared" si="8"/>
        <v>0</v>
      </c>
      <c r="W21" s="66">
        <f t="shared" si="8"/>
        <v>0</v>
      </c>
      <c r="X21" s="66">
        <f t="shared" si="8"/>
        <v>0</v>
      </c>
      <c r="Y21" s="66">
        <f t="shared" si="8"/>
        <v>0</v>
      </c>
      <c r="AA21" s="66"/>
    </row>
    <row r="22" spans="1:27" ht="14.25">
      <c r="A22" s="48" t="s">
        <v>81</v>
      </c>
      <c r="B22" s="71"/>
      <c r="C22" s="55"/>
      <c r="D22" s="55"/>
      <c r="E22" s="55"/>
      <c r="F22" s="55"/>
      <c r="H22" s="48" t="s">
        <v>178</v>
      </c>
      <c r="O22" s="153">
        <f>N23</f>
        <v>0</v>
      </c>
      <c r="P22" s="153">
        <f>SUM($N23:O23)</f>
        <v>0</v>
      </c>
      <c r="Q22" s="153">
        <f>SUM($N23:P23)</f>
        <v>0</v>
      </c>
      <c r="R22" s="153">
        <f>SUM($N23:Q23)</f>
        <v>0</v>
      </c>
      <c r="S22" s="153">
        <f>SUM($N23:R23)</f>
        <v>0</v>
      </c>
      <c r="T22" s="153">
        <f>SUM($N23:S23)</f>
        <v>0</v>
      </c>
      <c r="U22" s="153">
        <f>SUM($N23:T23)</f>
        <v>0</v>
      </c>
      <c r="V22" s="153">
        <f>SUM($N23:U23)</f>
        <v>0</v>
      </c>
      <c r="W22" s="153">
        <f>SUM($N23:V23)</f>
        <v>0</v>
      </c>
      <c r="X22" s="153">
        <f>SUM($N23:W23)</f>
        <v>0</v>
      </c>
      <c r="Y22" s="153">
        <f>SUM($N23:X23)</f>
        <v>0</v>
      </c>
      <c r="AA22" s="66"/>
    </row>
    <row r="23" spans="1:27" ht="14.25">
      <c r="A23" s="48" t="s">
        <v>82</v>
      </c>
      <c r="B23" s="55"/>
      <c r="C23" s="55">
        <f>'Avg Assets 09'!C23</f>
        <v>0</v>
      </c>
      <c r="D23" s="55">
        <f>'Avg Assets 09'!D23</f>
        <v>0</v>
      </c>
      <c r="E23" s="55">
        <f>Inputs!K20</f>
        <v>0</v>
      </c>
      <c r="F23" s="55">
        <f>Inputs!M20</f>
        <v>0</v>
      </c>
      <c r="H23" s="153" t="s">
        <v>136</v>
      </c>
      <c r="I23" s="153">
        <f>SUM(N23:Y23)</f>
        <v>0</v>
      </c>
      <c r="J23" s="153">
        <f>SUM(N23:P23)</f>
        <v>0</v>
      </c>
      <c r="K23" s="153">
        <f>SUM(Q23:S23)</f>
        <v>0</v>
      </c>
      <c r="L23" s="153">
        <f>SUM(T23:V23)</f>
        <v>0</v>
      </c>
      <c r="M23" s="153">
        <f>SUM(W23:Y23)</f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AA23" s="66"/>
    </row>
    <row r="24" spans="1:27" ht="14.25">
      <c r="A24" s="48" t="s">
        <v>47</v>
      </c>
      <c r="B24" s="82">
        <f>SUM(B21:B23)</f>
        <v>0</v>
      </c>
      <c r="C24" s="82">
        <f>SUM(C21:C23)</f>
        <v>0</v>
      </c>
      <c r="D24" s="82">
        <f>SUM(D21:D23)</f>
        <v>0</v>
      </c>
      <c r="E24" s="82">
        <f>SUM(E21:E23)</f>
        <v>0</v>
      </c>
      <c r="F24" s="82">
        <f>SUM(F21:F23)</f>
        <v>0</v>
      </c>
      <c r="H24" s="48" t="s">
        <v>133</v>
      </c>
      <c r="I24" s="82">
        <f aca="true" t="shared" si="9" ref="I24:Y24">SUM(I21:I23)</f>
        <v>0</v>
      </c>
      <c r="J24" s="82">
        <f t="shared" si="9"/>
        <v>0</v>
      </c>
      <c r="K24" s="82">
        <f t="shared" si="9"/>
        <v>0</v>
      </c>
      <c r="L24" s="82">
        <f t="shared" si="9"/>
        <v>0</v>
      </c>
      <c r="M24" s="82">
        <f t="shared" si="9"/>
        <v>0</v>
      </c>
      <c r="N24" s="82">
        <f t="shared" si="9"/>
        <v>0</v>
      </c>
      <c r="O24" s="82">
        <f t="shared" si="9"/>
        <v>0</v>
      </c>
      <c r="P24" s="82">
        <f t="shared" si="9"/>
        <v>0</v>
      </c>
      <c r="Q24" s="82">
        <f t="shared" si="9"/>
        <v>0</v>
      </c>
      <c r="R24" s="82">
        <f t="shared" si="9"/>
        <v>0</v>
      </c>
      <c r="S24" s="82">
        <f t="shared" si="9"/>
        <v>0</v>
      </c>
      <c r="T24" s="82">
        <f t="shared" si="9"/>
        <v>0</v>
      </c>
      <c r="U24" s="82">
        <f t="shared" si="9"/>
        <v>0</v>
      </c>
      <c r="V24" s="82">
        <f t="shared" si="9"/>
        <v>0</v>
      </c>
      <c r="W24" s="82">
        <f t="shared" si="9"/>
        <v>0</v>
      </c>
      <c r="X24" s="82">
        <f t="shared" si="9"/>
        <v>0</v>
      </c>
      <c r="Y24" s="82">
        <f t="shared" si="9"/>
        <v>0</v>
      </c>
      <c r="AA24" s="66"/>
    </row>
    <row r="25" spans="2:27" ht="14.25">
      <c r="B25" s="81"/>
      <c r="C25" s="81"/>
      <c r="D25" s="81"/>
      <c r="E25" s="81"/>
      <c r="F25" s="81"/>
      <c r="AA25" s="66"/>
    </row>
    <row r="26" spans="1:27" ht="14.25">
      <c r="A26" s="48" t="s">
        <v>48</v>
      </c>
      <c r="B26" s="82">
        <v>0</v>
      </c>
      <c r="C26" s="82">
        <f>B29</f>
        <v>0</v>
      </c>
      <c r="D26" s="82">
        <f>C29</f>
        <v>0</v>
      </c>
      <c r="E26" s="82">
        <f>D29</f>
        <v>0</v>
      </c>
      <c r="F26" s="82">
        <f>E29</f>
        <v>0</v>
      </c>
      <c r="I26" s="82">
        <f>E26</f>
        <v>0</v>
      </c>
      <c r="J26" s="82">
        <f>E29</f>
        <v>0</v>
      </c>
      <c r="K26" s="82">
        <f>J29</f>
        <v>0</v>
      </c>
      <c r="L26" s="82">
        <f>K29</f>
        <v>0</v>
      </c>
      <c r="M26" s="82">
        <f>L29</f>
        <v>0</v>
      </c>
      <c r="N26" s="82">
        <f>E29</f>
        <v>0</v>
      </c>
      <c r="O26" s="82">
        <f aca="true" t="shared" si="10" ref="O26:Y26">N29</f>
        <v>0</v>
      </c>
      <c r="P26" s="82">
        <f t="shared" si="10"/>
        <v>0</v>
      </c>
      <c r="Q26" s="82">
        <f t="shared" si="10"/>
        <v>0</v>
      </c>
      <c r="R26" s="82">
        <f t="shared" si="10"/>
        <v>0</v>
      </c>
      <c r="S26" s="82">
        <f t="shared" si="10"/>
        <v>0</v>
      </c>
      <c r="T26" s="82">
        <f t="shared" si="10"/>
        <v>0</v>
      </c>
      <c r="U26" s="82">
        <f t="shared" si="10"/>
        <v>0</v>
      </c>
      <c r="V26" s="82">
        <f t="shared" si="10"/>
        <v>0</v>
      </c>
      <c r="W26" s="82">
        <f t="shared" si="10"/>
        <v>0</v>
      </c>
      <c r="X26" s="82">
        <f t="shared" si="10"/>
        <v>0</v>
      </c>
      <c r="Y26" s="82">
        <f t="shared" si="10"/>
        <v>0</v>
      </c>
      <c r="AA26" s="66"/>
    </row>
    <row r="27" spans="1:27" ht="14.25">
      <c r="A27" s="48" t="s">
        <v>93</v>
      </c>
      <c r="B27" s="66">
        <f>B22/Inputs!B27/2</f>
        <v>0</v>
      </c>
      <c r="C27" s="66">
        <f>C21/Inputs!$B$27</f>
        <v>0</v>
      </c>
      <c r="D27" s="66">
        <f>D21/Inputs!$B$27</f>
        <v>0</v>
      </c>
      <c r="E27" s="66">
        <f>E21/Inputs!$B$27</f>
        <v>0</v>
      </c>
      <c r="F27" s="66">
        <f>F21/Inputs!$B$27</f>
        <v>0</v>
      </c>
      <c r="H27" s="48" t="s">
        <v>134</v>
      </c>
      <c r="I27" s="153">
        <f>SUM(N27:Y27)</f>
        <v>0</v>
      </c>
      <c r="J27" s="66">
        <f>J21/Inputs!$B$26/12</f>
        <v>0</v>
      </c>
      <c r="K27" s="66">
        <f>K21/Inputs!$B$26</f>
        <v>0</v>
      </c>
      <c r="L27" s="66">
        <f>L21/Inputs!$B$26</f>
        <v>0</v>
      </c>
      <c r="M27" s="66">
        <f>M21/Inputs!$B$26</f>
        <v>0</v>
      </c>
      <c r="N27" s="66">
        <f>N21/Inputs!$B$27/12</f>
        <v>0</v>
      </c>
      <c r="O27" s="66">
        <f>O21/Inputs!$B$27/12</f>
        <v>0</v>
      </c>
      <c r="P27" s="66">
        <f>P21/Inputs!$B$27/12</f>
        <v>0</v>
      </c>
      <c r="Q27" s="66">
        <f>Q21/Inputs!$B$27/12</f>
        <v>0</v>
      </c>
      <c r="R27" s="66">
        <f>R21/Inputs!$B$27/12</f>
        <v>0</v>
      </c>
      <c r="S27" s="66">
        <f>S21/Inputs!$B$27/12</f>
        <v>0</v>
      </c>
      <c r="T27" s="66">
        <f>T21/Inputs!$B$27/12</f>
        <v>0</v>
      </c>
      <c r="U27" s="66">
        <f>U21/Inputs!$B$27/12</f>
        <v>0</v>
      </c>
      <c r="V27" s="66">
        <f>V21/Inputs!$B$27/12</f>
        <v>0</v>
      </c>
      <c r="W27" s="66">
        <f>W21/Inputs!$B$27/12</f>
        <v>0</v>
      </c>
      <c r="X27" s="66">
        <f>X21/Inputs!$B$27/12</f>
        <v>0</v>
      </c>
      <c r="Y27" s="66">
        <f>Y21/Inputs!$B$27/12</f>
        <v>0</v>
      </c>
      <c r="AA27" s="66"/>
    </row>
    <row r="28" spans="1:27" ht="14.25">
      <c r="A28" s="48" t="s">
        <v>94</v>
      </c>
      <c r="B28" s="55"/>
      <c r="C28" s="55">
        <f>C23/Inputs!$B$27/2</f>
        <v>0</v>
      </c>
      <c r="D28" s="55">
        <f>D23/Inputs!$B$27/2</f>
        <v>0</v>
      </c>
      <c r="E28" s="55">
        <f>E23/Inputs!$B$27/2</f>
        <v>0</v>
      </c>
      <c r="F28" s="55">
        <f>F23/Inputs!$B$27/2</f>
        <v>0</v>
      </c>
      <c r="H28" s="48" t="s">
        <v>135</v>
      </c>
      <c r="I28" s="153">
        <f>SUM(N28:Y28)</f>
        <v>0</v>
      </c>
      <c r="J28" s="55">
        <f>J23/Inputs!$B$26/2</f>
        <v>0</v>
      </c>
      <c r="K28" s="55">
        <f>K23/Inputs!$B$26/2</f>
        <v>0</v>
      </c>
      <c r="L28" s="55">
        <f>L23/Inputs!$B$26/2</f>
        <v>0</v>
      </c>
      <c r="M28" s="55">
        <f>M23/Inputs!$B$26/2</f>
        <v>0</v>
      </c>
      <c r="N28" s="55">
        <f>N23/Inputs!$B$27/2/12</f>
        <v>0</v>
      </c>
      <c r="O28" s="55">
        <f>O23/Inputs!$B$27/2/12*O20+O22/Inputs!$B$27/2/12</f>
        <v>0</v>
      </c>
      <c r="P28" s="55">
        <f>P23/Inputs!$B$27/2/12*P20+P22/Inputs!$B$27/2/12</f>
        <v>0</v>
      </c>
      <c r="Q28" s="55">
        <f>Q23/Inputs!$B$27/2/12*Q20+Q22/Inputs!$B$27/2/12</f>
        <v>0</v>
      </c>
      <c r="R28" s="55">
        <f>R23/Inputs!$B$27/2/12*R20+R22/Inputs!$B$27/2/12</f>
        <v>0</v>
      </c>
      <c r="S28" s="55">
        <f>S23/Inputs!$B$27/2/12*S20+S22/Inputs!$B$27/2/12</f>
        <v>0</v>
      </c>
      <c r="T28" s="55">
        <f>T23/Inputs!$B$27/2/12*T20+T22/Inputs!$B$27/2/12</f>
        <v>0</v>
      </c>
      <c r="U28" s="55">
        <f>U23/Inputs!$B$27/2/12*U20+U22/Inputs!$B$27/2/12</f>
        <v>0</v>
      </c>
      <c r="V28" s="55">
        <f>V23/Inputs!$B$27/2/12*V20+V22/Inputs!$B$27/2/12</f>
        <v>0</v>
      </c>
      <c r="W28" s="55">
        <f>W23/Inputs!$B$27/2/12*W20+W22/Inputs!$B$27/2/12</f>
        <v>0</v>
      </c>
      <c r="X28" s="55">
        <f>X23/Inputs!$B$27/2/12*X20+X22/Inputs!$B$27/2/12</f>
        <v>0</v>
      </c>
      <c r="Y28" s="55">
        <f>Y23/Inputs!$B$27/2/12*Y20+Y22/Inputs!$B$27/2/12</f>
        <v>0</v>
      </c>
      <c r="AA28" s="66"/>
    </row>
    <row r="29" spans="1:27" ht="14.25">
      <c r="A29" s="48" t="s">
        <v>49</v>
      </c>
      <c r="B29" s="87">
        <f>SUM(B26:B28)</f>
        <v>0</v>
      </c>
      <c r="C29" s="87">
        <f>SUM(C26:C28)</f>
        <v>0</v>
      </c>
      <c r="D29" s="87">
        <f>SUM(D26:D28)</f>
        <v>0</v>
      </c>
      <c r="E29" s="87">
        <f>SUM(E26:E28)</f>
        <v>0</v>
      </c>
      <c r="F29" s="87">
        <f>SUM(F26:F28)</f>
        <v>0</v>
      </c>
      <c r="I29" s="87">
        <f aca="true" t="shared" si="11" ref="I29:Y29">SUM(I26:I28)</f>
        <v>0</v>
      </c>
      <c r="J29" s="87">
        <f t="shared" si="11"/>
        <v>0</v>
      </c>
      <c r="K29" s="87">
        <f t="shared" si="11"/>
        <v>0</v>
      </c>
      <c r="L29" s="87">
        <f t="shared" si="11"/>
        <v>0</v>
      </c>
      <c r="M29" s="87">
        <f t="shared" si="11"/>
        <v>0</v>
      </c>
      <c r="N29" s="87">
        <f t="shared" si="11"/>
        <v>0</v>
      </c>
      <c r="O29" s="87">
        <f t="shared" si="11"/>
        <v>0</v>
      </c>
      <c r="P29" s="87">
        <f t="shared" si="11"/>
        <v>0</v>
      </c>
      <c r="Q29" s="87">
        <f t="shared" si="11"/>
        <v>0</v>
      </c>
      <c r="R29" s="87">
        <f t="shared" si="11"/>
        <v>0</v>
      </c>
      <c r="S29" s="87">
        <f t="shared" si="11"/>
        <v>0</v>
      </c>
      <c r="T29" s="87">
        <f t="shared" si="11"/>
        <v>0</v>
      </c>
      <c r="U29" s="87">
        <f t="shared" si="11"/>
        <v>0</v>
      </c>
      <c r="V29" s="87">
        <f t="shared" si="11"/>
        <v>0</v>
      </c>
      <c r="W29" s="87">
        <f t="shared" si="11"/>
        <v>0</v>
      </c>
      <c r="X29" s="87">
        <f t="shared" si="11"/>
        <v>0</v>
      </c>
      <c r="Y29" s="87">
        <f t="shared" si="11"/>
        <v>0</v>
      </c>
      <c r="AA29" s="66"/>
    </row>
    <row r="30" spans="2:27" ht="14.25">
      <c r="B30" s="87"/>
      <c r="C30" s="87"/>
      <c r="D30" s="87"/>
      <c r="E30" s="87"/>
      <c r="F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AA30" s="66"/>
    </row>
    <row r="31" spans="1:27" ht="14.25">
      <c r="A31" s="48" t="s">
        <v>50</v>
      </c>
      <c r="B31" s="55">
        <f>0</f>
        <v>0</v>
      </c>
      <c r="C31" s="66">
        <f>B32</f>
        <v>0</v>
      </c>
      <c r="D31" s="66">
        <f>C32</f>
        <v>0</v>
      </c>
      <c r="E31" s="66">
        <f>D32</f>
        <v>0</v>
      </c>
      <c r="F31" s="66">
        <f>E32</f>
        <v>0</v>
      </c>
      <c r="I31" s="66">
        <f>N31</f>
        <v>0</v>
      </c>
      <c r="J31" s="66">
        <f>E32</f>
        <v>0</v>
      </c>
      <c r="K31" s="66">
        <f>J32</f>
        <v>0</v>
      </c>
      <c r="L31" s="66">
        <f>K32</f>
        <v>0</v>
      </c>
      <c r="M31" s="66">
        <f>L32</f>
        <v>0</v>
      </c>
      <c r="N31" s="66">
        <f>$E$32</f>
        <v>0</v>
      </c>
      <c r="O31" s="66">
        <f aca="true" t="shared" si="12" ref="O31:Y31">N31</f>
        <v>0</v>
      </c>
      <c r="P31" s="66">
        <f t="shared" si="12"/>
        <v>0</v>
      </c>
      <c r="Q31" s="66">
        <f t="shared" si="12"/>
        <v>0</v>
      </c>
      <c r="R31" s="66">
        <f t="shared" si="12"/>
        <v>0</v>
      </c>
      <c r="S31" s="66">
        <f t="shared" si="12"/>
        <v>0</v>
      </c>
      <c r="T31" s="66">
        <f t="shared" si="12"/>
        <v>0</v>
      </c>
      <c r="U31" s="66">
        <f t="shared" si="12"/>
        <v>0</v>
      </c>
      <c r="V31" s="66">
        <f t="shared" si="12"/>
        <v>0</v>
      </c>
      <c r="W31" s="66">
        <f t="shared" si="12"/>
        <v>0</v>
      </c>
      <c r="X31" s="66">
        <f t="shared" si="12"/>
        <v>0</v>
      </c>
      <c r="Y31" s="66">
        <f t="shared" si="12"/>
        <v>0</v>
      </c>
      <c r="AA31" s="66"/>
    </row>
    <row r="32" spans="1:27" ht="14.25">
      <c r="A32" s="48" t="s">
        <v>51</v>
      </c>
      <c r="B32" s="82">
        <f>B24-B29</f>
        <v>0</v>
      </c>
      <c r="C32" s="82">
        <f>C24-C29</f>
        <v>0</v>
      </c>
      <c r="D32" s="82">
        <f>D24-D29</f>
        <v>0</v>
      </c>
      <c r="E32" s="82">
        <f>E24-E29</f>
        <v>0</v>
      </c>
      <c r="F32" s="82">
        <f>F24-F29</f>
        <v>0</v>
      </c>
      <c r="I32" s="82">
        <f aca="true" t="shared" si="13" ref="I32:Y32">I24-I29</f>
        <v>0</v>
      </c>
      <c r="J32" s="82">
        <f t="shared" si="13"/>
        <v>0</v>
      </c>
      <c r="K32" s="82">
        <f t="shared" si="13"/>
        <v>0</v>
      </c>
      <c r="L32" s="82">
        <f t="shared" si="13"/>
        <v>0</v>
      </c>
      <c r="M32" s="82">
        <f t="shared" si="13"/>
        <v>0</v>
      </c>
      <c r="N32" s="82">
        <f t="shared" si="13"/>
        <v>0</v>
      </c>
      <c r="O32" s="82">
        <f t="shared" si="13"/>
        <v>0</v>
      </c>
      <c r="P32" s="82">
        <f t="shared" si="13"/>
        <v>0</v>
      </c>
      <c r="Q32" s="82">
        <f t="shared" si="13"/>
        <v>0</v>
      </c>
      <c r="R32" s="82">
        <f t="shared" si="13"/>
        <v>0</v>
      </c>
      <c r="S32" s="82">
        <f t="shared" si="13"/>
        <v>0</v>
      </c>
      <c r="T32" s="82">
        <f t="shared" si="13"/>
        <v>0</v>
      </c>
      <c r="U32" s="82">
        <f t="shared" si="13"/>
        <v>0</v>
      </c>
      <c r="V32" s="82">
        <f t="shared" si="13"/>
        <v>0</v>
      </c>
      <c r="W32" s="82">
        <f t="shared" si="13"/>
        <v>0</v>
      </c>
      <c r="X32" s="82">
        <f t="shared" si="13"/>
        <v>0</v>
      </c>
      <c r="Y32" s="82">
        <f t="shared" si="13"/>
        <v>0</v>
      </c>
      <c r="AA32" s="66"/>
    </row>
    <row r="33" spans="1:27" ht="15" thickBot="1">
      <c r="A33" s="48" t="s">
        <v>52</v>
      </c>
      <c r="B33" s="45">
        <f>(B32+B31)/2</f>
        <v>0</v>
      </c>
      <c r="C33" s="45">
        <f>(C32+C31)/2</f>
        <v>0</v>
      </c>
      <c r="D33" s="45">
        <f>(D32+D31)/2</f>
        <v>0</v>
      </c>
      <c r="E33" s="45">
        <f>(E32+E31)/2</f>
        <v>0</v>
      </c>
      <c r="F33" s="45">
        <f>(F32+F31)/2</f>
        <v>0</v>
      </c>
      <c r="I33" s="45">
        <f aca="true" t="shared" si="14" ref="I33:Y33">(I32+I31)/2</f>
        <v>0</v>
      </c>
      <c r="J33" s="45">
        <f t="shared" si="14"/>
        <v>0</v>
      </c>
      <c r="K33" s="45">
        <f t="shared" si="14"/>
        <v>0</v>
      </c>
      <c r="L33" s="45">
        <f t="shared" si="14"/>
        <v>0</v>
      </c>
      <c r="M33" s="45">
        <f t="shared" si="14"/>
        <v>0</v>
      </c>
      <c r="N33" s="45">
        <f t="shared" si="14"/>
        <v>0</v>
      </c>
      <c r="O33" s="45">
        <f t="shared" si="14"/>
        <v>0</v>
      </c>
      <c r="P33" s="45">
        <f t="shared" si="14"/>
        <v>0</v>
      </c>
      <c r="Q33" s="45">
        <f t="shared" si="14"/>
        <v>0</v>
      </c>
      <c r="R33" s="45">
        <f t="shared" si="14"/>
        <v>0</v>
      </c>
      <c r="S33" s="45">
        <f t="shared" si="14"/>
        <v>0</v>
      </c>
      <c r="T33" s="45">
        <f t="shared" si="14"/>
        <v>0</v>
      </c>
      <c r="U33" s="45">
        <f t="shared" si="14"/>
        <v>0</v>
      </c>
      <c r="V33" s="45">
        <f t="shared" si="14"/>
        <v>0</v>
      </c>
      <c r="W33" s="45">
        <f t="shared" si="14"/>
        <v>0</v>
      </c>
      <c r="X33" s="45">
        <f t="shared" si="14"/>
        <v>0</v>
      </c>
      <c r="Y33" s="45">
        <f t="shared" si="14"/>
        <v>0</v>
      </c>
      <c r="AA33" s="66"/>
    </row>
    <row r="34" spans="2:27" ht="14.25">
      <c r="B34" s="81"/>
      <c r="C34" s="81"/>
      <c r="D34" s="81"/>
      <c r="E34" s="81"/>
      <c r="F34" s="81"/>
      <c r="AA34" s="66"/>
    </row>
    <row r="35" spans="1:27" ht="15">
      <c r="A35" s="47" t="s">
        <v>53</v>
      </c>
      <c r="B35" s="60">
        <f>B3</f>
        <v>39082</v>
      </c>
      <c r="C35" s="60">
        <f>C3</f>
        <v>39447</v>
      </c>
      <c r="D35" s="60">
        <f>D3</f>
        <v>39813</v>
      </c>
      <c r="E35" s="60">
        <f>E3</f>
        <v>40178</v>
      </c>
      <c r="F35" s="60">
        <f>F3</f>
        <v>40543</v>
      </c>
      <c r="AA35" s="66"/>
    </row>
    <row r="36" spans="14:27" ht="14.25">
      <c r="N36" s="52">
        <f aca="true" t="shared" si="15" ref="N36:Y36">N2</f>
        <v>1</v>
      </c>
      <c r="O36" s="52">
        <f t="shared" si="15"/>
        <v>2</v>
      </c>
      <c r="P36" s="52">
        <f t="shared" si="15"/>
        <v>3</v>
      </c>
      <c r="Q36" s="52">
        <f t="shared" si="15"/>
        <v>4</v>
      </c>
      <c r="R36" s="52">
        <f t="shared" si="15"/>
        <v>5</v>
      </c>
      <c r="S36" s="52">
        <f t="shared" si="15"/>
        <v>6</v>
      </c>
      <c r="T36" s="52">
        <f t="shared" si="15"/>
        <v>7</v>
      </c>
      <c r="U36" s="52">
        <f t="shared" si="15"/>
        <v>8</v>
      </c>
      <c r="V36" s="52">
        <f t="shared" si="15"/>
        <v>9</v>
      </c>
      <c r="W36" s="52">
        <f t="shared" si="15"/>
        <v>10</v>
      </c>
      <c r="X36" s="52">
        <f t="shared" si="15"/>
        <v>11</v>
      </c>
      <c r="Y36" s="52">
        <f t="shared" si="15"/>
        <v>12</v>
      </c>
      <c r="AA36" s="66"/>
    </row>
    <row r="37" spans="1:27" ht="14.25">
      <c r="A37" s="48" t="s">
        <v>46</v>
      </c>
      <c r="B37" s="87">
        <v>0</v>
      </c>
      <c r="C37" s="87">
        <f>B40</f>
        <v>0</v>
      </c>
      <c r="D37" s="87">
        <f>C40</f>
        <v>502.6900000000023</v>
      </c>
      <c r="E37" s="87">
        <f>D40</f>
        <v>5640.400000000003</v>
      </c>
      <c r="F37" s="87">
        <f>E40</f>
        <v>5640.400000000003</v>
      </c>
      <c r="H37" s="48" t="s">
        <v>132</v>
      </c>
      <c r="I37" s="66">
        <f>N37</f>
        <v>5640.400000000003</v>
      </c>
      <c r="J37" s="66">
        <f>P37</f>
        <v>5640.400000000003</v>
      </c>
      <c r="K37" s="66">
        <f>S37</f>
        <v>5640.400000000003</v>
      </c>
      <c r="L37" s="66">
        <f>V37</f>
        <v>5640.400000000003</v>
      </c>
      <c r="M37" s="66">
        <f>Y37</f>
        <v>5640.400000000003</v>
      </c>
      <c r="N37" s="66">
        <f>E40</f>
        <v>5640.400000000003</v>
      </c>
      <c r="O37" s="66">
        <f aca="true" t="shared" si="16" ref="O37:Y37">N37</f>
        <v>5640.400000000003</v>
      </c>
      <c r="P37" s="66">
        <f t="shared" si="16"/>
        <v>5640.400000000003</v>
      </c>
      <c r="Q37" s="66">
        <f t="shared" si="16"/>
        <v>5640.400000000003</v>
      </c>
      <c r="R37" s="66">
        <f t="shared" si="16"/>
        <v>5640.400000000003</v>
      </c>
      <c r="S37" s="66">
        <f t="shared" si="16"/>
        <v>5640.400000000003</v>
      </c>
      <c r="T37" s="66">
        <f t="shared" si="16"/>
        <v>5640.400000000003</v>
      </c>
      <c r="U37" s="66">
        <f t="shared" si="16"/>
        <v>5640.400000000003</v>
      </c>
      <c r="V37" s="66">
        <f t="shared" si="16"/>
        <v>5640.400000000003</v>
      </c>
      <c r="W37" s="66">
        <f t="shared" si="16"/>
        <v>5640.400000000003</v>
      </c>
      <c r="X37" s="66">
        <f t="shared" si="16"/>
        <v>5640.400000000003</v>
      </c>
      <c r="Y37" s="66">
        <f t="shared" si="16"/>
        <v>5640.400000000003</v>
      </c>
      <c r="AA37" s="66"/>
    </row>
    <row r="38" spans="1:27" ht="14.25">
      <c r="A38" s="48" t="s">
        <v>81</v>
      </c>
      <c r="B38" s="71">
        <f>+Inputs!B21</f>
        <v>0</v>
      </c>
      <c r="C38" s="55"/>
      <c r="D38" s="55"/>
      <c r="E38" s="55"/>
      <c r="F38" s="55"/>
      <c r="H38" s="48" t="s">
        <v>178</v>
      </c>
      <c r="O38" s="153">
        <f>N39</f>
        <v>0</v>
      </c>
      <c r="P38" s="153">
        <f>SUM($N39:O39)</f>
        <v>0</v>
      </c>
      <c r="Q38" s="153">
        <f>SUM($N39:P39)</f>
        <v>0</v>
      </c>
      <c r="R38" s="153">
        <f>SUM($N39:Q39)</f>
        <v>0</v>
      </c>
      <c r="S38" s="153">
        <f>SUM($N39:R39)</f>
        <v>0</v>
      </c>
      <c r="T38" s="153">
        <f>SUM($N39:S39)</f>
        <v>0</v>
      </c>
      <c r="U38" s="153">
        <f>SUM($N39:T39)</f>
        <v>0</v>
      </c>
      <c r="V38" s="153">
        <f>SUM($N39:U39)</f>
        <v>0</v>
      </c>
      <c r="W38" s="153">
        <f>SUM($N39:V39)</f>
        <v>0</v>
      </c>
      <c r="X38" s="153">
        <f>SUM($N39:W39)</f>
        <v>0</v>
      </c>
      <c r="Y38" s="153">
        <f>SUM($N39:X39)</f>
        <v>0</v>
      </c>
      <c r="AA38" s="66"/>
    </row>
    <row r="39" spans="1:27" ht="14.25">
      <c r="A39" s="48" t="s">
        <v>82</v>
      </c>
      <c r="B39" s="55"/>
      <c r="C39" s="55">
        <f>'Avg Assets 09'!C39</f>
        <v>502.6900000000023</v>
      </c>
      <c r="D39" s="55">
        <f>Inputs!I21</f>
        <v>5137.710000000001</v>
      </c>
      <c r="E39" s="55">
        <f>Inputs!K21</f>
        <v>0</v>
      </c>
      <c r="F39" s="55">
        <f>Inputs!M21</f>
        <v>0</v>
      </c>
      <c r="H39" s="153" t="s">
        <v>136</v>
      </c>
      <c r="I39" s="153">
        <f>SUM(N39:Y39)</f>
        <v>0</v>
      </c>
      <c r="J39" s="153">
        <f>SUM(N39:P39)</f>
        <v>0</v>
      </c>
      <c r="K39" s="153">
        <f>SUM(Q39:S39)</f>
        <v>0</v>
      </c>
      <c r="L39" s="153">
        <f>SUM(T39:V39)</f>
        <v>0</v>
      </c>
      <c r="M39" s="153">
        <f>SUM(W39:Y39)</f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AA39" s="66"/>
    </row>
    <row r="40" spans="1:27" ht="14.25">
      <c r="A40" s="48" t="s">
        <v>47</v>
      </c>
      <c r="B40" s="82">
        <f>SUM(B37:B39)</f>
        <v>0</v>
      </c>
      <c r="C40" s="82">
        <f>SUM(C37:C39)</f>
        <v>502.6900000000023</v>
      </c>
      <c r="D40" s="82">
        <f>SUM(D37:D39)</f>
        <v>5640.400000000003</v>
      </c>
      <c r="E40" s="82">
        <f>SUM(E37:E39)</f>
        <v>5640.400000000003</v>
      </c>
      <c r="F40" s="82">
        <f>SUM(F37:F39)</f>
        <v>5640.400000000003</v>
      </c>
      <c r="H40" s="48" t="s">
        <v>133</v>
      </c>
      <c r="I40" s="82">
        <f aca="true" t="shared" si="17" ref="I40:Y40">SUM(I37:I39)</f>
        <v>5640.400000000003</v>
      </c>
      <c r="J40" s="82">
        <f t="shared" si="17"/>
        <v>5640.400000000003</v>
      </c>
      <c r="K40" s="82">
        <f t="shared" si="17"/>
        <v>5640.400000000003</v>
      </c>
      <c r="L40" s="82">
        <f t="shared" si="17"/>
        <v>5640.400000000003</v>
      </c>
      <c r="M40" s="82">
        <f t="shared" si="17"/>
        <v>5640.400000000003</v>
      </c>
      <c r="N40" s="82">
        <f t="shared" si="17"/>
        <v>5640.400000000003</v>
      </c>
      <c r="O40" s="82">
        <f t="shared" si="17"/>
        <v>5640.400000000003</v>
      </c>
      <c r="P40" s="82">
        <f t="shared" si="17"/>
        <v>5640.400000000003</v>
      </c>
      <c r="Q40" s="82">
        <f t="shared" si="17"/>
        <v>5640.400000000003</v>
      </c>
      <c r="R40" s="82">
        <f t="shared" si="17"/>
        <v>5640.400000000003</v>
      </c>
      <c r="S40" s="82">
        <f t="shared" si="17"/>
        <v>5640.400000000003</v>
      </c>
      <c r="T40" s="82">
        <f t="shared" si="17"/>
        <v>5640.400000000003</v>
      </c>
      <c r="U40" s="82">
        <f t="shared" si="17"/>
        <v>5640.400000000003</v>
      </c>
      <c r="V40" s="82">
        <f t="shared" si="17"/>
        <v>5640.400000000003</v>
      </c>
      <c r="W40" s="82">
        <f t="shared" si="17"/>
        <v>5640.400000000003</v>
      </c>
      <c r="X40" s="82">
        <f t="shared" si="17"/>
        <v>5640.400000000003</v>
      </c>
      <c r="Y40" s="82">
        <f t="shared" si="17"/>
        <v>5640.400000000003</v>
      </c>
      <c r="AA40" s="66"/>
    </row>
    <row r="41" spans="2:27" ht="14.25">
      <c r="B41" s="81"/>
      <c r="C41" s="81"/>
      <c r="D41" s="81"/>
      <c r="E41" s="81"/>
      <c r="F41" s="81"/>
      <c r="AA41" s="66"/>
    </row>
    <row r="42" spans="1:27" ht="14.25">
      <c r="A42" s="48" t="s">
        <v>48</v>
      </c>
      <c r="B42" s="82">
        <v>0</v>
      </c>
      <c r="C42" s="82">
        <f>B45</f>
        <v>0</v>
      </c>
      <c r="D42" s="82">
        <f>C45</f>
        <v>50.26900000000023</v>
      </c>
      <c r="E42" s="82">
        <f>D45</f>
        <v>664.5780000000008</v>
      </c>
      <c r="F42" s="82">
        <f>E45</f>
        <v>1792.6580000000013</v>
      </c>
      <c r="G42" s="66"/>
      <c r="I42" s="82">
        <f>E45</f>
        <v>1792.6580000000013</v>
      </c>
      <c r="J42" s="82">
        <f>E45</f>
        <v>1792.6580000000013</v>
      </c>
      <c r="K42" s="82">
        <f>J45</f>
        <v>1823.993555555557</v>
      </c>
      <c r="L42" s="82">
        <f>K45</f>
        <v>2200.0202222222238</v>
      </c>
      <c r="M42" s="82">
        <f>L45</f>
        <v>2576.046888888891</v>
      </c>
      <c r="N42" s="82">
        <f>E45</f>
        <v>1792.6580000000013</v>
      </c>
      <c r="O42" s="82">
        <f aca="true" t="shared" si="18" ref="O42:Y42">N45</f>
        <v>1886.664666666668</v>
      </c>
      <c r="P42" s="82">
        <f t="shared" si="18"/>
        <v>1980.6713333333346</v>
      </c>
      <c r="Q42" s="82">
        <f t="shared" si="18"/>
        <v>2074.6780000000012</v>
      </c>
      <c r="R42" s="82">
        <f t="shared" si="18"/>
        <v>2168.684666666668</v>
      </c>
      <c r="S42" s="82">
        <f t="shared" si="18"/>
        <v>2262.6913333333346</v>
      </c>
      <c r="T42" s="82">
        <f t="shared" si="18"/>
        <v>2356.6980000000012</v>
      </c>
      <c r="U42" s="82">
        <f t="shared" si="18"/>
        <v>2450.704666666668</v>
      </c>
      <c r="V42" s="82">
        <f t="shared" si="18"/>
        <v>2544.7113333333346</v>
      </c>
      <c r="W42" s="82">
        <f t="shared" si="18"/>
        <v>2638.718000000001</v>
      </c>
      <c r="X42" s="82">
        <f t="shared" si="18"/>
        <v>2732.724666666668</v>
      </c>
      <c r="Y42" s="82">
        <f t="shared" si="18"/>
        <v>2826.7313333333345</v>
      </c>
      <c r="AA42" s="66"/>
    </row>
    <row r="43" spans="1:27" ht="14.25">
      <c r="A43" s="48" t="s">
        <v>105</v>
      </c>
      <c r="B43" s="66">
        <f>B38/Inputs!B28/2</f>
        <v>0</v>
      </c>
      <c r="C43" s="66">
        <f>C37/Inputs!$B$28</f>
        <v>0</v>
      </c>
      <c r="D43" s="66">
        <f>D37/Inputs!$B$28</f>
        <v>100.53800000000047</v>
      </c>
      <c r="E43" s="66">
        <f>E37/Inputs!$B$28</f>
        <v>1128.0800000000006</v>
      </c>
      <c r="F43" s="66">
        <f>F37/Inputs!$B$28</f>
        <v>1128.0800000000006</v>
      </c>
      <c r="H43" s="48" t="s">
        <v>134</v>
      </c>
      <c r="I43" s="153">
        <f>SUM(N43:Y43)</f>
        <v>1128.0800000000004</v>
      </c>
      <c r="J43" s="66">
        <f>J37/Inputs!$B$26/12</f>
        <v>31.335555555555572</v>
      </c>
      <c r="K43" s="66">
        <f>K37/Inputs!$B$26</f>
        <v>376.02666666666687</v>
      </c>
      <c r="L43" s="66">
        <f>L37/Inputs!$B$26</f>
        <v>376.02666666666687</v>
      </c>
      <c r="M43" s="66">
        <f>M37/Inputs!$B$26</f>
        <v>376.02666666666687</v>
      </c>
      <c r="N43" s="66">
        <f>N37/Inputs!$B$28/12</f>
        <v>94.00666666666672</v>
      </c>
      <c r="O43" s="66">
        <f>O37/Inputs!$B$28/12</f>
        <v>94.00666666666672</v>
      </c>
      <c r="P43" s="66">
        <f>P37/Inputs!$B$28/12</f>
        <v>94.00666666666672</v>
      </c>
      <c r="Q43" s="66">
        <f>Q37/Inputs!$B$28/12</f>
        <v>94.00666666666672</v>
      </c>
      <c r="R43" s="66">
        <f>R37/Inputs!$B$28/12</f>
        <v>94.00666666666672</v>
      </c>
      <c r="S43" s="66">
        <f>S37/Inputs!$B$28/12</f>
        <v>94.00666666666672</v>
      </c>
      <c r="T43" s="66">
        <f>T37/Inputs!$B$28/12</f>
        <v>94.00666666666672</v>
      </c>
      <c r="U43" s="66">
        <f>U37/Inputs!$B$28/12</f>
        <v>94.00666666666672</v>
      </c>
      <c r="V43" s="66">
        <f>V37/Inputs!$B$28/12</f>
        <v>94.00666666666672</v>
      </c>
      <c r="W43" s="66">
        <f>W37/Inputs!$B$28/12</f>
        <v>94.00666666666672</v>
      </c>
      <c r="X43" s="66">
        <f>X37/Inputs!$B$28/12</f>
        <v>94.00666666666672</v>
      </c>
      <c r="Y43" s="66">
        <f>Y37/Inputs!$B$28/12</f>
        <v>94.00666666666672</v>
      </c>
      <c r="AA43" s="66"/>
    </row>
    <row r="44" spans="1:27" ht="14.25">
      <c r="A44" s="48" t="s">
        <v>106</v>
      </c>
      <c r="B44" s="55"/>
      <c r="C44" s="55">
        <f>C39/Inputs!$B$28/2</f>
        <v>50.26900000000023</v>
      </c>
      <c r="D44" s="55">
        <f>D39/Inputs!$B$28/2</f>
        <v>513.7710000000001</v>
      </c>
      <c r="E44" s="55">
        <f>E39/Inputs!$B$28/2</f>
        <v>0</v>
      </c>
      <c r="F44" s="55">
        <f>F39/Inputs!$B$28/2</f>
        <v>0</v>
      </c>
      <c r="H44" s="48" t="s">
        <v>135</v>
      </c>
      <c r="I44" s="153">
        <f>SUM(N44:Y44)</f>
        <v>0</v>
      </c>
      <c r="J44" s="55">
        <f>J39/Inputs!$B$26/2</f>
        <v>0</v>
      </c>
      <c r="K44" s="55">
        <f>K39/Inputs!$B$26/2</f>
        <v>0</v>
      </c>
      <c r="L44" s="55">
        <f>L39/Inputs!$B$26/2</f>
        <v>0</v>
      </c>
      <c r="M44" s="55">
        <f>M39/Inputs!$B$26/2</f>
        <v>0</v>
      </c>
      <c r="N44" s="55">
        <f>N39/Inputs!$B$28/2/12</f>
        <v>0</v>
      </c>
      <c r="O44" s="55">
        <f>O39/Inputs!$B$28/2/12*O36+O38/Inputs!$B$28/2/12</f>
        <v>0</v>
      </c>
      <c r="P44" s="55">
        <f>P39/Inputs!$B$28/2/12*P36+P38/Inputs!$B$28/2/12</f>
        <v>0</v>
      </c>
      <c r="Q44" s="55">
        <f>Q39/Inputs!$B$28/2/12*Q36+Q38/Inputs!$B$28/2/12</f>
        <v>0</v>
      </c>
      <c r="R44" s="55">
        <f>R39/Inputs!$B$28/2/12*R36+R38/Inputs!$B$28/2/12</f>
        <v>0</v>
      </c>
      <c r="S44" s="55">
        <f>S39/Inputs!$B$28/2/12*S36+S38/Inputs!$B$28/2/12</f>
        <v>0</v>
      </c>
      <c r="T44" s="55">
        <f>T39/Inputs!$B$28/2/12*T36+T38/Inputs!$B$28/2/12</f>
        <v>0</v>
      </c>
      <c r="U44" s="55">
        <f>U39/Inputs!$B$28/2/12*U36+U38/Inputs!$B$28/2/12</f>
        <v>0</v>
      </c>
      <c r="V44" s="55">
        <f>V39/Inputs!$B$28/2/12*V36+V38/Inputs!$B$28/2/12</f>
        <v>0</v>
      </c>
      <c r="W44" s="55">
        <f>W39/Inputs!$B$28/2/12*W36+W38/Inputs!$B$28/2/12</f>
        <v>0</v>
      </c>
      <c r="X44" s="55">
        <f>X39/Inputs!$B$28/2/12*X36+X38/Inputs!$B$28/2/12</f>
        <v>0</v>
      </c>
      <c r="Y44" s="55">
        <f>Y39/Inputs!$B$28/2/12*Y36+Y38/Inputs!$B$28/2/12</f>
        <v>0</v>
      </c>
      <c r="AA44" s="66"/>
    </row>
    <row r="45" spans="1:27" ht="14.25">
      <c r="A45" s="48" t="s">
        <v>49</v>
      </c>
      <c r="B45" s="87">
        <f>SUM(B42:B44)</f>
        <v>0</v>
      </c>
      <c r="C45" s="87">
        <f>SUM(C42:C44)</f>
        <v>50.26900000000023</v>
      </c>
      <c r="D45" s="87">
        <f>SUM(D42:D44)</f>
        <v>664.5780000000008</v>
      </c>
      <c r="E45" s="87">
        <f>SUM(E42:E44)</f>
        <v>1792.6580000000013</v>
      </c>
      <c r="F45" s="87">
        <f>SUM(F42:F44)</f>
        <v>2920.738000000002</v>
      </c>
      <c r="I45" s="87">
        <f>SUM(I42:I44)</f>
        <v>2920.7380000000016</v>
      </c>
      <c r="J45" s="87">
        <f aca="true" t="shared" si="19" ref="J45:Y45">SUM(J42:J44)</f>
        <v>1823.993555555557</v>
      </c>
      <c r="K45" s="87">
        <f t="shared" si="19"/>
        <v>2200.0202222222238</v>
      </c>
      <c r="L45" s="87">
        <f t="shared" si="19"/>
        <v>2576.046888888891</v>
      </c>
      <c r="M45" s="87">
        <f t="shared" si="19"/>
        <v>2952.0735555555575</v>
      </c>
      <c r="N45" s="87">
        <f t="shared" si="19"/>
        <v>1886.664666666668</v>
      </c>
      <c r="O45" s="87">
        <f t="shared" si="19"/>
        <v>1980.6713333333346</v>
      </c>
      <c r="P45" s="87">
        <f t="shared" si="19"/>
        <v>2074.6780000000012</v>
      </c>
      <c r="Q45" s="87">
        <f t="shared" si="19"/>
        <v>2168.684666666668</v>
      </c>
      <c r="R45" s="87">
        <f t="shared" si="19"/>
        <v>2262.6913333333346</v>
      </c>
      <c r="S45" s="87">
        <f t="shared" si="19"/>
        <v>2356.6980000000012</v>
      </c>
      <c r="T45" s="87">
        <f t="shared" si="19"/>
        <v>2450.704666666668</v>
      </c>
      <c r="U45" s="87">
        <f t="shared" si="19"/>
        <v>2544.7113333333346</v>
      </c>
      <c r="V45" s="87">
        <f t="shared" si="19"/>
        <v>2638.718000000001</v>
      </c>
      <c r="W45" s="87">
        <f t="shared" si="19"/>
        <v>2732.724666666668</v>
      </c>
      <c r="X45" s="87">
        <f t="shared" si="19"/>
        <v>2826.7313333333345</v>
      </c>
      <c r="Y45" s="87">
        <f t="shared" si="19"/>
        <v>2920.738000000001</v>
      </c>
      <c r="AA45" s="66"/>
    </row>
    <row r="46" spans="2:27" ht="14.25">
      <c r="B46" s="87"/>
      <c r="C46" s="87"/>
      <c r="D46" s="87"/>
      <c r="E46" s="87"/>
      <c r="F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AA46" s="66"/>
    </row>
    <row r="47" spans="1:27" ht="14.25">
      <c r="A47" s="48" t="s">
        <v>50</v>
      </c>
      <c r="B47" s="55">
        <f>0</f>
        <v>0</v>
      </c>
      <c r="C47" s="66">
        <f>B48</f>
        <v>0</v>
      </c>
      <c r="D47" s="66">
        <f>C48</f>
        <v>452.4210000000021</v>
      </c>
      <c r="E47" s="66">
        <f>D48</f>
        <v>4975.822000000003</v>
      </c>
      <c r="F47" s="66">
        <f>E48</f>
        <v>3847.742000000002</v>
      </c>
      <c r="I47" s="66">
        <f>N47</f>
        <v>3847.742000000002</v>
      </c>
      <c r="J47" s="66">
        <f>E48</f>
        <v>3847.742000000002</v>
      </c>
      <c r="K47" s="66">
        <f>J48</f>
        <v>3816.4064444444466</v>
      </c>
      <c r="L47" s="66">
        <f>K48</f>
        <v>3440.3797777777795</v>
      </c>
      <c r="M47" s="66">
        <f>L48</f>
        <v>3064.3531111111124</v>
      </c>
      <c r="N47" s="66">
        <f>$E$48</f>
        <v>3847.742000000002</v>
      </c>
      <c r="O47" s="66">
        <f aca="true" t="shared" si="20" ref="O47:Y47">N47</f>
        <v>3847.742000000002</v>
      </c>
      <c r="P47" s="66">
        <f t="shared" si="20"/>
        <v>3847.742000000002</v>
      </c>
      <c r="Q47" s="66">
        <f t="shared" si="20"/>
        <v>3847.742000000002</v>
      </c>
      <c r="R47" s="66">
        <f t="shared" si="20"/>
        <v>3847.742000000002</v>
      </c>
      <c r="S47" s="66">
        <f t="shared" si="20"/>
        <v>3847.742000000002</v>
      </c>
      <c r="T47" s="66">
        <f t="shared" si="20"/>
        <v>3847.742000000002</v>
      </c>
      <c r="U47" s="66">
        <f t="shared" si="20"/>
        <v>3847.742000000002</v>
      </c>
      <c r="V47" s="66">
        <f t="shared" si="20"/>
        <v>3847.742000000002</v>
      </c>
      <c r="W47" s="66">
        <f t="shared" si="20"/>
        <v>3847.742000000002</v>
      </c>
      <c r="X47" s="66">
        <f t="shared" si="20"/>
        <v>3847.742000000002</v>
      </c>
      <c r="Y47" s="66">
        <f t="shared" si="20"/>
        <v>3847.742000000002</v>
      </c>
      <c r="AA47" s="66"/>
    </row>
    <row r="48" spans="1:27" ht="14.25">
      <c r="A48" s="48" t="s">
        <v>51</v>
      </c>
      <c r="B48" s="82">
        <f>B40-B45</f>
        <v>0</v>
      </c>
      <c r="C48" s="82">
        <f>C40-C45</f>
        <v>452.4210000000021</v>
      </c>
      <c r="D48" s="82">
        <f>D40-D45</f>
        <v>4975.822000000003</v>
      </c>
      <c r="E48" s="82">
        <f>E40-E45</f>
        <v>3847.742000000002</v>
      </c>
      <c r="F48" s="82">
        <f>F40-F45</f>
        <v>2719.662000000001</v>
      </c>
      <c r="G48" s="57"/>
      <c r="I48" s="82">
        <f aca="true" t="shared" si="21" ref="I48:Y48">I40-I45</f>
        <v>2719.6620000000016</v>
      </c>
      <c r="J48" s="82">
        <f t="shared" si="21"/>
        <v>3816.4064444444466</v>
      </c>
      <c r="K48" s="82">
        <f t="shared" si="21"/>
        <v>3440.3797777777795</v>
      </c>
      <c r="L48" s="82">
        <f t="shared" si="21"/>
        <v>3064.3531111111124</v>
      </c>
      <c r="M48" s="82">
        <f t="shared" si="21"/>
        <v>2688.3264444444458</v>
      </c>
      <c r="N48" s="82">
        <f t="shared" si="21"/>
        <v>3753.7353333333353</v>
      </c>
      <c r="O48" s="82">
        <f t="shared" si="21"/>
        <v>3659.7286666666687</v>
      </c>
      <c r="P48" s="82">
        <f t="shared" si="21"/>
        <v>3565.722000000002</v>
      </c>
      <c r="Q48" s="82">
        <f t="shared" si="21"/>
        <v>3471.7153333333354</v>
      </c>
      <c r="R48" s="82">
        <f t="shared" si="21"/>
        <v>3377.7086666666687</v>
      </c>
      <c r="S48" s="82">
        <f t="shared" si="21"/>
        <v>3283.702000000002</v>
      </c>
      <c r="T48" s="82">
        <f t="shared" si="21"/>
        <v>3189.6953333333354</v>
      </c>
      <c r="U48" s="82">
        <f t="shared" si="21"/>
        <v>3095.6886666666687</v>
      </c>
      <c r="V48" s="82">
        <f t="shared" si="21"/>
        <v>3001.682000000002</v>
      </c>
      <c r="W48" s="82">
        <f t="shared" si="21"/>
        <v>2907.6753333333354</v>
      </c>
      <c r="X48" s="82">
        <f t="shared" si="21"/>
        <v>2813.6686666666687</v>
      </c>
      <c r="Y48" s="82">
        <f t="shared" si="21"/>
        <v>2719.662000000002</v>
      </c>
      <c r="AA48" s="66"/>
    </row>
    <row r="49" spans="1:27" ht="15" thickBot="1">
      <c r="A49" s="48" t="s">
        <v>52</v>
      </c>
      <c r="B49" s="45">
        <f>(B48+B47)/2</f>
        <v>0</v>
      </c>
      <c r="C49" s="45">
        <f>(C48+C47)/2</f>
        <v>226.21050000000105</v>
      </c>
      <c r="D49" s="45">
        <f>(D48+D47)/2</f>
        <v>2714.1215000000025</v>
      </c>
      <c r="E49" s="45">
        <f>(E48+E47)/2</f>
        <v>4411.782000000003</v>
      </c>
      <c r="F49" s="45">
        <f>(F48+F47)/2</f>
        <v>3283.7020000000016</v>
      </c>
      <c r="G49" s="57"/>
      <c r="I49" s="45">
        <f aca="true" t="shared" si="22" ref="I49:Y49">(I48+I47)/2</f>
        <v>3283.702000000002</v>
      </c>
      <c r="J49" s="45">
        <f t="shared" si="22"/>
        <v>3832.0742222222243</v>
      </c>
      <c r="K49" s="45">
        <f t="shared" si="22"/>
        <v>3628.3931111111133</v>
      </c>
      <c r="L49" s="45">
        <f t="shared" si="22"/>
        <v>3252.3664444444457</v>
      </c>
      <c r="M49" s="45">
        <f t="shared" si="22"/>
        <v>2876.339777777779</v>
      </c>
      <c r="N49" s="45">
        <f t="shared" si="22"/>
        <v>3800.738666666669</v>
      </c>
      <c r="O49" s="45">
        <f t="shared" si="22"/>
        <v>3753.7353333333353</v>
      </c>
      <c r="P49" s="45">
        <f t="shared" si="22"/>
        <v>3706.732000000002</v>
      </c>
      <c r="Q49" s="45">
        <f t="shared" si="22"/>
        <v>3659.7286666666687</v>
      </c>
      <c r="R49" s="45">
        <f t="shared" si="22"/>
        <v>3612.7253333333356</v>
      </c>
      <c r="S49" s="45">
        <f t="shared" si="22"/>
        <v>3565.722000000002</v>
      </c>
      <c r="T49" s="45">
        <f t="shared" si="22"/>
        <v>3518.7186666666685</v>
      </c>
      <c r="U49" s="45">
        <f t="shared" si="22"/>
        <v>3471.7153333333354</v>
      </c>
      <c r="V49" s="45">
        <f t="shared" si="22"/>
        <v>3424.7120000000023</v>
      </c>
      <c r="W49" s="45">
        <f t="shared" si="22"/>
        <v>3377.7086666666687</v>
      </c>
      <c r="X49" s="45">
        <f t="shared" si="22"/>
        <v>3330.705333333335</v>
      </c>
      <c r="Y49" s="45">
        <f t="shared" si="22"/>
        <v>3283.702000000002</v>
      </c>
      <c r="AA49" s="66"/>
    </row>
    <row r="50" ht="14.25">
      <c r="AA50" s="66"/>
    </row>
    <row r="51" spans="1:27" ht="15">
      <c r="A51" s="47" t="s">
        <v>54</v>
      </c>
      <c r="B51" s="60">
        <f>B3</f>
        <v>39082</v>
      </c>
      <c r="C51" s="60">
        <f>C3</f>
        <v>39447</v>
      </c>
      <c r="D51" s="60">
        <f>D3</f>
        <v>39813</v>
      </c>
      <c r="E51" s="60">
        <f>E3</f>
        <v>40178</v>
      </c>
      <c r="F51" s="60">
        <f>F3</f>
        <v>40543</v>
      </c>
      <c r="AA51" s="66"/>
    </row>
    <row r="52" spans="14:27" ht="14.25">
      <c r="N52" s="52">
        <f aca="true" t="shared" si="23" ref="N52:Y52">N2</f>
        <v>1</v>
      </c>
      <c r="O52" s="52">
        <f t="shared" si="23"/>
        <v>2</v>
      </c>
      <c r="P52" s="52">
        <f t="shared" si="23"/>
        <v>3</v>
      </c>
      <c r="Q52" s="52">
        <f t="shared" si="23"/>
        <v>4</v>
      </c>
      <c r="R52" s="52">
        <f t="shared" si="23"/>
        <v>5</v>
      </c>
      <c r="S52" s="52">
        <f t="shared" si="23"/>
        <v>6</v>
      </c>
      <c r="T52" s="52">
        <f t="shared" si="23"/>
        <v>7</v>
      </c>
      <c r="U52" s="52">
        <f t="shared" si="23"/>
        <v>8</v>
      </c>
      <c r="V52" s="52">
        <f t="shared" si="23"/>
        <v>9</v>
      </c>
      <c r="W52" s="52">
        <f t="shared" si="23"/>
        <v>10</v>
      </c>
      <c r="X52" s="52">
        <f t="shared" si="23"/>
        <v>11</v>
      </c>
      <c r="Y52" s="52">
        <f t="shared" si="23"/>
        <v>12</v>
      </c>
      <c r="AA52" s="66"/>
    </row>
    <row r="53" spans="1:27" ht="14.25">
      <c r="A53" s="48" t="s">
        <v>46</v>
      </c>
      <c r="B53" s="87">
        <v>0</v>
      </c>
      <c r="C53" s="87">
        <f>B56</f>
        <v>0</v>
      </c>
      <c r="D53" s="87">
        <f>C56</f>
        <v>287880.1</v>
      </c>
      <c r="E53" s="87">
        <f>D56</f>
        <v>1268909.06</v>
      </c>
      <c r="F53" s="87">
        <f>E56</f>
        <v>1382370.9200000002</v>
      </c>
      <c r="H53" s="48" t="s">
        <v>132</v>
      </c>
      <c r="I53" s="66">
        <f>N53</f>
        <v>1382370.9200000002</v>
      </c>
      <c r="J53" s="66">
        <f>P53</f>
        <v>1382370.9200000002</v>
      </c>
      <c r="K53" s="66">
        <f>S53</f>
        <v>1382370.9200000002</v>
      </c>
      <c r="L53" s="66">
        <f>V53</f>
        <v>1382370.9200000002</v>
      </c>
      <c r="M53" s="66">
        <f>Y53</f>
        <v>1382370.9200000002</v>
      </c>
      <c r="N53" s="66">
        <f>E56</f>
        <v>1382370.9200000002</v>
      </c>
      <c r="O53" s="66">
        <f aca="true" t="shared" si="24" ref="O53:Y53">N53</f>
        <v>1382370.9200000002</v>
      </c>
      <c r="P53" s="66">
        <f t="shared" si="24"/>
        <v>1382370.9200000002</v>
      </c>
      <c r="Q53" s="66">
        <f t="shared" si="24"/>
        <v>1382370.9200000002</v>
      </c>
      <c r="R53" s="66">
        <f t="shared" si="24"/>
        <v>1382370.9200000002</v>
      </c>
      <c r="S53" s="66">
        <f t="shared" si="24"/>
        <v>1382370.9200000002</v>
      </c>
      <c r="T53" s="66">
        <f t="shared" si="24"/>
        <v>1382370.9200000002</v>
      </c>
      <c r="U53" s="66">
        <f t="shared" si="24"/>
        <v>1382370.9200000002</v>
      </c>
      <c r="V53" s="66">
        <f t="shared" si="24"/>
        <v>1382370.9200000002</v>
      </c>
      <c r="W53" s="66">
        <f t="shared" si="24"/>
        <v>1382370.9200000002</v>
      </c>
      <c r="X53" s="66">
        <f t="shared" si="24"/>
        <v>1382370.9200000002</v>
      </c>
      <c r="Y53" s="66">
        <f t="shared" si="24"/>
        <v>1382370.9200000002</v>
      </c>
      <c r="AA53" s="66"/>
    </row>
    <row r="54" spans="1:27" ht="14.25">
      <c r="A54" s="48" t="s">
        <v>81</v>
      </c>
      <c r="B54" s="71">
        <f>Inputs!B22</f>
        <v>0</v>
      </c>
      <c r="C54" s="55"/>
      <c r="D54" s="55"/>
      <c r="E54" s="55"/>
      <c r="F54" s="55"/>
      <c r="H54" s="48" t="s">
        <v>178</v>
      </c>
      <c r="O54" s="153">
        <f>N55</f>
        <v>9083.33</v>
      </c>
      <c r="P54" s="153">
        <f>SUM($N55:O55)</f>
        <v>18166.66</v>
      </c>
      <c r="Q54" s="153">
        <f>SUM($N55:P55)</f>
        <v>27249.989999999998</v>
      </c>
      <c r="R54" s="153">
        <f>SUM($N55:Q55)</f>
        <v>36333.32</v>
      </c>
      <c r="S54" s="153">
        <f>SUM($N55:R55)</f>
        <v>2119281.65</v>
      </c>
      <c r="T54" s="153">
        <f>SUM($N55:S55)</f>
        <v>2128364.98</v>
      </c>
      <c r="U54" s="153">
        <f>SUM($N55:T55)</f>
        <v>2137448.31</v>
      </c>
      <c r="V54" s="153">
        <f>SUM($N55:U55)</f>
        <v>2146531.64</v>
      </c>
      <c r="W54" s="153">
        <f>SUM($N55:V55)</f>
        <v>2155614.97</v>
      </c>
      <c r="X54" s="153">
        <f>SUM($N55:W55)</f>
        <v>2155614.97</v>
      </c>
      <c r="Y54" s="153">
        <f>SUM($N55:X55)</f>
        <v>2155614.97</v>
      </c>
      <c r="AA54" s="66"/>
    </row>
    <row r="55" spans="1:27" ht="14.25">
      <c r="A55" s="48" t="s">
        <v>82</v>
      </c>
      <c r="B55" s="55"/>
      <c r="C55" s="55">
        <f>'Avg Assets 09'!C55</f>
        <v>287880.1</v>
      </c>
      <c r="D55" s="55">
        <f>'Avg Assets 09'!D55</f>
        <v>981028.96</v>
      </c>
      <c r="E55" s="55">
        <f>+Inputs!K22</f>
        <v>113461.86</v>
      </c>
      <c r="F55" s="55">
        <f>+Inputs!M22</f>
        <v>2155614.97</v>
      </c>
      <c r="H55" s="153" t="s">
        <v>136</v>
      </c>
      <c r="I55" s="153">
        <f>SUM(N55:Y55)</f>
        <v>2155614.97</v>
      </c>
      <c r="J55" s="153">
        <f>SUM(N55:P55)</f>
        <v>27249.989999999998</v>
      </c>
      <c r="K55" s="153">
        <f>SUM(Q55:S55)</f>
        <v>2101114.99</v>
      </c>
      <c r="L55" s="153">
        <f>SUM(T55:V55)</f>
        <v>27249.989999999998</v>
      </c>
      <c r="M55" s="153">
        <f>SUM(W55:Y55)</f>
        <v>0</v>
      </c>
      <c r="N55" s="155">
        <v>9083.33</v>
      </c>
      <c r="O55" s="155">
        <v>9083.33</v>
      </c>
      <c r="P55" s="155">
        <v>9083.33</v>
      </c>
      <c r="Q55" s="155">
        <v>9083.33</v>
      </c>
      <c r="R55" s="155">
        <f>9083.33+2073865</f>
        <v>2082948.33</v>
      </c>
      <c r="S55" s="155">
        <v>9083.33</v>
      </c>
      <c r="T55" s="155">
        <v>9083.33</v>
      </c>
      <c r="U55" s="155">
        <v>9083.33</v>
      </c>
      <c r="V55" s="155">
        <v>9083.33</v>
      </c>
      <c r="W55" s="155">
        <v>0</v>
      </c>
      <c r="X55" s="155">
        <v>0</v>
      </c>
      <c r="Y55" s="155">
        <v>0</v>
      </c>
      <c r="AA55" s="66"/>
    </row>
    <row r="56" spans="1:27" ht="14.25">
      <c r="A56" s="48" t="s">
        <v>47</v>
      </c>
      <c r="B56" s="82">
        <f>SUM(B53:B55)</f>
        <v>0</v>
      </c>
      <c r="C56" s="82">
        <f>SUM(C53:C55)</f>
        <v>287880.1</v>
      </c>
      <c r="D56" s="82">
        <f>SUM(D53:D55)</f>
        <v>1268909.06</v>
      </c>
      <c r="E56" s="82">
        <f>SUM(E53:E55)</f>
        <v>1382370.9200000002</v>
      </c>
      <c r="F56" s="82">
        <f>SUM(F53:F55)</f>
        <v>3537985.8900000006</v>
      </c>
      <c r="H56" s="48" t="s">
        <v>133</v>
      </c>
      <c r="I56" s="82">
        <f aca="true" t="shared" si="25" ref="I56:Y56">SUM(I53:I55)</f>
        <v>3537985.8900000006</v>
      </c>
      <c r="J56" s="82">
        <f t="shared" si="25"/>
        <v>1409620.9100000001</v>
      </c>
      <c r="K56" s="82">
        <f t="shared" si="25"/>
        <v>3483485.91</v>
      </c>
      <c r="L56" s="82">
        <f t="shared" si="25"/>
        <v>1409620.9100000001</v>
      </c>
      <c r="M56" s="82">
        <f t="shared" si="25"/>
        <v>1382370.9200000002</v>
      </c>
      <c r="N56" s="82">
        <f t="shared" si="25"/>
        <v>1391454.2500000002</v>
      </c>
      <c r="O56" s="82">
        <f t="shared" si="25"/>
        <v>1400537.5800000003</v>
      </c>
      <c r="P56" s="82">
        <f t="shared" si="25"/>
        <v>1409620.9100000001</v>
      </c>
      <c r="Q56" s="82">
        <f t="shared" si="25"/>
        <v>1418704.2400000002</v>
      </c>
      <c r="R56" s="82">
        <f t="shared" si="25"/>
        <v>3501652.5700000003</v>
      </c>
      <c r="S56" s="82">
        <f t="shared" si="25"/>
        <v>3510735.9000000004</v>
      </c>
      <c r="T56" s="82">
        <f t="shared" si="25"/>
        <v>3519819.2300000004</v>
      </c>
      <c r="U56" s="82">
        <f t="shared" si="25"/>
        <v>3528902.5600000005</v>
      </c>
      <c r="V56" s="82">
        <f t="shared" si="25"/>
        <v>3537985.8900000006</v>
      </c>
      <c r="W56" s="82">
        <f t="shared" si="25"/>
        <v>3537985.8900000006</v>
      </c>
      <c r="X56" s="82">
        <f t="shared" si="25"/>
        <v>3537985.8900000006</v>
      </c>
      <c r="Y56" s="82">
        <f t="shared" si="25"/>
        <v>3537985.8900000006</v>
      </c>
      <c r="AA56" s="66"/>
    </row>
    <row r="57" spans="2:27" ht="14.25">
      <c r="B57" s="81"/>
      <c r="C57" s="81"/>
      <c r="D57" s="81"/>
      <c r="E57" s="81"/>
      <c r="F57" s="81"/>
      <c r="AA57" s="66"/>
    </row>
    <row r="58" spans="1:27" ht="14.25">
      <c r="A58" s="48" t="s">
        <v>48</v>
      </c>
      <c r="B58" s="82">
        <v>0</v>
      </c>
      <c r="C58" s="82">
        <f>B61</f>
        <v>0</v>
      </c>
      <c r="D58" s="82">
        <f>C61</f>
        <v>28788.01</v>
      </c>
      <c r="E58" s="82">
        <f>D61</f>
        <v>184466.92599999998</v>
      </c>
      <c r="F58" s="82">
        <f>E61</f>
        <v>449594.924</v>
      </c>
      <c r="I58" s="82">
        <f>E61</f>
        <v>449594.924</v>
      </c>
      <c r="J58" s="82">
        <f>E61</f>
        <v>449594.924</v>
      </c>
      <c r="K58" s="82">
        <f>J61</f>
        <v>458183.09544444445</v>
      </c>
      <c r="L58" s="82">
        <f>K61</f>
        <v>620378.3231111112</v>
      </c>
      <c r="M58" s="82">
        <f>L61</f>
        <v>713444.7174444445</v>
      </c>
      <c r="N58" s="82">
        <f>E61</f>
        <v>449594.924</v>
      </c>
      <c r="O58" s="82">
        <f aca="true" t="shared" si="26" ref="O58:Y58">N61</f>
        <v>472710.13375000004</v>
      </c>
      <c r="P58" s="82">
        <f t="shared" si="26"/>
        <v>495976.7323333334</v>
      </c>
      <c r="Q58" s="82">
        <f t="shared" si="26"/>
        <v>519394.7197500001</v>
      </c>
      <c r="R58" s="82">
        <f t="shared" si="26"/>
        <v>542964.0960000001</v>
      </c>
      <c r="S58" s="82">
        <f t="shared" si="26"/>
        <v>653095.9027500001</v>
      </c>
      <c r="T58" s="82">
        <f t="shared" si="26"/>
        <v>694250.2650000001</v>
      </c>
      <c r="U58" s="82">
        <f t="shared" si="26"/>
        <v>735556.0160833334</v>
      </c>
      <c r="V58" s="82">
        <f t="shared" si="26"/>
        <v>777013.1560000001</v>
      </c>
      <c r="W58" s="82">
        <f t="shared" si="26"/>
        <v>818621.68475</v>
      </c>
      <c r="X58" s="82">
        <f t="shared" si="26"/>
        <v>859624.6581666666</v>
      </c>
      <c r="Y58" s="82">
        <f t="shared" si="26"/>
        <v>900627.6315833332</v>
      </c>
      <c r="AA58" s="66"/>
    </row>
    <row r="59" spans="1:27" ht="14.25">
      <c r="A59" s="48" t="s">
        <v>105</v>
      </c>
      <c r="B59" s="66">
        <f>B54/Inputs!B29/2</f>
        <v>0</v>
      </c>
      <c r="C59" s="66">
        <f>C53/Inputs!$B$29</f>
        <v>0</v>
      </c>
      <c r="D59" s="66">
        <f>D53/Inputs!$B$29</f>
        <v>57576.02</v>
      </c>
      <c r="E59" s="66">
        <f>E53/Inputs!$B$29</f>
        <v>253781.812</v>
      </c>
      <c r="F59" s="66">
        <f>F53/Inputs!$B$29</f>
        <v>276474.184</v>
      </c>
      <c r="H59" s="48" t="s">
        <v>134</v>
      </c>
      <c r="I59" s="153">
        <f>SUM(N59:Y59)</f>
        <v>276474.18400000007</v>
      </c>
      <c r="J59" s="66">
        <f>J53/Inputs!$B$26/12</f>
        <v>7679.8384444444455</v>
      </c>
      <c r="K59" s="66">
        <f>K53/Inputs!$B$26</f>
        <v>92158.06133333335</v>
      </c>
      <c r="L59" s="66">
        <f>L53/Inputs!$B$26</f>
        <v>92158.06133333335</v>
      </c>
      <c r="M59" s="66">
        <f>M53/Inputs!$B$26</f>
        <v>92158.06133333335</v>
      </c>
      <c r="N59" s="66">
        <f>N53/Inputs!$B$29/12</f>
        <v>23039.515333333333</v>
      </c>
      <c r="O59" s="66">
        <f>O53/Inputs!$B$29/12</f>
        <v>23039.515333333333</v>
      </c>
      <c r="P59" s="66">
        <f>P53/Inputs!$B$29/12</f>
        <v>23039.515333333333</v>
      </c>
      <c r="Q59" s="66">
        <f>Q53/Inputs!$B$29/12</f>
        <v>23039.515333333333</v>
      </c>
      <c r="R59" s="66">
        <f>R53/Inputs!$B$29/12</f>
        <v>23039.515333333333</v>
      </c>
      <c r="S59" s="66">
        <f>S53/Inputs!$B$29/12</f>
        <v>23039.515333333333</v>
      </c>
      <c r="T59" s="66">
        <f>T53/Inputs!$B$29/12</f>
        <v>23039.515333333333</v>
      </c>
      <c r="U59" s="66">
        <f>U53/Inputs!$B$29/12</f>
        <v>23039.515333333333</v>
      </c>
      <c r="V59" s="66">
        <f>V53/Inputs!$B$29/12</f>
        <v>23039.515333333333</v>
      </c>
      <c r="W59" s="66">
        <f>W53/Inputs!$B$29/12</f>
        <v>23039.515333333333</v>
      </c>
      <c r="X59" s="66">
        <f>X53/Inputs!$B$29/12</f>
        <v>23039.515333333333</v>
      </c>
      <c r="Y59" s="66">
        <f>Y53/Inputs!$B$29/12</f>
        <v>23039.515333333333</v>
      </c>
      <c r="AA59" s="66"/>
    </row>
    <row r="60" spans="1:27" ht="14.25">
      <c r="A60" s="48" t="s">
        <v>106</v>
      </c>
      <c r="B60" s="55"/>
      <c r="C60" s="55">
        <f>C55/Inputs!$B$29/2</f>
        <v>28788.01</v>
      </c>
      <c r="D60" s="55">
        <f>D55/Inputs!$B$29/2</f>
        <v>98102.896</v>
      </c>
      <c r="E60" s="55">
        <f>E55/Inputs!$B$29/2</f>
        <v>11346.186</v>
      </c>
      <c r="F60" s="55">
        <f>F55/Inputs!$B$29/2</f>
        <v>215561.49700000003</v>
      </c>
      <c r="G60" s="66"/>
      <c r="H60" s="48" t="s">
        <v>135</v>
      </c>
      <c r="I60" s="153">
        <f>SUM(N60:Y60)</f>
        <v>215561.49699999997</v>
      </c>
      <c r="J60" s="55">
        <f>J55/Inputs!$B$26/2</f>
        <v>908.333</v>
      </c>
      <c r="K60" s="55">
        <f>K55/Inputs!$B$26/2</f>
        <v>70037.16633333334</v>
      </c>
      <c r="L60" s="55">
        <f>L55/Inputs!$B$26/2</f>
        <v>908.333</v>
      </c>
      <c r="M60" s="55">
        <f>M55/Inputs!$B$26/2</f>
        <v>0</v>
      </c>
      <c r="N60" s="55">
        <f>N55/Inputs!$B$29/2/12</f>
        <v>75.69441666666667</v>
      </c>
      <c r="O60" s="55">
        <f>O55/Inputs!$B$29/2/12*O52+O54/Inputs!$B$29/2/12</f>
        <v>227.08325000000002</v>
      </c>
      <c r="P60" s="55">
        <f>P55/Inputs!$B$29/2/12*P52+P54/Inputs!$B$29/2/12</f>
        <v>378.47208333333333</v>
      </c>
      <c r="Q60" s="55">
        <f>Q55/Inputs!$B$29/2/12*Q52+Q54/Inputs!$B$29/2/12</f>
        <v>529.8609166666666</v>
      </c>
      <c r="R60" s="55">
        <f>R55/Inputs!$B$29/2/12*R52+R54/Inputs!$B$29/2/12</f>
        <v>87092.29141666667</v>
      </c>
      <c r="S60" s="55">
        <f>S55/Inputs!$B$29/2/12*S52+S54/Inputs!$B$29/2/12</f>
        <v>18114.846916666665</v>
      </c>
      <c r="T60" s="55">
        <f>T55/Inputs!$B$29/2/12*T52+T54/Inputs!$B$29/2/12</f>
        <v>18266.23575</v>
      </c>
      <c r="U60" s="55">
        <f>U55/Inputs!$B$29/2/12*U52+U54/Inputs!$B$29/2/12</f>
        <v>18417.624583333334</v>
      </c>
      <c r="V60" s="55">
        <f>V55/Inputs!$B$29/2/12*V52+V54/Inputs!$B$29/2/12</f>
        <v>18569.01341666667</v>
      </c>
      <c r="W60" s="55">
        <f>W55/Inputs!$B$29/2/12*W52+W54/Inputs!$B$29/2/12</f>
        <v>17963.458083333335</v>
      </c>
      <c r="X60" s="55">
        <f>X55/Inputs!$B$29/2/12*X52+X54/Inputs!$B$29/2/12</f>
        <v>17963.458083333335</v>
      </c>
      <c r="Y60" s="55">
        <f>Y55/Inputs!$B$29/2/12*Y52+Y54/Inputs!$B$29/2/12</f>
        <v>17963.458083333335</v>
      </c>
      <c r="AA60" s="66"/>
    </row>
    <row r="61" spans="1:27" ht="14.25">
      <c r="A61" s="48" t="s">
        <v>49</v>
      </c>
      <c r="B61" s="87">
        <f>SUM(B58:B60)</f>
        <v>0</v>
      </c>
      <c r="C61" s="87">
        <f>SUM(C58:C60)</f>
        <v>28788.01</v>
      </c>
      <c r="D61" s="87">
        <f>SUM(D58:D60)</f>
        <v>184466.92599999998</v>
      </c>
      <c r="E61" s="87">
        <f>SUM(E58:E60)</f>
        <v>449594.924</v>
      </c>
      <c r="F61" s="87">
        <f>SUM(F58:F60)</f>
        <v>941630.605</v>
      </c>
      <c r="I61" s="87">
        <f aca="true" t="shared" si="27" ref="I61:Y61">SUM(I58:I60)</f>
        <v>941630.605</v>
      </c>
      <c r="J61" s="87">
        <f t="shared" si="27"/>
        <v>458183.09544444445</v>
      </c>
      <c r="K61" s="87">
        <f t="shared" si="27"/>
        <v>620378.3231111112</v>
      </c>
      <c r="L61" s="87">
        <f t="shared" si="27"/>
        <v>713444.7174444445</v>
      </c>
      <c r="M61" s="87">
        <f t="shared" si="27"/>
        <v>805602.7787777779</v>
      </c>
      <c r="N61" s="87">
        <f t="shared" si="27"/>
        <v>472710.13375000004</v>
      </c>
      <c r="O61" s="87">
        <f t="shared" si="27"/>
        <v>495976.7323333334</v>
      </c>
      <c r="P61" s="87">
        <f t="shared" si="27"/>
        <v>519394.7197500001</v>
      </c>
      <c r="Q61" s="87">
        <f t="shared" si="27"/>
        <v>542964.0960000001</v>
      </c>
      <c r="R61" s="87">
        <f t="shared" si="27"/>
        <v>653095.9027500001</v>
      </c>
      <c r="S61" s="87">
        <f t="shared" si="27"/>
        <v>694250.2650000001</v>
      </c>
      <c r="T61" s="87">
        <f t="shared" si="27"/>
        <v>735556.0160833334</v>
      </c>
      <c r="U61" s="87">
        <f t="shared" si="27"/>
        <v>777013.1560000001</v>
      </c>
      <c r="V61" s="87">
        <f t="shared" si="27"/>
        <v>818621.68475</v>
      </c>
      <c r="W61" s="87">
        <f t="shared" si="27"/>
        <v>859624.6581666666</v>
      </c>
      <c r="X61" s="87">
        <f t="shared" si="27"/>
        <v>900627.6315833332</v>
      </c>
      <c r="Y61" s="87">
        <f t="shared" si="27"/>
        <v>941630.6049999999</v>
      </c>
      <c r="AA61" s="66"/>
    </row>
    <row r="62" spans="2:27" ht="14.25">
      <c r="B62" s="87"/>
      <c r="C62" s="87"/>
      <c r="D62" s="87"/>
      <c r="E62" s="87"/>
      <c r="F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AA62" s="66"/>
    </row>
    <row r="63" spans="1:27" ht="14.25">
      <c r="A63" s="48" t="s">
        <v>50</v>
      </c>
      <c r="B63" s="55">
        <f>0</f>
        <v>0</v>
      </c>
      <c r="C63" s="66">
        <f>B64</f>
        <v>0</v>
      </c>
      <c r="D63" s="66">
        <f>C64</f>
        <v>259092.08999999997</v>
      </c>
      <c r="E63" s="66">
        <f>D64</f>
        <v>1084442.134</v>
      </c>
      <c r="F63" s="66">
        <f>E64</f>
        <v>932775.9960000002</v>
      </c>
      <c r="I63" s="66">
        <f>N63</f>
        <v>932775.9960000002</v>
      </c>
      <c r="J63" s="66">
        <f>E64</f>
        <v>932775.9960000002</v>
      </c>
      <c r="K63" s="66">
        <f>J64</f>
        <v>951437.8145555557</v>
      </c>
      <c r="L63" s="66">
        <f>K64</f>
        <v>2863107.586888889</v>
      </c>
      <c r="M63" s="66">
        <f>L64</f>
        <v>696176.1925555556</v>
      </c>
      <c r="N63" s="66">
        <f>$E$64</f>
        <v>932775.9960000002</v>
      </c>
      <c r="O63" s="66">
        <f aca="true" t="shared" si="28" ref="O63:Y63">N63</f>
        <v>932775.9960000002</v>
      </c>
      <c r="P63" s="66">
        <f t="shared" si="28"/>
        <v>932775.9960000002</v>
      </c>
      <c r="Q63" s="66">
        <f t="shared" si="28"/>
        <v>932775.9960000002</v>
      </c>
      <c r="R63" s="66">
        <f t="shared" si="28"/>
        <v>932775.9960000002</v>
      </c>
      <c r="S63" s="66">
        <f t="shared" si="28"/>
        <v>932775.9960000002</v>
      </c>
      <c r="T63" s="66">
        <f t="shared" si="28"/>
        <v>932775.9960000002</v>
      </c>
      <c r="U63" s="66">
        <f t="shared" si="28"/>
        <v>932775.9960000002</v>
      </c>
      <c r="V63" s="66">
        <f t="shared" si="28"/>
        <v>932775.9960000002</v>
      </c>
      <c r="W63" s="66">
        <f t="shared" si="28"/>
        <v>932775.9960000002</v>
      </c>
      <c r="X63" s="66">
        <f t="shared" si="28"/>
        <v>932775.9960000002</v>
      </c>
      <c r="Y63" s="66">
        <f t="shared" si="28"/>
        <v>932775.9960000002</v>
      </c>
      <c r="AA63" s="66"/>
    </row>
    <row r="64" spans="1:27" ht="14.25">
      <c r="A64" s="48" t="s">
        <v>51</v>
      </c>
      <c r="B64" s="82">
        <f>B56-B61</f>
        <v>0</v>
      </c>
      <c r="C64" s="82">
        <f>C56-C61</f>
        <v>259092.08999999997</v>
      </c>
      <c r="D64" s="82">
        <f>D56-D61</f>
        <v>1084442.134</v>
      </c>
      <c r="E64" s="82">
        <f>E56-E61</f>
        <v>932775.9960000002</v>
      </c>
      <c r="F64" s="82">
        <f>F56-F61</f>
        <v>2596355.2850000006</v>
      </c>
      <c r="G64" s="57"/>
      <c r="I64" s="82">
        <f aca="true" t="shared" si="29" ref="I64:Y64">I56-I61</f>
        <v>2596355.2850000006</v>
      </c>
      <c r="J64" s="82">
        <f t="shared" si="29"/>
        <v>951437.8145555557</v>
      </c>
      <c r="K64" s="82">
        <f t="shared" si="29"/>
        <v>2863107.586888889</v>
      </c>
      <c r="L64" s="82">
        <f t="shared" si="29"/>
        <v>696176.1925555556</v>
      </c>
      <c r="M64" s="82">
        <f t="shared" si="29"/>
        <v>576768.1412222222</v>
      </c>
      <c r="N64" s="82">
        <f t="shared" si="29"/>
        <v>918744.1162500002</v>
      </c>
      <c r="O64" s="82">
        <f t="shared" si="29"/>
        <v>904560.8476666668</v>
      </c>
      <c r="P64" s="82">
        <f t="shared" si="29"/>
        <v>890226.19025</v>
      </c>
      <c r="Q64" s="82">
        <f t="shared" si="29"/>
        <v>875740.1440000001</v>
      </c>
      <c r="R64" s="82">
        <f t="shared" si="29"/>
        <v>2848556.66725</v>
      </c>
      <c r="S64" s="82">
        <f t="shared" si="29"/>
        <v>2816485.6350000002</v>
      </c>
      <c r="T64" s="82">
        <f t="shared" si="29"/>
        <v>2784263.213916667</v>
      </c>
      <c r="U64" s="82">
        <f t="shared" si="29"/>
        <v>2751889.4040000006</v>
      </c>
      <c r="V64" s="82">
        <f t="shared" si="29"/>
        <v>2719364.2052500006</v>
      </c>
      <c r="W64" s="82">
        <f t="shared" si="29"/>
        <v>2678361.231833334</v>
      </c>
      <c r="X64" s="82">
        <f t="shared" si="29"/>
        <v>2637358.2584166676</v>
      </c>
      <c r="Y64" s="82">
        <f t="shared" si="29"/>
        <v>2596355.2850000006</v>
      </c>
      <c r="AA64" s="66"/>
    </row>
    <row r="65" spans="1:27" ht="15" thickBot="1">
      <c r="A65" s="48" t="s">
        <v>52</v>
      </c>
      <c r="B65" s="45">
        <f>(B64+B63)/2</f>
        <v>0</v>
      </c>
      <c r="C65" s="45">
        <f>(C64+C63)/2</f>
        <v>129546.04499999998</v>
      </c>
      <c r="D65" s="45">
        <f>(D64+D63)/2</f>
        <v>671767.112</v>
      </c>
      <c r="E65" s="45">
        <f>(E64+E63)/2</f>
        <v>1008609.0650000002</v>
      </c>
      <c r="F65" s="45">
        <f>(F64+F63)/2</f>
        <v>1764565.6405000004</v>
      </c>
      <c r="G65" s="57"/>
      <c r="I65" s="45">
        <f aca="true" t="shared" si="30" ref="I65:Y65">(I64+I63)/2</f>
        <v>1764565.6405000004</v>
      </c>
      <c r="J65" s="45">
        <f t="shared" si="30"/>
        <v>942106.9052777779</v>
      </c>
      <c r="K65" s="45">
        <f t="shared" si="30"/>
        <v>1907272.7007222222</v>
      </c>
      <c r="L65" s="45">
        <f t="shared" si="30"/>
        <v>1779641.8897222222</v>
      </c>
      <c r="M65" s="45">
        <f t="shared" si="30"/>
        <v>636472.1668888889</v>
      </c>
      <c r="N65" s="45">
        <f t="shared" si="30"/>
        <v>925760.0561250001</v>
      </c>
      <c r="O65" s="45">
        <f t="shared" si="30"/>
        <v>918668.4218333336</v>
      </c>
      <c r="P65" s="45">
        <f t="shared" si="30"/>
        <v>911501.0931250001</v>
      </c>
      <c r="Q65" s="45">
        <f t="shared" si="30"/>
        <v>904258.0700000001</v>
      </c>
      <c r="R65" s="45">
        <f t="shared" si="30"/>
        <v>1890666.331625</v>
      </c>
      <c r="S65" s="45">
        <f t="shared" si="30"/>
        <v>1874630.8155000003</v>
      </c>
      <c r="T65" s="45">
        <f t="shared" si="30"/>
        <v>1858519.6049583335</v>
      </c>
      <c r="U65" s="45">
        <f t="shared" si="30"/>
        <v>1842332.7000000004</v>
      </c>
      <c r="V65" s="45">
        <f t="shared" si="30"/>
        <v>1826070.1006250004</v>
      </c>
      <c r="W65" s="45">
        <f t="shared" si="30"/>
        <v>1805568.6139166672</v>
      </c>
      <c r="X65" s="45">
        <f t="shared" si="30"/>
        <v>1785067.127208334</v>
      </c>
      <c r="Y65" s="45">
        <f t="shared" si="30"/>
        <v>1764565.6405000004</v>
      </c>
      <c r="AA65" s="66"/>
    </row>
    <row r="66" spans="2:7" ht="14.25">
      <c r="B66" s="81"/>
      <c r="C66" s="81"/>
      <c r="D66" s="81"/>
      <c r="E66" s="81"/>
      <c r="F66" s="81"/>
      <c r="G66" s="57"/>
    </row>
    <row r="67" spans="1:7" ht="15">
      <c r="A67" s="47" t="s">
        <v>85</v>
      </c>
      <c r="B67" s="81"/>
      <c r="C67" s="81"/>
      <c r="D67" s="81"/>
      <c r="E67" s="81"/>
      <c r="F67" s="81"/>
      <c r="G67" s="57"/>
    </row>
    <row r="68" spans="2:7" ht="14.25">
      <c r="B68" s="81"/>
      <c r="C68" s="81"/>
      <c r="D68" s="81"/>
      <c r="E68" s="81"/>
      <c r="F68" s="81"/>
      <c r="G68" s="57"/>
    </row>
    <row r="69" spans="1:7" ht="14.25">
      <c r="A69" s="48" t="s">
        <v>83</v>
      </c>
      <c r="B69" s="55">
        <f>+B8+B40+B56</f>
        <v>0</v>
      </c>
      <c r="C69" s="66">
        <f>+C8+C40+C56+C24</f>
        <v>12095172.57</v>
      </c>
      <c r="D69" s="66">
        <f>+D8+D40+D56+D24</f>
        <v>26667649.319999997</v>
      </c>
      <c r="E69" s="66">
        <f>+E8+E40+E56+E24</f>
        <v>33773491.28</v>
      </c>
      <c r="F69" s="66">
        <f>+F8+F40+F56+F24</f>
        <v>38649003.29</v>
      </c>
      <c r="G69" s="57"/>
    </row>
    <row r="70" spans="1:7" ht="14.25">
      <c r="A70" s="48" t="s">
        <v>84</v>
      </c>
      <c r="B70" s="82">
        <f>+B13+B45+B61</f>
        <v>0</v>
      </c>
      <c r="C70" s="82">
        <f>+C13+C45+C61+C29</f>
        <v>422397.93833333335</v>
      </c>
      <c r="D70" s="82">
        <f>+D13+D45+D61+D29</f>
        <v>1818687.4846666667</v>
      </c>
      <c r="E70" s="82">
        <f>+E13+E45+E61+E29</f>
        <v>4010896.2233333336</v>
      </c>
      <c r="F70" s="82">
        <f>+F13+F45+F61+F29</f>
        <v>6753755.216333333</v>
      </c>
      <c r="G70" s="57"/>
    </row>
    <row r="71" spans="1:6" ht="15" thickBot="1">
      <c r="A71" s="48" t="s">
        <v>51</v>
      </c>
      <c r="B71" s="45">
        <f>+B69-B70</f>
        <v>0</v>
      </c>
      <c r="C71" s="45">
        <f>+C69-C70</f>
        <v>11672774.631666668</v>
      </c>
      <c r="D71" s="45">
        <f>+D69-D70</f>
        <v>24848961.83533333</v>
      </c>
      <c r="E71" s="45">
        <f>+E69-E70</f>
        <v>29762595.05666667</v>
      </c>
      <c r="F71" s="45">
        <f>+F69-F70</f>
        <v>31895248.073666666</v>
      </c>
    </row>
    <row r="72" spans="2:6" ht="14.25">
      <c r="B72" s="81"/>
      <c r="C72" s="81"/>
      <c r="D72" s="81"/>
      <c r="E72" s="81"/>
      <c r="F72" s="81"/>
    </row>
    <row r="73" spans="1:6" ht="15">
      <c r="A73" s="47" t="s">
        <v>55</v>
      </c>
      <c r="B73" s="81"/>
      <c r="C73" s="81"/>
      <c r="D73" s="81"/>
      <c r="E73" s="81"/>
      <c r="F73" s="81"/>
    </row>
    <row r="74" spans="2:6" ht="14.25">
      <c r="B74" s="81"/>
      <c r="C74" s="81"/>
      <c r="D74" s="81"/>
      <c r="E74" s="81"/>
      <c r="F74" s="81"/>
    </row>
    <row r="75" ht="15">
      <c r="A75" s="47" t="s">
        <v>56</v>
      </c>
    </row>
    <row r="76" spans="1:6" ht="14.25">
      <c r="A76" s="48" t="s">
        <v>57</v>
      </c>
      <c r="B76" s="60">
        <f>B3</f>
        <v>39082</v>
      </c>
      <c r="C76" s="60">
        <f>C3</f>
        <v>39447</v>
      </c>
      <c r="D76" s="60">
        <f>D3</f>
        <v>39813</v>
      </c>
      <c r="E76" s="60">
        <f>E3</f>
        <v>40178</v>
      </c>
      <c r="F76" s="60">
        <f>F3</f>
        <v>40543</v>
      </c>
    </row>
    <row r="77" ht="14.25"/>
    <row r="78" spans="1:7" ht="14.25">
      <c r="A78" s="48" t="s">
        <v>58</v>
      </c>
      <c r="B78" s="87">
        <v>0</v>
      </c>
      <c r="C78" s="82">
        <f>B80-B84</f>
        <v>0</v>
      </c>
      <c r="D78" s="82">
        <f>C80-C84</f>
        <v>11334518.188800002</v>
      </c>
      <c r="E78" s="82">
        <f>D80-D84</f>
        <v>23470614.410495996</v>
      </c>
      <c r="F78" s="82">
        <f>E80-E84</f>
        <v>28305650.15365632</v>
      </c>
      <c r="G78" s="151"/>
    </row>
    <row r="79" spans="1:7" ht="14.25">
      <c r="A79" s="48" t="s">
        <v>59</v>
      </c>
      <c r="B79" s="55">
        <f>B6</f>
        <v>0</v>
      </c>
      <c r="C79" s="55">
        <f>C7</f>
        <v>11806789.780000001</v>
      </c>
      <c r="D79" s="55">
        <f>D7</f>
        <v>13586310.079999998</v>
      </c>
      <c r="E79" s="55">
        <f>E7</f>
        <v>6992380.1000000015</v>
      </c>
      <c r="F79" s="55">
        <f>F7</f>
        <v>2719897.04</v>
      </c>
      <c r="G79" s="151"/>
    </row>
    <row r="80" spans="1:6" ht="14.25">
      <c r="A80" s="48" t="s">
        <v>60</v>
      </c>
      <c r="B80" s="87">
        <f>SUM(B78:B79)</f>
        <v>0</v>
      </c>
      <c r="C80" s="87">
        <f>SUM(C78:C79)</f>
        <v>11806789.780000001</v>
      </c>
      <c r="D80" s="87">
        <f>SUM(D78:D79)</f>
        <v>24920828.268799998</v>
      </c>
      <c r="E80" s="87">
        <f>SUM(E78:E79)</f>
        <v>30462994.510495998</v>
      </c>
      <c r="F80" s="87">
        <f>SUM(F78:F79)</f>
        <v>31025547.193656318</v>
      </c>
    </row>
    <row r="81" spans="1:7" ht="14.25">
      <c r="A81" s="48" t="s">
        <v>61</v>
      </c>
      <c r="B81" s="66">
        <f>SUM(B79:B79)/2</f>
        <v>0</v>
      </c>
      <c r="C81" s="66">
        <f>SUM(C79:C79)/2</f>
        <v>5903394.890000001</v>
      </c>
      <c r="D81" s="66">
        <f>SUM(D79:D79)/2</f>
        <v>6793155.039999999</v>
      </c>
      <c r="E81" s="66">
        <f>SUM(E79:E79)/2</f>
        <v>3496190.0500000007</v>
      </c>
      <c r="F81" s="66">
        <f>SUM(F79:F79)/2</f>
        <v>1359948.52</v>
      </c>
      <c r="G81" s="151"/>
    </row>
    <row r="82" spans="1:6" ht="14.25">
      <c r="A82" s="48" t="s">
        <v>62</v>
      </c>
      <c r="B82" s="82">
        <f>B78+B81</f>
        <v>0</v>
      </c>
      <c r="C82" s="82">
        <f>C78+C81</f>
        <v>5903394.890000001</v>
      </c>
      <c r="D82" s="82">
        <f>D78+D81</f>
        <v>18127673.2288</v>
      </c>
      <c r="E82" s="82">
        <f>E78+E81</f>
        <v>26966804.460495997</v>
      </c>
      <c r="F82" s="82">
        <f>F78+F81</f>
        <v>29665598.67365632</v>
      </c>
    </row>
    <row r="83" spans="1:6" ht="14.25">
      <c r="A83" s="48" t="s">
        <v>63</v>
      </c>
      <c r="B83" s="84">
        <v>0.08</v>
      </c>
      <c r="C83" s="84">
        <v>0.08</v>
      </c>
      <c r="D83" s="84">
        <v>0.08</v>
      </c>
      <c r="E83" s="84">
        <v>0.08</v>
      </c>
      <c r="F83" s="84">
        <v>0.08</v>
      </c>
    </row>
    <row r="84" spans="1:7" ht="14.25">
      <c r="A84" s="48" t="s">
        <v>64</v>
      </c>
      <c r="B84" s="87">
        <f>B82*B83</f>
        <v>0</v>
      </c>
      <c r="C84" s="87">
        <f>C82*C83</f>
        <v>472271.5912000001</v>
      </c>
      <c r="D84" s="87">
        <f>D82*D83</f>
        <v>1450213.858304</v>
      </c>
      <c r="E84" s="87">
        <f>E82*E83</f>
        <v>2157344.3568396796</v>
      </c>
      <c r="F84" s="87">
        <f>F82*F83</f>
        <v>2373247.8938925057</v>
      </c>
      <c r="G84" s="57"/>
    </row>
    <row r="85" spans="1:6" ht="15" thickBot="1">
      <c r="A85" s="48" t="s">
        <v>65</v>
      </c>
      <c r="B85" s="45">
        <f>B80-B84</f>
        <v>0</v>
      </c>
      <c r="C85" s="45">
        <f>C80-C84</f>
        <v>11334518.188800002</v>
      </c>
      <c r="D85" s="45">
        <f>D80-D84</f>
        <v>23470614.410495996</v>
      </c>
      <c r="E85" s="45">
        <f>E80-E84</f>
        <v>28305650.15365632</v>
      </c>
      <c r="F85" s="45">
        <f>F80-F84</f>
        <v>28652299.299763814</v>
      </c>
    </row>
    <row r="86" ht="14.25"/>
    <row r="87" ht="15">
      <c r="A87" s="47" t="s">
        <v>89</v>
      </c>
    </row>
    <row r="88" spans="1:6" ht="14.25">
      <c r="A88" s="48" t="s">
        <v>88</v>
      </c>
      <c r="B88" s="60">
        <f>B3</f>
        <v>39082</v>
      </c>
      <c r="C88" s="60">
        <f>C3</f>
        <v>39447</v>
      </c>
      <c r="D88" s="60">
        <f>D3</f>
        <v>39813</v>
      </c>
      <c r="E88" s="60">
        <f>E3</f>
        <v>40178</v>
      </c>
      <c r="F88" s="60">
        <f>F3</f>
        <v>40543</v>
      </c>
    </row>
    <row r="89" ht="14.25"/>
    <row r="90" spans="1:6" ht="14.25">
      <c r="A90" s="48" t="s">
        <v>58</v>
      </c>
      <c r="B90" s="87">
        <v>0</v>
      </c>
      <c r="C90" s="82">
        <f>B97</f>
        <v>0</v>
      </c>
      <c r="D90" s="82">
        <f>C97</f>
        <v>0</v>
      </c>
      <c r="E90" s="82">
        <f>D97</f>
        <v>0</v>
      </c>
      <c r="F90" s="82">
        <f>E97</f>
        <v>0</v>
      </c>
    </row>
    <row r="91" spans="1:6" ht="14.25">
      <c r="A91" s="48" t="s">
        <v>59</v>
      </c>
      <c r="B91" s="55">
        <f>B10</f>
        <v>0</v>
      </c>
      <c r="C91" s="55">
        <f>C23</f>
        <v>0</v>
      </c>
      <c r="D91" s="55">
        <f>D23</f>
        <v>0</v>
      </c>
      <c r="E91" s="55">
        <f>E23</f>
        <v>0</v>
      </c>
      <c r="F91" s="55">
        <f>F23</f>
        <v>0</v>
      </c>
    </row>
    <row r="92" spans="1:6" ht="14.25">
      <c r="A92" s="48" t="s">
        <v>60</v>
      </c>
      <c r="B92" s="87">
        <f>SUM(B90:B91)</f>
        <v>0</v>
      </c>
      <c r="C92" s="87">
        <f>SUM(C90:C91)</f>
        <v>0</v>
      </c>
      <c r="D92" s="87">
        <f>SUM(D90:D91)</f>
        <v>0</v>
      </c>
      <c r="E92" s="87">
        <f>SUM(E90:E91)</f>
        <v>0</v>
      </c>
      <c r="F92" s="87">
        <f>SUM(F90:F91)</f>
        <v>0</v>
      </c>
    </row>
    <row r="93" spans="1:6" ht="14.25">
      <c r="A93" s="48" t="s">
        <v>61</v>
      </c>
      <c r="B93" s="66">
        <f>SUM(B91:B91)/2</f>
        <v>0</v>
      </c>
      <c r="C93" s="66">
        <f>SUM(C91:C91)/2</f>
        <v>0</v>
      </c>
      <c r="D93" s="66">
        <f>SUM(D91:D91)/2</f>
        <v>0</v>
      </c>
      <c r="E93" s="66">
        <f>SUM(E91:E91)/2</f>
        <v>0</v>
      </c>
      <c r="F93" s="66">
        <f>SUM(F91:F91)/2</f>
        <v>0</v>
      </c>
    </row>
    <row r="94" spans="1:6" ht="14.25">
      <c r="A94" s="48" t="s">
        <v>62</v>
      </c>
      <c r="B94" s="82">
        <f>B90+B93</f>
        <v>0</v>
      </c>
      <c r="C94" s="82">
        <f>C90+C93</f>
        <v>0</v>
      </c>
      <c r="D94" s="82">
        <f>D90+D93</f>
        <v>0</v>
      </c>
      <c r="E94" s="82">
        <f>E90+E93</f>
        <v>0</v>
      </c>
      <c r="F94" s="82">
        <f>F90+F93</f>
        <v>0</v>
      </c>
    </row>
    <row r="95" spans="1:6" ht="14.25">
      <c r="A95" s="48" t="s">
        <v>90</v>
      </c>
      <c r="B95" s="84">
        <v>0.2</v>
      </c>
      <c r="C95" s="84">
        <v>0.2</v>
      </c>
      <c r="D95" s="84">
        <v>0.2</v>
      </c>
      <c r="E95" s="84">
        <v>0.2</v>
      </c>
      <c r="F95" s="84">
        <v>0.2</v>
      </c>
    </row>
    <row r="96" spans="1:7" ht="14.25">
      <c r="A96" s="48" t="s">
        <v>64</v>
      </c>
      <c r="B96" s="87">
        <f>B94*B95</f>
        <v>0</v>
      </c>
      <c r="C96" s="87">
        <f>C94*C95</f>
        <v>0</v>
      </c>
      <c r="D96" s="87">
        <f>D94*D95</f>
        <v>0</v>
      </c>
      <c r="E96" s="87">
        <f>E94*E95</f>
        <v>0</v>
      </c>
      <c r="F96" s="87">
        <f>F94*F95</f>
        <v>0</v>
      </c>
      <c r="G96" s="57"/>
    </row>
    <row r="97" spans="1:6" ht="12.75" customHeight="1" thickBot="1">
      <c r="A97" s="48" t="s">
        <v>65</v>
      </c>
      <c r="B97" s="45">
        <f>B92-B96</f>
        <v>0</v>
      </c>
      <c r="C97" s="45">
        <f>C92-C96</f>
        <v>0</v>
      </c>
      <c r="D97" s="45">
        <f>D92-D96</f>
        <v>0</v>
      </c>
      <c r="E97" s="45">
        <f>E92-E96</f>
        <v>0</v>
      </c>
      <c r="F97" s="45">
        <f>F92-F96</f>
        <v>0</v>
      </c>
    </row>
    <row r="98" spans="2:6" ht="12.75" customHeight="1">
      <c r="B98" s="81"/>
      <c r="C98" s="81"/>
      <c r="D98" s="81"/>
      <c r="E98" s="81"/>
      <c r="F98" s="81"/>
    </row>
    <row r="99" ht="15">
      <c r="A99" s="47" t="s">
        <v>66</v>
      </c>
    </row>
    <row r="100" spans="1:6" ht="14.25">
      <c r="A100" s="48" t="s">
        <v>155</v>
      </c>
      <c r="B100" s="60">
        <f>B3</f>
        <v>39082</v>
      </c>
      <c r="C100" s="60">
        <f>C3</f>
        <v>39447</v>
      </c>
      <c r="D100" s="60">
        <f>D3</f>
        <v>39813</v>
      </c>
      <c r="E100" s="60">
        <f>E3</f>
        <v>40178</v>
      </c>
      <c r="F100" s="60">
        <f>F3</f>
        <v>40543</v>
      </c>
    </row>
    <row r="101" ht="14.25"/>
    <row r="102" spans="1:6" ht="14.25">
      <c r="A102" s="48" t="s">
        <v>58</v>
      </c>
      <c r="B102" s="87">
        <v>0</v>
      </c>
      <c r="C102" s="82">
        <f>B110</f>
        <v>0</v>
      </c>
      <c r="D102" s="82">
        <f>C110</f>
        <v>223496.66225</v>
      </c>
      <c r="E102" s="82">
        <f>D110</f>
        <v>815544.3337625</v>
      </c>
      <c r="F102" s="82">
        <f>E110</f>
        <v>449254.7986931249</v>
      </c>
    </row>
    <row r="103" spans="1:6" ht="14.25">
      <c r="A103" s="48" t="s">
        <v>68</v>
      </c>
      <c r="B103" s="55">
        <f>B38</f>
        <v>0</v>
      </c>
      <c r="C103" s="55">
        <f>C39</f>
        <v>502.6900000000023</v>
      </c>
      <c r="D103" s="55">
        <f>D39</f>
        <v>5137.710000000001</v>
      </c>
      <c r="E103" s="55">
        <f>E39</f>
        <v>0</v>
      </c>
      <c r="F103" s="55">
        <f>F39</f>
        <v>0</v>
      </c>
    </row>
    <row r="104" spans="1:6" ht="14.25">
      <c r="A104" s="48" t="s">
        <v>69</v>
      </c>
      <c r="B104" s="55">
        <f>B54</f>
        <v>0</v>
      </c>
      <c r="C104" s="55">
        <f>C55</f>
        <v>287880.1</v>
      </c>
      <c r="D104" s="55">
        <f>D55</f>
        <v>981028.96</v>
      </c>
      <c r="E104" s="55">
        <f>E55</f>
        <v>113461.86</v>
      </c>
      <c r="F104" s="55">
        <f>F55</f>
        <v>2155614.97</v>
      </c>
    </row>
    <row r="105" spans="1:6" ht="14.25">
      <c r="A105" s="48" t="s">
        <v>60</v>
      </c>
      <c r="B105" s="87">
        <f>SUM(B102:B104)</f>
        <v>0</v>
      </c>
      <c r="C105" s="87">
        <f>SUM(C102:C104)</f>
        <v>288382.79</v>
      </c>
      <c r="D105" s="87">
        <f>SUM(D102:D104)</f>
        <v>1209663.33225</v>
      </c>
      <c r="E105" s="87">
        <f>SUM(E102:E104)</f>
        <v>929006.1937625</v>
      </c>
      <c r="F105" s="87">
        <f>SUM(F102:F104)</f>
        <v>2604869.768693125</v>
      </c>
    </row>
    <row r="106" spans="1:6" ht="14.25">
      <c r="A106" s="48" t="s">
        <v>61</v>
      </c>
      <c r="B106" s="66">
        <f>SUM(B103:B104)/2</f>
        <v>0</v>
      </c>
      <c r="C106" s="66">
        <f>SUM(C103:C104)/2</f>
        <v>144191.395</v>
      </c>
      <c r="D106" s="66">
        <f>SUM(D103:D104)/2</f>
        <v>493083.33499999996</v>
      </c>
      <c r="E106" s="66">
        <f>SUM(E103:E104)/2</f>
        <v>56730.93</v>
      </c>
      <c r="F106" s="66">
        <f>SUM(F103:F104)/2</f>
        <v>1077807.485</v>
      </c>
    </row>
    <row r="107" spans="1:6" ht="14.25">
      <c r="A107" s="48" t="s">
        <v>62</v>
      </c>
      <c r="B107" s="82">
        <f>B102+B106</f>
        <v>0</v>
      </c>
      <c r="C107" s="82">
        <f>C102+C106</f>
        <v>144191.395</v>
      </c>
      <c r="D107" s="82">
        <f>D102+D106</f>
        <v>716579.99725</v>
      </c>
      <c r="E107" s="82">
        <f>E102+E106</f>
        <v>872275.2637625</v>
      </c>
      <c r="F107" s="82">
        <f>F102+F106</f>
        <v>1527062.283693125</v>
      </c>
    </row>
    <row r="108" spans="1:6" ht="14.25">
      <c r="A108" s="48" t="s">
        <v>70</v>
      </c>
      <c r="B108" s="84">
        <v>0.45</v>
      </c>
      <c r="C108" s="84">
        <v>0.45</v>
      </c>
      <c r="D108" s="84">
        <v>0.55</v>
      </c>
      <c r="E108" s="84">
        <v>0.55</v>
      </c>
      <c r="F108" s="84">
        <v>0.55</v>
      </c>
    </row>
    <row r="109" spans="1:7" ht="14.25">
      <c r="A109" s="48" t="s">
        <v>64</v>
      </c>
      <c r="B109" s="87">
        <f>B107*B108</f>
        <v>0</v>
      </c>
      <c r="C109" s="87">
        <f>C107*C108</f>
        <v>64886.12775</v>
      </c>
      <c r="D109" s="87">
        <f>D107*D108</f>
        <v>394118.99848750007</v>
      </c>
      <c r="E109" s="87">
        <f>E107*E108</f>
        <v>479751.39506937505</v>
      </c>
      <c r="F109" s="87">
        <f>F107*F108</f>
        <v>839884.2560312188</v>
      </c>
      <c r="G109" s="57"/>
    </row>
    <row r="110" spans="1:6" ht="12.75" customHeight="1" thickBot="1">
      <c r="A110" s="48" t="s">
        <v>65</v>
      </c>
      <c r="B110" s="45">
        <f>B105-B109</f>
        <v>0</v>
      </c>
      <c r="C110" s="45">
        <f>C105-C109</f>
        <v>223496.66225</v>
      </c>
      <c r="D110" s="45">
        <f>D105-D109</f>
        <v>815544.3337625</v>
      </c>
      <c r="E110" s="45">
        <f>E105-E109</f>
        <v>449254.7986931249</v>
      </c>
      <c r="F110" s="45">
        <f>F105-F109</f>
        <v>1764985.512661906</v>
      </c>
    </row>
    <row r="111" ht="0.75" customHeight="1"/>
  </sheetData>
  <sheetProtection/>
  <mergeCells count="1">
    <mergeCell ref="J2:M2"/>
  </mergeCells>
  <printOptions/>
  <pageMargins left="0.7" right="0.7" top="0.98" bottom="0.75" header="0.37" footer="0.3"/>
  <pageSetup fitToHeight="0" horizontalDpi="600" verticalDpi="600" orientation="landscape" paperSize="5" scale="40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1" manualBreakCount="1">
    <brk id="7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0" customHeight="1" zeroHeight="1"/>
  <cols>
    <col min="1" max="1" width="73.00390625" style="48" bestFit="1" customWidth="1"/>
    <col min="2" max="2" width="14.140625" style="48" bestFit="1" customWidth="1"/>
    <col min="3" max="3" width="16.140625" style="48" bestFit="1" customWidth="1"/>
    <col min="4" max="4" width="15.8515625" style="48" customWidth="1"/>
    <col min="5" max="16384" width="9.140625" style="48" customWidth="1"/>
  </cols>
  <sheetData>
    <row r="1" ht="15">
      <c r="A1" s="47" t="s">
        <v>189</v>
      </c>
    </row>
    <row r="2" ht="15" thickBot="1"/>
    <row r="3" spans="1:3" ht="15.75" thickBot="1">
      <c r="A3" s="47" t="s">
        <v>6</v>
      </c>
      <c r="B3" s="168">
        <v>2006</v>
      </c>
      <c r="C3" s="169"/>
    </row>
    <row r="4" spans="1:3" ht="14.25">
      <c r="A4" s="48" t="s">
        <v>74</v>
      </c>
      <c r="C4" s="81">
        <f>+'Avg Assets 06'!C17</f>
        <v>6135733.483333333</v>
      </c>
    </row>
    <row r="5" spans="1:3" ht="14.25">
      <c r="A5" s="48" t="s">
        <v>95</v>
      </c>
      <c r="C5" s="81">
        <f>'Avg Assets 06'!C33</f>
        <v>398333.575</v>
      </c>
    </row>
    <row r="6" spans="1:3" ht="14.25">
      <c r="A6" s="48" t="s">
        <v>75</v>
      </c>
      <c r="C6" s="81">
        <f>+'Avg Assets 06'!C49</f>
        <v>0</v>
      </c>
    </row>
    <row r="7" spans="1:3" ht="14.25">
      <c r="A7" s="48" t="s">
        <v>76</v>
      </c>
      <c r="C7" s="81">
        <f>+'Avg Assets 06'!C65</f>
        <v>0</v>
      </c>
    </row>
    <row r="8" spans="1:3" ht="14.25">
      <c r="A8" s="48" t="s">
        <v>7</v>
      </c>
      <c r="C8" s="66">
        <f>SUM(C4:C7)</f>
        <v>6534067.058333334</v>
      </c>
    </row>
    <row r="9" ht="14.25"/>
    <row r="10" spans="1:4" ht="15">
      <c r="A10" s="47" t="s">
        <v>13</v>
      </c>
      <c r="C10" s="81"/>
      <c r="D10" s="66"/>
    </row>
    <row r="11" spans="1:3" ht="14.25">
      <c r="A11" s="63" t="s">
        <v>18</v>
      </c>
      <c r="C11" s="81">
        <f>+Inputs!B33</f>
        <v>0</v>
      </c>
    </row>
    <row r="12" spans="3:4" ht="14.25">
      <c r="C12" s="81"/>
      <c r="D12" s="66"/>
    </row>
    <row r="13" ht="15">
      <c r="A13" s="47" t="s">
        <v>8</v>
      </c>
    </row>
    <row r="14" spans="1:3" ht="14.25">
      <c r="A14" s="48" t="s">
        <v>9</v>
      </c>
      <c r="C14" s="55">
        <f>C11</f>
        <v>0</v>
      </c>
    </row>
    <row r="15" spans="1:3" ht="14.25">
      <c r="A15" s="48" t="s">
        <v>10</v>
      </c>
      <c r="C15" s="55">
        <f>C14*0.15</f>
        <v>0</v>
      </c>
    </row>
    <row r="16" ht="14.25"/>
    <row r="17" spans="1:3" ht="15">
      <c r="A17" s="47" t="s">
        <v>11</v>
      </c>
      <c r="C17" s="82">
        <f>C8+C11+C15</f>
        <v>6534067.058333334</v>
      </c>
    </row>
    <row r="18" ht="14.25"/>
    <row r="19" ht="15">
      <c r="A19" s="47" t="s">
        <v>12</v>
      </c>
    </row>
    <row r="20" spans="1:3" ht="14.25">
      <c r="A20" s="48" t="s">
        <v>77</v>
      </c>
      <c r="B20" s="83">
        <f>+Inputs!B5</f>
        <v>0.6</v>
      </c>
      <c r="C20" s="55">
        <f>C17*B20</f>
        <v>3920440.235</v>
      </c>
    </row>
    <row r="21" spans="1:3" ht="14.25">
      <c r="A21" s="48" t="s">
        <v>78</v>
      </c>
      <c r="B21" s="83">
        <f>+Inputs!B8</f>
        <v>0.4</v>
      </c>
      <c r="C21" s="55">
        <f>C17*B21</f>
        <v>2613626.8233333337</v>
      </c>
    </row>
    <row r="22" spans="2:3" ht="14.25">
      <c r="B22" s="84"/>
      <c r="C22" s="82">
        <f>SUM(C20:C21)</f>
        <v>6534067.058333334</v>
      </c>
    </row>
    <row r="23" ht="14.25">
      <c r="B23" s="84"/>
    </row>
    <row r="24" spans="1:3" ht="14.25">
      <c r="A24" s="48" t="s">
        <v>79</v>
      </c>
      <c r="B24" s="85">
        <f>+Inputs!B9</f>
        <v>0.0525</v>
      </c>
      <c r="C24" s="55">
        <f>C20*B24</f>
        <v>205823.11233749997</v>
      </c>
    </row>
    <row r="25" spans="1:3" ht="14.25">
      <c r="A25" s="48" t="s">
        <v>71</v>
      </c>
      <c r="B25" s="85">
        <f>+Inputs!B12</f>
        <v>0.09</v>
      </c>
      <c r="C25" s="55">
        <f>C21*B25</f>
        <v>235226.41410000002</v>
      </c>
    </row>
    <row r="26" spans="1:3" ht="15">
      <c r="A26" s="47" t="s">
        <v>12</v>
      </c>
      <c r="C26" s="82">
        <f>SUM(C24:C25)</f>
        <v>441049.5264375</v>
      </c>
    </row>
    <row r="27" spans="1:4" ht="15">
      <c r="A27" s="47"/>
      <c r="C27" s="81"/>
      <c r="D27" s="66"/>
    </row>
    <row r="28" spans="1:4" ht="15">
      <c r="A28" s="47" t="s">
        <v>14</v>
      </c>
      <c r="C28" s="81"/>
      <c r="D28" s="66"/>
    </row>
    <row r="29" spans="1:3" ht="14.25">
      <c r="A29" s="63" t="s">
        <v>186</v>
      </c>
      <c r="C29" s="55">
        <f>+SUM('Avg Assets 06'!C11:C12)</f>
        <v>423154.0333333333</v>
      </c>
    </row>
    <row r="30" spans="1:3" ht="14.25">
      <c r="A30" s="63" t="s">
        <v>87</v>
      </c>
      <c r="C30" s="55">
        <f>+SUM('Avg Assets 06'!C27:C28)</f>
        <v>41929.85</v>
      </c>
    </row>
    <row r="31" spans="1:3" ht="14.25">
      <c r="A31" s="63" t="s">
        <v>73</v>
      </c>
      <c r="C31" s="55">
        <f>+SUM('Avg Assets 06'!C43:C44)</f>
        <v>0</v>
      </c>
    </row>
    <row r="32" spans="1:3" ht="14.25">
      <c r="A32" s="63" t="s">
        <v>187</v>
      </c>
      <c r="C32" s="86">
        <f>+SUM('Avg Assets 06'!C59:C60)</f>
        <v>0</v>
      </c>
    </row>
    <row r="33" spans="1:3" ht="15">
      <c r="A33" s="47" t="s">
        <v>15</v>
      </c>
      <c r="B33" s="57"/>
      <c r="C33" s="71">
        <f>SUM(C29:C32)</f>
        <v>465083.8833333333</v>
      </c>
    </row>
    <row r="34" ht="14.25">
      <c r="C34" s="55"/>
    </row>
    <row r="35" spans="1:3" ht="15">
      <c r="A35" s="47" t="s">
        <v>16</v>
      </c>
      <c r="C35" s="87">
        <f>SUM(C26,C33,C11)</f>
        <v>906133.4097708333</v>
      </c>
    </row>
    <row r="36" spans="1:3" ht="15">
      <c r="A36" s="47"/>
      <c r="C36" s="71"/>
    </row>
    <row r="37" spans="1:3" ht="15">
      <c r="A37" s="47" t="s">
        <v>17</v>
      </c>
      <c r="C37" s="71"/>
    </row>
    <row r="38" spans="1:3" ht="14.25">
      <c r="A38" s="63" t="s">
        <v>18</v>
      </c>
      <c r="C38" s="71">
        <f>-C11</f>
        <v>0</v>
      </c>
    </row>
    <row r="39" spans="1:3" ht="14.25">
      <c r="A39" s="63" t="s">
        <v>19</v>
      </c>
      <c r="C39" s="55">
        <f>-SUM(C29:C32)</f>
        <v>-465083.8833333333</v>
      </c>
    </row>
    <row r="40" spans="1:3" ht="14.25">
      <c r="A40" s="63" t="s">
        <v>20</v>
      </c>
      <c r="C40" s="55">
        <f>-C24</f>
        <v>-205823.11233749997</v>
      </c>
    </row>
    <row r="41" spans="1:3" ht="15">
      <c r="A41" s="47" t="s">
        <v>21</v>
      </c>
      <c r="B41" s="57"/>
      <c r="C41" s="82">
        <f>SUM(C35:C40)</f>
        <v>235226.41410000005</v>
      </c>
    </row>
    <row r="42" spans="1:4" ht="15">
      <c r="A42" s="47"/>
      <c r="C42" s="81"/>
      <c r="D42" s="57"/>
    </row>
    <row r="43" spans="1:4" ht="15">
      <c r="A43" s="47" t="s">
        <v>80</v>
      </c>
      <c r="C43" s="55">
        <f>+'PILs 06'!D30</f>
        <v>98687.62554013933</v>
      </c>
      <c r="D43" s="57"/>
    </row>
    <row r="44" spans="3:4" ht="14.25">
      <c r="C44" s="81"/>
      <c r="D44" s="57"/>
    </row>
    <row r="45" spans="1:3" ht="14.25">
      <c r="A45" s="48" t="str">
        <f>A35</f>
        <v>Revenue Requirement Before PILs</v>
      </c>
      <c r="C45" s="81">
        <f>C35</f>
        <v>906133.4097708333</v>
      </c>
    </row>
    <row r="46" spans="1:3" ht="14.25">
      <c r="A46" s="48" t="s">
        <v>80</v>
      </c>
      <c r="C46" s="81">
        <f>C43</f>
        <v>98687.62554013933</v>
      </c>
    </row>
    <row r="47" ht="14.25">
      <c r="C47" s="81"/>
    </row>
    <row r="48" spans="1:3" ht="15.75" thickBot="1">
      <c r="A48" s="47" t="s">
        <v>22</v>
      </c>
      <c r="C48" s="88">
        <f>SUM(C45:C46)</f>
        <v>1004821.0353109727</v>
      </c>
    </row>
    <row r="49" ht="14.25"/>
    <row r="50" spans="1:3" ht="14.25">
      <c r="A50" s="48" t="s">
        <v>110</v>
      </c>
      <c r="C50" s="89">
        <v>-1010867</v>
      </c>
    </row>
    <row r="51" spans="1:3" ht="14.25">
      <c r="A51" s="48" t="s">
        <v>111</v>
      </c>
      <c r="C51" s="66">
        <f>+C48+C50</f>
        <v>-6045.964689027285</v>
      </c>
    </row>
    <row r="52" spans="1:3" ht="14.25">
      <c r="A52" s="48" t="s">
        <v>112</v>
      </c>
      <c r="C52" s="89">
        <f>+C51*0.0459/2</f>
        <v>-138.7548896131762</v>
      </c>
    </row>
    <row r="53" spans="1:3" ht="15">
      <c r="A53" s="47" t="s">
        <v>113</v>
      </c>
      <c r="C53" s="89">
        <f>+C51+C52</f>
        <v>-6184.719578640462</v>
      </c>
    </row>
    <row r="54" ht="14.25">
      <c r="D54" s="89"/>
    </row>
    <row r="55" spans="1:4" ht="15">
      <c r="A55" s="47" t="s">
        <v>107</v>
      </c>
      <c r="D55" s="89"/>
    </row>
    <row r="56" spans="1:4" ht="15">
      <c r="A56" s="47"/>
      <c r="D56" s="89"/>
    </row>
    <row r="57" ht="15">
      <c r="A57" s="47" t="s">
        <v>108</v>
      </c>
    </row>
    <row r="58" spans="1:3" ht="14.25">
      <c r="A58" s="48" t="s">
        <v>109</v>
      </c>
      <c r="C58" s="89">
        <f>+C26</f>
        <v>441049.5264375</v>
      </c>
    </row>
    <row r="59" spans="1:3" ht="14.25">
      <c r="A59" s="48" t="s">
        <v>110</v>
      </c>
      <c r="C59" s="89">
        <f>+C50</f>
        <v>-1010867</v>
      </c>
    </row>
    <row r="60" spans="1:3" ht="14.25">
      <c r="A60" s="48" t="s">
        <v>116</v>
      </c>
      <c r="C60" s="89">
        <f>+C58+C59</f>
        <v>-569817.4735625</v>
      </c>
    </row>
    <row r="61" ht="14.25">
      <c r="C61" s="89"/>
    </row>
    <row r="62" spans="1:3" ht="15">
      <c r="A62" s="47" t="s">
        <v>114</v>
      </c>
      <c r="C62" s="89"/>
    </row>
    <row r="63" spans="1:3" ht="14.25">
      <c r="A63" s="63" t="s">
        <v>18</v>
      </c>
      <c r="C63" s="89">
        <f>-C38</f>
        <v>0</v>
      </c>
    </row>
    <row r="64" spans="1:3" ht="14.25">
      <c r="A64" s="63" t="s">
        <v>19</v>
      </c>
      <c r="C64" s="89">
        <f>-C39</f>
        <v>465083.8833333333</v>
      </c>
    </row>
    <row r="65" spans="1:3" ht="14.25">
      <c r="A65" s="48" t="s">
        <v>115</v>
      </c>
      <c r="C65" s="89">
        <f>+C43</f>
        <v>98687.62554013933</v>
      </c>
    </row>
    <row r="66" spans="1:3" ht="14.25">
      <c r="A66" s="48" t="s">
        <v>112</v>
      </c>
      <c r="C66" s="89">
        <f>+C52</f>
        <v>-138.7548896131762</v>
      </c>
    </row>
    <row r="67" spans="1:3" ht="12.75" customHeight="1">
      <c r="A67" s="48" t="s">
        <v>117</v>
      </c>
      <c r="C67" s="89">
        <f>SUM(C63:C66)</f>
        <v>563632.7539838596</v>
      </c>
    </row>
    <row r="68" ht="12.75" customHeight="1">
      <c r="C68" s="89"/>
    </row>
    <row r="69" spans="1:3" ht="15">
      <c r="A69" s="47" t="s">
        <v>119</v>
      </c>
      <c r="C69" s="89">
        <f>+C67+C60</f>
        <v>-6184.719578640419</v>
      </c>
    </row>
    <row r="70" ht="0" customHeight="1" hidden="1"/>
  </sheetData>
  <sheetProtection/>
  <mergeCells count="1">
    <mergeCell ref="B3:C3"/>
  </mergeCells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12.75" customHeight="1"/>
  <cols>
    <col min="1" max="1" width="45.8515625" style="2" customWidth="1"/>
    <col min="2" max="2" width="14.140625" style="2" bestFit="1" customWidth="1"/>
    <col min="3" max="3" width="11.57421875" style="2" bestFit="1" customWidth="1"/>
    <col min="4" max="4" width="13.28125" style="2" bestFit="1" customWidth="1"/>
    <col min="5" max="5" width="1.7109375" style="2" customWidth="1"/>
    <col min="6" max="16384" width="9.140625" style="2" customWidth="1"/>
  </cols>
  <sheetData>
    <row r="1" ht="15">
      <c r="A1" s="1" t="s">
        <v>188</v>
      </c>
    </row>
    <row r="3" ht="15">
      <c r="B3" s="21">
        <v>2006</v>
      </c>
    </row>
    <row r="4" ht="15">
      <c r="A4" s="1" t="s">
        <v>23</v>
      </c>
    </row>
    <row r="5" spans="1:2" ht="14.25">
      <c r="A5" s="2" t="s">
        <v>38</v>
      </c>
      <c r="B5" s="8">
        <f>+'Rev Req 06'!C41</f>
        <v>235226.41410000005</v>
      </c>
    </row>
    <row r="6" spans="1:2" ht="14.25">
      <c r="A6" s="2" t="s">
        <v>39</v>
      </c>
      <c r="B6" s="5">
        <f>+'Rev Req 06'!C33</f>
        <v>465083.8833333333</v>
      </c>
    </row>
    <row r="7" spans="1:2" ht="14.25">
      <c r="A7" s="2" t="s">
        <v>40</v>
      </c>
      <c r="B7" s="5">
        <f>-'Avg Assets 06'!C84</f>
        <v>-507784.84</v>
      </c>
    </row>
    <row r="8" spans="1:2" ht="14.25">
      <c r="A8" s="2" t="s">
        <v>91</v>
      </c>
      <c r="B8" s="5">
        <f>-'Avg Assets 06'!C96</f>
        <v>-83859.70000000001</v>
      </c>
    </row>
    <row r="9" spans="1:2" ht="14.25">
      <c r="A9" s="2" t="s">
        <v>41</v>
      </c>
      <c r="B9" s="5">
        <f>-'Avg Assets 06'!C109</f>
        <v>0</v>
      </c>
    </row>
    <row r="10" spans="1:2" ht="14.25">
      <c r="A10" s="2" t="s">
        <v>24</v>
      </c>
      <c r="B10" s="6">
        <f>SUM(B5:B9)</f>
        <v>108665.75743333332</v>
      </c>
    </row>
    <row r="11" spans="1:2" ht="14.25">
      <c r="A11" s="2" t="s">
        <v>42</v>
      </c>
      <c r="B11" s="13">
        <f>+Inputs!B15</f>
        <v>0.3612</v>
      </c>
    </row>
    <row r="12" spans="1:2" ht="14.25">
      <c r="A12" s="2" t="s">
        <v>25</v>
      </c>
      <c r="B12" s="3">
        <f>B10*B11</f>
        <v>39250.07158492</v>
      </c>
    </row>
    <row r="13" ht="14.25"/>
    <row r="14" ht="15">
      <c r="A14" s="1" t="s">
        <v>26</v>
      </c>
    </row>
    <row r="15" spans="1:2" ht="14.25">
      <c r="A15" s="2" t="s">
        <v>43</v>
      </c>
      <c r="B15" s="5">
        <f>+'Avg Assets 06'!C16</f>
        <v>12271466.966666667</v>
      </c>
    </row>
    <row r="16" spans="1:2" ht="14.25">
      <c r="A16" s="2" t="s">
        <v>86</v>
      </c>
      <c r="B16" s="5">
        <f>'Avg Assets 06'!C32</f>
        <v>796667.15</v>
      </c>
    </row>
    <row r="17" spans="1:2" ht="14.25">
      <c r="A17" s="2" t="s">
        <v>44</v>
      </c>
      <c r="B17" s="5">
        <f>+'Avg Assets 06'!C48</f>
        <v>0</v>
      </c>
    </row>
    <row r="18" spans="1:2" ht="14.25">
      <c r="A18" s="2" t="s">
        <v>5</v>
      </c>
      <c r="B18" s="14">
        <f>+'Avg Assets 06'!C64</f>
        <v>0</v>
      </c>
    </row>
    <row r="19" spans="1:2" ht="14.25">
      <c r="A19" s="2" t="s">
        <v>27</v>
      </c>
      <c r="B19" s="8">
        <f>SUM(B15:B18)</f>
        <v>13068134.116666667</v>
      </c>
    </row>
    <row r="20" spans="1:2" ht="14.25">
      <c r="A20" s="2" t="s">
        <v>28</v>
      </c>
      <c r="B20" s="5">
        <v>0</v>
      </c>
    </row>
    <row r="21" spans="1:2" ht="14.25">
      <c r="A21" s="2" t="s">
        <v>29</v>
      </c>
      <c r="B21" s="6">
        <f>B19-B20</f>
        <v>13068134.116666667</v>
      </c>
    </row>
    <row r="22" spans="1:2" ht="14.25">
      <c r="A22" s="2" t="s">
        <v>30</v>
      </c>
      <c r="B22" s="15">
        <v>0.00285</v>
      </c>
    </row>
    <row r="23" spans="1:2" ht="14.25">
      <c r="A23" s="2" t="s">
        <v>31</v>
      </c>
      <c r="B23" s="3">
        <f>B21*B22</f>
        <v>37244.1822325</v>
      </c>
    </row>
    <row r="24" ht="14.25"/>
    <row r="25" ht="14.25"/>
    <row r="26" ht="15">
      <c r="A26" s="16" t="s">
        <v>32</v>
      </c>
    </row>
    <row r="27" spans="2:4" ht="28.5">
      <c r="B27" s="2" t="s">
        <v>33</v>
      </c>
      <c r="C27" s="17" t="s">
        <v>32</v>
      </c>
      <c r="D27" s="18" t="s">
        <v>34</v>
      </c>
    </row>
    <row r="28" spans="1:4" ht="14.25">
      <c r="A28" s="2" t="s">
        <v>35</v>
      </c>
      <c r="B28" s="8">
        <f>B12</f>
        <v>39250.07158492</v>
      </c>
      <c r="C28" s="19">
        <f>B11</f>
        <v>0.3612</v>
      </c>
      <c r="D28" s="5">
        <f>B28/(1-C28)</f>
        <v>61443.44330763932</v>
      </c>
    </row>
    <row r="29" spans="1:4" ht="14.25">
      <c r="A29" s="2" t="s">
        <v>36</v>
      </c>
      <c r="B29" s="8">
        <f>B23</f>
        <v>37244.1822325</v>
      </c>
      <c r="D29" s="5">
        <f>B29</f>
        <v>37244.1822325</v>
      </c>
    </row>
    <row r="30" spans="1:5" ht="15">
      <c r="A30" s="2" t="s">
        <v>37</v>
      </c>
      <c r="B30" s="6">
        <f>SUM(B28:B29)</f>
        <v>76494.25381742</v>
      </c>
      <c r="D30" s="20">
        <f>SUM(D28:D29)</f>
        <v>98687.62554013933</v>
      </c>
      <c r="E30" s="9"/>
    </row>
    <row r="31" ht="13.5" customHeight="1"/>
  </sheetData>
  <sheetProtection/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0"/>
  <sheetViews>
    <sheetView tabSelected="1" view="pageBreakPreview" zoomScale="60" zoomScalePageLayoutView="0" workbookViewId="0" topLeftCell="A39">
      <selection activeCell="A10" sqref="A10"/>
    </sheetView>
  </sheetViews>
  <sheetFormatPr defaultColWidth="9.140625" defaultRowHeight="0" customHeight="1" zeroHeight="1"/>
  <cols>
    <col min="1" max="1" width="56.140625" style="2" customWidth="1"/>
    <col min="2" max="2" width="14.421875" style="2" bestFit="1" customWidth="1"/>
    <col min="3" max="3" width="17.28125" style="2" customWidth="1"/>
    <col min="4" max="16384" width="9.140625" style="2" customWidth="1"/>
  </cols>
  <sheetData>
    <row r="1" ht="15">
      <c r="A1" s="1" t="s">
        <v>191</v>
      </c>
    </row>
    <row r="2" ht="14.25"/>
    <row r="3" spans="1:3" ht="15">
      <c r="A3" s="1" t="s">
        <v>45</v>
      </c>
      <c r="B3" s="2">
        <v>2005</v>
      </c>
      <c r="C3" s="2">
        <v>2006</v>
      </c>
    </row>
    <row r="4" ht="14.25"/>
    <row r="5" spans="1:3" ht="14.25">
      <c r="A5" s="2" t="s">
        <v>46</v>
      </c>
      <c r="B5" s="3">
        <v>0</v>
      </c>
      <c r="C5" s="3">
        <f>B8</f>
        <v>0</v>
      </c>
    </row>
    <row r="6" spans="1:3" ht="14.25">
      <c r="A6" s="2" t="s">
        <v>81</v>
      </c>
      <c r="B6" s="4">
        <v>0</v>
      </c>
      <c r="C6" s="5"/>
    </row>
    <row r="7" spans="1:3" ht="14.25">
      <c r="A7" s="2" t="s">
        <v>82</v>
      </c>
      <c r="B7" s="5"/>
      <c r="C7" s="5">
        <f>+Inputs!B19</f>
        <v>12694621</v>
      </c>
    </row>
    <row r="8" spans="1:3" ht="14.25">
      <c r="A8" s="2" t="s">
        <v>47</v>
      </c>
      <c r="B8" s="6">
        <f>SUM(B5:B7)</f>
        <v>0</v>
      </c>
      <c r="C8" s="6">
        <f>SUM(C5:C7)</f>
        <v>12694621</v>
      </c>
    </row>
    <row r="9" spans="2:3" ht="14.25">
      <c r="B9" s="7"/>
      <c r="C9" s="7"/>
    </row>
    <row r="10" spans="1:3" ht="14.25">
      <c r="A10" s="2" t="s">
        <v>48</v>
      </c>
      <c r="B10" s="6">
        <v>0</v>
      </c>
      <c r="C10" s="6">
        <f>B13</f>
        <v>0</v>
      </c>
    </row>
    <row r="11" spans="1:3" ht="14.25">
      <c r="A11" s="2" t="s">
        <v>103</v>
      </c>
      <c r="B11" s="8">
        <v>0</v>
      </c>
      <c r="C11" s="8">
        <f>C5/Inputs!B26</f>
        <v>0</v>
      </c>
    </row>
    <row r="12" spans="1:3" ht="14.25">
      <c r="A12" s="2" t="s">
        <v>104</v>
      </c>
      <c r="B12" s="5"/>
      <c r="C12" s="5">
        <f>C7/Inputs!B26/2</f>
        <v>423154.0333333333</v>
      </c>
    </row>
    <row r="13" spans="1:3" ht="14.25">
      <c r="A13" s="2" t="s">
        <v>49</v>
      </c>
      <c r="B13" s="3">
        <f>SUM(B10:B12)</f>
        <v>0</v>
      </c>
      <c r="C13" s="3">
        <f>SUM(C10:C12)</f>
        <v>423154.0333333333</v>
      </c>
    </row>
    <row r="14" spans="2:3" ht="14.25">
      <c r="B14" s="3"/>
      <c r="C14" s="3"/>
    </row>
    <row r="15" spans="1:3" ht="14.25">
      <c r="A15" s="2" t="s">
        <v>50</v>
      </c>
      <c r="B15" s="5">
        <f>0</f>
        <v>0</v>
      </c>
      <c r="C15" s="8">
        <f>B16</f>
        <v>0</v>
      </c>
    </row>
    <row r="16" spans="1:3" ht="14.25">
      <c r="A16" s="2" t="s">
        <v>51</v>
      </c>
      <c r="B16" s="6">
        <f>B8-B13</f>
        <v>0</v>
      </c>
      <c r="C16" s="6">
        <f>C8-C13</f>
        <v>12271466.966666667</v>
      </c>
    </row>
    <row r="17" spans="1:3" ht="15" thickBot="1">
      <c r="A17" s="2" t="s">
        <v>52</v>
      </c>
      <c r="B17" s="10">
        <f>(B16+B15)/2</f>
        <v>0</v>
      </c>
      <c r="C17" s="11">
        <f>(C16+C15)/2</f>
        <v>6135733.483333333</v>
      </c>
    </row>
    <row r="18" spans="2:3" ht="14.25">
      <c r="B18" s="7"/>
      <c r="C18" s="7"/>
    </row>
    <row r="19" spans="1:3" ht="15">
      <c r="A19" s="1" t="s">
        <v>92</v>
      </c>
      <c r="B19" s="2">
        <v>2005</v>
      </c>
      <c r="C19" s="2">
        <v>2006</v>
      </c>
    </row>
    <row r="20" ht="14.25"/>
    <row r="21" spans="1:3" ht="14.25">
      <c r="A21" s="2" t="s">
        <v>46</v>
      </c>
      <c r="B21" s="3">
        <v>0</v>
      </c>
      <c r="C21" s="3">
        <f>B24</f>
        <v>0</v>
      </c>
    </row>
    <row r="22" spans="1:3" ht="14.25">
      <c r="A22" s="2" t="s">
        <v>81</v>
      </c>
      <c r="B22" s="4">
        <v>0</v>
      </c>
      <c r="C22" s="5"/>
    </row>
    <row r="23" spans="1:3" ht="14.25">
      <c r="A23" s="2" t="s">
        <v>82</v>
      </c>
      <c r="B23" s="5"/>
      <c r="C23" s="5">
        <f>+Inputs!B20</f>
        <v>838597</v>
      </c>
    </row>
    <row r="24" spans="1:3" ht="14.25">
      <c r="A24" s="2" t="s">
        <v>47</v>
      </c>
      <c r="B24" s="6">
        <f>SUM(B21:B23)</f>
        <v>0</v>
      </c>
      <c r="C24" s="6">
        <f>SUM(C21:C23)</f>
        <v>838597</v>
      </c>
    </row>
    <row r="25" spans="2:3" ht="14.25">
      <c r="B25" s="7"/>
      <c r="C25" s="7"/>
    </row>
    <row r="26" spans="1:3" ht="14.25">
      <c r="A26" s="2" t="s">
        <v>48</v>
      </c>
      <c r="B26" s="6">
        <v>0</v>
      </c>
      <c r="C26" s="6">
        <f>B29</f>
        <v>0</v>
      </c>
    </row>
    <row r="27" spans="1:3" ht="14.25">
      <c r="A27" s="2" t="s">
        <v>93</v>
      </c>
      <c r="B27" s="8">
        <v>0</v>
      </c>
      <c r="C27" s="8">
        <f>C21/Inputs!B27</f>
        <v>0</v>
      </c>
    </row>
    <row r="28" spans="1:3" ht="14.25">
      <c r="A28" s="2" t="s">
        <v>94</v>
      </c>
      <c r="B28" s="5"/>
      <c r="C28" s="5">
        <f>C23/Inputs!B27/2</f>
        <v>41929.85</v>
      </c>
    </row>
    <row r="29" spans="1:3" ht="14.25">
      <c r="A29" s="2" t="s">
        <v>49</v>
      </c>
      <c r="B29" s="3">
        <f>SUM(B26:B28)</f>
        <v>0</v>
      </c>
      <c r="C29" s="3">
        <f>SUM(C26:C28)</f>
        <v>41929.85</v>
      </c>
    </row>
    <row r="30" spans="2:3" ht="14.25">
      <c r="B30" s="3"/>
      <c r="C30" s="3"/>
    </row>
    <row r="31" spans="1:3" ht="14.25">
      <c r="A31" s="2" t="s">
        <v>50</v>
      </c>
      <c r="B31" s="5">
        <f>0</f>
        <v>0</v>
      </c>
      <c r="C31" s="8">
        <f>B32</f>
        <v>0</v>
      </c>
    </row>
    <row r="32" spans="1:3" ht="14.25">
      <c r="A32" s="2" t="s">
        <v>51</v>
      </c>
      <c r="B32" s="6">
        <f>B24-B29</f>
        <v>0</v>
      </c>
      <c r="C32" s="6">
        <f>C24-C29</f>
        <v>796667.15</v>
      </c>
    </row>
    <row r="33" spans="1:3" ht="15" thickBot="1">
      <c r="A33" s="2" t="s">
        <v>52</v>
      </c>
      <c r="B33" s="10">
        <f>(B32+B31)/2</f>
        <v>0</v>
      </c>
      <c r="C33" s="11">
        <f>(C32+C31)/2</f>
        <v>398333.575</v>
      </c>
    </row>
    <row r="34" spans="2:3" ht="14.25">
      <c r="B34" s="7"/>
      <c r="C34" s="7"/>
    </row>
    <row r="35" spans="1:3" ht="15">
      <c r="A35" s="1" t="s">
        <v>53</v>
      </c>
      <c r="B35" s="2">
        <v>2005</v>
      </c>
      <c r="C35" s="2">
        <v>2006</v>
      </c>
    </row>
    <row r="36" ht="14.25"/>
    <row r="37" spans="1:3" ht="14.25">
      <c r="A37" s="2" t="s">
        <v>46</v>
      </c>
      <c r="B37" s="3">
        <v>0</v>
      </c>
      <c r="C37" s="3">
        <f>B40</f>
        <v>0</v>
      </c>
    </row>
    <row r="38" spans="1:3" ht="14.25">
      <c r="A38" s="2" t="s">
        <v>81</v>
      </c>
      <c r="B38" s="4">
        <v>0</v>
      </c>
      <c r="C38" s="5"/>
    </row>
    <row r="39" spans="1:3" ht="14.25">
      <c r="A39" s="2" t="s">
        <v>82</v>
      </c>
      <c r="B39" s="5"/>
      <c r="C39" s="5">
        <f>+Inputs!B21</f>
        <v>0</v>
      </c>
    </row>
    <row r="40" spans="1:3" ht="14.25">
      <c r="A40" s="2" t="s">
        <v>47</v>
      </c>
      <c r="B40" s="6">
        <f>SUM(B37:B39)</f>
        <v>0</v>
      </c>
      <c r="C40" s="6">
        <f>SUM(C37:C39)</f>
        <v>0</v>
      </c>
    </row>
    <row r="41" spans="2:3" ht="14.25">
      <c r="B41" s="7"/>
      <c r="C41" s="7"/>
    </row>
    <row r="42" spans="1:3" ht="14.25">
      <c r="A42" s="2" t="s">
        <v>48</v>
      </c>
      <c r="B42" s="6">
        <v>0</v>
      </c>
      <c r="C42" s="6">
        <f>B45</f>
        <v>0</v>
      </c>
    </row>
    <row r="43" spans="1:3" ht="14.25">
      <c r="A43" s="2" t="s">
        <v>105</v>
      </c>
      <c r="B43" s="8">
        <v>0</v>
      </c>
      <c r="C43" s="8">
        <f>C37/Inputs!B28</f>
        <v>0</v>
      </c>
    </row>
    <row r="44" spans="1:3" ht="14.25">
      <c r="A44" s="2" t="s">
        <v>106</v>
      </c>
      <c r="B44" s="5"/>
      <c r="C44" s="5">
        <f>C39/Inputs!B28/2</f>
        <v>0</v>
      </c>
    </row>
    <row r="45" spans="1:3" ht="14.25">
      <c r="A45" s="2" t="s">
        <v>49</v>
      </c>
      <c r="B45" s="3">
        <f>SUM(B42:B44)</f>
        <v>0</v>
      </c>
      <c r="C45" s="3">
        <f>SUM(C42:C44)</f>
        <v>0</v>
      </c>
    </row>
    <row r="46" spans="2:3" ht="14.25">
      <c r="B46" s="3"/>
      <c r="C46" s="3"/>
    </row>
    <row r="47" spans="1:3" ht="14.25">
      <c r="A47" s="2" t="s">
        <v>50</v>
      </c>
      <c r="B47" s="5">
        <f>0</f>
        <v>0</v>
      </c>
      <c r="C47" s="8">
        <f>B48</f>
        <v>0</v>
      </c>
    </row>
    <row r="48" spans="1:3" ht="14.25">
      <c r="A48" s="2" t="s">
        <v>51</v>
      </c>
      <c r="B48" s="6">
        <f>B40-B45</f>
        <v>0</v>
      </c>
      <c r="C48" s="6">
        <f>C40-C45</f>
        <v>0</v>
      </c>
    </row>
    <row r="49" spans="1:3" ht="15" thickBot="1">
      <c r="A49" s="2" t="s">
        <v>52</v>
      </c>
      <c r="B49" s="10">
        <f>(B48+B47)/2</f>
        <v>0</v>
      </c>
      <c r="C49" s="10">
        <f>(C48+C47)/2</f>
        <v>0</v>
      </c>
    </row>
    <row r="50" ht="14.25"/>
    <row r="51" spans="1:3" ht="15">
      <c r="A51" s="1" t="s">
        <v>54</v>
      </c>
      <c r="B51" s="2">
        <v>2005</v>
      </c>
      <c r="C51" s="2">
        <v>2006</v>
      </c>
    </row>
    <row r="52" ht="14.25"/>
    <row r="53" spans="1:3" ht="14.25">
      <c r="A53" s="2" t="s">
        <v>46</v>
      </c>
      <c r="B53" s="3">
        <v>0</v>
      </c>
      <c r="C53" s="3">
        <f>B56</f>
        <v>0</v>
      </c>
    </row>
    <row r="54" spans="1:3" ht="14.25">
      <c r="A54" s="2" t="s">
        <v>81</v>
      </c>
      <c r="B54" s="4">
        <v>0</v>
      </c>
      <c r="C54" s="5"/>
    </row>
    <row r="55" spans="1:3" ht="14.25">
      <c r="A55" s="2" t="s">
        <v>82</v>
      </c>
      <c r="B55" s="5"/>
      <c r="C55" s="5">
        <f>+Inputs!B22</f>
        <v>0</v>
      </c>
    </row>
    <row r="56" spans="1:3" ht="14.25">
      <c r="A56" s="2" t="s">
        <v>47</v>
      </c>
      <c r="B56" s="6">
        <f>SUM(B53:B55)</f>
        <v>0</v>
      </c>
      <c r="C56" s="6">
        <f>SUM(C53:C55)</f>
        <v>0</v>
      </c>
    </row>
    <row r="57" spans="2:3" ht="14.25">
      <c r="B57" s="7"/>
      <c r="C57" s="7"/>
    </row>
    <row r="58" spans="1:3" ht="14.25">
      <c r="A58" s="2" t="s">
        <v>48</v>
      </c>
      <c r="B58" s="6">
        <v>0</v>
      </c>
      <c r="C58" s="6">
        <f>B61</f>
        <v>0</v>
      </c>
    </row>
    <row r="59" spans="1:3" ht="14.25">
      <c r="A59" s="2" t="s">
        <v>105</v>
      </c>
      <c r="B59" s="8">
        <v>0</v>
      </c>
      <c r="C59" s="8">
        <f>C53/Inputs!B29</f>
        <v>0</v>
      </c>
    </row>
    <row r="60" spans="1:3" ht="14.25">
      <c r="A60" s="2" t="s">
        <v>106</v>
      </c>
      <c r="B60" s="5"/>
      <c r="C60" s="5">
        <f>C55/Inputs!B29/2</f>
        <v>0</v>
      </c>
    </row>
    <row r="61" spans="1:3" ht="14.25">
      <c r="A61" s="2" t="s">
        <v>49</v>
      </c>
      <c r="B61" s="3">
        <f>SUM(B58:B60)</f>
        <v>0</v>
      </c>
      <c r="C61" s="3">
        <f>SUM(C58:C60)</f>
        <v>0</v>
      </c>
    </row>
    <row r="62" spans="2:3" ht="14.25">
      <c r="B62" s="3"/>
      <c r="C62" s="3"/>
    </row>
    <row r="63" spans="1:3" ht="14.25">
      <c r="A63" s="2" t="s">
        <v>50</v>
      </c>
      <c r="B63" s="5">
        <f>0</f>
        <v>0</v>
      </c>
      <c r="C63" s="8">
        <f>B64</f>
        <v>0</v>
      </c>
    </row>
    <row r="64" spans="1:3" ht="14.25">
      <c r="A64" s="2" t="s">
        <v>51</v>
      </c>
      <c r="B64" s="6">
        <f>B56-B61</f>
        <v>0</v>
      </c>
      <c r="C64" s="6">
        <f>C56-C61</f>
        <v>0</v>
      </c>
    </row>
    <row r="65" spans="1:3" ht="15" thickBot="1">
      <c r="A65" s="2" t="s">
        <v>52</v>
      </c>
      <c r="B65" s="10">
        <f>(B64+B63)/2</f>
        <v>0</v>
      </c>
      <c r="C65" s="10">
        <f>(C64+C63)/2</f>
        <v>0</v>
      </c>
    </row>
    <row r="66" spans="2:3" ht="14.25">
      <c r="B66" s="7"/>
      <c r="C66" s="7"/>
    </row>
    <row r="67" spans="1:3" ht="15">
      <c r="A67" s="1" t="s">
        <v>85</v>
      </c>
      <c r="B67" s="7"/>
      <c r="C67" s="7"/>
    </row>
    <row r="68" spans="2:3" ht="14.25">
      <c r="B68" s="7"/>
      <c r="C68" s="7"/>
    </row>
    <row r="69" spans="1:3" ht="14.25">
      <c r="A69" s="2" t="s">
        <v>83</v>
      </c>
      <c r="B69" s="5">
        <f>+B8+B40+B56</f>
        <v>0</v>
      </c>
      <c r="C69" s="8">
        <f>+C8+C40+C56+C24</f>
        <v>13533218</v>
      </c>
    </row>
    <row r="70" spans="1:3" ht="14.25">
      <c r="A70" s="2" t="s">
        <v>84</v>
      </c>
      <c r="B70" s="6">
        <f>+B13+B45+B61</f>
        <v>0</v>
      </c>
      <c r="C70" s="6">
        <f>+C13+C45+C61+C29</f>
        <v>465083.8833333333</v>
      </c>
    </row>
    <row r="71" spans="1:3" ht="15" thickBot="1">
      <c r="A71" s="2" t="s">
        <v>51</v>
      </c>
      <c r="B71" s="10">
        <f>+B69-B70</f>
        <v>0</v>
      </c>
      <c r="C71" s="10">
        <f>+C69-C70</f>
        <v>13068134.116666667</v>
      </c>
    </row>
    <row r="72" spans="2:3" ht="14.25">
      <c r="B72" s="7"/>
      <c r="C72" s="7"/>
    </row>
    <row r="73" spans="1:3" ht="15">
      <c r="A73" s="1" t="s">
        <v>55</v>
      </c>
      <c r="B73" s="7"/>
      <c r="C73" s="7"/>
    </row>
    <row r="74" spans="2:3" ht="14.25">
      <c r="B74" s="7"/>
      <c r="C74" s="7"/>
    </row>
    <row r="75" ht="15">
      <c r="A75" s="1" t="s">
        <v>56</v>
      </c>
    </row>
    <row r="76" spans="1:3" ht="14.25">
      <c r="A76" s="2" t="s">
        <v>57</v>
      </c>
      <c r="B76" s="2">
        <v>2005</v>
      </c>
      <c r="C76" s="2">
        <v>2006</v>
      </c>
    </row>
    <row r="77" ht="14.25"/>
    <row r="78" spans="1:3" ht="14.25">
      <c r="A78" s="2" t="s">
        <v>58</v>
      </c>
      <c r="B78" s="3">
        <v>0</v>
      </c>
      <c r="C78" s="6">
        <f>B80-B84</f>
        <v>0</v>
      </c>
    </row>
    <row r="79" spans="1:3" ht="14.25">
      <c r="A79" s="2" t="s">
        <v>59</v>
      </c>
      <c r="B79" s="5">
        <f>B6</f>
        <v>0</v>
      </c>
      <c r="C79" s="5">
        <f>C7</f>
        <v>12694621</v>
      </c>
    </row>
    <row r="80" spans="1:3" ht="14.25">
      <c r="A80" s="2" t="s">
        <v>60</v>
      </c>
      <c r="B80" s="3">
        <f>SUM(B78:B79)</f>
        <v>0</v>
      </c>
      <c r="C80" s="3">
        <f>SUM(C78:C79)</f>
        <v>12694621</v>
      </c>
    </row>
    <row r="81" spans="1:3" ht="14.25">
      <c r="A81" s="2" t="s">
        <v>61</v>
      </c>
      <c r="B81" s="8">
        <f>SUM(B79:B79)/2</f>
        <v>0</v>
      </c>
      <c r="C81" s="8">
        <f>SUM(C79:C79)/2</f>
        <v>6347310.5</v>
      </c>
    </row>
    <row r="82" spans="1:3" ht="14.25">
      <c r="A82" s="2" t="s">
        <v>62</v>
      </c>
      <c r="B82" s="6">
        <f>B78+B81</f>
        <v>0</v>
      </c>
      <c r="C82" s="6">
        <f>C78+C81</f>
        <v>6347310.5</v>
      </c>
    </row>
    <row r="83" spans="1:3" ht="14.25">
      <c r="A83" s="2" t="s">
        <v>63</v>
      </c>
      <c r="B83" s="12">
        <v>0.08</v>
      </c>
      <c r="C83" s="12">
        <v>0.08</v>
      </c>
    </row>
    <row r="84" spans="1:3" ht="14.25">
      <c r="A84" s="2" t="s">
        <v>64</v>
      </c>
      <c r="B84" s="3">
        <f>B82*B83</f>
        <v>0</v>
      </c>
      <c r="C84" s="3">
        <f>C82*C83</f>
        <v>507784.84</v>
      </c>
    </row>
    <row r="85" spans="1:3" ht="15" thickBot="1">
      <c r="A85" s="2" t="s">
        <v>65</v>
      </c>
      <c r="B85" s="10">
        <f>B80-B84</f>
        <v>0</v>
      </c>
      <c r="C85" s="10">
        <f>C80-C84</f>
        <v>12186836.16</v>
      </c>
    </row>
    <row r="86" ht="14.25"/>
    <row r="87" ht="15">
      <c r="A87" s="1" t="s">
        <v>89</v>
      </c>
    </row>
    <row r="88" spans="1:3" ht="14.25">
      <c r="A88" s="2" t="s">
        <v>88</v>
      </c>
      <c r="B88" s="2">
        <v>2005</v>
      </c>
      <c r="C88" s="2">
        <v>2006</v>
      </c>
    </row>
    <row r="89" ht="14.25"/>
    <row r="90" spans="1:3" ht="14.25">
      <c r="A90" s="2" t="s">
        <v>58</v>
      </c>
      <c r="B90" s="3">
        <v>0</v>
      </c>
      <c r="C90" s="6">
        <f>B97</f>
        <v>0</v>
      </c>
    </row>
    <row r="91" spans="1:3" ht="14.25">
      <c r="A91" s="2" t="s">
        <v>59</v>
      </c>
      <c r="B91" s="5">
        <f>B10</f>
        <v>0</v>
      </c>
      <c r="C91" s="5">
        <f>C23</f>
        <v>838597</v>
      </c>
    </row>
    <row r="92" spans="1:3" ht="14.25">
      <c r="A92" s="2" t="s">
        <v>60</v>
      </c>
      <c r="B92" s="3">
        <f>SUM(B90:B91)</f>
        <v>0</v>
      </c>
      <c r="C92" s="3">
        <f>SUM(C90:C91)</f>
        <v>838597</v>
      </c>
    </row>
    <row r="93" spans="1:3" ht="14.25">
      <c r="A93" s="2" t="s">
        <v>61</v>
      </c>
      <c r="B93" s="8">
        <f>SUM(B91:B91)/2</f>
        <v>0</v>
      </c>
      <c r="C93" s="8">
        <f>SUM(C91:C91)/2</f>
        <v>419298.5</v>
      </c>
    </row>
    <row r="94" spans="1:3" ht="14.25">
      <c r="A94" s="2" t="s">
        <v>62</v>
      </c>
      <c r="B94" s="6">
        <f>B90+B93</f>
        <v>0</v>
      </c>
      <c r="C94" s="6">
        <f>C90+C93</f>
        <v>419298.5</v>
      </c>
    </row>
    <row r="95" spans="1:3" ht="14.25">
      <c r="A95" s="2" t="s">
        <v>90</v>
      </c>
      <c r="B95" s="12">
        <v>0.2</v>
      </c>
      <c r="C95" s="12">
        <v>0.2</v>
      </c>
    </row>
    <row r="96" spans="1:3" ht="14.25">
      <c r="A96" s="2" t="s">
        <v>64</v>
      </c>
      <c r="B96" s="3">
        <f>B94*B95</f>
        <v>0</v>
      </c>
      <c r="C96" s="3">
        <f>C94*C95</f>
        <v>83859.70000000001</v>
      </c>
    </row>
    <row r="97" spans="1:3" ht="12.75" customHeight="1" thickBot="1">
      <c r="A97" s="2" t="s">
        <v>65</v>
      </c>
      <c r="B97" s="10">
        <f>B92-B96</f>
        <v>0</v>
      </c>
      <c r="C97" s="10">
        <f>C92-C96</f>
        <v>754737.3</v>
      </c>
    </row>
    <row r="98" spans="2:3" ht="12.75" customHeight="1">
      <c r="B98" s="7"/>
      <c r="C98" s="7"/>
    </row>
    <row r="99" ht="15">
      <c r="A99" s="1" t="s">
        <v>66</v>
      </c>
    </row>
    <row r="100" spans="1:3" ht="14.25">
      <c r="A100" s="2" t="s">
        <v>67</v>
      </c>
      <c r="B100" s="2">
        <v>2005</v>
      </c>
      <c r="C100" s="2">
        <v>2006</v>
      </c>
    </row>
    <row r="101" ht="14.25"/>
    <row r="102" spans="1:3" ht="14.25">
      <c r="A102" s="2" t="s">
        <v>58</v>
      </c>
      <c r="B102" s="3">
        <v>0</v>
      </c>
      <c r="C102" s="6">
        <f>B110</f>
        <v>0</v>
      </c>
    </row>
    <row r="103" spans="1:3" ht="14.25">
      <c r="A103" s="2" t="s">
        <v>68</v>
      </c>
      <c r="B103" s="5">
        <f>B38</f>
        <v>0</v>
      </c>
      <c r="C103" s="5">
        <f>C39</f>
        <v>0</v>
      </c>
    </row>
    <row r="104" spans="1:3" ht="14.25">
      <c r="A104" s="2" t="s">
        <v>69</v>
      </c>
      <c r="B104" s="5">
        <f>B54</f>
        <v>0</v>
      </c>
      <c r="C104" s="5">
        <f>C55</f>
        <v>0</v>
      </c>
    </row>
    <row r="105" spans="1:3" ht="14.25">
      <c r="A105" s="2" t="s">
        <v>60</v>
      </c>
      <c r="B105" s="3">
        <f>SUM(B102:B104)</f>
        <v>0</v>
      </c>
      <c r="C105" s="3">
        <f>SUM(C102:C104)</f>
        <v>0</v>
      </c>
    </row>
    <row r="106" spans="1:3" ht="14.25">
      <c r="A106" s="2" t="s">
        <v>61</v>
      </c>
      <c r="B106" s="8">
        <f>SUM(B103:B104)/2</f>
        <v>0</v>
      </c>
      <c r="C106" s="8">
        <f>SUM(C103:C104)/2</f>
        <v>0</v>
      </c>
    </row>
    <row r="107" spans="1:3" ht="14.25">
      <c r="A107" s="2" t="s">
        <v>62</v>
      </c>
      <c r="B107" s="6">
        <f>B102+B106</f>
        <v>0</v>
      </c>
      <c r="C107" s="6">
        <f>C102+C106</f>
        <v>0</v>
      </c>
    </row>
    <row r="108" spans="1:3" ht="14.25">
      <c r="A108" s="2" t="s">
        <v>70</v>
      </c>
      <c r="B108" s="12">
        <v>0.45</v>
      </c>
      <c r="C108" s="12">
        <v>0.45</v>
      </c>
    </row>
    <row r="109" spans="1:3" ht="14.25">
      <c r="A109" s="2" t="s">
        <v>64</v>
      </c>
      <c r="B109" s="3">
        <f>B107*B108</f>
        <v>0</v>
      </c>
      <c r="C109" s="3">
        <f>C107*C108</f>
        <v>0</v>
      </c>
    </row>
    <row r="110" spans="1:3" ht="12.75" customHeight="1" thickBot="1">
      <c r="A110" s="2" t="s">
        <v>65</v>
      </c>
      <c r="B110" s="10">
        <f>B105-B109</f>
        <v>0</v>
      </c>
      <c r="C110" s="10">
        <f>C105-C109</f>
        <v>0</v>
      </c>
    </row>
    <row r="111" ht="0.75" customHeight="1"/>
  </sheetData>
  <sheetProtection/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2" manualBreakCount="2">
    <brk id="72" max="2" man="1"/>
    <brk id="110" max="2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60" zoomScalePageLayoutView="0" workbookViewId="0" topLeftCell="A22">
      <selection activeCell="A10" sqref="A10"/>
    </sheetView>
  </sheetViews>
  <sheetFormatPr defaultColWidth="9.140625" defaultRowHeight="0" customHeight="1" zeroHeight="1"/>
  <cols>
    <col min="1" max="1" width="57.8515625" style="25" bestFit="1" customWidth="1"/>
    <col min="2" max="2" width="14.28125" style="25" bestFit="1" customWidth="1"/>
    <col min="3" max="3" width="14.421875" style="25" bestFit="1" customWidth="1"/>
    <col min="4" max="4" width="6.7109375" style="25" customWidth="1"/>
    <col min="5" max="5" width="16.28125" style="25" bestFit="1" customWidth="1"/>
    <col min="6" max="10" width="14.57421875" style="25" bestFit="1" customWidth="1"/>
    <col min="11" max="17" width="14.421875" style="25" bestFit="1" customWidth="1"/>
    <col min="18" max="18" width="14.00390625" style="25" bestFit="1" customWidth="1"/>
    <col min="19" max="16384" width="9.140625" style="25" customWidth="1"/>
  </cols>
  <sheetData>
    <row r="1" ht="15">
      <c r="A1" s="24" t="s">
        <v>193</v>
      </c>
    </row>
    <row r="2" ht="15" thickBot="1"/>
    <row r="3" spans="1:18" ht="15.75" thickBot="1">
      <c r="A3" s="24" t="s">
        <v>6</v>
      </c>
      <c r="B3" s="170">
        <v>39447</v>
      </c>
      <c r="C3" s="171"/>
      <c r="E3" s="25" t="s">
        <v>1</v>
      </c>
      <c r="F3" s="26">
        <v>39083</v>
      </c>
      <c r="G3" s="26">
        <v>39114</v>
      </c>
      <c r="H3" s="26">
        <v>39142</v>
      </c>
      <c r="I3" s="26">
        <v>39173</v>
      </c>
      <c r="J3" s="26">
        <v>39203</v>
      </c>
      <c r="K3" s="26">
        <v>39234</v>
      </c>
      <c r="L3" s="26">
        <v>39264</v>
      </c>
      <c r="M3" s="26">
        <v>39295</v>
      </c>
      <c r="N3" s="26">
        <v>39326</v>
      </c>
      <c r="O3" s="26">
        <v>39356</v>
      </c>
      <c r="P3" s="26">
        <v>39387</v>
      </c>
      <c r="Q3" s="26">
        <v>39417</v>
      </c>
      <c r="R3" s="26">
        <v>39448</v>
      </c>
    </row>
    <row r="4" spans="1:3" ht="14.25">
      <c r="A4" s="25" t="s">
        <v>74</v>
      </c>
      <c r="C4" s="27">
        <f>+'Avg Assets 07'!C17</f>
        <v>18653832.122833334</v>
      </c>
    </row>
    <row r="5" spans="1:3" ht="14.25">
      <c r="A5" s="25" t="s">
        <v>95</v>
      </c>
      <c r="C5" s="27">
        <f>'Avg Assets 07'!C33</f>
        <v>759065.5</v>
      </c>
    </row>
    <row r="6" spans="1:3" ht="14.25">
      <c r="A6" s="25" t="s">
        <v>75</v>
      </c>
      <c r="C6" s="27">
        <f>+'Avg Assets 07'!C49</f>
        <v>23908.95</v>
      </c>
    </row>
    <row r="7" spans="1:3" ht="14.25">
      <c r="A7" s="25" t="s">
        <v>76</v>
      </c>
      <c r="C7" s="27">
        <f>+'Avg Assets 07'!C65</f>
        <v>50284.8</v>
      </c>
    </row>
    <row r="8" spans="1:17" ht="14.25">
      <c r="A8" s="25" t="s">
        <v>7</v>
      </c>
      <c r="C8" s="28">
        <f>SUM(C4:C7)</f>
        <v>19487091.372833334</v>
      </c>
      <c r="F8" s="29">
        <f>$C$8</f>
        <v>19487091.372833334</v>
      </c>
      <c r="G8" s="29">
        <f aca="true" t="shared" si="0" ref="G8:Q8">$C$8</f>
        <v>19487091.372833334</v>
      </c>
      <c r="H8" s="29">
        <f t="shared" si="0"/>
        <v>19487091.372833334</v>
      </c>
      <c r="I8" s="29">
        <f t="shared" si="0"/>
        <v>19487091.372833334</v>
      </c>
      <c r="J8" s="29">
        <f t="shared" si="0"/>
        <v>19487091.372833334</v>
      </c>
      <c r="K8" s="29">
        <f t="shared" si="0"/>
        <v>19487091.372833334</v>
      </c>
      <c r="L8" s="29">
        <f t="shared" si="0"/>
        <v>19487091.372833334</v>
      </c>
      <c r="M8" s="29">
        <f t="shared" si="0"/>
        <v>19487091.372833334</v>
      </c>
      <c r="N8" s="29">
        <f t="shared" si="0"/>
        <v>19487091.372833334</v>
      </c>
      <c r="O8" s="29">
        <f t="shared" si="0"/>
        <v>19487091.372833334</v>
      </c>
      <c r="P8" s="29">
        <f t="shared" si="0"/>
        <v>19487091.372833334</v>
      </c>
      <c r="Q8" s="29">
        <f t="shared" si="0"/>
        <v>19487091.372833334</v>
      </c>
    </row>
    <row r="9" ht="14.25"/>
    <row r="10" spans="1:5" ht="15">
      <c r="A10" s="24" t="s">
        <v>13</v>
      </c>
      <c r="E10" s="29"/>
    </row>
    <row r="11" spans="1:17" ht="14.25">
      <c r="A11" s="30" t="s">
        <v>18</v>
      </c>
      <c r="C11" s="27">
        <f>+Inputs!G33</f>
        <v>603150</v>
      </c>
      <c r="D11" s="31"/>
      <c r="E11" s="31">
        <f>SUM(F11:Q11)</f>
        <v>603149.87</v>
      </c>
      <c r="F11" s="46">
        <v>41430.76</v>
      </c>
      <c r="G11" s="46">
        <v>64876.63</v>
      </c>
      <c r="H11" s="46">
        <v>55799.23</v>
      </c>
      <c r="I11" s="46">
        <v>73790.63</v>
      </c>
      <c r="J11" s="46">
        <v>120137.83</v>
      </c>
      <c r="K11" s="46">
        <v>75641.45</v>
      </c>
      <c r="L11" s="46">
        <v>-80175.18</v>
      </c>
      <c r="M11" s="46">
        <v>50215.35</v>
      </c>
      <c r="N11" s="46">
        <v>46409.59</v>
      </c>
      <c r="O11" s="46">
        <v>96394.85</v>
      </c>
      <c r="P11" s="46">
        <v>45552.04</v>
      </c>
      <c r="Q11" s="46">
        <v>13076.69</v>
      </c>
    </row>
    <row r="12" ht="14.25">
      <c r="E12" s="29"/>
    </row>
    <row r="13" spans="1:17" ht="15">
      <c r="A13" s="24" t="s">
        <v>8</v>
      </c>
      <c r="F13" s="32">
        <f>F8/12</f>
        <v>1623924.2810694445</v>
      </c>
      <c r="G13" s="32">
        <f aca="true" t="shared" si="1" ref="G13:Q13">G8/12</f>
        <v>1623924.2810694445</v>
      </c>
      <c r="H13" s="32">
        <f t="shared" si="1"/>
        <v>1623924.2810694445</v>
      </c>
      <c r="I13" s="32">
        <f t="shared" si="1"/>
        <v>1623924.2810694445</v>
      </c>
      <c r="J13" s="32">
        <f t="shared" si="1"/>
        <v>1623924.2810694445</v>
      </c>
      <c r="K13" s="32">
        <f t="shared" si="1"/>
        <v>1623924.2810694445</v>
      </c>
      <c r="L13" s="32">
        <f t="shared" si="1"/>
        <v>1623924.2810694445</v>
      </c>
      <c r="M13" s="32">
        <f t="shared" si="1"/>
        <v>1623924.2810694445</v>
      </c>
      <c r="N13" s="32">
        <f t="shared" si="1"/>
        <v>1623924.2810694445</v>
      </c>
      <c r="O13" s="32">
        <f t="shared" si="1"/>
        <v>1623924.2810694445</v>
      </c>
      <c r="P13" s="32">
        <f t="shared" si="1"/>
        <v>1623924.2810694445</v>
      </c>
      <c r="Q13" s="32">
        <f t="shared" si="1"/>
        <v>1623924.2810694445</v>
      </c>
    </row>
    <row r="14" spans="1:17" ht="14.25">
      <c r="A14" s="25" t="s">
        <v>9</v>
      </c>
      <c r="C14" s="33">
        <f>C11</f>
        <v>603150</v>
      </c>
      <c r="E14" s="31">
        <f>SUM(F14:Q14)</f>
        <v>603149.87</v>
      </c>
      <c r="F14" s="33">
        <f>F11</f>
        <v>41430.76</v>
      </c>
      <c r="G14" s="33">
        <f>G11</f>
        <v>64876.63</v>
      </c>
      <c r="H14" s="33">
        <f aca="true" t="shared" si="2" ref="H14:Q14">H11</f>
        <v>55799.23</v>
      </c>
      <c r="I14" s="33">
        <f t="shared" si="2"/>
        <v>73790.63</v>
      </c>
      <c r="J14" s="33">
        <f t="shared" si="2"/>
        <v>120137.83</v>
      </c>
      <c r="K14" s="33">
        <f t="shared" si="2"/>
        <v>75641.45</v>
      </c>
      <c r="L14" s="33">
        <f t="shared" si="2"/>
        <v>-80175.18</v>
      </c>
      <c r="M14" s="33">
        <f t="shared" si="2"/>
        <v>50215.35</v>
      </c>
      <c r="N14" s="33">
        <f t="shared" si="2"/>
        <v>46409.59</v>
      </c>
      <c r="O14" s="33">
        <f t="shared" si="2"/>
        <v>96394.85</v>
      </c>
      <c r="P14" s="33">
        <f t="shared" si="2"/>
        <v>45552.04</v>
      </c>
      <c r="Q14" s="33">
        <f t="shared" si="2"/>
        <v>13076.69</v>
      </c>
    </row>
    <row r="15" spans="1:17" ht="14.25">
      <c r="A15" s="25" t="s">
        <v>10</v>
      </c>
      <c r="C15" s="33">
        <f>C14*0.15</f>
        <v>90472.5</v>
      </c>
      <c r="E15" s="31">
        <f>SUM(F15:Q15)</f>
        <v>90472.4805</v>
      </c>
      <c r="F15" s="33">
        <f>F14*0.15</f>
        <v>6214.6140000000005</v>
      </c>
      <c r="G15" s="33">
        <f aca="true" t="shared" si="3" ref="G15:Q15">G14*0.15</f>
        <v>9731.494499999999</v>
      </c>
      <c r="H15" s="33">
        <f t="shared" si="3"/>
        <v>8369.8845</v>
      </c>
      <c r="I15" s="33">
        <f t="shared" si="3"/>
        <v>11068.594500000001</v>
      </c>
      <c r="J15" s="33">
        <f t="shared" si="3"/>
        <v>18020.6745</v>
      </c>
      <c r="K15" s="33">
        <f t="shared" si="3"/>
        <v>11346.217499999999</v>
      </c>
      <c r="L15" s="33">
        <f t="shared" si="3"/>
        <v>-12026.276999999998</v>
      </c>
      <c r="M15" s="33">
        <f t="shared" si="3"/>
        <v>7532.3025</v>
      </c>
      <c r="N15" s="33">
        <f t="shared" si="3"/>
        <v>6961.438499999999</v>
      </c>
      <c r="O15" s="33">
        <f t="shared" si="3"/>
        <v>14459.2275</v>
      </c>
      <c r="P15" s="33">
        <f t="shared" si="3"/>
        <v>6832.806</v>
      </c>
      <c r="Q15" s="33">
        <f t="shared" si="3"/>
        <v>1961.5035</v>
      </c>
    </row>
    <row r="16" ht="14.25"/>
    <row r="17" spans="1:17" ht="15">
      <c r="A17" s="24" t="s">
        <v>11</v>
      </c>
      <c r="C17" s="28">
        <f>C8+C15</f>
        <v>19577563.872833334</v>
      </c>
      <c r="E17" s="34">
        <f>SUM(F17:Q17)</f>
        <v>19577563.853333335</v>
      </c>
      <c r="F17" s="28">
        <f>F13+F15</f>
        <v>1630138.8950694446</v>
      </c>
      <c r="G17" s="28">
        <f aca="true" t="shared" si="4" ref="G17:Q17">G13+G15</f>
        <v>1633655.7755694445</v>
      </c>
      <c r="H17" s="28">
        <f t="shared" si="4"/>
        <v>1632294.1655694444</v>
      </c>
      <c r="I17" s="28">
        <f t="shared" si="4"/>
        <v>1634992.8755694444</v>
      </c>
      <c r="J17" s="28">
        <f t="shared" si="4"/>
        <v>1641944.9555694445</v>
      </c>
      <c r="K17" s="28">
        <f t="shared" si="4"/>
        <v>1635270.4985694445</v>
      </c>
      <c r="L17" s="28">
        <f t="shared" si="4"/>
        <v>1611898.0040694445</v>
      </c>
      <c r="M17" s="28">
        <f t="shared" si="4"/>
        <v>1631456.5835694445</v>
      </c>
      <c r="N17" s="28">
        <f t="shared" si="4"/>
        <v>1630885.7195694444</v>
      </c>
      <c r="O17" s="28">
        <f t="shared" si="4"/>
        <v>1638383.5085694445</v>
      </c>
      <c r="P17" s="28">
        <f t="shared" si="4"/>
        <v>1630757.0870694446</v>
      </c>
      <c r="Q17" s="28">
        <f t="shared" si="4"/>
        <v>1625885.7845694446</v>
      </c>
    </row>
    <row r="18" ht="14.25"/>
    <row r="19" ht="15">
      <c r="A19" s="24" t="s">
        <v>12</v>
      </c>
    </row>
    <row r="20" spans="1:17" ht="14.25">
      <c r="A20" s="25" t="s">
        <v>77</v>
      </c>
      <c r="B20" s="35">
        <f>+Inputs!B5</f>
        <v>0.6</v>
      </c>
      <c r="C20" s="33">
        <f>C17*$B$20</f>
        <v>11746538.3237</v>
      </c>
      <c r="E20" s="31">
        <f>SUM(F20:Q20)</f>
        <v>11746538.311999999</v>
      </c>
      <c r="F20" s="33">
        <f aca="true" t="shared" si="5" ref="F20:Q20">F17*$B$20</f>
        <v>978083.3370416667</v>
      </c>
      <c r="G20" s="33">
        <f t="shared" si="5"/>
        <v>980193.4653416667</v>
      </c>
      <c r="H20" s="33">
        <f t="shared" si="5"/>
        <v>979376.4993416666</v>
      </c>
      <c r="I20" s="33">
        <f t="shared" si="5"/>
        <v>980995.7253416666</v>
      </c>
      <c r="J20" s="33">
        <f t="shared" si="5"/>
        <v>985166.9733416666</v>
      </c>
      <c r="K20" s="33">
        <f t="shared" si="5"/>
        <v>981162.2991416666</v>
      </c>
      <c r="L20" s="33">
        <f t="shared" si="5"/>
        <v>967138.8024416666</v>
      </c>
      <c r="M20" s="33">
        <f t="shared" si="5"/>
        <v>978873.9501416667</v>
      </c>
      <c r="N20" s="33">
        <f t="shared" si="5"/>
        <v>978531.4317416666</v>
      </c>
      <c r="O20" s="33">
        <f t="shared" si="5"/>
        <v>983030.1051416667</v>
      </c>
      <c r="P20" s="33">
        <f t="shared" si="5"/>
        <v>978454.2522416667</v>
      </c>
      <c r="Q20" s="33">
        <f t="shared" si="5"/>
        <v>975531.4707416667</v>
      </c>
    </row>
    <row r="21" spans="1:17" ht="14.25">
      <c r="A21" s="25" t="s">
        <v>78</v>
      </c>
      <c r="B21" s="35">
        <f>+Inputs!B8</f>
        <v>0.4</v>
      </c>
      <c r="C21" s="33">
        <f>C17*$B$21</f>
        <v>7831025.549133334</v>
      </c>
      <c r="E21" s="31">
        <f>SUM(F21:Q21)</f>
        <v>7831025.541333334</v>
      </c>
      <c r="F21" s="33">
        <f aca="true" t="shared" si="6" ref="F21:Q21">F17*$B$21</f>
        <v>652055.5580277778</v>
      </c>
      <c r="G21" s="33">
        <f t="shared" si="6"/>
        <v>653462.3102277778</v>
      </c>
      <c r="H21" s="33">
        <f t="shared" si="6"/>
        <v>652917.6662277778</v>
      </c>
      <c r="I21" s="33">
        <f t="shared" si="6"/>
        <v>653997.1502277778</v>
      </c>
      <c r="J21" s="33">
        <f t="shared" si="6"/>
        <v>656777.9822277778</v>
      </c>
      <c r="K21" s="33">
        <f t="shared" si="6"/>
        <v>654108.1994277779</v>
      </c>
      <c r="L21" s="33">
        <f t="shared" si="6"/>
        <v>644759.2016277779</v>
      </c>
      <c r="M21" s="33">
        <f t="shared" si="6"/>
        <v>652582.6334277778</v>
      </c>
      <c r="N21" s="33">
        <f t="shared" si="6"/>
        <v>652354.2878277778</v>
      </c>
      <c r="O21" s="33">
        <f t="shared" si="6"/>
        <v>655353.4034277778</v>
      </c>
      <c r="P21" s="33">
        <f t="shared" si="6"/>
        <v>652302.8348277779</v>
      </c>
      <c r="Q21" s="33">
        <f t="shared" si="6"/>
        <v>650354.3138277779</v>
      </c>
    </row>
    <row r="22" spans="2:17" ht="14.25">
      <c r="B22" s="36"/>
      <c r="C22" s="28">
        <f>SUM(C20:C21)</f>
        <v>19577563.872833334</v>
      </c>
      <c r="E22" s="34">
        <f>SUM(F22:Q22)</f>
        <v>19577563.853333335</v>
      </c>
      <c r="F22" s="28">
        <f aca="true" t="shared" si="7" ref="F22:Q22">SUM(F20:F21)</f>
        <v>1630138.8950694446</v>
      </c>
      <c r="G22" s="28">
        <f t="shared" si="7"/>
        <v>1633655.7755694445</v>
      </c>
      <c r="H22" s="28">
        <f t="shared" si="7"/>
        <v>1632294.1655694444</v>
      </c>
      <c r="I22" s="28">
        <f t="shared" si="7"/>
        <v>1634992.8755694444</v>
      </c>
      <c r="J22" s="28">
        <f t="shared" si="7"/>
        <v>1641944.9555694445</v>
      </c>
      <c r="K22" s="28">
        <f t="shared" si="7"/>
        <v>1635270.4985694445</v>
      </c>
      <c r="L22" s="28">
        <f t="shared" si="7"/>
        <v>1611898.0040694445</v>
      </c>
      <c r="M22" s="28">
        <f t="shared" si="7"/>
        <v>1631456.5835694445</v>
      </c>
      <c r="N22" s="28">
        <f t="shared" si="7"/>
        <v>1630885.7195694444</v>
      </c>
      <c r="O22" s="28">
        <f t="shared" si="7"/>
        <v>1638383.5085694445</v>
      </c>
      <c r="P22" s="28">
        <f t="shared" si="7"/>
        <v>1630757.0870694446</v>
      </c>
      <c r="Q22" s="28">
        <f t="shared" si="7"/>
        <v>1625885.7845694446</v>
      </c>
    </row>
    <row r="23" ht="14.25">
      <c r="B23" s="36"/>
    </row>
    <row r="24" spans="1:17" ht="14.25">
      <c r="A24" s="25" t="s">
        <v>79</v>
      </c>
      <c r="B24" s="35">
        <f>+Inputs!B9</f>
        <v>0.0525</v>
      </c>
      <c r="C24" s="33">
        <f>C20*$B$24</f>
        <v>616693.26199425</v>
      </c>
      <c r="E24" s="31">
        <f>SUM(F24:Q24)</f>
        <v>616693.2613799999</v>
      </c>
      <c r="F24" s="33">
        <f aca="true" t="shared" si="8" ref="F24:Q24">F20*$B$24</f>
        <v>51349.3751946875</v>
      </c>
      <c r="G24" s="33">
        <f t="shared" si="8"/>
        <v>51460.1569304375</v>
      </c>
      <c r="H24" s="33">
        <f t="shared" si="8"/>
        <v>51417.26621543749</v>
      </c>
      <c r="I24" s="33">
        <f t="shared" si="8"/>
        <v>51502.2755804375</v>
      </c>
      <c r="J24" s="33">
        <f t="shared" si="8"/>
        <v>51721.2661004375</v>
      </c>
      <c r="K24" s="33">
        <f t="shared" si="8"/>
        <v>51511.020704937495</v>
      </c>
      <c r="L24" s="33">
        <f t="shared" si="8"/>
        <v>50774.7871281875</v>
      </c>
      <c r="M24" s="33">
        <f t="shared" si="8"/>
        <v>51390.8823824375</v>
      </c>
      <c r="N24" s="33">
        <f t="shared" si="8"/>
        <v>51372.900166437495</v>
      </c>
      <c r="O24" s="33">
        <f t="shared" si="8"/>
        <v>51609.0805199375</v>
      </c>
      <c r="P24" s="33">
        <f t="shared" si="8"/>
        <v>51368.8482426875</v>
      </c>
      <c r="Q24" s="33">
        <f t="shared" si="8"/>
        <v>51215.4022139375</v>
      </c>
    </row>
    <row r="25" spans="1:17" ht="14.25">
      <c r="A25" s="25" t="s">
        <v>71</v>
      </c>
      <c r="B25" s="35">
        <f>+Inputs!B12</f>
        <v>0.09</v>
      </c>
      <c r="C25" s="33">
        <f>C21*$B$25</f>
        <v>704792.2994220001</v>
      </c>
      <c r="E25" s="31">
        <f>SUM(F25:Q25)</f>
        <v>704792.2987200001</v>
      </c>
      <c r="F25" s="33">
        <f aca="true" t="shared" si="9" ref="F25:Q25">F21*$B$25</f>
        <v>58685.0002225</v>
      </c>
      <c r="G25" s="33">
        <f t="shared" si="9"/>
        <v>58811.6079205</v>
      </c>
      <c r="H25" s="33">
        <f t="shared" si="9"/>
        <v>58762.5899605</v>
      </c>
      <c r="I25" s="33">
        <f t="shared" si="9"/>
        <v>58859.7435205</v>
      </c>
      <c r="J25" s="33">
        <f t="shared" si="9"/>
        <v>59110.018400500005</v>
      </c>
      <c r="K25" s="33">
        <f t="shared" si="9"/>
        <v>58869.737948500006</v>
      </c>
      <c r="L25" s="33">
        <f t="shared" si="9"/>
        <v>58028.32814650001</v>
      </c>
      <c r="M25" s="33">
        <f t="shared" si="9"/>
        <v>58732.4370085</v>
      </c>
      <c r="N25" s="33">
        <f t="shared" si="9"/>
        <v>58711.8859045</v>
      </c>
      <c r="O25" s="33">
        <f t="shared" si="9"/>
        <v>58981.8063085</v>
      </c>
      <c r="P25" s="33">
        <f t="shared" si="9"/>
        <v>58707.25513450001</v>
      </c>
      <c r="Q25" s="33">
        <f t="shared" si="9"/>
        <v>58531.888244500005</v>
      </c>
    </row>
    <row r="26" spans="1:17" ht="15">
      <c r="A26" s="24" t="s">
        <v>12</v>
      </c>
      <c r="C26" s="28">
        <f>SUM(C24:C25)</f>
        <v>1321485.5614162502</v>
      </c>
      <c r="E26" s="34">
        <f>SUM(F26:Q26)</f>
        <v>1321485.5601</v>
      </c>
      <c r="F26" s="28">
        <f aca="true" t="shared" si="10" ref="F26:Q26">SUM(F24:F25)</f>
        <v>110034.37541718749</v>
      </c>
      <c r="G26" s="28">
        <f t="shared" si="10"/>
        <v>110271.7648509375</v>
      </c>
      <c r="H26" s="28">
        <f t="shared" si="10"/>
        <v>110179.85617593749</v>
      </c>
      <c r="I26" s="28">
        <f t="shared" si="10"/>
        <v>110362.0191009375</v>
      </c>
      <c r="J26" s="28">
        <f t="shared" si="10"/>
        <v>110831.2845009375</v>
      </c>
      <c r="K26" s="28">
        <f t="shared" si="10"/>
        <v>110380.7586534375</v>
      </c>
      <c r="L26" s="28">
        <f t="shared" si="10"/>
        <v>108803.1152746875</v>
      </c>
      <c r="M26" s="28">
        <f t="shared" si="10"/>
        <v>110123.3193909375</v>
      </c>
      <c r="N26" s="28">
        <f t="shared" si="10"/>
        <v>110084.7860709375</v>
      </c>
      <c r="O26" s="28">
        <f t="shared" si="10"/>
        <v>110590.8868284375</v>
      </c>
      <c r="P26" s="28">
        <f t="shared" si="10"/>
        <v>110076.10337718751</v>
      </c>
      <c r="Q26" s="28">
        <f t="shared" si="10"/>
        <v>109747.2904584375</v>
      </c>
    </row>
    <row r="27" spans="1:5" ht="15">
      <c r="A27" s="24"/>
      <c r="C27" s="27"/>
      <c r="E27" s="29"/>
    </row>
    <row r="28" spans="1:5" ht="15">
      <c r="A28" s="24" t="s">
        <v>14</v>
      </c>
      <c r="C28" s="27"/>
      <c r="E28" s="29"/>
    </row>
    <row r="29" spans="1:3" ht="14.25">
      <c r="A29" s="30" t="s">
        <v>186</v>
      </c>
      <c r="C29" s="33">
        <f>+SUM('Avg Assets 07'!C11:C12)</f>
        <v>1315654.2176666665</v>
      </c>
    </row>
    <row r="30" spans="1:3" ht="14.25">
      <c r="A30" s="30" t="s">
        <v>87</v>
      </c>
      <c r="C30" s="33">
        <f>+SUM('Avg Assets 07'!C27:C28)</f>
        <v>84315.3</v>
      </c>
    </row>
    <row r="31" spans="1:3" ht="14.25">
      <c r="A31" s="30" t="s">
        <v>73</v>
      </c>
      <c r="C31" s="33">
        <f>+SUM('Avg Assets 07'!C43:C44)</f>
        <v>5313.1</v>
      </c>
    </row>
    <row r="32" spans="1:3" ht="14.25">
      <c r="A32" s="30" t="s">
        <v>187</v>
      </c>
      <c r="C32" s="37">
        <f>+SUM('Avg Assets 07'!C59:C60)</f>
        <v>11174.4</v>
      </c>
    </row>
    <row r="33" spans="1:17" ht="15">
      <c r="A33" s="24" t="s">
        <v>15</v>
      </c>
      <c r="B33" s="38"/>
      <c r="C33" s="39">
        <f>SUM(C29:C32)</f>
        <v>1416457.0176666665</v>
      </c>
      <c r="E33" s="31">
        <f>SUM(F33:Q33)</f>
        <v>1416457.0176666668</v>
      </c>
      <c r="F33" s="31">
        <f>$C$33/12</f>
        <v>118038.08480555554</v>
      </c>
      <c r="G33" s="31">
        <f aca="true" t="shared" si="11" ref="G33:Q33">$C$33/12</f>
        <v>118038.08480555554</v>
      </c>
      <c r="H33" s="31">
        <f t="shared" si="11"/>
        <v>118038.08480555554</v>
      </c>
      <c r="I33" s="31">
        <f t="shared" si="11"/>
        <v>118038.08480555554</v>
      </c>
      <c r="J33" s="31">
        <f t="shared" si="11"/>
        <v>118038.08480555554</v>
      </c>
      <c r="K33" s="31">
        <f t="shared" si="11"/>
        <v>118038.08480555554</v>
      </c>
      <c r="L33" s="31">
        <f t="shared" si="11"/>
        <v>118038.08480555554</v>
      </c>
      <c r="M33" s="31">
        <f t="shared" si="11"/>
        <v>118038.08480555554</v>
      </c>
      <c r="N33" s="31">
        <f t="shared" si="11"/>
        <v>118038.08480555554</v>
      </c>
      <c r="O33" s="31">
        <f t="shared" si="11"/>
        <v>118038.08480555554</v>
      </c>
      <c r="P33" s="31">
        <f t="shared" si="11"/>
        <v>118038.08480555554</v>
      </c>
      <c r="Q33" s="31">
        <f t="shared" si="11"/>
        <v>118038.08480555554</v>
      </c>
    </row>
    <row r="34" ht="14.25">
      <c r="E34" s="33"/>
    </row>
    <row r="35" spans="1:17" ht="15">
      <c r="A35" s="24" t="s">
        <v>16</v>
      </c>
      <c r="C35" s="40">
        <f>SUM(C26,C33,C11)</f>
        <v>3341092.5790829165</v>
      </c>
      <c r="E35" s="40">
        <f aca="true" t="shared" si="12" ref="E35:Q35">SUM(E26,E33,E11)</f>
        <v>3341092.4477666668</v>
      </c>
      <c r="F35" s="40">
        <f t="shared" si="12"/>
        <v>269503.22022274305</v>
      </c>
      <c r="G35" s="40">
        <f t="shared" si="12"/>
        <v>293186.47965649306</v>
      </c>
      <c r="H35" s="40">
        <f t="shared" si="12"/>
        <v>284017.170981493</v>
      </c>
      <c r="I35" s="40">
        <f t="shared" si="12"/>
        <v>302190.73390649306</v>
      </c>
      <c r="J35" s="40">
        <f t="shared" si="12"/>
        <v>349007.19930649304</v>
      </c>
      <c r="K35" s="40">
        <f t="shared" si="12"/>
        <v>304060.293458993</v>
      </c>
      <c r="L35" s="40">
        <f t="shared" si="12"/>
        <v>146666.02008024306</v>
      </c>
      <c r="M35" s="40">
        <f t="shared" si="12"/>
        <v>278376.754196493</v>
      </c>
      <c r="N35" s="40">
        <f t="shared" si="12"/>
        <v>274532.460876493</v>
      </c>
      <c r="O35" s="40">
        <f t="shared" si="12"/>
        <v>325023.82163399307</v>
      </c>
      <c r="P35" s="40">
        <f t="shared" si="12"/>
        <v>273666.228182743</v>
      </c>
      <c r="Q35" s="40">
        <f t="shared" si="12"/>
        <v>240862.06526399305</v>
      </c>
    </row>
    <row r="36" spans="1:5" ht="15">
      <c r="A36" s="24"/>
      <c r="E36" s="39"/>
    </row>
    <row r="37" spans="1:5" ht="15">
      <c r="A37" s="24" t="s">
        <v>17</v>
      </c>
      <c r="E37" s="39"/>
    </row>
    <row r="38" spans="1:17" ht="14.25">
      <c r="A38" s="30" t="s">
        <v>18</v>
      </c>
      <c r="C38" s="39">
        <f>-C11</f>
        <v>-603150</v>
      </c>
      <c r="E38" s="31">
        <f>SUM(F38:Q38)</f>
        <v>-603149.87</v>
      </c>
      <c r="F38" s="39">
        <f>-F11</f>
        <v>-41430.76</v>
      </c>
      <c r="G38" s="39">
        <f aca="true" t="shared" si="13" ref="G38:Q38">-G11</f>
        <v>-64876.63</v>
      </c>
      <c r="H38" s="39">
        <f t="shared" si="13"/>
        <v>-55799.23</v>
      </c>
      <c r="I38" s="39">
        <f t="shared" si="13"/>
        <v>-73790.63</v>
      </c>
      <c r="J38" s="39">
        <f t="shared" si="13"/>
        <v>-120137.83</v>
      </c>
      <c r="K38" s="39">
        <f t="shared" si="13"/>
        <v>-75641.45</v>
      </c>
      <c r="L38" s="39">
        <f t="shared" si="13"/>
        <v>80175.18</v>
      </c>
      <c r="M38" s="39">
        <f t="shared" si="13"/>
        <v>-50215.35</v>
      </c>
      <c r="N38" s="39">
        <f t="shared" si="13"/>
        <v>-46409.59</v>
      </c>
      <c r="O38" s="39">
        <f t="shared" si="13"/>
        <v>-96394.85</v>
      </c>
      <c r="P38" s="39">
        <f t="shared" si="13"/>
        <v>-45552.04</v>
      </c>
      <c r="Q38" s="39">
        <f t="shared" si="13"/>
        <v>-13076.69</v>
      </c>
    </row>
    <row r="39" spans="1:17" ht="14.25">
      <c r="A39" s="30" t="s">
        <v>19</v>
      </c>
      <c r="C39" s="33">
        <f>-SUM(C29:C32)</f>
        <v>-1416457.0176666665</v>
      </c>
      <c r="E39" s="31">
        <f>SUM(F39:Q39)</f>
        <v>-1416457.0176666668</v>
      </c>
      <c r="F39" s="33">
        <f>-F33</f>
        <v>-118038.08480555554</v>
      </c>
      <c r="G39" s="33">
        <f aca="true" t="shared" si="14" ref="G39:Q39">-G33</f>
        <v>-118038.08480555554</v>
      </c>
      <c r="H39" s="33">
        <f t="shared" si="14"/>
        <v>-118038.08480555554</v>
      </c>
      <c r="I39" s="33">
        <f t="shared" si="14"/>
        <v>-118038.08480555554</v>
      </c>
      <c r="J39" s="33">
        <f t="shared" si="14"/>
        <v>-118038.08480555554</v>
      </c>
      <c r="K39" s="33">
        <f t="shared" si="14"/>
        <v>-118038.08480555554</v>
      </c>
      <c r="L39" s="33">
        <f t="shared" si="14"/>
        <v>-118038.08480555554</v>
      </c>
      <c r="M39" s="33">
        <f t="shared" si="14"/>
        <v>-118038.08480555554</v>
      </c>
      <c r="N39" s="33">
        <f t="shared" si="14"/>
        <v>-118038.08480555554</v>
      </c>
      <c r="O39" s="33">
        <f t="shared" si="14"/>
        <v>-118038.08480555554</v>
      </c>
      <c r="P39" s="33">
        <f t="shared" si="14"/>
        <v>-118038.08480555554</v>
      </c>
      <c r="Q39" s="33">
        <f t="shared" si="14"/>
        <v>-118038.08480555554</v>
      </c>
    </row>
    <row r="40" spans="1:17" ht="14.25">
      <c r="A40" s="30" t="s">
        <v>20</v>
      </c>
      <c r="C40" s="33">
        <f>-C24</f>
        <v>-616693.26199425</v>
      </c>
      <c r="E40" s="31">
        <f>SUM(F40:Q40)</f>
        <v>-616693.2613799999</v>
      </c>
      <c r="F40" s="33">
        <f>-F24</f>
        <v>-51349.3751946875</v>
      </c>
      <c r="G40" s="33">
        <f aca="true" t="shared" si="15" ref="G40:Q40">-G24</f>
        <v>-51460.1569304375</v>
      </c>
      <c r="H40" s="33">
        <f t="shared" si="15"/>
        <v>-51417.26621543749</v>
      </c>
      <c r="I40" s="33">
        <f t="shared" si="15"/>
        <v>-51502.2755804375</v>
      </c>
      <c r="J40" s="33">
        <f t="shared" si="15"/>
        <v>-51721.2661004375</v>
      </c>
      <c r="K40" s="33">
        <f t="shared" si="15"/>
        <v>-51511.020704937495</v>
      </c>
      <c r="L40" s="33">
        <f t="shared" si="15"/>
        <v>-50774.7871281875</v>
      </c>
      <c r="M40" s="33">
        <f t="shared" si="15"/>
        <v>-51390.8823824375</v>
      </c>
      <c r="N40" s="33">
        <f t="shared" si="15"/>
        <v>-51372.900166437495</v>
      </c>
      <c r="O40" s="33">
        <f t="shared" si="15"/>
        <v>-51609.0805199375</v>
      </c>
      <c r="P40" s="33">
        <f t="shared" si="15"/>
        <v>-51368.8482426875</v>
      </c>
      <c r="Q40" s="33">
        <f t="shared" si="15"/>
        <v>-51215.4022139375</v>
      </c>
    </row>
    <row r="41" spans="1:17" ht="15">
      <c r="A41" s="24" t="s">
        <v>21</v>
      </c>
      <c r="B41" s="38"/>
      <c r="C41" s="28">
        <f>SUM(C38:C40)+C35</f>
        <v>704792.2994220001</v>
      </c>
      <c r="E41" s="34">
        <f>SUM(F41:Q41)</f>
        <v>704792.2987200001</v>
      </c>
      <c r="F41" s="28">
        <f>SUM(F38:F40)+F35</f>
        <v>58685.000222500006</v>
      </c>
      <c r="G41" s="28">
        <f aca="true" t="shared" si="16" ref="G41:Q41">SUM(G38:G40)+G35</f>
        <v>58811.60792050004</v>
      </c>
      <c r="H41" s="28">
        <f t="shared" si="16"/>
        <v>58762.58996049999</v>
      </c>
      <c r="I41" s="28">
        <f t="shared" si="16"/>
        <v>58859.74352050002</v>
      </c>
      <c r="J41" s="28">
        <f t="shared" si="16"/>
        <v>59110.018400500005</v>
      </c>
      <c r="K41" s="28">
        <f t="shared" si="16"/>
        <v>58869.7379485</v>
      </c>
      <c r="L41" s="28">
        <f t="shared" si="16"/>
        <v>58028.32814650002</v>
      </c>
      <c r="M41" s="28">
        <f t="shared" si="16"/>
        <v>58732.43700849998</v>
      </c>
      <c r="N41" s="28">
        <f t="shared" si="16"/>
        <v>58711.88590449997</v>
      </c>
      <c r="O41" s="28">
        <f t="shared" si="16"/>
        <v>58981.8063085</v>
      </c>
      <c r="P41" s="28">
        <f t="shared" si="16"/>
        <v>58707.25513449998</v>
      </c>
      <c r="Q41" s="28">
        <f t="shared" si="16"/>
        <v>58531.888244500034</v>
      </c>
    </row>
    <row r="42" spans="1:6" ht="15">
      <c r="A42" s="24"/>
      <c r="C42" s="27"/>
      <c r="F42" s="38"/>
    </row>
    <row r="43" spans="1:17" ht="15">
      <c r="A43" s="24" t="s">
        <v>80</v>
      </c>
      <c r="C43" s="33">
        <f>+'PILs 07'!D30</f>
        <v>382039.06901473255</v>
      </c>
      <c r="E43" s="31">
        <f>SUM(F43:Q43)</f>
        <v>382039.06901473255</v>
      </c>
      <c r="F43" s="33">
        <f>$C$43/12</f>
        <v>31836.589084561045</v>
      </c>
      <c r="G43" s="33">
        <f aca="true" t="shared" si="17" ref="G43:Q43">$C$43/12</f>
        <v>31836.589084561045</v>
      </c>
      <c r="H43" s="33">
        <f t="shared" si="17"/>
        <v>31836.589084561045</v>
      </c>
      <c r="I43" s="33">
        <f t="shared" si="17"/>
        <v>31836.589084561045</v>
      </c>
      <c r="J43" s="33">
        <f t="shared" si="17"/>
        <v>31836.589084561045</v>
      </c>
      <c r="K43" s="33">
        <f t="shared" si="17"/>
        <v>31836.589084561045</v>
      </c>
      <c r="L43" s="33">
        <f t="shared" si="17"/>
        <v>31836.589084561045</v>
      </c>
      <c r="M43" s="33">
        <f t="shared" si="17"/>
        <v>31836.589084561045</v>
      </c>
      <c r="N43" s="33">
        <f t="shared" si="17"/>
        <v>31836.589084561045</v>
      </c>
      <c r="O43" s="33">
        <f t="shared" si="17"/>
        <v>31836.589084561045</v>
      </c>
      <c r="P43" s="33">
        <f t="shared" si="17"/>
        <v>31836.589084561045</v>
      </c>
      <c r="Q43" s="33">
        <f t="shared" si="17"/>
        <v>31836.589084561045</v>
      </c>
    </row>
    <row r="44" spans="3:6" ht="14.25">
      <c r="C44" s="27"/>
      <c r="F44" s="38"/>
    </row>
    <row r="45" spans="1:17" ht="14.25">
      <c r="A45" s="25" t="str">
        <f>A35</f>
        <v>Revenue Requirement Before PILs</v>
      </c>
      <c r="C45" s="27">
        <f>C35</f>
        <v>3341092.5790829165</v>
      </c>
      <c r="E45" s="31">
        <f>SUM(F45:Q45)</f>
        <v>3341092.4477666663</v>
      </c>
      <c r="F45" s="27">
        <f>F35</f>
        <v>269503.22022274305</v>
      </c>
      <c r="G45" s="27">
        <f aca="true" t="shared" si="18" ref="G45:Q45">G35</f>
        <v>293186.47965649306</v>
      </c>
      <c r="H45" s="27">
        <f t="shared" si="18"/>
        <v>284017.170981493</v>
      </c>
      <c r="I45" s="27">
        <f t="shared" si="18"/>
        <v>302190.73390649306</v>
      </c>
      <c r="J45" s="27">
        <f t="shared" si="18"/>
        <v>349007.19930649304</v>
      </c>
      <c r="K45" s="27">
        <f t="shared" si="18"/>
        <v>304060.293458993</v>
      </c>
      <c r="L45" s="27">
        <f t="shared" si="18"/>
        <v>146666.02008024306</v>
      </c>
      <c r="M45" s="27">
        <f t="shared" si="18"/>
        <v>278376.754196493</v>
      </c>
      <c r="N45" s="27">
        <f t="shared" si="18"/>
        <v>274532.460876493</v>
      </c>
      <c r="O45" s="27">
        <f t="shared" si="18"/>
        <v>325023.82163399307</v>
      </c>
      <c r="P45" s="27">
        <f t="shared" si="18"/>
        <v>273666.228182743</v>
      </c>
      <c r="Q45" s="27">
        <f t="shared" si="18"/>
        <v>240862.06526399305</v>
      </c>
    </row>
    <row r="46" spans="1:17" ht="14.25">
      <c r="A46" s="25" t="s">
        <v>80</v>
      </c>
      <c r="C46" s="27">
        <f>C43</f>
        <v>382039.06901473255</v>
      </c>
      <c r="E46" s="31">
        <f>SUM(F46:Q46)</f>
        <v>382039.06901473255</v>
      </c>
      <c r="F46" s="27">
        <f>F43</f>
        <v>31836.589084561045</v>
      </c>
      <c r="G46" s="27">
        <f aca="true" t="shared" si="19" ref="G46:Q46">G43</f>
        <v>31836.589084561045</v>
      </c>
      <c r="H46" s="27">
        <f t="shared" si="19"/>
        <v>31836.589084561045</v>
      </c>
      <c r="I46" s="27">
        <f t="shared" si="19"/>
        <v>31836.589084561045</v>
      </c>
      <c r="J46" s="27">
        <f t="shared" si="19"/>
        <v>31836.589084561045</v>
      </c>
      <c r="K46" s="27">
        <f t="shared" si="19"/>
        <v>31836.589084561045</v>
      </c>
      <c r="L46" s="27">
        <f t="shared" si="19"/>
        <v>31836.589084561045</v>
      </c>
      <c r="M46" s="27">
        <f t="shared" si="19"/>
        <v>31836.589084561045</v>
      </c>
      <c r="N46" s="27">
        <f t="shared" si="19"/>
        <v>31836.589084561045</v>
      </c>
      <c r="O46" s="27">
        <f t="shared" si="19"/>
        <v>31836.589084561045</v>
      </c>
      <c r="P46" s="27">
        <f t="shared" si="19"/>
        <v>31836.589084561045</v>
      </c>
      <c r="Q46" s="27">
        <f t="shared" si="19"/>
        <v>31836.589084561045</v>
      </c>
    </row>
    <row r="47" ht="14.25">
      <c r="C47" s="27"/>
    </row>
    <row r="48" spans="1:17" ht="15.75" thickBot="1">
      <c r="A48" s="24" t="s">
        <v>22</v>
      </c>
      <c r="C48" s="41">
        <f>SUM(C45:C46)</f>
        <v>3723131.648097649</v>
      </c>
      <c r="E48" s="34">
        <f>SUM(F48:Q48)</f>
        <v>3723131.516781399</v>
      </c>
      <c r="F48" s="41">
        <f>SUM(F45:F46)</f>
        <v>301339.8093073041</v>
      </c>
      <c r="G48" s="41">
        <f aca="true" t="shared" si="20" ref="G48:Q48">SUM(G45:G46)</f>
        <v>325023.0687410541</v>
      </c>
      <c r="H48" s="41">
        <f>SUM(H45:H46)</f>
        <v>315853.76006605406</v>
      </c>
      <c r="I48" s="41">
        <f t="shared" si="20"/>
        <v>334027.3229910541</v>
      </c>
      <c r="J48" s="41">
        <f t="shared" si="20"/>
        <v>380843.7883910541</v>
      </c>
      <c r="K48" s="41">
        <f t="shared" si="20"/>
        <v>335896.88254355406</v>
      </c>
      <c r="L48" s="41">
        <f t="shared" si="20"/>
        <v>178502.6091648041</v>
      </c>
      <c r="M48" s="41">
        <f t="shared" si="20"/>
        <v>310213.34328105405</v>
      </c>
      <c r="N48" s="41">
        <f t="shared" si="20"/>
        <v>306369.04996105406</v>
      </c>
      <c r="O48" s="41">
        <f t="shared" si="20"/>
        <v>356860.4107185541</v>
      </c>
      <c r="P48" s="41">
        <f t="shared" si="20"/>
        <v>305502.81726730405</v>
      </c>
      <c r="Q48" s="41">
        <f t="shared" si="20"/>
        <v>272698.6543485541</v>
      </c>
    </row>
    <row r="49" spans="6:17" ht="14.25">
      <c r="F49" s="25">
        <v>0.0459</v>
      </c>
      <c r="G49" s="25">
        <v>0.0459</v>
      </c>
      <c r="H49" s="25">
        <v>0.0459</v>
      </c>
      <c r="I49" s="25">
        <v>0.0459</v>
      </c>
      <c r="J49" s="25">
        <v>0.0459</v>
      </c>
      <c r="K49" s="25">
        <v>0.0459</v>
      </c>
      <c r="L49" s="25">
        <v>0.0459</v>
      </c>
      <c r="M49" s="25">
        <v>0.0459</v>
      </c>
      <c r="N49" s="25">
        <v>0.0459</v>
      </c>
      <c r="O49" s="25">
        <v>0.0459</v>
      </c>
      <c r="P49" s="25">
        <v>0.0459</v>
      </c>
      <c r="Q49" s="25">
        <v>0.0459</v>
      </c>
    </row>
    <row r="50" spans="1:17" ht="14.25">
      <c r="A50" s="25" t="s">
        <v>110</v>
      </c>
      <c r="C50" s="42">
        <v>-4481727</v>
      </c>
      <c r="D50" s="31"/>
      <c r="E50" s="31">
        <f>SUM(F50:Q50)</f>
        <v>-4481727</v>
      </c>
      <c r="F50" s="133">
        <f>-127163.89+666.36</f>
        <v>-126497.53</v>
      </c>
      <c r="G50" s="134">
        <v>-127349.04</v>
      </c>
      <c r="H50" s="134">
        <v>-127432.91</v>
      </c>
      <c r="I50" s="134">
        <f>-127512.48</f>
        <v>-127512.48</v>
      </c>
      <c r="J50" s="134">
        <f>-494372.28</f>
        <v>-494372.28</v>
      </c>
      <c r="K50" s="134">
        <f>-494591.52</f>
        <v>-494591.52</v>
      </c>
      <c r="L50" s="134">
        <v>-495552</v>
      </c>
      <c r="M50" s="134">
        <f>-495999.18+0</f>
        <v>-495999.18</v>
      </c>
      <c r="N50" s="134">
        <f>-496691.7</f>
        <v>-496691.7</v>
      </c>
      <c r="O50" s="133">
        <f>-497613.9</f>
        <v>-497613.9</v>
      </c>
      <c r="P50" s="133">
        <f>-498724.02</f>
        <v>-498724.02</v>
      </c>
      <c r="Q50" s="133">
        <f>-499390.44</f>
        <v>-499390.44</v>
      </c>
    </row>
    <row r="51" spans="1:17" ht="14.25">
      <c r="A51" s="25" t="s">
        <v>111</v>
      </c>
      <c r="B51" s="42"/>
      <c r="C51" s="29">
        <f>+C48+C50</f>
        <v>-758595.3519023508</v>
      </c>
      <c r="D51" s="31"/>
      <c r="E51" s="31">
        <f>SUM(F51:Q51)</f>
        <v>-758595.483218601</v>
      </c>
      <c r="F51" s="29">
        <f>+F48+F50</f>
        <v>174842.2793073041</v>
      </c>
      <c r="G51" s="29">
        <f aca="true" t="shared" si="21" ref="G51:Q51">+G48+G50</f>
        <v>197674.02874105412</v>
      </c>
      <c r="H51" s="29">
        <f t="shared" si="21"/>
        <v>188420.85006605406</v>
      </c>
      <c r="I51" s="29">
        <f t="shared" si="21"/>
        <v>206514.84299105412</v>
      </c>
      <c r="J51" s="29">
        <f t="shared" si="21"/>
        <v>-113528.49160894594</v>
      </c>
      <c r="K51" s="29">
        <f t="shared" si="21"/>
        <v>-158694.63745644595</v>
      </c>
      <c r="L51" s="29">
        <f t="shared" si="21"/>
        <v>-317049.3908351959</v>
      </c>
      <c r="M51" s="29">
        <f t="shared" si="21"/>
        <v>-185785.83671894594</v>
      </c>
      <c r="N51" s="29">
        <f t="shared" si="21"/>
        <v>-190322.65003894595</v>
      </c>
      <c r="O51" s="29">
        <f t="shared" si="21"/>
        <v>-140753.48928144592</v>
      </c>
      <c r="P51" s="29">
        <f t="shared" si="21"/>
        <v>-193221.20273269597</v>
      </c>
      <c r="Q51" s="29">
        <f t="shared" si="21"/>
        <v>-226691.7856514459</v>
      </c>
    </row>
    <row r="52" spans="1:17" ht="14.25">
      <c r="A52" s="25" t="s">
        <v>112</v>
      </c>
      <c r="C52" s="42">
        <f>+C51*0.0459/2+'Rev Req 06'!C52*0.0459</f>
        <v>-17416.132175592196</v>
      </c>
      <c r="D52" s="31"/>
      <c r="E52" s="31">
        <f>SUM(F52:Q52)</f>
        <v>7838.943342399986</v>
      </c>
      <c r="F52" s="42">
        <f>F54*F49/365*(G$3-F$3)</f>
        <v>-23.569323715114862</v>
      </c>
      <c r="G52" s="42">
        <f>G54*G49/365*(H$3-G$3)</f>
        <v>594.3480097189298</v>
      </c>
      <c r="H52" s="42">
        <f aca="true" t="shared" si="22" ref="H52:Q52">H54*H49/365*(I$3-H$3)</f>
        <v>1428.6319220986081</v>
      </c>
      <c r="I52" s="42">
        <f t="shared" si="22"/>
        <v>2093.3840365664523</v>
      </c>
      <c r="J52" s="42">
        <f t="shared" si="22"/>
        <v>2968.23191566288</v>
      </c>
      <c r="K52" s="42">
        <f t="shared" si="22"/>
        <v>2444.1846005477214</v>
      </c>
      <c r="L52" s="42">
        <f t="shared" si="22"/>
        <v>1907.009202383028</v>
      </c>
      <c r="M52" s="42">
        <f t="shared" si="22"/>
        <v>671.0377552065888</v>
      </c>
      <c r="N52" s="42">
        <f t="shared" si="22"/>
        <v>-51.504780601811575</v>
      </c>
      <c r="O52" s="42">
        <f t="shared" si="22"/>
        <v>-795.1670826230122</v>
      </c>
      <c r="P52" s="42">
        <f t="shared" si="22"/>
        <v>-1300.523530859838</v>
      </c>
      <c r="Q52" s="42">
        <f t="shared" si="22"/>
        <v>-2097.119381984444</v>
      </c>
    </row>
    <row r="53" spans="1:5" ht="15">
      <c r="A53" s="24" t="s">
        <v>113</v>
      </c>
      <c r="C53" s="42">
        <f>+C51+C52</f>
        <v>-776011.484077943</v>
      </c>
      <c r="E53" s="42">
        <f>+E51+E52</f>
        <v>-750756.539876201</v>
      </c>
    </row>
    <row r="54" spans="5:18" ht="14.25">
      <c r="E54" s="43">
        <f>R54-F54</f>
        <v>-758595.483218601</v>
      </c>
      <c r="F54" s="42">
        <f>'Rev Req 06'!C51</f>
        <v>-6045.964689027285</v>
      </c>
      <c r="G54" s="31">
        <f>F54+F51</f>
        <v>168796.3146182768</v>
      </c>
      <c r="H54" s="31">
        <f>G54+G51</f>
        <v>366470.3433593309</v>
      </c>
      <c r="I54" s="31">
        <f aca="true" t="shared" si="23" ref="I54:Q54">H54+H51</f>
        <v>554891.1934253849</v>
      </c>
      <c r="J54" s="31">
        <f t="shared" si="23"/>
        <v>761406.0364164391</v>
      </c>
      <c r="K54" s="31">
        <f t="shared" si="23"/>
        <v>647877.5448074932</v>
      </c>
      <c r="L54" s="31">
        <f t="shared" si="23"/>
        <v>489182.90735104727</v>
      </c>
      <c r="M54" s="31">
        <f t="shared" si="23"/>
        <v>172133.51651585137</v>
      </c>
      <c r="N54" s="31">
        <f t="shared" si="23"/>
        <v>-13652.320203094569</v>
      </c>
      <c r="O54" s="31">
        <f>N54+N51</f>
        <v>-203974.97024204052</v>
      </c>
      <c r="P54" s="31">
        <f t="shared" si="23"/>
        <v>-344728.45952348644</v>
      </c>
      <c r="Q54" s="31">
        <f t="shared" si="23"/>
        <v>-537949.6622561824</v>
      </c>
      <c r="R54" s="31">
        <f>Q54+Q51</f>
        <v>-764641.4479076283</v>
      </c>
    </row>
    <row r="55" spans="5:18" ht="14.25">
      <c r="E55" s="43"/>
      <c r="F55" s="4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5" ht="15">
      <c r="A56" s="24" t="s">
        <v>107</v>
      </c>
      <c r="E56" s="42"/>
    </row>
    <row r="57" spans="1:5" ht="15">
      <c r="A57" s="24"/>
      <c r="E57" s="42"/>
    </row>
    <row r="58" ht="15">
      <c r="A58" s="24" t="s">
        <v>108</v>
      </c>
    </row>
    <row r="59" spans="1:5" ht="14.25">
      <c r="A59" s="25" t="s">
        <v>109</v>
      </c>
      <c r="C59" s="42">
        <f>+C26</f>
        <v>1321485.5614162502</v>
      </c>
      <c r="E59" s="42">
        <f>+E26</f>
        <v>1321485.5601</v>
      </c>
    </row>
    <row r="60" spans="1:5" ht="14.25">
      <c r="A60" s="25" t="s">
        <v>110</v>
      </c>
      <c r="C60" s="42">
        <f>+C50</f>
        <v>-4481727</v>
      </c>
      <c r="E60" s="42">
        <f>+E50</f>
        <v>-4481727</v>
      </c>
    </row>
    <row r="61" spans="1:5" ht="14.25">
      <c r="A61" s="25" t="s">
        <v>116</v>
      </c>
      <c r="C61" s="42">
        <f>+C59+C60</f>
        <v>-3160241.43858375</v>
      </c>
      <c r="E61" s="42">
        <f>+E59+E60</f>
        <v>-3160241.4399</v>
      </c>
    </row>
    <row r="62" ht="14.25">
      <c r="E62" s="42"/>
    </row>
    <row r="63" spans="1:5" ht="15">
      <c r="A63" s="24" t="s">
        <v>114</v>
      </c>
      <c r="E63" s="42"/>
    </row>
    <row r="64" spans="1:5" ht="14.25">
      <c r="A64" s="30" t="s">
        <v>18</v>
      </c>
      <c r="C64" s="42">
        <f>-C38</f>
        <v>603150</v>
      </c>
      <c r="E64" s="42">
        <f>-E38</f>
        <v>603149.87</v>
      </c>
    </row>
    <row r="65" spans="1:5" ht="14.25">
      <c r="A65" s="30" t="s">
        <v>19</v>
      </c>
      <c r="C65" s="42">
        <f>-C39</f>
        <v>1416457.0176666665</v>
      </c>
      <c r="E65" s="42">
        <f>-E39</f>
        <v>1416457.0176666668</v>
      </c>
    </row>
    <row r="66" spans="1:5" ht="14.25">
      <c r="A66" s="25" t="s">
        <v>115</v>
      </c>
      <c r="C66" s="42">
        <f>+C43</f>
        <v>382039.06901473255</v>
      </c>
      <c r="E66" s="42">
        <f>+E43</f>
        <v>382039.06901473255</v>
      </c>
    </row>
    <row r="67" spans="1:5" ht="14.25">
      <c r="A67" s="25" t="s">
        <v>112</v>
      </c>
      <c r="C67" s="42">
        <f>+C52</f>
        <v>-17416.132175592196</v>
      </c>
      <c r="E67" s="42">
        <f>+E52</f>
        <v>7838.943342399986</v>
      </c>
    </row>
    <row r="68" spans="1:5" ht="12.75" customHeight="1">
      <c r="A68" s="25" t="s">
        <v>117</v>
      </c>
      <c r="C68" s="42">
        <f>SUM(C64:C67)</f>
        <v>2384229.954505807</v>
      </c>
      <c r="E68" s="42">
        <f>SUM(E64:E67)</f>
        <v>2409484.9000237994</v>
      </c>
    </row>
    <row r="69" spans="3:5" ht="12.75" customHeight="1">
      <c r="C69" s="42"/>
      <c r="E69" s="42"/>
    </row>
    <row r="70" spans="1:5" ht="15">
      <c r="A70" s="24" t="s">
        <v>118</v>
      </c>
      <c r="C70" s="42">
        <f>+C68+C61</f>
        <v>-776011.484077943</v>
      </c>
      <c r="E70" s="42">
        <f>+E68+E61</f>
        <v>-750756.5398762007</v>
      </c>
    </row>
    <row r="72" ht="14.25"/>
    <row r="73" ht="67.5" customHeight="1">
      <c r="F73" s="44"/>
    </row>
    <row r="74" ht="14.25"/>
    <row r="75" ht="14.25"/>
    <row r="76" ht="21.75" customHeight="1"/>
    <row r="77" ht="45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1">
    <mergeCell ref="B3:C3"/>
  </mergeCells>
  <printOptions/>
  <pageMargins left="0.7" right="0.7" top="0.98" bottom="0.75" header="0.37" footer="0.3"/>
  <pageSetup fitToHeight="0" horizontalDpi="600" verticalDpi="600" orientation="landscape" paperSize="5" scale="45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1" manualBreakCount="1">
    <brk id="72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12.75" customHeight="1"/>
  <cols>
    <col min="1" max="1" width="45.8515625" style="2" customWidth="1"/>
    <col min="2" max="2" width="14.8515625" style="2" bestFit="1" customWidth="1"/>
    <col min="3" max="3" width="11.7109375" style="2" bestFit="1" customWidth="1"/>
    <col min="4" max="4" width="14.8515625" style="2" bestFit="1" customWidth="1"/>
    <col min="5" max="5" width="1.7109375" style="2" customWidth="1"/>
    <col min="6" max="16384" width="9.140625" style="2" customWidth="1"/>
  </cols>
  <sheetData>
    <row r="1" ht="15">
      <c r="A1" s="1" t="s">
        <v>192</v>
      </c>
    </row>
    <row r="3" ht="14.25">
      <c r="B3" s="23">
        <v>39447</v>
      </c>
    </row>
    <row r="4" ht="15">
      <c r="A4" s="1" t="s">
        <v>23</v>
      </c>
    </row>
    <row r="5" spans="1:2" ht="14.25">
      <c r="A5" s="2" t="s">
        <v>38</v>
      </c>
      <c r="B5" s="8">
        <f>+'Rev Req 07'!C41</f>
        <v>704792.2994220001</v>
      </c>
    </row>
    <row r="6" spans="1:2" ht="14.25">
      <c r="A6" s="2" t="s">
        <v>39</v>
      </c>
      <c r="B6" s="5">
        <f>+'Rev Req 07'!C33</f>
        <v>1416457.0176666665</v>
      </c>
    </row>
    <row r="7" spans="1:2" ht="14.25">
      <c r="A7" s="2" t="s">
        <v>40</v>
      </c>
      <c r="B7" s="5">
        <f>-'Avg Assets 07'!C84</f>
        <v>-1538162.274</v>
      </c>
    </row>
    <row r="8" spans="1:2" ht="14.25">
      <c r="A8" s="2" t="s">
        <v>91</v>
      </c>
      <c r="B8" s="5">
        <f>-'Avg Assets 07'!C96</f>
        <v>-911.2</v>
      </c>
    </row>
    <row r="9" spans="1:2" ht="14.25">
      <c r="A9" s="2" t="s">
        <v>41</v>
      </c>
      <c r="B9" s="5">
        <f>-'Avg Assets 07'!C109</f>
        <v>-37096.875</v>
      </c>
    </row>
    <row r="10" spans="1:2" ht="14.25">
      <c r="A10" s="2" t="s">
        <v>24</v>
      </c>
      <c r="B10" s="6">
        <f>SUM(B5:B9)</f>
        <v>545078.9680886664</v>
      </c>
    </row>
    <row r="11" spans="1:2" ht="14.25">
      <c r="A11" s="2" t="s">
        <v>42</v>
      </c>
      <c r="B11" s="13">
        <f>+Inputs!B15</f>
        <v>0.3612</v>
      </c>
    </row>
    <row r="12" spans="1:2" ht="14.25">
      <c r="A12" s="2" t="s">
        <v>25</v>
      </c>
      <c r="B12" s="3">
        <f>B10*B11</f>
        <v>196882.52327362634</v>
      </c>
    </row>
    <row r="13" ht="14.25"/>
    <row r="14" ht="15">
      <c r="A14" s="1" t="s">
        <v>26</v>
      </c>
    </row>
    <row r="15" spans="1:2" ht="14.25">
      <c r="A15" s="2" t="s">
        <v>43</v>
      </c>
      <c r="B15" s="5">
        <f>+'Avg Assets 07'!C16</f>
        <v>25036197.279</v>
      </c>
    </row>
    <row r="16" spans="1:2" ht="14.25">
      <c r="A16" s="2" t="s">
        <v>86</v>
      </c>
      <c r="B16" s="5">
        <f>'Avg Assets 07'!C32</f>
        <v>721463.85</v>
      </c>
    </row>
    <row r="17" spans="1:2" ht="14.25">
      <c r="A17" s="2" t="s">
        <v>44</v>
      </c>
      <c r="B17" s="5">
        <f>+'Avg Assets 07'!C48</f>
        <v>47817.9</v>
      </c>
    </row>
    <row r="18" spans="1:2" ht="14.25">
      <c r="A18" s="2" t="s">
        <v>5</v>
      </c>
      <c r="B18" s="14">
        <f>+'Avg Assets 07'!C64</f>
        <v>100569.6</v>
      </c>
    </row>
    <row r="19" spans="1:2" ht="14.25">
      <c r="A19" s="2" t="s">
        <v>27</v>
      </c>
      <c r="B19" s="8">
        <f>SUM(B15:B18)</f>
        <v>25906048.629</v>
      </c>
    </row>
    <row r="20" spans="1:2" ht="14.25">
      <c r="A20" s="2" t="s">
        <v>28</v>
      </c>
      <c r="B20" s="5">
        <v>0</v>
      </c>
    </row>
    <row r="21" spans="1:2" ht="14.25">
      <c r="A21" s="2" t="s">
        <v>29</v>
      </c>
      <c r="B21" s="6">
        <f>B19-B20</f>
        <v>25906048.629</v>
      </c>
    </row>
    <row r="22" spans="1:2" ht="14.25">
      <c r="A22" s="2" t="s">
        <v>30</v>
      </c>
      <c r="B22" s="15">
        <v>0.00285</v>
      </c>
    </row>
    <row r="23" spans="1:2" ht="14.25">
      <c r="A23" s="2" t="s">
        <v>31</v>
      </c>
      <c r="B23" s="3">
        <f>B21*B22</f>
        <v>73832.23859265</v>
      </c>
    </row>
    <row r="24" ht="14.25"/>
    <row r="25" ht="14.25"/>
    <row r="26" ht="15">
      <c r="A26" s="16" t="s">
        <v>32</v>
      </c>
    </row>
    <row r="27" spans="2:4" ht="28.5">
      <c r="B27" s="2" t="s">
        <v>33</v>
      </c>
      <c r="C27" s="17" t="s">
        <v>32</v>
      </c>
      <c r="D27" s="18" t="s">
        <v>34</v>
      </c>
    </row>
    <row r="28" spans="1:4" ht="14.25">
      <c r="A28" s="2" t="s">
        <v>35</v>
      </c>
      <c r="B28" s="8">
        <f>B12</f>
        <v>196882.52327362634</v>
      </c>
      <c r="C28" s="19">
        <f>B11</f>
        <v>0.3612</v>
      </c>
      <c r="D28" s="5">
        <f>B28/(1-C28)</f>
        <v>308206.83042208257</v>
      </c>
    </row>
    <row r="29" spans="1:4" ht="14.25">
      <c r="A29" s="2" t="s">
        <v>36</v>
      </c>
      <c r="B29" s="8">
        <f>B23</f>
        <v>73832.23859265</v>
      </c>
      <c r="D29" s="5">
        <f>B29</f>
        <v>73832.23859265</v>
      </c>
    </row>
    <row r="30" spans="1:5" ht="15">
      <c r="A30" s="2" t="s">
        <v>37</v>
      </c>
      <c r="B30" s="6">
        <f>SUM(B28:B29)</f>
        <v>270714.7618662763</v>
      </c>
      <c r="D30" s="20">
        <f>SUM(D28:D29)</f>
        <v>382039.06901473255</v>
      </c>
      <c r="E30" s="9"/>
    </row>
    <row r="31" ht="13.5" customHeight="1"/>
  </sheetData>
  <sheetProtection/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0" customHeight="1" zeroHeight="1"/>
  <cols>
    <col min="1" max="1" width="56.140625" style="91" customWidth="1"/>
    <col min="2" max="2" width="14.421875" style="91" bestFit="1" customWidth="1"/>
    <col min="3" max="3" width="17.28125" style="91" customWidth="1"/>
    <col min="4" max="4" width="8.7109375" style="91" customWidth="1"/>
    <col min="5" max="16384" width="9.140625" style="91" customWidth="1"/>
  </cols>
  <sheetData>
    <row r="1" ht="15">
      <c r="A1" s="90" t="s">
        <v>190</v>
      </c>
    </row>
    <row r="2" ht="14.25"/>
    <row r="3" spans="1:8" ht="15">
      <c r="A3" s="90" t="s">
        <v>45</v>
      </c>
      <c r="B3" s="92">
        <v>39082</v>
      </c>
      <c r="C3" s="92">
        <v>39447</v>
      </c>
      <c r="H3" s="93"/>
    </row>
    <row r="4" ht="14.25"/>
    <row r="5" spans="1:3" ht="14.25">
      <c r="A5" s="91" t="s">
        <v>46</v>
      </c>
      <c r="B5" s="94">
        <v>0</v>
      </c>
      <c r="C5" s="94">
        <f>B8</f>
        <v>12694621</v>
      </c>
    </row>
    <row r="6" spans="1:3" ht="14.25">
      <c r="A6" s="91" t="s">
        <v>81</v>
      </c>
      <c r="B6" s="95">
        <f>+Inputs!B19</f>
        <v>12694621</v>
      </c>
      <c r="C6" s="96"/>
    </row>
    <row r="7" spans="1:3" ht="14.25">
      <c r="A7" s="91" t="s">
        <v>82</v>
      </c>
      <c r="B7" s="96"/>
      <c r="C7" s="96">
        <f>Inputs!G19</f>
        <v>14080384.53</v>
      </c>
    </row>
    <row r="8" spans="1:3" ht="14.25">
      <c r="A8" s="91" t="s">
        <v>47</v>
      </c>
      <c r="B8" s="97">
        <f>SUM(B5:B7)</f>
        <v>12694621</v>
      </c>
      <c r="C8" s="97">
        <f>SUM(C5:C7)</f>
        <v>26775005.53</v>
      </c>
    </row>
    <row r="9" spans="2:3" ht="14.25">
      <c r="B9" s="98"/>
      <c r="C9" s="98"/>
    </row>
    <row r="10" spans="1:3" ht="14.25">
      <c r="A10" s="91" t="s">
        <v>48</v>
      </c>
      <c r="B10" s="97">
        <v>0</v>
      </c>
      <c r="C10" s="97">
        <f>B13</f>
        <v>423154.0333333333</v>
      </c>
    </row>
    <row r="11" spans="1:3" ht="14.25">
      <c r="A11" s="91" t="s">
        <v>103</v>
      </c>
      <c r="B11" s="99">
        <f>B6/Inputs!B26/2</f>
        <v>423154.0333333333</v>
      </c>
      <c r="C11" s="99">
        <f>C5/Inputs!B26</f>
        <v>846308.0666666667</v>
      </c>
    </row>
    <row r="12" spans="1:3" ht="14.25">
      <c r="A12" s="91" t="s">
        <v>104</v>
      </c>
      <c r="B12" s="96"/>
      <c r="C12" s="96">
        <f>C7/Inputs!B26/2</f>
        <v>469346.15099999995</v>
      </c>
    </row>
    <row r="13" spans="1:3" ht="14.25">
      <c r="A13" s="91" t="s">
        <v>49</v>
      </c>
      <c r="B13" s="94">
        <f>SUM(B10:B12)</f>
        <v>423154.0333333333</v>
      </c>
      <c r="C13" s="94">
        <f>SUM(C10:C12)</f>
        <v>1738808.2510000002</v>
      </c>
    </row>
    <row r="14" spans="2:3" ht="14.25">
      <c r="B14" s="94"/>
      <c r="C14" s="94"/>
    </row>
    <row r="15" spans="1:3" ht="14.25">
      <c r="A15" s="91" t="s">
        <v>50</v>
      </c>
      <c r="B15" s="96">
        <f>0</f>
        <v>0</v>
      </c>
      <c r="C15" s="99">
        <f>B16</f>
        <v>12271466.966666667</v>
      </c>
    </row>
    <row r="16" spans="1:4" ht="14.25">
      <c r="A16" s="91" t="s">
        <v>51</v>
      </c>
      <c r="B16" s="97">
        <f>B8-B13</f>
        <v>12271466.966666667</v>
      </c>
      <c r="C16" s="97">
        <f>C8-C13</f>
        <v>25036197.279</v>
      </c>
      <c r="D16" s="100"/>
    </row>
    <row r="17" spans="1:4" ht="15" thickBot="1">
      <c r="A17" s="91" t="s">
        <v>52</v>
      </c>
      <c r="B17" s="11">
        <f>(B16+B15)/2</f>
        <v>6135733.483333333</v>
      </c>
      <c r="C17" s="11">
        <f>(C16+C15)/2</f>
        <v>18653832.122833334</v>
      </c>
      <c r="D17" s="100"/>
    </row>
    <row r="18" spans="2:3" ht="14.25">
      <c r="B18" s="98"/>
      <c r="C18" s="98"/>
    </row>
    <row r="19" spans="1:3" ht="15">
      <c r="A19" s="90" t="s">
        <v>92</v>
      </c>
      <c r="B19" s="92">
        <v>39082</v>
      </c>
      <c r="C19" s="92">
        <v>39447</v>
      </c>
    </row>
    <row r="20" ht="14.25"/>
    <row r="21" spans="1:3" ht="14.25">
      <c r="A21" s="91" t="s">
        <v>46</v>
      </c>
      <c r="B21" s="94">
        <v>0</v>
      </c>
      <c r="C21" s="94">
        <f>B24</f>
        <v>838597</v>
      </c>
    </row>
    <row r="22" spans="1:3" ht="14.25">
      <c r="A22" s="91" t="s">
        <v>81</v>
      </c>
      <c r="B22" s="96">
        <f>Inputs!B20</f>
        <v>838597</v>
      </c>
      <c r="C22" s="96"/>
    </row>
    <row r="23" spans="1:3" ht="14.25">
      <c r="A23" s="91" t="s">
        <v>82</v>
      </c>
      <c r="B23" s="94"/>
      <c r="C23" s="94">
        <f>Inputs!G20</f>
        <v>9112</v>
      </c>
    </row>
    <row r="24" spans="1:3" ht="14.25">
      <c r="A24" s="91" t="s">
        <v>47</v>
      </c>
      <c r="B24" s="97">
        <f>SUM(B21:B23)</f>
        <v>838597</v>
      </c>
      <c r="C24" s="97">
        <f>SUM(C21:C23)</f>
        <v>847709</v>
      </c>
    </row>
    <row r="25" spans="2:3" ht="14.25">
      <c r="B25" s="98"/>
      <c r="C25" s="98"/>
    </row>
    <row r="26" spans="1:3" ht="14.25">
      <c r="A26" s="91" t="s">
        <v>48</v>
      </c>
      <c r="B26" s="97">
        <v>0</v>
      </c>
      <c r="C26" s="97">
        <f>B29</f>
        <v>41929.85</v>
      </c>
    </row>
    <row r="27" spans="1:3" ht="14.25">
      <c r="A27" s="91" t="s">
        <v>93</v>
      </c>
      <c r="B27" s="99">
        <f>B22/Inputs!B27/2</f>
        <v>41929.85</v>
      </c>
      <c r="C27" s="99">
        <f>C21/Inputs!B27</f>
        <v>83859.7</v>
      </c>
    </row>
    <row r="28" spans="1:3" ht="14.25">
      <c r="A28" s="91" t="s">
        <v>94</v>
      </c>
      <c r="B28" s="96"/>
      <c r="C28" s="96">
        <f>C23/Inputs!B27/2</f>
        <v>455.6</v>
      </c>
    </row>
    <row r="29" spans="1:3" ht="14.25">
      <c r="A29" s="91" t="s">
        <v>49</v>
      </c>
      <c r="B29" s="94">
        <f>SUM(B26:B28)</f>
        <v>41929.85</v>
      </c>
      <c r="C29" s="94">
        <f>SUM(C26:C28)</f>
        <v>126245.15</v>
      </c>
    </row>
    <row r="30" spans="2:3" ht="14.25">
      <c r="B30" s="94"/>
      <c r="C30" s="94"/>
    </row>
    <row r="31" spans="1:3" ht="14.25">
      <c r="A31" s="91" t="s">
        <v>50</v>
      </c>
      <c r="B31" s="96">
        <f>0</f>
        <v>0</v>
      </c>
      <c r="C31" s="99">
        <f>B32</f>
        <v>796667.15</v>
      </c>
    </row>
    <row r="32" spans="1:3" ht="14.25">
      <c r="A32" s="91" t="s">
        <v>51</v>
      </c>
      <c r="B32" s="97">
        <f>B24-B29</f>
        <v>796667.15</v>
      </c>
      <c r="C32" s="97">
        <f>C24-C29</f>
        <v>721463.85</v>
      </c>
    </row>
    <row r="33" spans="1:3" ht="15" thickBot="1">
      <c r="A33" s="91" t="s">
        <v>52</v>
      </c>
      <c r="B33" s="11">
        <f>(B32+B31)/2</f>
        <v>398333.575</v>
      </c>
      <c r="C33" s="11">
        <f>(C32+C31)/2</f>
        <v>759065.5</v>
      </c>
    </row>
    <row r="34" spans="2:3" ht="14.25">
      <c r="B34" s="98"/>
      <c r="C34" s="98"/>
    </row>
    <row r="35" spans="1:3" ht="15">
      <c r="A35" s="90" t="s">
        <v>53</v>
      </c>
      <c r="B35" s="92">
        <v>39082</v>
      </c>
      <c r="C35" s="92">
        <v>39447</v>
      </c>
    </row>
    <row r="36" ht="14.25"/>
    <row r="37" spans="1:3" ht="14.25">
      <c r="A37" s="91" t="s">
        <v>46</v>
      </c>
      <c r="B37" s="94">
        <v>0</v>
      </c>
      <c r="C37" s="94">
        <f>B40</f>
        <v>0</v>
      </c>
    </row>
    <row r="38" spans="1:3" ht="14.25">
      <c r="A38" s="91" t="s">
        <v>81</v>
      </c>
      <c r="B38" s="95">
        <f>+Inputs!B21</f>
        <v>0</v>
      </c>
      <c r="C38" s="96"/>
    </row>
    <row r="39" spans="1:3" ht="14.25">
      <c r="A39" s="91" t="s">
        <v>82</v>
      </c>
      <c r="B39" s="96"/>
      <c r="C39" s="96">
        <f>Inputs!G21</f>
        <v>53131</v>
      </c>
    </row>
    <row r="40" spans="1:3" ht="14.25">
      <c r="A40" s="91" t="s">
        <v>47</v>
      </c>
      <c r="B40" s="97">
        <f>SUM(B37:B39)</f>
        <v>0</v>
      </c>
      <c r="C40" s="97">
        <f>SUM(C37:C39)</f>
        <v>53131</v>
      </c>
    </row>
    <row r="41" spans="2:3" ht="14.25">
      <c r="B41" s="98"/>
      <c r="C41" s="98"/>
    </row>
    <row r="42" spans="1:3" ht="14.25">
      <c r="A42" s="91" t="s">
        <v>48</v>
      </c>
      <c r="B42" s="97">
        <v>0</v>
      </c>
      <c r="C42" s="97">
        <f>B45</f>
        <v>0</v>
      </c>
    </row>
    <row r="43" spans="1:3" ht="14.25">
      <c r="A43" s="91" t="s">
        <v>105</v>
      </c>
      <c r="B43" s="99">
        <f>B38/Inputs!B28/2</f>
        <v>0</v>
      </c>
      <c r="C43" s="99">
        <f>C37/Inputs!B28</f>
        <v>0</v>
      </c>
    </row>
    <row r="44" spans="1:3" ht="14.25">
      <c r="A44" s="91" t="s">
        <v>106</v>
      </c>
      <c r="B44" s="96"/>
      <c r="C44" s="96">
        <f>C39/Inputs!B28/2</f>
        <v>5313.1</v>
      </c>
    </row>
    <row r="45" spans="1:3" ht="14.25">
      <c r="A45" s="91" t="s">
        <v>49</v>
      </c>
      <c r="B45" s="94">
        <f>SUM(B42:B44)</f>
        <v>0</v>
      </c>
      <c r="C45" s="94">
        <f>SUM(C42:C44)</f>
        <v>5313.1</v>
      </c>
    </row>
    <row r="46" spans="2:3" ht="14.25">
      <c r="B46" s="94"/>
      <c r="C46" s="94"/>
    </row>
    <row r="47" spans="1:3" ht="14.25">
      <c r="A47" s="91" t="s">
        <v>50</v>
      </c>
      <c r="B47" s="96">
        <f>0</f>
        <v>0</v>
      </c>
      <c r="C47" s="99">
        <f>B48</f>
        <v>0</v>
      </c>
    </row>
    <row r="48" spans="1:4" ht="14.25">
      <c r="A48" s="91" t="s">
        <v>51</v>
      </c>
      <c r="B48" s="97">
        <f>B40-B45</f>
        <v>0</v>
      </c>
      <c r="C48" s="97">
        <f>C40-C45</f>
        <v>47817.9</v>
      </c>
      <c r="D48" s="100"/>
    </row>
    <row r="49" spans="1:4" ht="15" thickBot="1">
      <c r="A49" s="91" t="s">
        <v>52</v>
      </c>
      <c r="B49" s="11">
        <f>(B48+B47)/2</f>
        <v>0</v>
      </c>
      <c r="C49" s="11">
        <f>(C48+C47)/2</f>
        <v>23908.95</v>
      </c>
      <c r="D49" s="100"/>
    </row>
    <row r="50" ht="14.25"/>
    <row r="51" spans="1:3" ht="15">
      <c r="A51" s="90" t="s">
        <v>54</v>
      </c>
      <c r="B51" s="92">
        <v>39082</v>
      </c>
      <c r="C51" s="92">
        <v>39447</v>
      </c>
    </row>
    <row r="52" ht="14.25"/>
    <row r="53" spans="1:3" ht="14.25">
      <c r="A53" s="91" t="s">
        <v>46</v>
      </c>
      <c r="B53" s="94">
        <v>0</v>
      </c>
      <c r="C53" s="94">
        <f>B56</f>
        <v>0</v>
      </c>
    </row>
    <row r="54" spans="1:3" ht="14.25">
      <c r="A54" s="91" t="s">
        <v>81</v>
      </c>
      <c r="B54" s="95">
        <f>Inputs!B22</f>
        <v>0</v>
      </c>
      <c r="C54" s="96"/>
    </row>
    <row r="55" spans="1:3" ht="14.25">
      <c r="A55" s="91" t="s">
        <v>82</v>
      </c>
      <c r="B55" s="96"/>
      <c r="C55" s="96">
        <f>Inputs!G22</f>
        <v>111744</v>
      </c>
    </row>
    <row r="56" spans="1:3" ht="14.25">
      <c r="A56" s="91" t="s">
        <v>47</v>
      </c>
      <c r="B56" s="97">
        <f>SUM(B53:B55)</f>
        <v>0</v>
      </c>
      <c r="C56" s="97">
        <f>SUM(C53:C55)</f>
        <v>111744</v>
      </c>
    </row>
    <row r="57" spans="2:3" ht="14.25">
      <c r="B57" s="98"/>
      <c r="C57" s="98"/>
    </row>
    <row r="58" spans="1:3" ht="14.25">
      <c r="A58" s="91" t="s">
        <v>48</v>
      </c>
      <c r="B58" s="97">
        <v>0</v>
      </c>
      <c r="C58" s="97">
        <f>B61</f>
        <v>0</v>
      </c>
    </row>
    <row r="59" spans="1:3" ht="14.25">
      <c r="A59" s="91" t="s">
        <v>105</v>
      </c>
      <c r="B59" s="99">
        <f>B54/Inputs!B29/2</f>
        <v>0</v>
      </c>
      <c r="C59" s="99">
        <f>C53/Inputs!B29</f>
        <v>0</v>
      </c>
    </row>
    <row r="60" spans="1:3" ht="14.25">
      <c r="A60" s="91" t="s">
        <v>106</v>
      </c>
      <c r="B60" s="96"/>
      <c r="C60" s="96">
        <f>C55/Inputs!B29/2</f>
        <v>11174.4</v>
      </c>
    </row>
    <row r="61" spans="1:3" ht="14.25">
      <c r="A61" s="91" t="s">
        <v>49</v>
      </c>
      <c r="B61" s="94">
        <f>SUM(B58:B60)</f>
        <v>0</v>
      </c>
      <c r="C61" s="94">
        <f>SUM(C58:C60)</f>
        <v>11174.4</v>
      </c>
    </row>
    <row r="62" spans="2:3" ht="14.25">
      <c r="B62" s="94"/>
      <c r="C62" s="94"/>
    </row>
    <row r="63" spans="1:3" ht="14.25">
      <c r="A63" s="91" t="s">
        <v>50</v>
      </c>
      <c r="B63" s="96">
        <f>0</f>
        <v>0</v>
      </c>
      <c r="C63" s="99">
        <f>B64</f>
        <v>0</v>
      </c>
    </row>
    <row r="64" spans="1:4" ht="14.25">
      <c r="A64" s="91" t="s">
        <v>51</v>
      </c>
      <c r="B64" s="97">
        <f>B56-B61</f>
        <v>0</v>
      </c>
      <c r="C64" s="97">
        <f>C56-C61</f>
        <v>100569.6</v>
      </c>
      <c r="D64" s="100"/>
    </row>
    <row r="65" spans="1:4" ht="15" thickBot="1">
      <c r="A65" s="91" t="s">
        <v>52</v>
      </c>
      <c r="B65" s="11">
        <f>(B64+B63)/2</f>
        <v>0</v>
      </c>
      <c r="C65" s="11">
        <f>(C64+C63)/2</f>
        <v>50284.8</v>
      </c>
      <c r="D65" s="100"/>
    </row>
    <row r="66" spans="2:4" ht="14.25">
      <c r="B66" s="98"/>
      <c r="C66" s="98"/>
      <c r="D66" s="100"/>
    </row>
    <row r="67" spans="1:4" ht="15">
      <c r="A67" s="90" t="s">
        <v>85</v>
      </c>
      <c r="B67" s="98"/>
      <c r="C67" s="98"/>
      <c r="D67" s="100"/>
    </row>
    <row r="68" spans="2:4" ht="14.25">
      <c r="B68" s="98"/>
      <c r="C68" s="98"/>
      <c r="D68" s="100"/>
    </row>
    <row r="69" spans="1:4" ht="14.25">
      <c r="A69" s="91" t="s">
        <v>83</v>
      </c>
      <c r="B69" s="96">
        <f>+B8+B40+B56</f>
        <v>12694621</v>
      </c>
      <c r="C69" s="99">
        <f>+C8+C40+C56+C24</f>
        <v>27787589.53</v>
      </c>
      <c r="D69" s="100"/>
    </row>
    <row r="70" spans="1:4" ht="14.25">
      <c r="A70" s="91" t="s">
        <v>84</v>
      </c>
      <c r="B70" s="97">
        <f>+B13+B45+B61</f>
        <v>423154.0333333333</v>
      </c>
      <c r="C70" s="97">
        <f>+C13+C45+C61+C29</f>
        <v>1881540.901</v>
      </c>
      <c r="D70" s="100"/>
    </row>
    <row r="71" spans="1:3" ht="15" thickBot="1">
      <c r="A71" s="91" t="s">
        <v>51</v>
      </c>
      <c r="B71" s="11">
        <f>+B69-B70</f>
        <v>12271466.966666667</v>
      </c>
      <c r="C71" s="11">
        <f>+C69-C70</f>
        <v>25906048.629</v>
      </c>
    </row>
    <row r="72" spans="2:3" ht="14.25">
      <c r="B72" s="98"/>
      <c r="C72" s="98"/>
    </row>
    <row r="73" spans="1:3" ht="15">
      <c r="A73" s="90" t="s">
        <v>55</v>
      </c>
      <c r="B73" s="98"/>
      <c r="C73" s="98"/>
    </row>
    <row r="74" spans="2:3" ht="14.25">
      <c r="B74" s="98"/>
      <c r="C74" s="98"/>
    </row>
    <row r="75" ht="15">
      <c r="A75" s="90" t="s">
        <v>56</v>
      </c>
    </row>
    <row r="76" spans="1:3" ht="14.25">
      <c r="A76" s="91" t="s">
        <v>57</v>
      </c>
      <c r="B76" s="92">
        <v>39082</v>
      </c>
      <c r="C76" s="92">
        <v>39447</v>
      </c>
    </row>
    <row r="77" ht="14.25"/>
    <row r="78" spans="1:3" ht="14.25">
      <c r="A78" s="91" t="s">
        <v>58</v>
      </c>
      <c r="B78" s="94">
        <v>0</v>
      </c>
      <c r="C78" s="97">
        <f>B80-B84</f>
        <v>12186836.16</v>
      </c>
    </row>
    <row r="79" spans="1:3" ht="14.25">
      <c r="A79" s="91" t="s">
        <v>59</v>
      </c>
      <c r="B79" s="96">
        <f>B6</f>
        <v>12694621</v>
      </c>
      <c r="C79" s="96">
        <f>C7</f>
        <v>14080384.53</v>
      </c>
    </row>
    <row r="80" spans="1:3" ht="14.25">
      <c r="A80" s="91" t="s">
        <v>60</v>
      </c>
      <c r="B80" s="94">
        <f>SUM(B78:B79)</f>
        <v>12694621</v>
      </c>
      <c r="C80" s="94">
        <f>SUM(C78:C79)</f>
        <v>26267220.689999998</v>
      </c>
    </row>
    <row r="81" spans="1:3" ht="14.25">
      <c r="A81" s="91" t="s">
        <v>61</v>
      </c>
      <c r="B81" s="99">
        <f>SUM(B79:B79)/2</f>
        <v>6347310.5</v>
      </c>
      <c r="C81" s="99">
        <f>SUM(C79:C79)/2</f>
        <v>7040192.265</v>
      </c>
    </row>
    <row r="82" spans="1:3" ht="14.25">
      <c r="A82" s="91" t="s">
        <v>62</v>
      </c>
      <c r="B82" s="97">
        <f>B78+B81</f>
        <v>6347310.5</v>
      </c>
      <c r="C82" s="97">
        <f>C78+C81</f>
        <v>19227028.425</v>
      </c>
    </row>
    <row r="83" spans="1:3" ht="14.25">
      <c r="A83" s="91" t="s">
        <v>63</v>
      </c>
      <c r="B83" s="101">
        <v>0.08</v>
      </c>
      <c r="C83" s="101">
        <v>0.08</v>
      </c>
    </row>
    <row r="84" spans="1:4" ht="14.25">
      <c r="A84" s="91" t="s">
        <v>64</v>
      </c>
      <c r="B84" s="94">
        <f>B82*B83</f>
        <v>507784.84</v>
      </c>
      <c r="C84" s="94">
        <f>C82*C83</f>
        <v>1538162.274</v>
      </c>
      <c r="D84" s="100"/>
    </row>
    <row r="85" spans="1:3" ht="15" thickBot="1">
      <c r="A85" s="91" t="s">
        <v>65</v>
      </c>
      <c r="B85" s="11">
        <f>B80-B84</f>
        <v>12186836.16</v>
      </c>
      <c r="C85" s="11">
        <f>C80-C84</f>
        <v>24729058.415999997</v>
      </c>
    </row>
    <row r="86" ht="14.25"/>
    <row r="87" ht="15">
      <c r="A87" s="90" t="s">
        <v>89</v>
      </c>
    </row>
    <row r="88" spans="1:3" ht="14.25">
      <c r="A88" s="91" t="s">
        <v>88</v>
      </c>
      <c r="B88" s="92">
        <v>39082</v>
      </c>
      <c r="C88" s="92">
        <v>39447</v>
      </c>
    </row>
    <row r="89" ht="14.25"/>
    <row r="90" spans="1:3" ht="14.25">
      <c r="A90" s="91" t="s">
        <v>58</v>
      </c>
      <c r="B90" s="94">
        <v>0</v>
      </c>
      <c r="C90" s="97">
        <f>B97</f>
        <v>0</v>
      </c>
    </row>
    <row r="91" spans="1:3" ht="14.25">
      <c r="A91" s="91" t="s">
        <v>59</v>
      </c>
      <c r="B91" s="96">
        <f>B10</f>
        <v>0</v>
      </c>
      <c r="C91" s="96">
        <f>C23</f>
        <v>9112</v>
      </c>
    </row>
    <row r="92" spans="1:3" ht="14.25">
      <c r="A92" s="91" t="s">
        <v>60</v>
      </c>
      <c r="B92" s="94">
        <f>SUM(B90:B91)</f>
        <v>0</v>
      </c>
      <c r="C92" s="94">
        <f>SUM(C90:C91)</f>
        <v>9112</v>
      </c>
    </row>
    <row r="93" spans="1:3" ht="14.25">
      <c r="A93" s="91" t="s">
        <v>61</v>
      </c>
      <c r="B93" s="99">
        <f>SUM(B91:B91)/2</f>
        <v>0</v>
      </c>
      <c r="C93" s="99">
        <f>SUM(C91:C91)/2</f>
        <v>4556</v>
      </c>
    </row>
    <row r="94" spans="1:3" ht="14.25">
      <c r="A94" s="91" t="s">
        <v>62</v>
      </c>
      <c r="B94" s="97">
        <f>B90+B93</f>
        <v>0</v>
      </c>
      <c r="C94" s="97">
        <f>C90+C93</f>
        <v>4556</v>
      </c>
    </row>
    <row r="95" spans="1:3" ht="14.25">
      <c r="A95" s="91" t="s">
        <v>90</v>
      </c>
      <c r="B95" s="101">
        <v>0.2</v>
      </c>
      <c r="C95" s="101">
        <v>0.2</v>
      </c>
    </row>
    <row r="96" spans="1:4" ht="14.25">
      <c r="A96" s="91" t="s">
        <v>64</v>
      </c>
      <c r="B96" s="94">
        <f>B94*B95</f>
        <v>0</v>
      </c>
      <c r="C96" s="94">
        <f>C94*C95</f>
        <v>911.2</v>
      </c>
      <c r="D96" s="100"/>
    </row>
    <row r="97" spans="1:3" ht="12.75" customHeight="1" thickBot="1">
      <c r="A97" s="91" t="s">
        <v>65</v>
      </c>
      <c r="B97" s="11">
        <f>B92-B96</f>
        <v>0</v>
      </c>
      <c r="C97" s="11">
        <f>C92-C96</f>
        <v>8200.8</v>
      </c>
    </row>
    <row r="98" spans="2:3" ht="12.75" customHeight="1">
      <c r="B98" s="98"/>
      <c r="C98" s="98"/>
    </row>
    <row r="99" ht="15">
      <c r="A99" s="90" t="s">
        <v>66</v>
      </c>
    </row>
    <row r="100" spans="1:3" ht="14.25">
      <c r="A100" s="91" t="s">
        <v>67</v>
      </c>
      <c r="B100" s="92">
        <v>39082</v>
      </c>
      <c r="C100" s="92">
        <v>39447</v>
      </c>
    </row>
    <row r="101" ht="14.25"/>
    <row r="102" spans="1:3" ht="14.25">
      <c r="A102" s="91" t="s">
        <v>58</v>
      </c>
      <c r="B102" s="94">
        <v>0</v>
      </c>
      <c r="C102" s="97">
        <f>B110</f>
        <v>0</v>
      </c>
    </row>
    <row r="103" spans="1:3" ht="14.25">
      <c r="A103" s="91" t="s">
        <v>68</v>
      </c>
      <c r="B103" s="96">
        <f>B38</f>
        <v>0</v>
      </c>
      <c r="C103" s="96">
        <f>C39</f>
        <v>53131</v>
      </c>
    </row>
    <row r="104" spans="1:3" ht="14.25">
      <c r="A104" s="91" t="s">
        <v>69</v>
      </c>
      <c r="B104" s="96">
        <f>B54</f>
        <v>0</v>
      </c>
      <c r="C104" s="96">
        <f>C55</f>
        <v>111744</v>
      </c>
    </row>
    <row r="105" spans="1:3" ht="14.25">
      <c r="A105" s="91" t="s">
        <v>60</v>
      </c>
      <c r="B105" s="94">
        <f>SUM(B102:B104)</f>
        <v>0</v>
      </c>
      <c r="C105" s="94">
        <f>SUM(C102:C104)</f>
        <v>164875</v>
      </c>
    </row>
    <row r="106" spans="1:3" ht="14.25">
      <c r="A106" s="91" t="s">
        <v>61</v>
      </c>
      <c r="B106" s="99">
        <f>SUM(B103:B104)/2</f>
        <v>0</v>
      </c>
      <c r="C106" s="99">
        <f>SUM(C103:C104)/2</f>
        <v>82437.5</v>
      </c>
    </row>
    <row r="107" spans="1:3" ht="14.25">
      <c r="A107" s="91" t="s">
        <v>62</v>
      </c>
      <c r="B107" s="97">
        <f>B102+B106</f>
        <v>0</v>
      </c>
      <c r="C107" s="97">
        <f>C102+C106</f>
        <v>82437.5</v>
      </c>
    </row>
    <row r="108" spans="1:3" ht="14.25">
      <c r="A108" s="91" t="s">
        <v>70</v>
      </c>
      <c r="B108" s="101">
        <v>0.45</v>
      </c>
      <c r="C108" s="101">
        <v>0.45</v>
      </c>
    </row>
    <row r="109" spans="1:4" ht="14.25">
      <c r="A109" s="91" t="s">
        <v>64</v>
      </c>
      <c r="B109" s="94">
        <f>B107*B108</f>
        <v>0</v>
      </c>
      <c r="C109" s="94">
        <f>C107*C108</f>
        <v>37096.875</v>
      </c>
      <c r="D109" s="100"/>
    </row>
    <row r="110" spans="1:3" ht="12.75" customHeight="1" thickBot="1">
      <c r="A110" s="91" t="s">
        <v>65</v>
      </c>
      <c r="B110" s="11">
        <f>B105-B109</f>
        <v>0</v>
      </c>
      <c r="C110" s="11">
        <f>C105-C109</f>
        <v>127778.125</v>
      </c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7" right="0.7" top="0.98" bottom="0.75" header="0.37" footer="0.3"/>
  <pageSetup fitToHeight="2"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rowBreaks count="2" manualBreakCount="2">
    <brk id="72" max="255" man="1"/>
    <brk id="110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5"/>
  <sheetViews>
    <sheetView tabSelected="1" view="pageBreakPreview" zoomScale="75" zoomScaleSheetLayoutView="75" zoomScalePageLayoutView="0" workbookViewId="0" topLeftCell="A41">
      <selection activeCell="A10" sqref="A10"/>
    </sheetView>
  </sheetViews>
  <sheetFormatPr defaultColWidth="9.140625" defaultRowHeight="0" customHeight="1" zeroHeight="1"/>
  <cols>
    <col min="1" max="1" width="54.57421875" style="50" customWidth="1"/>
    <col min="2" max="2" width="7.140625" style="50" bestFit="1" customWidth="1"/>
    <col min="3" max="3" width="14.421875" style="50" bestFit="1" customWidth="1"/>
    <col min="4" max="4" width="5.00390625" style="50" customWidth="1"/>
    <col min="5" max="21" width="16.140625" style="50" bestFit="1" customWidth="1"/>
    <col min="22" max="22" width="15.7109375" style="50" bestFit="1" customWidth="1"/>
    <col min="23" max="16384" width="9.140625" style="50" customWidth="1"/>
  </cols>
  <sheetData>
    <row r="1" spans="1:21" ht="15">
      <c r="A1" s="102" t="s">
        <v>209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6:21" ht="15" thickBot="1">
      <c r="P2" s="103"/>
      <c r="Q2" s="103"/>
      <c r="R2" s="103"/>
      <c r="S2" s="103"/>
      <c r="T2" s="103"/>
      <c r="U2" s="103"/>
    </row>
    <row r="3" spans="1:22" ht="30" customHeight="1" thickBot="1">
      <c r="A3" s="102" t="s">
        <v>6</v>
      </c>
      <c r="B3" s="172" t="s">
        <v>131</v>
      </c>
      <c r="C3" s="173"/>
      <c r="E3" s="104" t="s">
        <v>126</v>
      </c>
      <c r="F3" s="104" t="s">
        <v>124</v>
      </c>
      <c r="G3" s="104" t="s">
        <v>127</v>
      </c>
      <c r="H3" s="104" t="s">
        <v>128</v>
      </c>
      <c r="I3" s="104" t="s">
        <v>129</v>
      </c>
      <c r="J3" s="105">
        <v>39448</v>
      </c>
      <c r="K3" s="105">
        <v>39479</v>
      </c>
      <c r="L3" s="105">
        <v>39508</v>
      </c>
      <c r="M3" s="105">
        <v>39539</v>
      </c>
      <c r="N3" s="105">
        <v>39569</v>
      </c>
      <c r="O3" s="105">
        <v>39600</v>
      </c>
      <c r="P3" s="105">
        <v>39630</v>
      </c>
      <c r="Q3" s="105">
        <v>39661</v>
      </c>
      <c r="R3" s="105">
        <v>39692</v>
      </c>
      <c r="S3" s="105">
        <v>39722</v>
      </c>
      <c r="T3" s="105">
        <v>39753</v>
      </c>
      <c r="U3" s="105">
        <v>39783</v>
      </c>
      <c r="V3" s="105">
        <v>39814</v>
      </c>
    </row>
    <row r="4" spans="1:21" ht="14.25">
      <c r="A4" s="50" t="s">
        <v>74</v>
      </c>
      <c r="C4" s="135">
        <f>+'Avg Assets 08'!D17</f>
        <v>17890673.17683333</v>
      </c>
      <c r="D4" s="103"/>
      <c r="E4" s="107">
        <f>U4</f>
        <v>17890673.17683333</v>
      </c>
      <c r="F4" s="107">
        <f>L4</f>
        <v>13179354.801291667</v>
      </c>
      <c r="G4" s="107">
        <f>O4</f>
        <v>14998016.062916668</v>
      </c>
      <c r="H4" s="107">
        <f>R4</f>
        <v>16540281.569083333</v>
      </c>
      <c r="I4" s="107">
        <f>U4</f>
        <v>17890673.17683333</v>
      </c>
      <c r="J4" s="107">
        <f>'Avg Assets 08'!L17</f>
        <v>12399952.452902777</v>
      </c>
      <c r="K4" s="107">
        <f>'Avg Assets 08'!M17</f>
        <v>12861180.033388888</v>
      </c>
      <c r="L4" s="107">
        <f>'Avg Assets 08'!N17</f>
        <v>13179354.801291667</v>
      </c>
      <c r="M4" s="107">
        <f>'Avg Assets 08'!O17</f>
        <v>13903164.532833334</v>
      </c>
      <c r="N4" s="107">
        <f>'Avg Assets 08'!P17</f>
        <v>14420765.083097223</v>
      </c>
      <c r="O4" s="107">
        <f>'Avg Assets 08'!Q17</f>
        <v>14998016.062916668</v>
      </c>
      <c r="P4" s="107">
        <f>'Avg Assets 08'!R17</f>
        <v>15556088.899708334</v>
      </c>
      <c r="Q4" s="107">
        <f>'Avg Assets 08'!S17</f>
        <v>15914795.027666666</v>
      </c>
      <c r="R4" s="107">
        <f>'Avg Assets 08'!T17</f>
        <v>16540281.569083333</v>
      </c>
      <c r="S4" s="107">
        <f>'Avg Assets 08'!U17</f>
        <v>17063594.844833333</v>
      </c>
      <c r="T4" s="107">
        <f>'Avg Assets 08'!V17</f>
        <v>17489271.250916667</v>
      </c>
      <c r="U4" s="107">
        <f>'Avg Assets 08'!W17</f>
        <v>17890673.17683333</v>
      </c>
    </row>
    <row r="5" spans="1:21" ht="14.25">
      <c r="A5" s="50" t="s">
        <v>95</v>
      </c>
      <c r="C5" s="135">
        <f>'Avg Assets 08'!D33</f>
        <v>8200.8</v>
      </c>
      <c r="D5" s="103"/>
      <c r="E5" s="107">
        <f>U5</f>
        <v>8200.8</v>
      </c>
      <c r="F5" s="107">
        <f>L5</f>
        <v>8542.5</v>
      </c>
      <c r="G5" s="107">
        <f>O5</f>
        <v>8428.599999999999</v>
      </c>
      <c r="H5" s="107">
        <f>R5</f>
        <v>8314.7</v>
      </c>
      <c r="I5" s="107">
        <f>U5</f>
        <v>8200.8</v>
      </c>
      <c r="J5" s="107">
        <f>'Avg Assets 08'!L33</f>
        <v>8618.433333333334</v>
      </c>
      <c r="K5" s="107">
        <f>'Avg Assets 08'!M33</f>
        <v>8580.466666666667</v>
      </c>
      <c r="L5" s="107">
        <f>'Avg Assets 08'!N33</f>
        <v>8542.5</v>
      </c>
      <c r="M5" s="107">
        <f>'Avg Assets 08'!O33</f>
        <v>8504.533333333333</v>
      </c>
      <c r="N5" s="107">
        <f>'Avg Assets 08'!P33</f>
        <v>8466.566666666666</v>
      </c>
      <c r="O5" s="107">
        <f>'Avg Assets 08'!Q33</f>
        <v>8428.599999999999</v>
      </c>
      <c r="P5" s="107">
        <f>'Avg Assets 08'!R33</f>
        <v>8390.633333333333</v>
      </c>
      <c r="Q5" s="107">
        <f>'Avg Assets 08'!S33</f>
        <v>8352.666666666666</v>
      </c>
      <c r="R5" s="107">
        <f>'Avg Assets 08'!T33</f>
        <v>8314.7</v>
      </c>
      <c r="S5" s="107">
        <f>'Avg Assets 08'!U33</f>
        <v>8276.733333333334</v>
      </c>
      <c r="T5" s="107">
        <f>'Avg Assets 08'!V33</f>
        <v>8238.766666666666</v>
      </c>
      <c r="U5" s="107">
        <f>'Avg Assets 08'!W33</f>
        <v>8200.8</v>
      </c>
    </row>
    <row r="6" spans="1:21" ht="14.25">
      <c r="A6" s="50" t="s">
        <v>75</v>
      </c>
      <c r="C6" s="135">
        <f>+'Avg Assets 08'!D49</f>
        <v>44816.769499999995</v>
      </c>
      <c r="D6" s="103"/>
      <c r="E6" s="107">
        <f>U6</f>
        <v>44816.7695</v>
      </c>
      <c r="F6" s="107">
        <f>L6</f>
        <v>47335.530125000005</v>
      </c>
      <c r="G6" s="107">
        <f>O6</f>
        <v>45985.56525</v>
      </c>
      <c r="H6" s="107">
        <f>R6</f>
        <v>44635.600375</v>
      </c>
      <c r="I6" s="107">
        <f>U6</f>
        <v>44816.7695</v>
      </c>
      <c r="J6" s="107">
        <f>'Avg Assets 08'!L49</f>
        <v>51781.13154166666</v>
      </c>
      <c r="K6" s="107">
        <f>'Avg Assets 08'!M49</f>
        <v>47508.00208333333</v>
      </c>
      <c r="L6" s="107">
        <f>'Avg Assets 08'!N49</f>
        <v>47335.530125000005</v>
      </c>
      <c r="M6" s="107">
        <f>'Avg Assets 08'!O49</f>
        <v>46885.54183333334</v>
      </c>
      <c r="N6" s="107">
        <f>'Avg Assets 08'!P49</f>
        <v>46435.55354166667</v>
      </c>
      <c r="O6" s="107">
        <f>'Avg Assets 08'!Q49</f>
        <v>45985.56525</v>
      </c>
      <c r="P6" s="107">
        <f>'Avg Assets 08'!R49</f>
        <v>45535.57695833333</v>
      </c>
      <c r="Q6" s="107">
        <f>'Avg Assets 08'!S49</f>
        <v>45085.58866666667</v>
      </c>
      <c r="R6" s="107">
        <f>'Avg Assets 08'!T49</f>
        <v>44635.600375</v>
      </c>
      <c r="S6" s="107">
        <f>'Avg Assets 08'!U49</f>
        <v>44185.61208333334</v>
      </c>
      <c r="T6" s="107">
        <f>'Avg Assets 08'!V49</f>
        <v>43735.62379166667</v>
      </c>
      <c r="U6" s="107">
        <f>'Avg Assets 08'!W49</f>
        <v>44816.7695</v>
      </c>
    </row>
    <row r="7" spans="1:21" ht="14.25">
      <c r="A7" s="50" t="s">
        <v>76</v>
      </c>
      <c r="C7" s="135">
        <f>+'Avg Assets 08'!D65</f>
        <v>471544.19099999993</v>
      </c>
      <c r="D7" s="103"/>
      <c r="E7" s="107">
        <f>U7</f>
        <v>471544.19099999993</v>
      </c>
      <c r="F7" s="107">
        <f>L7</f>
        <v>214445.93325000006</v>
      </c>
      <c r="G7" s="107">
        <f>O7</f>
        <v>326478.20999999996</v>
      </c>
      <c r="H7" s="107">
        <f>R7</f>
        <v>399828.28312499996</v>
      </c>
      <c r="I7" s="107">
        <f>U7</f>
        <v>471544.19099999993</v>
      </c>
      <c r="J7" s="107">
        <f>'Avg Assets 08'!L65</f>
        <v>118833.31816666668</v>
      </c>
      <c r="K7" s="107">
        <f>'Avg Assets 08'!M65</f>
        <v>194393.42458333337</v>
      </c>
      <c r="L7" s="107">
        <f>'Avg Assets 08'!N65</f>
        <v>214445.93325000006</v>
      </c>
      <c r="M7" s="107">
        <f>'Avg Assets 08'!O65</f>
        <v>269960.82683333335</v>
      </c>
      <c r="N7" s="107">
        <f>'Avg Assets 08'!P65</f>
        <v>294396.7479166667</v>
      </c>
      <c r="O7" s="107">
        <f>'Avg Assets 08'!Q65</f>
        <v>326478.20999999996</v>
      </c>
      <c r="P7" s="107">
        <f>'Avg Assets 08'!R65</f>
        <v>401461.5367916666</v>
      </c>
      <c r="Q7" s="107">
        <f>'Avg Assets 08'!S65</f>
        <v>401340.35066666664</v>
      </c>
      <c r="R7" s="107">
        <f>'Avg Assets 08'!T65</f>
        <v>399828.28312499996</v>
      </c>
      <c r="S7" s="107">
        <f>'Avg Assets 08'!U65</f>
        <v>409869.46041666664</v>
      </c>
      <c r="T7" s="107">
        <f>'Avg Assets 08'!V65</f>
        <v>432832.6082916666</v>
      </c>
      <c r="U7" s="107">
        <f>'Avg Assets 08'!W65</f>
        <v>471544.19099999993</v>
      </c>
    </row>
    <row r="8" spans="1:21" ht="14.25">
      <c r="A8" s="50" t="s">
        <v>7</v>
      </c>
      <c r="C8" s="136">
        <f>SUM(C4:C7)</f>
        <v>18415234.93733333</v>
      </c>
      <c r="D8" s="103"/>
      <c r="E8" s="109">
        <f aca="true" t="shared" si="0" ref="E8:J8">SUM(E4:E7)</f>
        <v>18415234.93733333</v>
      </c>
      <c r="F8" s="109">
        <f t="shared" si="0"/>
        <v>13449678.764666667</v>
      </c>
      <c r="G8" s="109">
        <f t="shared" si="0"/>
        <v>15378908.438166667</v>
      </c>
      <c r="H8" s="109">
        <f t="shared" si="0"/>
        <v>16993060.15258333</v>
      </c>
      <c r="I8" s="109">
        <f t="shared" si="0"/>
        <v>18415234.93733333</v>
      </c>
      <c r="J8" s="109">
        <f t="shared" si="0"/>
        <v>12579185.335944446</v>
      </c>
      <c r="K8" s="109">
        <f aca="true" t="shared" si="1" ref="K8:U8">SUM(K4:K7)</f>
        <v>13111661.926722221</v>
      </c>
      <c r="L8" s="109">
        <f t="shared" si="1"/>
        <v>13449678.764666667</v>
      </c>
      <c r="M8" s="109">
        <f t="shared" si="1"/>
        <v>14228515.434833335</v>
      </c>
      <c r="N8" s="109">
        <f t="shared" si="1"/>
        <v>14770063.951222222</v>
      </c>
      <c r="O8" s="109">
        <f t="shared" si="1"/>
        <v>15378908.438166667</v>
      </c>
      <c r="P8" s="109">
        <f t="shared" si="1"/>
        <v>16011476.646791669</v>
      </c>
      <c r="Q8" s="109">
        <f t="shared" si="1"/>
        <v>16369573.633666664</v>
      </c>
      <c r="R8" s="109">
        <f t="shared" si="1"/>
        <v>16993060.15258333</v>
      </c>
      <c r="S8" s="109">
        <f t="shared" si="1"/>
        <v>17525926.65066667</v>
      </c>
      <c r="T8" s="109">
        <f t="shared" si="1"/>
        <v>17974078.249666665</v>
      </c>
      <c r="U8" s="109">
        <f t="shared" si="1"/>
        <v>18415234.93733333</v>
      </c>
    </row>
    <row r="9" spans="3:22" ht="14.25">
      <c r="C9" s="137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15">
      <c r="A10" s="102" t="s">
        <v>13</v>
      </c>
      <c r="C10" s="135"/>
      <c r="E10" s="110"/>
      <c r="F10" s="110"/>
      <c r="G10" s="110"/>
      <c r="H10" s="110"/>
      <c r="I10" s="110"/>
      <c r="U10" s="107"/>
      <c r="V10" s="103"/>
    </row>
    <row r="11" spans="1:23" ht="14.25">
      <c r="A11" s="111">
        <v>200760</v>
      </c>
      <c r="C11" s="135"/>
      <c r="E11" s="107">
        <f>SUM(J11:U11)</f>
        <v>682890.73</v>
      </c>
      <c r="F11" s="107">
        <f>SUM(J11:L11)</f>
        <v>130897.31999999999</v>
      </c>
      <c r="G11" s="107">
        <f>SUM(M11:O11)</f>
        <v>165112.58000000002</v>
      </c>
      <c r="H11" s="107">
        <f>SUM(P11:R11)</f>
        <v>187734.33000000002</v>
      </c>
      <c r="I11" s="107">
        <f>SUM(S11:U11)</f>
        <v>199146.5</v>
      </c>
      <c r="J11" s="107">
        <f>46369.62</f>
        <v>46369.62</v>
      </c>
      <c r="K11" s="107">
        <f>61612.69</f>
        <v>61612.69</v>
      </c>
      <c r="L11" s="107">
        <f>22915.01</f>
        <v>22915.01</v>
      </c>
      <c r="M11" s="107">
        <f>63284.74</f>
        <v>63284.74</v>
      </c>
      <c r="N11" s="107">
        <f>74891.71</f>
        <v>74891.71</v>
      </c>
      <c r="O11" s="107">
        <f>26936.13</f>
        <v>26936.13</v>
      </c>
      <c r="P11" s="107">
        <v>95423.99</v>
      </c>
      <c r="Q11" s="107">
        <v>22232.81</v>
      </c>
      <c r="R11" s="107">
        <v>70077.53</v>
      </c>
      <c r="S11" s="107">
        <v>106246.36</v>
      </c>
      <c r="T11" s="107">
        <v>-7442.68</v>
      </c>
      <c r="U11" s="107">
        <v>100342.82</v>
      </c>
      <c r="V11" s="103">
        <f>SUM(J11:U11)</f>
        <v>682890.73</v>
      </c>
      <c r="W11" s="107"/>
    </row>
    <row r="12" spans="1:22" ht="14.25">
      <c r="A12" s="111">
        <v>200770</v>
      </c>
      <c r="C12" s="135"/>
      <c r="E12" s="107">
        <f>SUM(J12:U12)</f>
        <v>32720.160000000003</v>
      </c>
      <c r="F12" s="107">
        <f>SUM(J12:L12)</f>
        <v>2589.48</v>
      </c>
      <c r="G12" s="107">
        <f>SUM(M12:O12)</f>
        <v>9019.2</v>
      </c>
      <c r="H12" s="107">
        <f>SUM(P12:R12)</f>
        <v>11706.48</v>
      </c>
      <c r="I12" s="107">
        <f>SUM(S12:U12)</f>
        <v>9405</v>
      </c>
      <c r="J12" s="107">
        <v>0</v>
      </c>
      <c r="K12" s="107">
        <v>366.36</v>
      </c>
      <c r="L12" s="107">
        <v>2223.12</v>
      </c>
      <c r="M12" s="107">
        <v>2870.28</v>
      </c>
      <c r="N12" s="107">
        <v>3560.64</v>
      </c>
      <c r="O12" s="107">
        <v>2588.28</v>
      </c>
      <c r="P12" s="107">
        <v>5718.36</v>
      </c>
      <c r="Q12" s="107">
        <v>2041.32</v>
      </c>
      <c r="R12" s="107">
        <v>3946.8</v>
      </c>
      <c r="S12" s="107">
        <v>3505.38</v>
      </c>
      <c r="T12" s="107">
        <v>3171.9</v>
      </c>
      <c r="U12" s="107">
        <v>2727.72</v>
      </c>
      <c r="V12" s="103">
        <f>SUM(J12:U12)</f>
        <v>32720.160000000003</v>
      </c>
    </row>
    <row r="13" spans="1:22" ht="14.25">
      <c r="A13" s="111" t="s">
        <v>18</v>
      </c>
      <c r="C13" s="135">
        <f>+Inputs!I33</f>
        <v>715610.8900000001</v>
      </c>
      <c r="E13" s="107">
        <f>SUM(J13:U13)</f>
        <v>715610.8900000001</v>
      </c>
      <c r="F13" s="107">
        <f aca="true" t="shared" si="2" ref="F13:F29">SUM(J13:L13)</f>
        <v>133486.80000000002</v>
      </c>
      <c r="G13" s="107">
        <f>SUM(M13:O13)</f>
        <v>174131.78</v>
      </c>
      <c r="H13" s="107">
        <f>SUM(P13:R13)</f>
        <v>199440.81</v>
      </c>
      <c r="I13" s="107">
        <f>SUM(S13:U13)</f>
        <v>208551.5</v>
      </c>
      <c r="J13" s="107">
        <f aca="true" t="shared" si="3" ref="J13:R13">SUM(J11:J12)</f>
        <v>46369.62</v>
      </c>
      <c r="K13" s="107">
        <f t="shared" si="3"/>
        <v>61979.05</v>
      </c>
      <c r="L13" s="107">
        <f t="shared" si="3"/>
        <v>25138.129999999997</v>
      </c>
      <c r="M13" s="107">
        <f t="shared" si="3"/>
        <v>66155.02</v>
      </c>
      <c r="N13" s="107">
        <f t="shared" si="3"/>
        <v>78452.35</v>
      </c>
      <c r="O13" s="107">
        <f t="shared" si="3"/>
        <v>29524.41</v>
      </c>
      <c r="P13" s="107">
        <f t="shared" si="3"/>
        <v>101142.35</v>
      </c>
      <c r="Q13" s="107">
        <f t="shared" si="3"/>
        <v>24274.13</v>
      </c>
      <c r="R13" s="107">
        <f t="shared" si="3"/>
        <v>74024.33</v>
      </c>
      <c r="S13" s="107">
        <f>SUM(S11:S12)</f>
        <v>109751.74</v>
      </c>
      <c r="T13" s="107">
        <f>SUM(T11:T12)</f>
        <v>-4270.780000000001</v>
      </c>
      <c r="U13" s="107">
        <f>SUM(U11:U12)</f>
        <v>103070.54000000001</v>
      </c>
      <c r="V13" s="103">
        <f>SUM(J13:U13)</f>
        <v>715610.8900000001</v>
      </c>
    </row>
    <row r="14" spans="3:22" ht="14.25">
      <c r="C14" s="135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3"/>
    </row>
    <row r="15" spans="1:21" ht="15">
      <c r="A15" s="102" t="s">
        <v>8</v>
      </c>
      <c r="C15" s="137"/>
      <c r="E15" s="107">
        <f>SUM(J15:U15)</f>
        <v>18415234.93733333</v>
      </c>
      <c r="F15" s="107">
        <f t="shared" si="2"/>
        <v>3362419.6911666673</v>
      </c>
      <c r="G15" s="107">
        <f>SUM(M15:O15)</f>
        <v>4327034.527916666</v>
      </c>
      <c r="H15" s="107">
        <f>SUM(P15:R15)</f>
        <v>5055340.895354165</v>
      </c>
      <c r="I15" s="107">
        <f>SUM(S15:U15)</f>
        <v>5670439.822895832</v>
      </c>
      <c r="J15" s="107">
        <f>J8/12</f>
        <v>1048265.4446620372</v>
      </c>
      <c r="K15" s="107">
        <f>K8/12*2-J15</f>
        <v>1137011.5431249994</v>
      </c>
      <c r="L15" s="107">
        <f>L8/12*3-SUM($J$15:K15)</f>
        <v>1177142.7033796306</v>
      </c>
      <c r="M15" s="107">
        <f>M8/12*4-SUM($J$15:L15)</f>
        <v>1380418.787111111</v>
      </c>
      <c r="N15" s="107">
        <f>N8/12*5-SUM($J$15:M15)</f>
        <v>1411354.834731481</v>
      </c>
      <c r="O15" s="107">
        <f>O8/12*6-SUM($J$15:N15)</f>
        <v>1535260.906074074</v>
      </c>
      <c r="P15" s="107">
        <f>P8/12*7-SUM($J$15:O15)</f>
        <v>1650573.8248784728</v>
      </c>
      <c r="Q15" s="107">
        <f>Q8/12*8-SUM($J$15:P15)</f>
        <v>1573021.045149304</v>
      </c>
      <c r="R15" s="107">
        <f>R8/12*9-SUM($J$15:Q15)</f>
        <v>1831746.025326388</v>
      </c>
      <c r="S15" s="107">
        <f>S8/12*10-SUM($J$15:R15)</f>
        <v>1860143.761118058</v>
      </c>
      <c r="T15" s="107">
        <f>T8/12*11-SUM($J$15:S15)</f>
        <v>1871299.5199722182</v>
      </c>
      <c r="U15" s="107">
        <f>U8/12*12-SUM($J$15:T15)</f>
        <v>1938996.541805556</v>
      </c>
    </row>
    <row r="16" spans="1:21" ht="14.25">
      <c r="A16" s="50" t="s">
        <v>9</v>
      </c>
      <c r="C16" s="137">
        <f>C13</f>
        <v>715610.8900000001</v>
      </c>
      <c r="D16" s="103"/>
      <c r="E16" s="107">
        <f>SUM(J16:U16)</f>
        <v>715610.8900000001</v>
      </c>
      <c r="F16" s="107">
        <f t="shared" si="2"/>
        <v>133486.80000000002</v>
      </c>
      <c r="G16" s="107">
        <f>SUM(M16:O16)</f>
        <v>174131.78</v>
      </c>
      <c r="H16" s="107">
        <f>SUM(P16:R16)</f>
        <v>199440.81</v>
      </c>
      <c r="I16" s="107">
        <f>SUM(S16:U16)</f>
        <v>208551.5</v>
      </c>
      <c r="J16" s="107">
        <f>J13</f>
        <v>46369.62</v>
      </c>
      <c r="K16" s="107">
        <f aca="true" t="shared" si="4" ref="K16:U16">K13</f>
        <v>61979.05</v>
      </c>
      <c r="L16" s="107">
        <f t="shared" si="4"/>
        <v>25138.129999999997</v>
      </c>
      <c r="M16" s="107">
        <f t="shared" si="4"/>
        <v>66155.02</v>
      </c>
      <c r="N16" s="107">
        <f t="shared" si="4"/>
        <v>78452.35</v>
      </c>
      <c r="O16" s="107">
        <f t="shared" si="4"/>
        <v>29524.41</v>
      </c>
      <c r="P16" s="107">
        <f t="shared" si="4"/>
        <v>101142.35</v>
      </c>
      <c r="Q16" s="107">
        <f t="shared" si="4"/>
        <v>24274.13</v>
      </c>
      <c r="R16" s="107">
        <f t="shared" si="4"/>
        <v>74024.33</v>
      </c>
      <c r="S16" s="107">
        <f t="shared" si="4"/>
        <v>109751.74</v>
      </c>
      <c r="T16" s="107">
        <f t="shared" si="4"/>
        <v>-4270.780000000001</v>
      </c>
      <c r="U16" s="107">
        <f t="shared" si="4"/>
        <v>103070.54000000001</v>
      </c>
    </row>
    <row r="17" spans="1:21" ht="14.25">
      <c r="A17" s="50" t="s">
        <v>142</v>
      </c>
      <c r="B17" s="131">
        <v>0.125</v>
      </c>
      <c r="C17" s="137">
        <f>C16*$B$17</f>
        <v>89451.36125000002</v>
      </c>
      <c r="D17" s="103"/>
      <c r="E17" s="107">
        <f>SUM(J17:U17)</f>
        <v>89451.36125000002</v>
      </c>
      <c r="F17" s="107">
        <f t="shared" si="2"/>
        <v>16685.850000000002</v>
      </c>
      <c r="G17" s="107">
        <f>SUM(M17:O17)</f>
        <v>21766.4725</v>
      </c>
      <c r="H17" s="107">
        <f>SUM(P17:R17)</f>
        <v>24930.10125</v>
      </c>
      <c r="I17" s="107">
        <f>SUM(S17:U17)</f>
        <v>26068.9375</v>
      </c>
      <c r="J17" s="107">
        <f>J16*$B$17</f>
        <v>5796.2025</v>
      </c>
      <c r="K17" s="107">
        <f>K16*$B$17</f>
        <v>7747.38125</v>
      </c>
      <c r="L17" s="107">
        <f aca="true" t="shared" si="5" ref="L17:U17">L16*$B$17</f>
        <v>3142.2662499999997</v>
      </c>
      <c r="M17" s="107">
        <f t="shared" si="5"/>
        <v>8269.3775</v>
      </c>
      <c r="N17" s="107">
        <f t="shared" si="5"/>
        <v>9806.54375</v>
      </c>
      <c r="O17" s="107">
        <f t="shared" si="5"/>
        <v>3690.55125</v>
      </c>
      <c r="P17" s="107">
        <f t="shared" si="5"/>
        <v>12642.79375</v>
      </c>
      <c r="Q17" s="107">
        <f t="shared" si="5"/>
        <v>3034.26625</v>
      </c>
      <c r="R17" s="107">
        <f t="shared" si="5"/>
        <v>9253.04125</v>
      </c>
      <c r="S17" s="107">
        <f t="shared" si="5"/>
        <v>13718.9675</v>
      </c>
      <c r="T17" s="107">
        <f t="shared" si="5"/>
        <v>-533.8475000000001</v>
      </c>
      <c r="U17" s="107">
        <f t="shared" si="5"/>
        <v>12883.817500000001</v>
      </c>
    </row>
    <row r="18" spans="3:21" ht="14.25">
      <c r="C18" s="13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2" ht="15">
      <c r="A19" s="102" t="s">
        <v>11</v>
      </c>
      <c r="C19" s="136">
        <f>C8+C17</f>
        <v>18504686.29858333</v>
      </c>
      <c r="D19" s="103"/>
      <c r="E19" s="109">
        <f>SUM(J19:U19)</f>
        <v>18504686.29858333</v>
      </c>
      <c r="F19" s="109">
        <f t="shared" si="2"/>
        <v>3379105.541166667</v>
      </c>
      <c r="G19" s="109">
        <f>SUM(M19:O19)</f>
        <v>4348801.000416666</v>
      </c>
      <c r="H19" s="109">
        <f>SUM(P19:R19)</f>
        <v>5080270.996604165</v>
      </c>
      <c r="I19" s="109">
        <f>SUM(S19:U19)</f>
        <v>5696508.760395832</v>
      </c>
      <c r="J19" s="109">
        <f>J15+J17</f>
        <v>1054061.6471620372</v>
      </c>
      <c r="K19" s="109">
        <f aca="true" t="shared" si="6" ref="K19:U19">K15+K17</f>
        <v>1144758.9243749995</v>
      </c>
      <c r="L19" s="109">
        <f t="shared" si="6"/>
        <v>1180284.9696296307</v>
      </c>
      <c r="M19" s="109">
        <f t="shared" si="6"/>
        <v>1388688.164611111</v>
      </c>
      <c r="N19" s="109">
        <f t="shared" si="6"/>
        <v>1421161.378481481</v>
      </c>
      <c r="O19" s="109">
        <f t="shared" si="6"/>
        <v>1538951.457324074</v>
      </c>
      <c r="P19" s="109">
        <f t="shared" si="6"/>
        <v>1663216.6186284728</v>
      </c>
      <c r="Q19" s="109">
        <f t="shared" si="6"/>
        <v>1576055.311399304</v>
      </c>
      <c r="R19" s="109">
        <f t="shared" si="6"/>
        <v>1840999.066576388</v>
      </c>
      <c r="S19" s="109">
        <f t="shared" si="6"/>
        <v>1873862.7286180581</v>
      </c>
      <c r="T19" s="109">
        <f t="shared" si="6"/>
        <v>1870765.6724722183</v>
      </c>
      <c r="U19" s="109">
        <f t="shared" si="6"/>
        <v>1951880.359305556</v>
      </c>
      <c r="V19" s="103"/>
    </row>
    <row r="20" spans="3:22" ht="14.25">
      <c r="C20" s="13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5">
      <c r="A21" s="102" t="s">
        <v>12</v>
      </c>
      <c r="C21" s="13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3"/>
    </row>
    <row r="22" spans="1:21" ht="14.25">
      <c r="A22" s="50" t="s">
        <v>150</v>
      </c>
      <c r="B22" s="112">
        <f>Inputs!C6</f>
        <v>0.04</v>
      </c>
      <c r="C22" s="137">
        <f>C19*B22</f>
        <v>740187.4519433331</v>
      </c>
      <c r="E22" s="107">
        <f>SUM(J22:U22)</f>
        <v>740187.4519433331</v>
      </c>
      <c r="F22" s="107">
        <f t="shared" si="2"/>
        <v>135164.2216466667</v>
      </c>
      <c r="G22" s="107">
        <f>SUM(M22:O22)</f>
        <v>173952.04001666664</v>
      </c>
      <c r="H22" s="107">
        <f>SUM(P22:R22)</f>
        <v>203210.8398641666</v>
      </c>
      <c r="I22" s="107">
        <f>SUM(S22:U22)</f>
        <v>227860.3504158333</v>
      </c>
      <c r="J22" s="107">
        <f aca="true" t="shared" si="7" ref="J22:T22">J19*$B$22</f>
        <v>42162.46588648149</v>
      </c>
      <c r="K22" s="107">
        <f t="shared" si="7"/>
        <v>45790.35697499998</v>
      </c>
      <c r="L22" s="107">
        <f t="shared" si="7"/>
        <v>47211.39878518523</v>
      </c>
      <c r="M22" s="107">
        <f t="shared" si="7"/>
        <v>55547.52658444444</v>
      </c>
      <c r="N22" s="107">
        <f t="shared" si="7"/>
        <v>56846.45513925924</v>
      </c>
      <c r="O22" s="107">
        <f t="shared" si="7"/>
        <v>61558.05829296297</v>
      </c>
      <c r="P22" s="107">
        <f t="shared" si="7"/>
        <v>66528.66474513891</v>
      </c>
      <c r="Q22" s="107">
        <f t="shared" si="7"/>
        <v>63042.21245597216</v>
      </c>
      <c r="R22" s="107">
        <f t="shared" si="7"/>
        <v>73639.96266305551</v>
      </c>
      <c r="S22" s="107">
        <f t="shared" si="7"/>
        <v>74954.50914472232</v>
      </c>
      <c r="T22" s="107">
        <f t="shared" si="7"/>
        <v>74830.62689888873</v>
      </c>
      <c r="U22" s="107">
        <f>U19*$B$22</f>
        <v>78075.21437222224</v>
      </c>
    </row>
    <row r="23" spans="1:21" ht="14.25">
      <c r="A23" s="50" t="s">
        <v>151</v>
      </c>
      <c r="B23" s="112">
        <f>Inputs!C7</f>
        <v>0.56</v>
      </c>
      <c r="C23" s="137">
        <f>C19*B23</f>
        <v>10362624.327206666</v>
      </c>
      <c r="E23" s="107">
        <f>SUM(J23:U23)</f>
        <v>10362624.327206668</v>
      </c>
      <c r="F23" s="107">
        <f>SUM(J23:L23)</f>
        <v>1892299.103053334</v>
      </c>
      <c r="G23" s="107">
        <f>SUM(M23:O23)</f>
        <v>2435328.560233333</v>
      </c>
      <c r="H23" s="107">
        <f>SUM(P23:R23)</f>
        <v>2844951.7580983327</v>
      </c>
      <c r="I23" s="107">
        <f>SUM(S23:U23)</f>
        <v>3190044.9058216666</v>
      </c>
      <c r="J23" s="107">
        <f>J19*$B$23</f>
        <v>590274.5224107408</v>
      </c>
      <c r="K23" s="107">
        <f aca="true" t="shared" si="8" ref="K23:U23">K19*$B$23</f>
        <v>641064.9976499998</v>
      </c>
      <c r="L23" s="107">
        <f t="shared" si="8"/>
        <v>660959.5829925933</v>
      </c>
      <c r="M23" s="107">
        <f t="shared" si="8"/>
        <v>777665.3721822222</v>
      </c>
      <c r="N23" s="107">
        <f t="shared" si="8"/>
        <v>795850.3719496294</v>
      </c>
      <c r="O23" s="107">
        <f t="shared" si="8"/>
        <v>861812.8161014816</v>
      </c>
      <c r="P23" s="107">
        <f t="shared" si="8"/>
        <v>931401.3064319448</v>
      </c>
      <c r="Q23" s="107">
        <f t="shared" si="8"/>
        <v>882590.9743836104</v>
      </c>
      <c r="R23" s="107">
        <f t="shared" si="8"/>
        <v>1030959.4772827773</v>
      </c>
      <c r="S23" s="107">
        <f t="shared" si="8"/>
        <v>1049363.1280261127</v>
      </c>
      <c r="T23" s="107">
        <f t="shared" si="8"/>
        <v>1047628.7765844424</v>
      </c>
      <c r="U23" s="107">
        <f t="shared" si="8"/>
        <v>1093053.0012111114</v>
      </c>
    </row>
    <row r="24" spans="1:21" ht="14.25">
      <c r="A24" s="50" t="s">
        <v>78</v>
      </c>
      <c r="B24" s="112">
        <f>+Inputs!B8</f>
        <v>0.4</v>
      </c>
      <c r="C24" s="137">
        <f>C19*B24</f>
        <v>7401874.519433332</v>
      </c>
      <c r="E24" s="107">
        <f>SUM(J24:U24)</f>
        <v>7401874.519433332</v>
      </c>
      <c r="F24" s="107">
        <f t="shared" si="2"/>
        <v>1351642.2164666671</v>
      </c>
      <c r="G24" s="107">
        <f>SUM(M24:O24)</f>
        <v>1739520.4001666666</v>
      </c>
      <c r="H24" s="107">
        <f>SUM(P24:R24)</f>
        <v>2032108.398641666</v>
      </c>
      <c r="I24" s="107">
        <f>SUM(S24:U24)</f>
        <v>2278603.504158333</v>
      </c>
      <c r="J24" s="107">
        <f aca="true" t="shared" si="9" ref="J24:T24">J19*$B$24</f>
        <v>421624.6588648149</v>
      </c>
      <c r="K24" s="107">
        <f t="shared" si="9"/>
        <v>457903.5697499998</v>
      </c>
      <c r="L24" s="107">
        <f t="shared" si="9"/>
        <v>472113.9878518523</v>
      </c>
      <c r="M24" s="107">
        <f t="shared" si="9"/>
        <v>555475.2658444444</v>
      </c>
      <c r="N24" s="107">
        <f t="shared" si="9"/>
        <v>568464.5513925924</v>
      </c>
      <c r="O24" s="107">
        <f t="shared" si="9"/>
        <v>615580.5829296297</v>
      </c>
      <c r="P24" s="107">
        <f t="shared" si="9"/>
        <v>665286.6474513891</v>
      </c>
      <c r="Q24" s="107">
        <f t="shared" si="9"/>
        <v>630422.1245597217</v>
      </c>
      <c r="R24" s="107">
        <f t="shared" si="9"/>
        <v>736399.6266305553</v>
      </c>
      <c r="S24" s="107">
        <f t="shared" si="9"/>
        <v>749545.0914472233</v>
      </c>
      <c r="T24" s="107">
        <f t="shared" si="9"/>
        <v>748306.2689888873</v>
      </c>
      <c r="U24" s="107">
        <f>U19*$B$24</f>
        <v>780752.1437222224</v>
      </c>
    </row>
    <row r="25" spans="2:21" ht="14.25">
      <c r="B25" s="113"/>
      <c r="C25" s="136">
        <f>SUM(C22:C24)</f>
        <v>18504686.29858333</v>
      </c>
      <c r="E25" s="109">
        <f>SUM(J25:U25)</f>
        <v>18504686.29858333</v>
      </c>
      <c r="F25" s="109">
        <f t="shared" si="2"/>
        <v>3379105.5411666674</v>
      </c>
      <c r="G25" s="109">
        <f>SUM(M25:O25)</f>
        <v>4348801.000416666</v>
      </c>
      <c r="H25" s="109">
        <f>SUM(P25:R25)</f>
        <v>5080270.996604165</v>
      </c>
      <c r="I25" s="109">
        <f>SUM(S25:U25)</f>
        <v>5696508.760395833</v>
      </c>
      <c r="J25" s="109">
        <f aca="true" t="shared" si="10" ref="J25:U25">SUM(J22:J24)</f>
        <v>1054061.6471620372</v>
      </c>
      <c r="K25" s="109">
        <f t="shared" si="10"/>
        <v>1144758.9243749995</v>
      </c>
      <c r="L25" s="109">
        <f t="shared" si="10"/>
        <v>1180284.969629631</v>
      </c>
      <c r="M25" s="109">
        <f t="shared" si="10"/>
        <v>1388688.164611111</v>
      </c>
      <c r="N25" s="109">
        <f t="shared" si="10"/>
        <v>1421161.378481481</v>
      </c>
      <c r="O25" s="109">
        <f t="shared" si="10"/>
        <v>1538951.457324074</v>
      </c>
      <c r="P25" s="109">
        <f t="shared" si="10"/>
        <v>1663216.618628473</v>
      </c>
      <c r="Q25" s="109">
        <f t="shared" si="10"/>
        <v>1576055.3113993043</v>
      </c>
      <c r="R25" s="109">
        <f t="shared" si="10"/>
        <v>1840999.0665763882</v>
      </c>
      <c r="S25" s="109">
        <f t="shared" si="10"/>
        <v>1873862.7286180584</v>
      </c>
      <c r="T25" s="109">
        <f t="shared" si="10"/>
        <v>1870765.6724722185</v>
      </c>
      <c r="U25" s="109">
        <f t="shared" si="10"/>
        <v>1951880.3593055562</v>
      </c>
    </row>
    <row r="26" spans="2:21" ht="14.25">
      <c r="B26" s="113"/>
      <c r="C26" s="13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4.25">
      <c r="A27" s="50" t="s">
        <v>152</v>
      </c>
      <c r="B27" s="114">
        <f>Inputs!C10</f>
        <v>0.0447</v>
      </c>
      <c r="C27" s="137">
        <f>C22*B27</f>
        <v>33086.37910186699</v>
      </c>
      <c r="E27" s="107">
        <f>SUM(J27:U27)</f>
        <v>33086.379101866994</v>
      </c>
      <c r="F27" s="107">
        <f t="shared" si="2"/>
        <v>6041.840707606001</v>
      </c>
      <c r="G27" s="107">
        <f>SUM(M27:O27)</f>
        <v>7775.656188744999</v>
      </c>
      <c r="H27" s="107">
        <f>SUM(P27:R27)</f>
        <v>9083.524541928247</v>
      </c>
      <c r="I27" s="107">
        <f>SUM(S27:U27)</f>
        <v>10185.357663587747</v>
      </c>
      <c r="J27" s="107">
        <f>J22*$B$27</f>
        <v>1884.6622251257224</v>
      </c>
      <c r="K27" s="107">
        <f aca="true" t="shared" si="11" ref="K27:T27">K22*$B$27</f>
        <v>2046.828956782499</v>
      </c>
      <c r="L27" s="107">
        <f t="shared" si="11"/>
        <v>2110.3495256977794</v>
      </c>
      <c r="M27" s="107">
        <f t="shared" si="11"/>
        <v>2482.974438324666</v>
      </c>
      <c r="N27" s="107">
        <f t="shared" si="11"/>
        <v>2541.036544724888</v>
      </c>
      <c r="O27" s="107">
        <f t="shared" si="11"/>
        <v>2751.6452056954445</v>
      </c>
      <c r="P27" s="107">
        <f t="shared" si="11"/>
        <v>2973.831314107709</v>
      </c>
      <c r="Q27" s="107">
        <f t="shared" si="11"/>
        <v>2817.9868967819557</v>
      </c>
      <c r="R27" s="107">
        <f t="shared" si="11"/>
        <v>3291.706331038581</v>
      </c>
      <c r="S27" s="107">
        <f t="shared" si="11"/>
        <v>3350.4665587690874</v>
      </c>
      <c r="T27" s="107">
        <f t="shared" si="11"/>
        <v>3344.929022380326</v>
      </c>
      <c r="U27" s="107">
        <f>U22*$B$27</f>
        <v>3489.9620824383337</v>
      </c>
    </row>
    <row r="28" spans="1:21" ht="14.25">
      <c r="A28" s="50" t="s">
        <v>153</v>
      </c>
      <c r="B28" s="114">
        <f>Inputs!C11</f>
        <v>0.0526</v>
      </c>
      <c r="C28" s="137">
        <f>C23*B28</f>
        <v>545074.0396110706</v>
      </c>
      <c r="E28" s="107">
        <f>SUM(J28:U28)</f>
        <v>545074.0396110706</v>
      </c>
      <c r="F28" s="107">
        <f>SUM(J28:L28)</f>
        <v>99534.93282060538</v>
      </c>
      <c r="G28" s="107">
        <f>SUM(M28:O28)</f>
        <v>128098.28226827332</v>
      </c>
      <c r="H28" s="107">
        <f>SUM(P28:R28)</f>
        <v>149644.4624759723</v>
      </c>
      <c r="I28" s="107">
        <f>SUM(S28:U28)</f>
        <v>167796.36204621964</v>
      </c>
      <c r="J28" s="107">
        <f>J23*$B$28</f>
        <v>31048.43987880497</v>
      </c>
      <c r="K28" s="107">
        <f aca="true" t="shared" si="12" ref="K28:U28">K23*$B$28</f>
        <v>33720.01887638999</v>
      </c>
      <c r="L28" s="107">
        <f t="shared" si="12"/>
        <v>34766.47406541041</v>
      </c>
      <c r="M28" s="107">
        <f t="shared" si="12"/>
        <v>40905.19857678489</v>
      </c>
      <c r="N28" s="107">
        <f t="shared" si="12"/>
        <v>41861.72956455051</v>
      </c>
      <c r="O28" s="107">
        <f t="shared" si="12"/>
        <v>45331.35412693793</v>
      </c>
      <c r="P28" s="107">
        <f t="shared" si="12"/>
        <v>48991.7087183203</v>
      </c>
      <c r="Q28" s="107">
        <f t="shared" si="12"/>
        <v>46424.28525257791</v>
      </c>
      <c r="R28" s="107">
        <f t="shared" si="12"/>
        <v>54228.46850507409</v>
      </c>
      <c r="S28" s="107">
        <f t="shared" si="12"/>
        <v>55196.50053417353</v>
      </c>
      <c r="T28" s="107">
        <f t="shared" si="12"/>
        <v>55105.27364834167</v>
      </c>
      <c r="U28" s="107">
        <f t="shared" si="12"/>
        <v>57494.58786370446</v>
      </c>
    </row>
    <row r="29" spans="1:21" ht="14.25">
      <c r="A29" s="50" t="s">
        <v>71</v>
      </c>
      <c r="B29" s="112">
        <f>Inputs!C12</f>
        <v>0.0857</v>
      </c>
      <c r="C29" s="137">
        <f>C24*B29</f>
        <v>634340.6463154365</v>
      </c>
      <c r="E29" s="107">
        <f>SUM(J29:U29)</f>
        <v>634340.6463154366</v>
      </c>
      <c r="F29" s="107">
        <f t="shared" si="2"/>
        <v>115835.73795119337</v>
      </c>
      <c r="G29" s="107">
        <f>SUM(M29:O29)</f>
        <v>149076.8982942833</v>
      </c>
      <c r="H29" s="107">
        <f>SUM(P29:R29)</f>
        <v>174151.68976359078</v>
      </c>
      <c r="I29" s="107">
        <f>SUM(S29:U29)</f>
        <v>195276.32030636916</v>
      </c>
      <c r="J29" s="107">
        <f aca="true" t="shared" si="13" ref="J29:T29">J24*$B$29</f>
        <v>36133.23326471464</v>
      </c>
      <c r="K29" s="107">
        <f t="shared" si="13"/>
        <v>39242.33592757498</v>
      </c>
      <c r="L29" s="107">
        <f t="shared" si="13"/>
        <v>40460.16875890375</v>
      </c>
      <c r="M29" s="107">
        <f t="shared" si="13"/>
        <v>47604.230282868884</v>
      </c>
      <c r="N29" s="107">
        <f t="shared" si="13"/>
        <v>48717.412054345165</v>
      </c>
      <c r="O29" s="107">
        <f t="shared" si="13"/>
        <v>52755.25595706927</v>
      </c>
      <c r="P29" s="107">
        <f t="shared" si="13"/>
        <v>57015.06568658404</v>
      </c>
      <c r="Q29" s="107">
        <f t="shared" si="13"/>
        <v>54027.17607476815</v>
      </c>
      <c r="R29" s="107">
        <f t="shared" si="13"/>
        <v>63109.44800223858</v>
      </c>
      <c r="S29" s="107">
        <f t="shared" si="13"/>
        <v>64236.01433702704</v>
      </c>
      <c r="T29" s="107">
        <f t="shared" si="13"/>
        <v>64129.847252347645</v>
      </c>
      <c r="U29" s="107">
        <f>U24*$B$29</f>
        <v>66910.45871699446</v>
      </c>
    </row>
    <row r="30" spans="1:21" ht="15">
      <c r="A30" s="102" t="s">
        <v>12</v>
      </c>
      <c r="C30" s="136">
        <f>SUM(C27:C29)</f>
        <v>1212501.065028374</v>
      </c>
      <c r="D30" s="103"/>
      <c r="E30" s="109">
        <f>SUM(J30:U30)</f>
        <v>1212501.0650283743</v>
      </c>
      <c r="F30" s="109">
        <f>SUM(J30:L30)</f>
        <v>221412.51147940475</v>
      </c>
      <c r="G30" s="109">
        <f>SUM(M30:O30)</f>
        <v>284950.83675130166</v>
      </c>
      <c r="H30" s="109">
        <f>SUM(P30:R30)</f>
        <v>332879.6767814913</v>
      </c>
      <c r="I30" s="109">
        <f>SUM(S30:U30)</f>
        <v>373258.0400161765</v>
      </c>
      <c r="J30" s="109">
        <f aca="true" t="shared" si="14" ref="J30:U30">SUM(J27:J29)</f>
        <v>69066.33536864533</v>
      </c>
      <c r="K30" s="109">
        <f t="shared" si="14"/>
        <v>75009.18376074747</v>
      </c>
      <c r="L30" s="109">
        <f t="shared" si="14"/>
        <v>77336.99235001193</v>
      </c>
      <c r="M30" s="109">
        <f t="shared" si="14"/>
        <v>90992.40329797844</v>
      </c>
      <c r="N30" s="109">
        <f t="shared" si="14"/>
        <v>93120.17816362056</v>
      </c>
      <c r="O30" s="109">
        <f t="shared" si="14"/>
        <v>100838.25528970265</v>
      </c>
      <c r="P30" s="109">
        <f t="shared" si="14"/>
        <v>108980.60571901205</v>
      </c>
      <c r="Q30" s="109">
        <f t="shared" si="14"/>
        <v>103269.44822412802</v>
      </c>
      <c r="R30" s="109">
        <f t="shared" si="14"/>
        <v>120629.62283835125</v>
      </c>
      <c r="S30" s="109">
        <f t="shared" si="14"/>
        <v>122782.98142996966</v>
      </c>
      <c r="T30" s="109">
        <f t="shared" si="14"/>
        <v>122580.04992306963</v>
      </c>
      <c r="U30" s="109">
        <f t="shared" si="14"/>
        <v>127895.00866313724</v>
      </c>
    </row>
    <row r="31" spans="1:21" ht="15">
      <c r="A31" s="102"/>
      <c r="C31" s="135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5">
      <c r="A32" s="102" t="s">
        <v>14</v>
      </c>
      <c r="C32" s="135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4.25">
      <c r="A33" s="111" t="s">
        <v>186</v>
      </c>
      <c r="C33" s="137">
        <f>+SUM('Avg Assets 08'!D11:D12)</f>
        <v>1261570.841</v>
      </c>
      <c r="D33" s="110"/>
      <c r="E33" s="107">
        <f>SUM(J33:U33)</f>
        <v>1261570.8409999998</v>
      </c>
      <c r="F33" s="107">
        <f aca="true" t="shared" si="15" ref="F33:F57">SUM(J33:L33)</f>
        <v>228259.81208333332</v>
      </c>
      <c r="G33" s="107">
        <f>SUM(M33:O33)</f>
        <v>293778.15675</v>
      </c>
      <c r="H33" s="107">
        <f>SUM(P33:R33)</f>
        <v>346802.3176666667</v>
      </c>
      <c r="I33" s="107">
        <f>SUM(S33:U33)</f>
        <v>392730.55449999997</v>
      </c>
      <c r="J33" s="107">
        <f>+'Avg Assets 08'!L11+'Avg Assets 08'!L12</f>
        <v>71320.64886111111</v>
      </c>
      <c r="K33" s="107">
        <f>+'Avg Assets 08'!M11+'Avg Assets 08'!M12</f>
        <v>76872.46902777778</v>
      </c>
      <c r="L33" s="107">
        <f>+'Avg Assets 08'!N11+'Avg Assets 08'!N12</f>
        <v>80066.69419444444</v>
      </c>
      <c r="M33" s="107">
        <f>+'Avg Assets 08'!O11+'Avg Assets 08'!O12</f>
        <v>93206.89691666668</v>
      </c>
      <c r="N33" s="107">
        <f>+'Avg Assets 08'!P11+'Avg Assets 08'!P12</f>
        <v>96078.89947222223</v>
      </c>
      <c r="O33" s="107">
        <f>+'Avg Assets 08'!Q11+'Avg Assets 08'!Q12</f>
        <v>104492.36036111112</v>
      </c>
      <c r="P33" s="107">
        <f>+'Avg Assets 08'!R11+'Avg Assets 08'!R12</f>
        <v>110864.86641666667</v>
      </c>
      <c r="Q33" s="107">
        <f>+'Avg Assets 08'!S11+'Avg Assets 08'!S12</f>
        <v>108774.39408333333</v>
      </c>
      <c r="R33" s="107">
        <f>+'Avg Assets 08'!T11+'Avg Assets 08'!T12</f>
        <v>127163.05716666667</v>
      </c>
      <c r="S33" s="107">
        <f>+'Avg Assets 08'!U11+'Avg Assets 08'!U12</f>
        <v>129199.6485</v>
      </c>
      <c r="T33" s="107">
        <f>+'Avg Assets 08'!V11+'Avg Assets 08'!V12</f>
        <v>129783.14783333334</v>
      </c>
      <c r="U33" s="107">
        <f>+'Avg Assets 08'!W11+'Avg Assets 08'!W12</f>
        <v>133747.75816666667</v>
      </c>
    </row>
    <row r="34" spans="1:21" ht="14.25">
      <c r="A34" s="111" t="s">
        <v>87</v>
      </c>
      <c r="C34" s="137">
        <f>+SUM('Avg Assets 08'!D27:D28)</f>
        <v>911.2</v>
      </c>
      <c r="D34" s="110"/>
      <c r="E34" s="107">
        <f>SUM(J34:U34)</f>
        <v>911.2000000000003</v>
      </c>
      <c r="F34" s="107">
        <f t="shared" si="15"/>
        <v>227.8</v>
      </c>
      <c r="G34" s="107">
        <f>SUM(M34:O34)</f>
        <v>227.8</v>
      </c>
      <c r="H34" s="107">
        <f>SUM(P34:R34)</f>
        <v>227.8</v>
      </c>
      <c r="I34" s="107">
        <f>SUM(S34:U34)</f>
        <v>227.8</v>
      </c>
      <c r="J34" s="107">
        <f>'Avg Assets 08'!L27+'Avg Assets 08'!L28</f>
        <v>75.93333333333334</v>
      </c>
      <c r="K34" s="107">
        <f>'Avg Assets 08'!M27+'Avg Assets 08'!M28</f>
        <v>75.93333333333334</v>
      </c>
      <c r="L34" s="107">
        <f>'Avg Assets 08'!N27+'Avg Assets 08'!N28</f>
        <v>75.93333333333334</v>
      </c>
      <c r="M34" s="107">
        <f>'Avg Assets 08'!O27+'Avg Assets 08'!O28</f>
        <v>75.93333333333334</v>
      </c>
      <c r="N34" s="107">
        <f>'Avg Assets 08'!P27+'Avg Assets 08'!P28</f>
        <v>75.93333333333334</v>
      </c>
      <c r="O34" s="107">
        <f>'Avg Assets 08'!Q27+'Avg Assets 08'!Q28</f>
        <v>75.93333333333334</v>
      </c>
      <c r="P34" s="107">
        <f>'Avg Assets 08'!R27+'Avg Assets 08'!R28</f>
        <v>75.93333333333334</v>
      </c>
      <c r="Q34" s="107">
        <f>'Avg Assets 08'!S27+'Avg Assets 08'!S28</f>
        <v>75.93333333333334</v>
      </c>
      <c r="R34" s="107">
        <f>'Avg Assets 08'!T27+'Avg Assets 08'!T28</f>
        <v>75.93333333333334</v>
      </c>
      <c r="S34" s="107">
        <f>'Avg Assets 08'!U27+'Avg Assets 08'!U28</f>
        <v>75.93333333333334</v>
      </c>
      <c r="T34" s="107">
        <f>'Avg Assets 08'!V27+'Avg Assets 08'!V28</f>
        <v>75.93333333333334</v>
      </c>
      <c r="U34" s="107">
        <f>'Avg Assets 08'!W27+'Avg Assets 08'!W28</f>
        <v>75.93333333333334</v>
      </c>
    </row>
    <row r="35" spans="1:21" ht="14.25">
      <c r="A35" s="111" t="s">
        <v>73</v>
      </c>
      <c r="C35" s="137">
        <f>+SUM('Avg Assets 08'!D43:D44)</f>
        <v>11139.971000000001</v>
      </c>
      <c r="D35" s="110"/>
      <c r="E35" s="107">
        <f>SUM(J35:U35)</f>
        <v>11139.971</v>
      </c>
      <c r="F35" s="107">
        <f t="shared" si="15"/>
        <v>2699.9297500000002</v>
      </c>
      <c r="G35" s="107">
        <f>SUM(M35:O35)</f>
        <v>2699.9297500000002</v>
      </c>
      <c r="H35" s="107">
        <f>SUM(P35:R35)</f>
        <v>2699.9297500000002</v>
      </c>
      <c r="I35" s="107">
        <f>SUM(S35:U35)</f>
        <v>3040.1817500000006</v>
      </c>
      <c r="J35" s="107">
        <f>+'Avg Assets 08'!L43+'Avg Assets 08'!L44</f>
        <v>959.5669166666668</v>
      </c>
      <c r="K35" s="107">
        <f>+'Avg Assets 08'!M43+'Avg Assets 08'!M44</f>
        <v>830.9789166666668</v>
      </c>
      <c r="L35" s="107">
        <f>+'Avg Assets 08'!N43+'Avg Assets 08'!N44</f>
        <v>909.3839166666668</v>
      </c>
      <c r="M35" s="107">
        <f>+'Avg Assets 08'!O43+'Avg Assets 08'!O44</f>
        <v>899.9765833333335</v>
      </c>
      <c r="N35" s="107">
        <f>+'Avg Assets 08'!P43+'Avg Assets 08'!P44</f>
        <v>899.9765833333335</v>
      </c>
      <c r="O35" s="107">
        <f>+'Avg Assets 08'!Q43+'Avg Assets 08'!Q44</f>
        <v>899.9765833333335</v>
      </c>
      <c r="P35" s="107">
        <f>+'Avg Assets 08'!R43+'Avg Assets 08'!R44</f>
        <v>899.9765833333335</v>
      </c>
      <c r="Q35" s="107">
        <f>+'Avg Assets 08'!S43+'Avg Assets 08'!S44</f>
        <v>899.9765833333335</v>
      </c>
      <c r="R35" s="107">
        <f>+'Avg Assets 08'!T43+'Avg Assets 08'!T44</f>
        <v>899.9765833333335</v>
      </c>
      <c r="S35" s="107">
        <f>+'Avg Assets 08'!U43+'Avg Assets 08'!U44</f>
        <v>899.9765833333335</v>
      </c>
      <c r="T35" s="107">
        <f>+'Avg Assets 08'!V43+'Avg Assets 08'!V44</f>
        <v>899.9765833333335</v>
      </c>
      <c r="U35" s="107">
        <f>+'Avg Assets 08'!W43+'Avg Assets 08'!W44</f>
        <v>1240.2285833333335</v>
      </c>
    </row>
    <row r="36" spans="1:21" ht="14.25">
      <c r="A36" s="111" t="s">
        <v>187</v>
      </c>
      <c r="C36" s="138">
        <f>+SUM('Avg Assets 08'!D59:D60)</f>
        <v>107270.798</v>
      </c>
      <c r="D36" s="110"/>
      <c r="E36" s="116">
        <f>SUM(J36:U36)</f>
        <v>107270.79799999998</v>
      </c>
      <c r="F36" s="116">
        <f t="shared" si="15"/>
        <v>11570.2735</v>
      </c>
      <c r="G36" s="116">
        <f>SUM(M36:O36)</f>
        <v>23972.106499999998</v>
      </c>
      <c r="H36" s="116">
        <f>SUM(P36:R36)</f>
        <v>31106.703749999993</v>
      </c>
      <c r="I36" s="116">
        <f>SUM(S36:U36)</f>
        <v>40621.71425</v>
      </c>
      <c r="J36" s="116">
        <f>+'Avg Assets 08'!L59+'Avg Assets 08'!L60</f>
        <v>2185.0036666666665</v>
      </c>
      <c r="K36" s="116">
        <f>+'Avg Assets 08'!M59+'Avg Assets 08'!M60</f>
        <v>4783.397166666667</v>
      </c>
      <c r="L36" s="116">
        <f>+'Avg Assets 08'!N59+'Avg Assets 08'!N60</f>
        <v>4601.872666666667</v>
      </c>
      <c r="M36" s="116">
        <f>+'Avg Assets 08'!O59+'Avg Assets 08'!O60</f>
        <v>7818.362833333333</v>
      </c>
      <c r="N36" s="116">
        <f>+'Avg Assets 08'!P59+'Avg Assets 08'!P60</f>
        <v>7182.767833333333</v>
      </c>
      <c r="O36" s="116">
        <f>+'Avg Assets 08'!Q59+'Avg Assets 08'!Q60</f>
        <v>8970.975833333332</v>
      </c>
      <c r="P36" s="116">
        <f>+'Avg Assets 08'!R59+'Avg Assets 08'!R60</f>
        <v>15580.656416666665</v>
      </c>
      <c r="Q36" s="116">
        <f>+'Avg Assets 08'!S59+'Avg Assets 08'!S60</f>
        <v>7807.642249999999</v>
      </c>
      <c r="R36" s="116">
        <f>+'Avg Assets 08'!T59+'Avg Assets 08'!T60</f>
        <v>7718.405083333332</v>
      </c>
      <c r="S36" s="116">
        <f>+'Avg Assets 08'!U59+'Avg Assets 08'!U60</f>
        <v>9904.345416666665</v>
      </c>
      <c r="T36" s="116">
        <f>+'Avg Assets 08'!V59+'Avg Assets 08'!V60</f>
        <v>13062.66425</v>
      </c>
      <c r="U36" s="116">
        <f>+'Avg Assets 08'!W59+'Avg Assets 08'!W60</f>
        <v>17654.704583333332</v>
      </c>
    </row>
    <row r="37" spans="1:21" ht="15">
      <c r="A37" s="102" t="s">
        <v>15</v>
      </c>
      <c r="B37" s="117"/>
      <c r="C37" s="135">
        <f>SUM(C33:C36)</f>
        <v>1380892.8099999998</v>
      </c>
      <c r="E37" s="119">
        <f>SUM(E33:E36)</f>
        <v>1380892.8099999996</v>
      </c>
      <c r="F37" s="107">
        <f t="shared" si="15"/>
        <v>242757.81533333333</v>
      </c>
      <c r="G37" s="107">
        <f>SUM(M37:O37)</f>
        <v>320677.993</v>
      </c>
      <c r="H37" s="107">
        <f>SUM(P37:R37)</f>
        <v>380836.7511666667</v>
      </c>
      <c r="I37" s="107">
        <f>SUM(S37:U37)</f>
        <v>436620.2505</v>
      </c>
      <c r="J37" s="107">
        <f>SUM(J33:J36)</f>
        <v>74541.15277777778</v>
      </c>
      <c r="K37" s="107">
        <f aca="true" t="shared" si="16" ref="K37:U37">SUM(K33:K36)</f>
        <v>82562.77844444444</v>
      </c>
      <c r="L37" s="107">
        <f t="shared" si="16"/>
        <v>85653.88411111111</v>
      </c>
      <c r="M37" s="107">
        <f t="shared" si="16"/>
        <v>102001.16966666668</v>
      </c>
      <c r="N37" s="107">
        <f t="shared" si="16"/>
        <v>104237.57722222223</v>
      </c>
      <c r="O37" s="107">
        <f t="shared" si="16"/>
        <v>114439.24611111112</v>
      </c>
      <c r="P37" s="107">
        <f t="shared" si="16"/>
        <v>127421.43275</v>
      </c>
      <c r="Q37" s="107">
        <f t="shared" si="16"/>
        <v>117557.94625000001</v>
      </c>
      <c r="R37" s="107">
        <f t="shared" si="16"/>
        <v>135857.37216666667</v>
      </c>
      <c r="S37" s="107">
        <f t="shared" si="16"/>
        <v>140079.90383333334</v>
      </c>
      <c r="T37" s="107">
        <f t="shared" si="16"/>
        <v>143821.722</v>
      </c>
      <c r="U37" s="107">
        <f t="shared" si="16"/>
        <v>152718.62466666667</v>
      </c>
    </row>
    <row r="38" spans="3:21" ht="14.25">
      <c r="C38" s="13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">
      <c r="A39" s="102" t="s">
        <v>16</v>
      </c>
      <c r="B39" s="110"/>
      <c r="C39" s="136">
        <f>SUM(C30,C37,C13)</f>
        <v>3309004.765028374</v>
      </c>
      <c r="E39" s="109">
        <f aca="true" t="shared" si="17" ref="E39:U39">SUM(E30,E37,E13)</f>
        <v>3309004.765028374</v>
      </c>
      <c r="F39" s="109">
        <f t="shared" si="15"/>
        <v>597657.1268127381</v>
      </c>
      <c r="G39" s="109">
        <f>SUM(M39:O39)</f>
        <v>779760.6097513017</v>
      </c>
      <c r="H39" s="109">
        <f>SUM(P39:R39)</f>
        <v>913157.237948158</v>
      </c>
      <c r="I39" s="109">
        <f>SUM(S39:U39)</f>
        <v>1018429.7905161766</v>
      </c>
      <c r="J39" s="109">
        <f>SUM(J30,J37,J13)</f>
        <v>189977.10814642312</v>
      </c>
      <c r="K39" s="109">
        <f t="shared" si="17"/>
        <v>219551.0122051919</v>
      </c>
      <c r="L39" s="109">
        <f t="shared" si="17"/>
        <v>188129.00646112306</v>
      </c>
      <c r="M39" s="109">
        <f t="shared" si="17"/>
        <v>259148.59296464513</v>
      </c>
      <c r="N39" s="109">
        <f t="shared" si="17"/>
        <v>275810.1053858428</v>
      </c>
      <c r="O39" s="109">
        <f t="shared" si="17"/>
        <v>244801.91140081375</v>
      </c>
      <c r="P39" s="109">
        <f t="shared" si="17"/>
        <v>337544.3884690121</v>
      </c>
      <c r="Q39" s="109">
        <f t="shared" si="17"/>
        <v>245101.52447412803</v>
      </c>
      <c r="R39" s="109">
        <f t="shared" si="17"/>
        <v>330511.3250050179</v>
      </c>
      <c r="S39" s="109">
        <f t="shared" si="17"/>
        <v>372614.625263303</v>
      </c>
      <c r="T39" s="109">
        <f t="shared" si="17"/>
        <v>262130.9919230696</v>
      </c>
      <c r="U39" s="109">
        <f t="shared" si="17"/>
        <v>383684.173329804</v>
      </c>
    </row>
    <row r="40" spans="1:21" ht="15">
      <c r="A40" s="102"/>
      <c r="C40" s="135"/>
      <c r="E40" s="119"/>
      <c r="F40" s="119"/>
      <c r="G40" s="119"/>
      <c r="H40" s="119"/>
      <c r="I40" s="119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">
      <c r="A41" s="102" t="s">
        <v>17</v>
      </c>
      <c r="C41" s="135"/>
      <c r="E41" s="119"/>
      <c r="F41" s="119"/>
      <c r="G41" s="119"/>
      <c r="H41" s="119"/>
      <c r="I41" s="119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ht="14.25">
      <c r="A42" s="111" t="s">
        <v>18</v>
      </c>
      <c r="B42" s="110"/>
      <c r="C42" s="135">
        <f>-C13</f>
        <v>-715610.8900000001</v>
      </c>
      <c r="E42" s="107">
        <f>SUM(J42:U42)</f>
        <v>-715610.8900000001</v>
      </c>
      <c r="F42" s="107">
        <f t="shared" si="15"/>
        <v>-133486.80000000002</v>
      </c>
      <c r="G42" s="107">
        <f>SUM(M42:O42)</f>
        <v>-174131.78</v>
      </c>
      <c r="H42" s="107">
        <f>SUM(P42:R42)</f>
        <v>-199440.81</v>
      </c>
      <c r="I42" s="107">
        <f>SUM(S42:U42)</f>
        <v>-208551.5</v>
      </c>
      <c r="J42" s="119">
        <f>-J13</f>
        <v>-46369.62</v>
      </c>
      <c r="K42" s="119">
        <f aca="true" t="shared" si="18" ref="K42:T42">-K13</f>
        <v>-61979.05</v>
      </c>
      <c r="L42" s="119">
        <f t="shared" si="18"/>
        <v>-25138.129999999997</v>
      </c>
      <c r="M42" s="119">
        <f t="shared" si="18"/>
        <v>-66155.02</v>
      </c>
      <c r="N42" s="119">
        <f t="shared" si="18"/>
        <v>-78452.35</v>
      </c>
      <c r="O42" s="119">
        <f t="shared" si="18"/>
        <v>-29524.41</v>
      </c>
      <c r="P42" s="119">
        <f t="shared" si="18"/>
        <v>-101142.35</v>
      </c>
      <c r="Q42" s="119">
        <f t="shared" si="18"/>
        <v>-24274.13</v>
      </c>
      <c r="R42" s="119">
        <f t="shared" si="18"/>
        <v>-74024.33</v>
      </c>
      <c r="S42" s="119">
        <f t="shared" si="18"/>
        <v>-109751.74</v>
      </c>
      <c r="T42" s="119">
        <f t="shared" si="18"/>
        <v>4270.780000000001</v>
      </c>
      <c r="U42" s="119">
        <f>-U13</f>
        <v>-103070.54000000001</v>
      </c>
    </row>
    <row r="43" spans="1:21" ht="14.25">
      <c r="A43" s="111" t="s">
        <v>19</v>
      </c>
      <c r="B43" s="110"/>
      <c r="C43" s="137">
        <f>-SUM(C33:C36)</f>
        <v>-1380892.8099999998</v>
      </c>
      <c r="E43" s="107">
        <f>SUM(J43:U43)</f>
        <v>-1380892.81</v>
      </c>
      <c r="F43" s="107">
        <f t="shared" si="15"/>
        <v>-242757.81533333333</v>
      </c>
      <c r="G43" s="107">
        <f>SUM(M43:O43)</f>
        <v>-320677.993</v>
      </c>
      <c r="H43" s="107">
        <f>SUM(P43:R43)</f>
        <v>-380836.7511666667</v>
      </c>
      <c r="I43" s="107">
        <f>SUM(S43:U43)</f>
        <v>-436620.2505</v>
      </c>
      <c r="J43" s="107">
        <f>-J37</f>
        <v>-74541.15277777778</v>
      </c>
      <c r="K43" s="107">
        <f aca="true" t="shared" si="19" ref="K43:U43">-K37</f>
        <v>-82562.77844444444</v>
      </c>
      <c r="L43" s="107">
        <f t="shared" si="19"/>
        <v>-85653.88411111111</v>
      </c>
      <c r="M43" s="107">
        <f t="shared" si="19"/>
        <v>-102001.16966666668</v>
      </c>
      <c r="N43" s="107">
        <f t="shared" si="19"/>
        <v>-104237.57722222223</v>
      </c>
      <c r="O43" s="107">
        <f t="shared" si="19"/>
        <v>-114439.24611111112</v>
      </c>
      <c r="P43" s="107">
        <f t="shared" si="19"/>
        <v>-127421.43275</v>
      </c>
      <c r="Q43" s="107">
        <f t="shared" si="19"/>
        <v>-117557.94625000001</v>
      </c>
      <c r="R43" s="107">
        <f t="shared" si="19"/>
        <v>-135857.37216666667</v>
      </c>
      <c r="S43" s="107">
        <f t="shared" si="19"/>
        <v>-140079.90383333334</v>
      </c>
      <c r="T43" s="107">
        <f t="shared" si="19"/>
        <v>-143821.722</v>
      </c>
      <c r="U43" s="107">
        <f t="shared" si="19"/>
        <v>-152718.62466666667</v>
      </c>
    </row>
    <row r="44" spans="1:21" ht="14.25">
      <c r="A44" s="111" t="s">
        <v>20</v>
      </c>
      <c r="B44" s="110"/>
      <c r="C44" s="137">
        <f>-C27-C28</f>
        <v>-578160.4187129376</v>
      </c>
      <c r="E44" s="107">
        <f>SUM(J44:U44)</f>
        <v>-578160.4187129376</v>
      </c>
      <c r="F44" s="107">
        <f t="shared" si="15"/>
        <v>-105576.77352821137</v>
      </c>
      <c r="G44" s="107">
        <f>SUM(M44:O44)</f>
        <v>-135873.93845701832</v>
      </c>
      <c r="H44" s="107">
        <f>SUM(P44:R44)</f>
        <v>-158727.98701790054</v>
      </c>
      <c r="I44" s="107">
        <f>SUM(S44:U44)</f>
        <v>-177981.7197098074</v>
      </c>
      <c r="J44" s="107">
        <f>-J27-J28</f>
        <v>-32933.102103930694</v>
      </c>
      <c r="K44" s="107">
        <f aca="true" t="shared" si="20" ref="K44:U44">-K27-K28</f>
        <v>-35766.84783317249</v>
      </c>
      <c r="L44" s="107">
        <f t="shared" si="20"/>
        <v>-36876.82359110819</v>
      </c>
      <c r="M44" s="107">
        <f t="shared" si="20"/>
        <v>-43388.173015109554</v>
      </c>
      <c r="N44" s="107">
        <f t="shared" si="20"/>
        <v>-44402.7661092754</v>
      </c>
      <c r="O44" s="107">
        <f t="shared" si="20"/>
        <v>-48082.99933263337</v>
      </c>
      <c r="P44" s="107">
        <f t="shared" si="20"/>
        <v>-51965.540032428005</v>
      </c>
      <c r="Q44" s="107">
        <f t="shared" si="20"/>
        <v>-49242.272149359866</v>
      </c>
      <c r="R44" s="107">
        <f t="shared" si="20"/>
        <v>-57520.17483611267</v>
      </c>
      <c r="S44" s="107">
        <f t="shared" si="20"/>
        <v>-58546.96709294262</v>
      </c>
      <c r="T44" s="107">
        <f t="shared" si="20"/>
        <v>-58450.20267072199</v>
      </c>
      <c r="U44" s="107">
        <f t="shared" si="20"/>
        <v>-60984.54994614279</v>
      </c>
    </row>
    <row r="45" spans="1:21" ht="15">
      <c r="A45" s="102" t="s">
        <v>21</v>
      </c>
      <c r="B45" s="117"/>
      <c r="C45" s="136">
        <f>SUM(C39:C44)</f>
        <v>634340.6463154362</v>
      </c>
      <c r="D45" s="121"/>
      <c r="E45" s="109">
        <f>SUM(J45:U45)</f>
        <v>634340.6463154367</v>
      </c>
      <c r="F45" s="109">
        <f t="shared" si="15"/>
        <v>115835.73795119335</v>
      </c>
      <c r="G45" s="109">
        <f>SUM(M45:O45)</f>
        <v>149076.89829428334</v>
      </c>
      <c r="H45" s="109">
        <f>SUM(P45:R45)</f>
        <v>174151.68976359084</v>
      </c>
      <c r="I45" s="109">
        <f>SUM(S45:U45)</f>
        <v>195276.32030636913</v>
      </c>
      <c r="J45" s="109">
        <f>SUM(J42:J44)+J39</f>
        <v>36133.233264714654</v>
      </c>
      <c r="K45" s="109">
        <f aca="true" t="shared" si="21" ref="K45:U45">SUM(K42:K44)+K39</f>
        <v>39242.33592757495</v>
      </c>
      <c r="L45" s="109">
        <f t="shared" si="21"/>
        <v>40460.16875890375</v>
      </c>
      <c r="M45" s="109">
        <f t="shared" si="21"/>
        <v>47604.2302828689</v>
      </c>
      <c r="N45" s="109">
        <f t="shared" si="21"/>
        <v>48717.41205434516</v>
      </c>
      <c r="O45" s="109">
        <f t="shared" si="21"/>
        <v>52755.25595706928</v>
      </c>
      <c r="P45" s="109">
        <f t="shared" si="21"/>
        <v>57015.0656865841</v>
      </c>
      <c r="Q45" s="109">
        <f t="shared" si="21"/>
        <v>54027.176074768155</v>
      </c>
      <c r="R45" s="109">
        <f t="shared" si="21"/>
        <v>63109.44800223858</v>
      </c>
      <c r="S45" s="109">
        <f t="shared" si="21"/>
        <v>64236.01433702704</v>
      </c>
      <c r="T45" s="109">
        <f t="shared" si="21"/>
        <v>64129.847252347594</v>
      </c>
      <c r="U45" s="109">
        <f t="shared" si="21"/>
        <v>66910.4587169945</v>
      </c>
    </row>
    <row r="46" spans="1:21" ht="15">
      <c r="A46" s="102"/>
      <c r="C46" s="135"/>
      <c r="E46" s="107"/>
      <c r="F46" s="107"/>
      <c r="G46" s="107"/>
      <c r="H46" s="107"/>
      <c r="I46" s="107"/>
      <c r="J46" s="122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ht="15">
      <c r="A47" s="102" t="s">
        <v>80</v>
      </c>
      <c r="C47" s="137">
        <f>+'PILs 08'!D30</f>
        <v>173696.14635691335</v>
      </c>
      <c r="E47" s="107">
        <f>SUM(J47:U47)</f>
        <v>173696.14635691335</v>
      </c>
      <c r="F47" s="107">
        <f t="shared" si="15"/>
        <v>43424.03658922834</v>
      </c>
      <c r="G47" s="107">
        <f>SUM(M47:O47)</f>
        <v>43424.03658922834</v>
      </c>
      <c r="H47" s="107">
        <f>SUM(P47:R47)</f>
        <v>43424.03658922834</v>
      </c>
      <c r="I47" s="107">
        <f>SUM(S47:U47)</f>
        <v>43424.03658922834</v>
      </c>
      <c r="J47" s="107">
        <f>$C$47/12</f>
        <v>14474.678863076113</v>
      </c>
      <c r="K47" s="107">
        <f aca="true" t="shared" si="22" ref="K47:T47">$C$47/12</f>
        <v>14474.678863076113</v>
      </c>
      <c r="L47" s="107">
        <f t="shared" si="22"/>
        <v>14474.678863076113</v>
      </c>
      <c r="M47" s="107">
        <f t="shared" si="22"/>
        <v>14474.678863076113</v>
      </c>
      <c r="N47" s="107">
        <f t="shared" si="22"/>
        <v>14474.678863076113</v>
      </c>
      <c r="O47" s="107">
        <f t="shared" si="22"/>
        <v>14474.678863076113</v>
      </c>
      <c r="P47" s="107">
        <f t="shared" si="22"/>
        <v>14474.678863076113</v>
      </c>
      <c r="Q47" s="107">
        <f t="shared" si="22"/>
        <v>14474.678863076113</v>
      </c>
      <c r="R47" s="107">
        <f t="shared" si="22"/>
        <v>14474.678863076113</v>
      </c>
      <c r="S47" s="107">
        <f t="shared" si="22"/>
        <v>14474.678863076113</v>
      </c>
      <c r="T47" s="107">
        <f t="shared" si="22"/>
        <v>14474.678863076113</v>
      </c>
      <c r="U47" s="107">
        <f>$C$47/12</f>
        <v>14474.678863076113</v>
      </c>
    </row>
    <row r="48" spans="3:21" ht="14.25">
      <c r="C48" s="135"/>
      <c r="E48" s="107"/>
      <c r="F48" s="107"/>
      <c r="G48" s="107"/>
      <c r="H48" s="107"/>
      <c r="I48" s="107"/>
      <c r="J48" s="122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ht="14.25">
      <c r="A49" s="50" t="str">
        <f>A39</f>
        <v>Revenue Requirement Before PILs</v>
      </c>
      <c r="C49" s="135">
        <f>C39</f>
        <v>3309004.765028374</v>
      </c>
      <c r="E49" s="107">
        <f>SUM(J49:U49)</f>
        <v>3309004.7650283747</v>
      </c>
      <c r="F49" s="107">
        <f t="shared" si="15"/>
        <v>597657.1268127381</v>
      </c>
      <c r="G49" s="107">
        <f>SUM(M49:O49)</f>
        <v>779760.6097513017</v>
      </c>
      <c r="H49" s="107">
        <f>SUM(P49:R49)</f>
        <v>913157.237948158</v>
      </c>
      <c r="I49" s="107">
        <f>SUM(S49:U49)</f>
        <v>1018429.7905161766</v>
      </c>
      <c r="J49" s="119">
        <f>J39</f>
        <v>189977.10814642312</v>
      </c>
      <c r="K49" s="119">
        <f aca="true" t="shared" si="23" ref="K49:U49">K39</f>
        <v>219551.0122051919</v>
      </c>
      <c r="L49" s="119">
        <f t="shared" si="23"/>
        <v>188129.00646112306</v>
      </c>
      <c r="M49" s="119">
        <f t="shared" si="23"/>
        <v>259148.59296464513</v>
      </c>
      <c r="N49" s="119">
        <f t="shared" si="23"/>
        <v>275810.1053858428</v>
      </c>
      <c r="O49" s="119">
        <f t="shared" si="23"/>
        <v>244801.91140081375</v>
      </c>
      <c r="P49" s="119">
        <f t="shared" si="23"/>
        <v>337544.3884690121</v>
      </c>
      <c r="Q49" s="119">
        <f t="shared" si="23"/>
        <v>245101.52447412803</v>
      </c>
      <c r="R49" s="119">
        <f t="shared" si="23"/>
        <v>330511.3250050179</v>
      </c>
      <c r="S49" s="119">
        <f t="shared" si="23"/>
        <v>372614.625263303</v>
      </c>
      <c r="T49" s="119">
        <f t="shared" si="23"/>
        <v>262130.9919230696</v>
      </c>
      <c r="U49" s="119">
        <f t="shared" si="23"/>
        <v>383684.173329804</v>
      </c>
    </row>
    <row r="50" spans="1:21" ht="14.25">
      <c r="A50" s="50" t="s">
        <v>80</v>
      </c>
      <c r="C50" s="135">
        <f>C47</f>
        <v>173696.14635691335</v>
      </c>
      <c r="E50" s="107">
        <f>SUM(J50:U50)</f>
        <v>173696.14635691335</v>
      </c>
      <c r="F50" s="107">
        <f t="shared" si="15"/>
        <v>43424.03658922834</v>
      </c>
      <c r="G50" s="107">
        <f>SUM(M50:O50)</f>
        <v>43424.03658922834</v>
      </c>
      <c r="H50" s="107">
        <f>SUM(P50:R50)</f>
        <v>43424.03658922834</v>
      </c>
      <c r="I50" s="107">
        <f>SUM(S50:U50)</f>
        <v>43424.03658922834</v>
      </c>
      <c r="J50" s="119">
        <f>J47</f>
        <v>14474.678863076113</v>
      </c>
      <c r="K50" s="119">
        <f aca="true" t="shared" si="24" ref="K50:U50">K47</f>
        <v>14474.678863076113</v>
      </c>
      <c r="L50" s="119">
        <f t="shared" si="24"/>
        <v>14474.678863076113</v>
      </c>
      <c r="M50" s="119">
        <f t="shared" si="24"/>
        <v>14474.678863076113</v>
      </c>
      <c r="N50" s="119">
        <f t="shared" si="24"/>
        <v>14474.678863076113</v>
      </c>
      <c r="O50" s="119">
        <f t="shared" si="24"/>
        <v>14474.678863076113</v>
      </c>
      <c r="P50" s="119">
        <f t="shared" si="24"/>
        <v>14474.678863076113</v>
      </c>
      <c r="Q50" s="119">
        <f t="shared" si="24"/>
        <v>14474.678863076113</v>
      </c>
      <c r="R50" s="119">
        <f t="shared" si="24"/>
        <v>14474.678863076113</v>
      </c>
      <c r="S50" s="119">
        <f t="shared" si="24"/>
        <v>14474.678863076113</v>
      </c>
      <c r="T50" s="119">
        <f t="shared" si="24"/>
        <v>14474.678863076113</v>
      </c>
      <c r="U50" s="119">
        <f t="shared" si="24"/>
        <v>14474.678863076113</v>
      </c>
    </row>
    <row r="51" spans="3:21" ht="14.25">
      <c r="C51" s="135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spans="1:21" ht="15.75" thickBot="1">
      <c r="A52" s="102" t="s">
        <v>22</v>
      </c>
      <c r="C52" s="139">
        <f>SUM(C49:C50)</f>
        <v>3482700.911385287</v>
      </c>
      <c r="E52" s="124">
        <f>SUM(J52:U52)</f>
        <v>3482700.911385288</v>
      </c>
      <c r="F52" s="124">
        <f t="shared" si="15"/>
        <v>641081.1634019664</v>
      </c>
      <c r="G52" s="124">
        <f>SUM(M52:O52)</f>
        <v>823184.6463405299</v>
      </c>
      <c r="H52" s="124">
        <f>SUM(P52:R52)</f>
        <v>956581.2745373864</v>
      </c>
      <c r="I52" s="124">
        <f>SUM(S52:U52)</f>
        <v>1061853.8271054048</v>
      </c>
      <c r="J52" s="124">
        <f>SUM(J49:J50)</f>
        <v>204451.78700949924</v>
      </c>
      <c r="K52" s="124">
        <f aca="true" t="shared" si="25" ref="K52:U52">SUM(K49:K50)</f>
        <v>234025.691068268</v>
      </c>
      <c r="L52" s="124">
        <f t="shared" si="25"/>
        <v>202603.68532419918</v>
      </c>
      <c r="M52" s="124">
        <f t="shared" si="25"/>
        <v>273623.2718277212</v>
      </c>
      <c r="N52" s="124">
        <f t="shared" si="25"/>
        <v>290284.7842489189</v>
      </c>
      <c r="O52" s="124">
        <f t="shared" si="25"/>
        <v>259276.59026388987</v>
      </c>
      <c r="P52" s="124">
        <f t="shared" si="25"/>
        <v>352019.0673320882</v>
      </c>
      <c r="Q52" s="124">
        <f t="shared" si="25"/>
        <v>259576.20333720415</v>
      </c>
      <c r="R52" s="124">
        <f t="shared" si="25"/>
        <v>344986.003868094</v>
      </c>
      <c r="S52" s="124">
        <f t="shared" si="25"/>
        <v>387089.3041263791</v>
      </c>
      <c r="T52" s="124">
        <f t="shared" si="25"/>
        <v>276605.6707861457</v>
      </c>
      <c r="U52" s="124">
        <f t="shared" si="25"/>
        <v>398158.85219288006</v>
      </c>
    </row>
    <row r="53" spans="1:21" ht="15">
      <c r="A53" s="102"/>
      <c r="C53" s="140"/>
      <c r="E53" s="125"/>
      <c r="F53" s="125"/>
      <c r="G53" s="125"/>
      <c r="H53" s="125"/>
      <c r="I53" s="125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ht="14.25">
      <c r="A54" s="50" t="s">
        <v>130</v>
      </c>
      <c r="C54" s="137"/>
      <c r="J54" s="127">
        <v>0.0514</v>
      </c>
      <c r="K54" s="127">
        <v>0.0514</v>
      </c>
      <c r="L54" s="127">
        <v>0.0514</v>
      </c>
      <c r="M54" s="127">
        <v>0.0408</v>
      </c>
      <c r="N54" s="127">
        <v>0.0408</v>
      </c>
      <c r="O54" s="127">
        <v>0.0408</v>
      </c>
      <c r="P54" s="127">
        <v>0.0335</v>
      </c>
      <c r="Q54" s="127">
        <v>0.0335</v>
      </c>
      <c r="R54" s="127">
        <v>0.0335</v>
      </c>
      <c r="S54" s="127">
        <v>0.0335</v>
      </c>
      <c r="T54" s="127">
        <v>0.0335</v>
      </c>
      <c r="U54" s="127">
        <v>0.0335</v>
      </c>
    </row>
    <row r="55" spans="1:21" ht="14.25">
      <c r="A55" s="50" t="s">
        <v>110</v>
      </c>
      <c r="B55" s="128"/>
      <c r="C55" s="137">
        <f>E55</f>
        <v>-4651361.159999999</v>
      </c>
      <c r="D55" s="103"/>
      <c r="E55" s="103">
        <f>SUM(J55:U55)</f>
        <v>-4651361.159999999</v>
      </c>
      <c r="F55" s="103">
        <f t="shared" si="15"/>
        <v>-1502470.8599999999</v>
      </c>
      <c r="G55" s="103">
        <f>SUM(M55:O55)</f>
        <v>-1160983.38</v>
      </c>
      <c r="H55" s="103">
        <f>SUM(P55:R55)</f>
        <v>-991456.8599999999</v>
      </c>
      <c r="I55" s="103">
        <f>SUM(S55:U55)</f>
        <v>-996450.06</v>
      </c>
      <c r="J55" s="119">
        <v>-500255.22</v>
      </c>
      <c r="K55" s="119">
        <v>-500902.5</v>
      </c>
      <c r="L55" s="119">
        <v>-501313.14</v>
      </c>
      <c r="M55" s="119">
        <v>-502047.42</v>
      </c>
      <c r="N55" s="119">
        <v>-329277.6</v>
      </c>
      <c r="O55" s="119">
        <v>-329658.36</v>
      </c>
      <c r="P55" s="119">
        <v>-330258</v>
      </c>
      <c r="Q55" s="119">
        <v>-330546.42</v>
      </c>
      <c r="R55" s="119">
        <v>-330652.44</v>
      </c>
      <c r="S55" s="119">
        <v>-331741.14</v>
      </c>
      <c r="T55" s="119">
        <v>-332166.36</v>
      </c>
      <c r="U55" s="119">
        <v>-332542.56</v>
      </c>
    </row>
    <row r="56" spans="1:22" ht="14.25">
      <c r="A56" s="50" t="s">
        <v>111</v>
      </c>
      <c r="C56" s="137">
        <f>+C52+C55</f>
        <v>-1168660.2486147122</v>
      </c>
      <c r="D56" s="103"/>
      <c r="E56" s="103">
        <f>SUM(J56:U56)</f>
        <v>-1168660.2486147122</v>
      </c>
      <c r="F56" s="103">
        <f t="shared" si="15"/>
        <v>-861389.6965980335</v>
      </c>
      <c r="G56" s="103">
        <f>SUM(M56:O56)</f>
        <v>-337798.73365947</v>
      </c>
      <c r="H56" s="103">
        <f>SUM(P56:R56)</f>
        <v>-34875.58546261364</v>
      </c>
      <c r="I56" s="103">
        <f>SUM(S56:U56)</f>
        <v>65403.76710540487</v>
      </c>
      <c r="J56" s="107">
        <f>+J52+J55</f>
        <v>-295803.4329905007</v>
      </c>
      <c r="K56" s="107">
        <f aca="true" t="shared" si="26" ref="K56:U56">+K52+K55</f>
        <v>-266876.80893173197</v>
      </c>
      <c r="L56" s="107">
        <f t="shared" si="26"/>
        <v>-298709.45467580087</v>
      </c>
      <c r="M56" s="107">
        <f t="shared" si="26"/>
        <v>-228424.14817227877</v>
      </c>
      <c r="N56" s="107">
        <f t="shared" si="26"/>
        <v>-38992.8157510811</v>
      </c>
      <c r="O56" s="107">
        <f t="shared" si="26"/>
        <v>-70381.76973611012</v>
      </c>
      <c r="P56" s="107">
        <f t="shared" si="26"/>
        <v>21761.06733208819</v>
      </c>
      <c r="Q56" s="107">
        <f t="shared" si="26"/>
        <v>-70970.21666279584</v>
      </c>
      <c r="R56" s="107">
        <f t="shared" si="26"/>
        <v>14333.563868094003</v>
      </c>
      <c r="S56" s="107">
        <f t="shared" si="26"/>
        <v>55348.164126379066</v>
      </c>
      <c r="T56" s="107">
        <f t="shared" si="26"/>
        <v>-55560.68921385426</v>
      </c>
      <c r="U56" s="107">
        <f t="shared" si="26"/>
        <v>65616.29219288006</v>
      </c>
      <c r="V56" s="103">
        <f>SUM(J56:U56)</f>
        <v>-1168660.2486147122</v>
      </c>
    </row>
    <row r="57" spans="1:21" ht="14.25">
      <c r="A57" s="50" t="s">
        <v>112</v>
      </c>
      <c r="C57" s="137">
        <f>E57</f>
        <v>-64831.18034203763</v>
      </c>
      <c r="D57" s="103"/>
      <c r="E57" s="103">
        <f>SUM(J57:U57)</f>
        <v>-64831.18034203763</v>
      </c>
      <c r="F57" s="103">
        <f t="shared" si="15"/>
        <v>-13385.625188171456</v>
      </c>
      <c r="G57" s="103">
        <f>SUM(M57:O57)</f>
        <v>-18166.87593019923</v>
      </c>
      <c r="H57" s="103">
        <f>SUM(P57:R57)</f>
        <v>-16604.78340621824</v>
      </c>
      <c r="I57" s="103">
        <f>SUM(S57:U57)</f>
        <v>-16673.895817448705</v>
      </c>
      <c r="J57" s="128">
        <f>J59*J54/365*(K$3-J$3)</f>
        <v>-3311.6324211539886</v>
      </c>
      <c r="K57" s="128">
        <f aca="true" t="shared" si="27" ref="K57:U57">K59*K54/365*(L$3-K$3)</f>
        <v>-4305.991311674752</v>
      </c>
      <c r="L57" s="128">
        <f t="shared" si="27"/>
        <v>-5768.001455342716</v>
      </c>
      <c r="M57" s="128">
        <f t="shared" si="27"/>
        <v>-5432.497806478002</v>
      </c>
      <c r="N57" s="128">
        <f t="shared" si="27"/>
        <v>-6405.117676579684</v>
      </c>
      <c r="O57" s="128">
        <f t="shared" si="27"/>
        <v>-6329.2604471415425</v>
      </c>
      <c r="P57" s="128">
        <f t="shared" si="27"/>
        <v>-5570.297144583586</v>
      </c>
      <c r="Q57" s="128">
        <f t="shared" si="27"/>
        <v>-5508.382436571603</v>
      </c>
      <c r="R57" s="128">
        <f t="shared" si="27"/>
        <v>-5526.103825063053</v>
      </c>
      <c r="S57" s="128">
        <f t="shared" si="27"/>
        <v>-5669.525351440912</v>
      </c>
      <c r="T57" s="128">
        <f t="shared" si="27"/>
        <v>-5334.240437023477</v>
      </c>
      <c r="U57" s="128">
        <f t="shared" si="27"/>
        <v>-5670.1300289843175</v>
      </c>
    </row>
    <row r="58" spans="1:21" ht="15">
      <c r="A58" s="102" t="s">
        <v>138</v>
      </c>
      <c r="C58" s="137">
        <f>+C56+C57</f>
        <v>-1233491.4289567498</v>
      </c>
      <c r="D58" s="103"/>
      <c r="E58" s="128">
        <f>+E56+E57</f>
        <v>-1233491.4289567498</v>
      </c>
      <c r="F58" s="128">
        <f>+F56+F57</f>
        <v>-874775.321786205</v>
      </c>
      <c r="G58" s="128">
        <f>+G56+G57</f>
        <v>-355965.6095896692</v>
      </c>
      <c r="H58" s="128">
        <f>+H56+H57</f>
        <v>-51480.36886883188</v>
      </c>
      <c r="I58" s="128">
        <f>+I56+I57</f>
        <v>48729.871287956164</v>
      </c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2" ht="15">
      <c r="A59" s="102" t="s">
        <v>139</v>
      </c>
      <c r="C59" s="137">
        <f>C58+'Rev Req 07'!C53+'Rev Req 06'!C53</f>
        <v>-2015687.6326133334</v>
      </c>
      <c r="D59" s="103"/>
      <c r="E59" s="128">
        <f>E58+'Rev Req 07'!C53+'Rev Req 06'!C53</f>
        <v>-2015687.6326133334</v>
      </c>
      <c r="F59" s="128"/>
      <c r="G59" s="128"/>
      <c r="H59" s="128"/>
      <c r="I59" s="128"/>
      <c r="J59" s="128">
        <f>'Rev Req 07'!C51</f>
        <v>-758595.3519023508</v>
      </c>
      <c r="K59" s="103">
        <f>J59+J56</f>
        <v>-1054398.7848928515</v>
      </c>
      <c r="L59" s="103">
        <f aca="true" t="shared" si="28" ref="L59:V59">K59+K56</f>
        <v>-1321275.5938245836</v>
      </c>
      <c r="M59" s="103">
        <f t="shared" si="28"/>
        <v>-1619985.0485003844</v>
      </c>
      <c r="N59" s="103">
        <f t="shared" si="28"/>
        <v>-1848409.196672663</v>
      </c>
      <c r="O59" s="103">
        <f t="shared" si="28"/>
        <v>-1887402.0124237442</v>
      </c>
      <c r="P59" s="103">
        <f t="shared" si="28"/>
        <v>-1957783.7821598542</v>
      </c>
      <c r="Q59" s="103">
        <f t="shared" si="28"/>
        <v>-1936022.714827766</v>
      </c>
      <c r="R59" s="103">
        <f t="shared" si="28"/>
        <v>-2006992.9314905617</v>
      </c>
      <c r="S59" s="103">
        <f t="shared" si="28"/>
        <v>-1992659.3676224677</v>
      </c>
      <c r="T59" s="103">
        <f t="shared" si="28"/>
        <v>-1937311.2034960887</v>
      </c>
      <c r="U59" s="103">
        <f t="shared" si="28"/>
        <v>-1992871.892709943</v>
      </c>
      <c r="V59" s="103">
        <f t="shared" si="28"/>
        <v>-1927255.600517063</v>
      </c>
    </row>
    <row r="60" spans="3:10" ht="14.25">
      <c r="C60" s="128"/>
      <c r="F60" s="107"/>
      <c r="G60" s="103"/>
      <c r="H60" s="103"/>
      <c r="I60" s="103"/>
      <c r="J60" s="128"/>
    </row>
    <row r="61" spans="1:28" ht="15">
      <c r="A61" s="102" t="s">
        <v>107</v>
      </c>
      <c r="C61" s="128"/>
      <c r="E61" s="128"/>
      <c r="F61" s="128"/>
      <c r="G61" s="128"/>
      <c r="H61" s="128"/>
      <c r="I61" s="128"/>
      <c r="J61" s="128"/>
      <c r="M61" s="128"/>
      <c r="N61" s="128"/>
      <c r="O61" s="128"/>
      <c r="Q61" s="128"/>
      <c r="R61" s="128"/>
      <c r="S61" s="128"/>
      <c r="T61" s="128"/>
      <c r="U61" s="128"/>
      <c r="W61" s="130"/>
      <c r="Y61" s="130"/>
      <c r="Z61" s="130"/>
      <c r="AA61" s="130"/>
      <c r="AB61" s="130"/>
    </row>
    <row r="62" spans="1:21" ht="15">
      <c r="A62" s="102"/>
      <c r="C62" s="128"/>
      <c r="D62" s="128"/>
      <c r="E62" s="128"/>
      <c r="F62" s="128"/>
      <c r="G62" s="128"/>
      <c r="H62" s="128"/>
      <c r="I62" s="128"/>
      <c r="J62" s="103"/>
      <c r="K62" s="128"/>
      <c r="Q62" s="128"/>
      <c r="R62" s="128"/>
      <c r="S62" s="128"/>
      <c r="T62" s="128"/>
      <c r="U62" s="128"/>
    </row>
    <row r="63" spans="1:10" ht="15">
      <c r="A63" s="102" t="s">
        <v>108</v>
      </c>
      <c r="J63" s="102"/>
    </row>
    <row r="64" spans="1:21" ht="14.25">
      <c r="A64" s="50" t="s">
        <v>109</v>
      </c>
      <c r="C64" s="128">
        <f>+C30</f>
        <v>1212501.065028374</v>
      </c>
      <c r="D64" s="103"/>
      <c r="E64" s="128">
        <f>+E30</f>
        <v>1212501.0650283743</v>
      </c>
      <c r="F64" s="128">
        <f>+F30</f>
        <v>221412.51147940475</v>
      </c>
      <c r="G64" s="128">
        <f>+G30</f>
        <v>284950.83675130166</v>
      </c>
      <c r="H64" s="128">
        <f>+H30</f>
        <v>332879.6767814913</v>
      </c>
      <c r="I64" s="128">
        <f>+I30</f>
        <v>373258.0400161765</v>
      </c>
      <c r="J64" s="128">
        <f aca="true" t="shared" si="29" ref="J64:O64">+J30</f>
        <v>69066.33536864533</v>
      </c>
      <c r="K64" s="128">
        <f t="shared" si="29"/>
        <v>75009.18376074747</v>
      </c>
      <c r="L64" s="128">
        <f t="shared" si="29"/>
        <v>77336.99235001193</v>
      </c>
      <c r="M64" s="128">
        <f t="shared" si="29"/>
        <v>90992.40329797844</v>
      </c>
      <c r="N64" s="128">
        <f t="shared" si="29"/>
        <v>93120.17816362056</v>
      </c>
      <c r="O64" s="128">
        <f t="shared" si="29"/>
        <v>100838.25528970265</v>
      </c>
      <c r="P64" s="128">
        <f aca="true" t="shared" si="30" ref="P64:U64">+P30</f>
        <v>108980.60571901205</v>
      </c>
      <c r="Q64" s="128">
        <f t="shared" si="30"/>
        <v>103269.44822412802</v>
      </c>
      <c r="R64" s="128">
        <f t="shared" si="30"/>
        <v>120629.62283835125</v>
      </c>
      <c r="S64" s="128">
        <f t="shared" si="30"/>
        <v>122782.98142996966</v>
      </c>
      <c r="T64" s="128">
        <f t="shared" si="30"/>
        <v>122580.04992306963</v>
      </c>
      <c r="U64" s="128">
        <f t="shared" si="30"/>
        <v>127895.00866313724</v>
      </c>
    </row>
    <row r="65" spans="1:21" ht="14.25">
      <c r="A65" s="50" t="s">
        <v>110</v>
      </c>
      <c r="C65" s="128">
        <f>+C55</f>
        <v>-4651361.159999999</v>
      </c>
      <c r="D65" s="103"/>
      <c r="E65" s="128">
        <f>+E55</f>
        <v>-4651361.159999999</v>
      </c>
      <c r="F65" s="128">
        <f>+F55</f>
        <v>-1502470.8599999999</v>
      </c>
      <c r="G65" s="128">
        <f>+G55</f>
        <v>-1160983.38</v>
      </c>
      <c r="H65" s="128">
        <f>+H55</f>
        <v>-991456.8599999999</v>
      </c>
      <c r="I65" s="128">
        <f>+I55</f>
        <v>-996450.06</v>
      </c>
      <c r="J65" s="128">
        <f aca="true" t="shared" si="31" ref="J65:O65">+J55</f>
        <v>-500255.22</v>
      </c>
      <c r="K65" s="128">
        <f t="shared" si="31"/>
        <v>-500902.5</v>
      </c>
      <c r="L65" s="128">
        <f t="shared" si="31"/>
        <v>-501313.14</v>
      </c>
      <c r="M65" s="128">
        <f t="shared" si="31"/>
        <v>-502047.42</v>
      </c>
      <c r="N65" s="128">
        <f t="shared" si="31"/>
        <v>-329277.6</v>
      </c>
      <c r="O65" s="128">
        <f t="shared" si="31"/>
        <v>-329658.36</v>
      </c>
      <c r="P65" s="128">
        <f aca="true" t="shared" si="32" ref="P65:U65">+P55</f>
        <v>-330258</v>
      </c>
      <c r="Q65" s="128">
        <f t="shared" si="32"/>
        <v>-330546.42</v>
      </c>
      <c r="R65" s="128">
        <f t="shared" si="32"/>
        <v>-330652.44</v>
      </c>
      <c r="S65" s="128">
        <f t="shared" si="32"/>
        <v>-331741.14</v>
      </c>
      <c r="T65" s="128">
        <f t="shared" si="32"/>
        <v>-332166.36</v>
      </c>
      <c r="U65" s="128">
        <f t="shared" si="32"/>
        <v>-332542.56</v>
      </c>
    </row>
    <row r="66" spans="1:21" ht="14.25">
      <c r="A66" s="50" t="s">
        <v>116</v>
      </c>
      <c r="C66" s="128">
        <f>+C64+C65</f>
        <v>-3438860.094971625</v>
      </c>
      <c r="D66" s="103"/>
      <c r="E66" s="128">
        <f>+E64+E65</f>
        <v>-3438860.094971625</v>
      </c>
      <c r="F66" s="128">
        <f>+F64+F65</f>
        <v>-1281058.348520595</v>
      </c>
      <c r="G66" s="128">
        <f>+G64+G65</f>
        <v>-876032.5432486982</v>
      </c>
      <c r="H66" s="128">
        <f>+H64+H65</f>
        <v>-658577.1832185085</v>
      </c>
      <c r="I66" s="128">
        <f>+I64+I65</f>
        <v>-623192.0199838235</v>
      </c>
      <c r="J66" s="128">
        <f aca="true" t="shared" si="33" ref="J66:T66">+J64+J65</f>
        <v>-431188.88463135465</v>
      </c>
      <c r="K66" s="128">
        <f t="shared" si="33"/>
        <v>-425893.3162392525</v>
      </c>
      <c r="L66" s="128">
        <f t="shared" si="33"/>
        <v>-423976.14764998807</v>
      </c>
      <c r="M66" s="128">
        <f t="shared" si="33"/>
        <v>-411055.01670202153</v>
      </c>
      <c r="N66" s="128">
        <f t="shared" si="33"/>
        <v>-236157.42183637942</v>
      </c>
      <c r="O66" s="128">
        <f t="shared" si="33"/>
        <v>-228820.10471029734</v>
      </c>
      <c r="P66" s="128">
        <f t="shared" si="33"/>
        <v>-221277.39428098797</v>
      </c>
      <c r="Q66" s="128">
        <f t="shared" si="33"/>
        <v>-227276.97177587196</v>
      </c>
      <c r="R66" s="128">
        <f t="shared" si="33"/>
        <v>-210022.81716164877</v>
      </c>
      <c r="S66" s="128">
        <f t="shared" si="33"/>
        <v>-208958.15857003035</v>
      </c>
      <c r="T66" s="128">
        <f t="shared" si="33"/>
        <v>-209586.31007693036</v>
      </c>
      <c r="U66" s="128">
        <f>+U64+U65</f>
        <v>-204647.55133686276</v>
      </c>
    </row>
    <row r="67" spans="3:9" ht="14.25">
      <c r="C67" s="128"/>
      <c r="E67" s="128"/>
      <c r="F67" s="128"/>
      <c r="G67" s="128"/>
      <c r="H67" s="128"/>
      <c r="I67" s="128"/>
    </row>
    <row r="68" spans="1:9" ht="15">
      <c r="A68" s="102" t="s">
        <v>114</v>
      </c>
      <c r="C68" s="128"/>
      <c r="E68" s="128"/>
      <c r="F68" s="128"/>
      <c r="G68" s="128"/>
      <c r="H68" s="128"/>
      <c r="I68" s="128"/>
    </row>
    <row r="69" spans="1:21" ht="14.25">
      <c r="A69" s="111" t="s">
        <v>18</v>
      </c>
      <c r="C69" s="128">
        <f>-C42</f>
        <v>715610.8900000001</v>
      </c>
      <c r="D69" s="103"/>
      <c r="E69" s="128">
        <f aca="true" t="shared" si="34" ref="E69:J69">-E42</f>
        <v>715610.8900000001</v>
      </c>
      <c r="F69" s="128">
        <f t="shared" si="34"/>
        <v>133486.80000000002</v>
      </c>
      <c r="G69" s="128">
        <f t="shared" si="34"/>
        <v>174131.78</v>
      </c>
      <c r="H69" s="128">
        <f t="shared" si="34"/>
        <v>199440.81</v>
      </c>
      <c r="I69" s="128">
        <f t="shared" si="34"/>
        <v>208551.5</v>
      </c>
      <c r="J69" s="128">
        <f t="shared" si="34"/>
        <v>46369.62</v>
      </c>
      <c r="K69" s="128">
        <f aca="true" t="shared" si="35" ref="J69:L70">-K42</f>
        <v>61979.05</v>
      </c>
      <c r="L69" s="128">
        <f t="shared" si="35"/>
        <v>25138.129999999997</v>
      </c>
      <c r="M69" s="128">
        <f aca="true" t="shared" si="36" ref="M69:O70">-M42</f>
        <v>66155.02</v>
      </c>
      <c r="N69" s="128">
        <f t="shared" si="36"/>
        <v>78452.35</v>
      </c>
      <c r="O69" s="128">
        <f t="shared" si="36"/>
        <v>29524.41</v>
      </c>
      <c r="P69" s="128">
        <f aca="true" t="shared" si="37" ref="P69:R70">-P42</f>
        <v>101142.35</v>
      </c>
      <c r="Q69" s="128">
        <f t="shared" si="37"/>
        <v>24274.13</v>
      </c>
      <c r="R69" s="128">
        <f t="shared" si="37"/>
        <v>74024.33</v>
      </c>
      <c r="S69" s="128">
        <f aca="true" t="shared" si="38" ref="S69:U70">-S42</f>
        <v>109751.74</v>
      </c>
      <c r="T69" s="128">
        <f t="shared" si="38"/>
        <v>-4270.780000000001</v>
      </c>
      <c r="U69" s="128">
        <f t="shared" si="38"/>
        <v>103070.54000000001</v>
      </c>
    </row>
    <row r="70" spans="1:21" ht="14.25">
      <c r="A70" s="111" t="s">
        <v>19</v>
      </c>
      <c r="C70" s="128">
        <f>-C43</f>
        <v>1380892.8099999998</v>
      </c>
      <c r="D70" s="103"/>
      <c r="E70" s="128">
        <f>-E43</f>
        <v>1380892.81</v>
      </c>
      <c r="F70" s="128">
        <f>-F43</f>
        <v>242757.81533333333</v>
      </c>
      <c r="G70" s="128">
        <f>-G43</f>
        <v>320677.993</v>
      </c>
      <c r="H70" s="128">
        <f>-H43</f>
        <v>380836.7511666667</v>
      </c>
      <c r="I70" s="128">
        <f>-I43</f>
        <v>436620.2505</v>
      </c>
      <c r="J70" s="128">
        <f t="shared" si="35"/>
        <v>74541.15277777778</v>
      </c>
      <c r="K70" s="128">
        <f t="shared" si="35"/>
        <v>82562.77844444444</v>
      </c>
      <c r="L70" s="128">
        <f t="shared" si="35"/>
        <v>85653.88411111111</v>
      </c>
      <c r="M70" s="128">
        <f t="shared" si="36"/>
        <v>102001.16966666668</v>
      </c>
      <c r="N70" s="128">
        <f t="shared" si="36"/>
        <v>104237.57722222223</v>
      </c>
      <c r="O70" s="128">
        <f t="shared" si="36"/>
        <v>114439.24611111112</v>
      </c>
      <c r="P70" s="128">
        <f t="shared" si="37"/>
        <v>127421.43275</v>
      </c>
      <c r="Q70" s="128">
        <f t="shared" si="37"/>
        <v>117557.94625000001</v>
      </c>
      <c r="R70" s="128">
        <f t="shared" si="37"/>
        <v>135857.37216666667</v>
      </c>
      <c r="S70" s="128">
        <f t="shared" si="38"/>
        <v>140079.90383333334</v>
      </c>
      <c r="T70" s="128">
        <f t="shared" si="38"/>
        <v>143821.722</v>
      </c>
      <c r="U70" s="128">
        <f t="shared" si="38"/>
        <v>152718.62466666667</v>
      </c>
    </row>
    <row r="71" spans="1:22" ht="14.25">
      <c r="A71" s="50" t="s">
        <v>115</v>
      </c>
      <c r="C71" s="128">
        <f>+C47</f>
        <v>173696.14635691335</v>
      </c>
      <c r="D71" s="103"/>
      <c r="E71" s="128">
        <f aca="true" t="shared" si="39" ref="E71:L71">+E47</f>
        <v>173696.14635691335</v>
      </c>
      <c r="F71" s="128">
        <f t="shared" si="39"/>
        <v>43424.03658922834</v>
      </c>
      <c r="G71" s="128">
        <f t="shared" si="39"/>
        <v>43424.03658922834</v>
      </c>
      <c r="H71" s="128">
        <f t="shared" si="39"/>
        <v>43424.03658922834</v>
      </c>
      <c r="I71" s="128">
        <f t="shared" si="39"/>
        <v>43424.03658922834</v>
      </c>
      <c r="J71" s="128">
        <f>+J47</f>
        <v>14474.678863076113</v>
      </c>
      <c r="K71" s="128">
        <f t="shared" si="39"/>
        <v>14474.678863076113</v>
      </c>
      <c r="L71" s="128">
        <f t="shared" si="39"/>
        <v>14474.678863076113</v>
      </c>
      <c r="M71" s="128">
        <f aca="true" t="shared" si="40" ref="M71:R71">+M47</f>
        <v>14474.678863076113</v>
      </c>
      <c r="N71" s="128">
        <f t="shared" si="40"/>
        <v>14474.678863076113</v>
      </c>
      <c r="O71" s="128">
        <f t="shared" si="40"/>
        <v>14474.678863076113</v>
      </c>
      <c r="P71" s="128">
        <f t="shared" si="40"/>
        <v>14474.678863076113</v>
      </c>
      <c r="Q71" s="128">
        <f t="shared" si="40"/>
        <v>14474.678863076113</v>
      </c>
      <c r="R71" s="128">
        <f t="shared" si="40"/>
        <v>14474.678863076113</v>
      </c>
      <c r="S71" s="128">
        <f>+S47</f>
        <v>14474.678863076113</v>
      </c>
      <c r="T71" s="128">
        <f>+T47</f>
        <v>14474.678863076113</v>
      </c>
      <c r="U71" s="128">
        <f>+U47</f>
        <v>14474.678863076113</v>
      </c>
      <c r="V71" s="128"/>
    </row>
    <row r="72" spans="1:22" ht="14.25">
      <c r="A72" s="50" t="s">
        <v>112</v>
      </c>
      <c r="C72" s="128">
        <f>+C57</f>
        <v>-64831.18034203763</v>
      </c>
      <c r="D72" s="103"/>
      <c r="E72" s="128">
        <f aca="true" t="shared" si="41" ref="E72:L72">+E57</f>
        <v>-64831.18034203763</v>
      </c>
      <c r="F72" s="128">
        <f t="shared" si="41"/>
        <v>-13385.625188171456</v>
      </c>
      <c r="G72" s="128">
        <f t="shared" si="41"/>
        <v>-18166.87593019923</v>
      </c>
      <c r="H72" s="128">
        <f t="shared" si="41"/>
        <v>-16604.78340621824</v>
      </c>
      <c r="I72" s="128">
        <f t="shared" si="41"/>
        <v>-16673.895817448705</v>
      </c>
      <c r="J72" s="128">
        <f t="shared" si="41"/>
        <v>-3311.6324211539886</v>
      </c>
      <c r="K72" s="128">
        <f t="shared" si="41"/>
        <v>-4305.991311674752</v>
      </c>
      <c r="L72" s="128">
        <f t="shared" si="41"/>
        <v>-5768.001455342716</v>
      </c>
      <c r="M72" s="128">
        <f aca="true" t="shared" si="42" ref="M72:R72">+M57</f>
        <v>-5432.497806478002</v>
      </c>
      <c r="N72" s="128">
        <f t="shared" si="42"/>
        <v>-6405.117676579684</v>
      </c>
      <c r="O72" s="128">
        <f t="shared" si="42"/>
        <v>-6329.2604471415425</v>
      </c>
      <c r="P72" s="128">
        <f t="shared" si="42"/>
        <v>-5570.297144583586</v>
      </c>
      <c r="Q72" s="128">
        <f t="shared" si="42"/>
        <v>-5508.382436571603</v>
      </c>
      <c r="R72" s="128">
        <f t="shared" si="42"/>
        <v>-5526.103825063053</v>
      </c>
      <c r="S72" s="128">
        <f>+S57</f>
        <v>-5669.525351440912</v>
      </c>
      <c r="T72" s="128">
        <f>+T57</f>
        <v>-5334.240437023477</v>
      </c>
      <c r="U72" s="128">
        <f>+U57</f>
        <v>-5670.1300289843175</v>
      </c>
      <c r="V72" s="128"/>
    </row>
    <row r="73" spans="1:21" ht="12.75" customHeight="1">
      <c r="A73" s="50" t="s">
        <v>117</v>
      </c>
      <c r="C73" s="128">
        <f>SUM(C69:C72)</f>
        <v>2205368.6660148758</v>
      </c>
      <c r="D73" s="103"/>
      <c r="E73" s="128">
        <f aca="true" t="shared" si="43" ref="E73:L73">SUM(E69:E72)</f>
        <v>2205368.6660148758</v>
      </c>
      <c r="F73" s="128">
        <f t="shared" si="43"/>
        <v>406283.02673439024</v>
      </c>
      <c r="G73" s="128">
        <f t="shared" si="43"/>
        <v>520066.93365902914</v>
      </c>
      <c r="H73" s="128">
        <f t="shared" si="43"/>
        <v>607096.8143496767</v>
      </c>
      <c r="I73" s="128">
        <f t="shared" si="43"/>
        <v>671921.8912717797</v>
      </c>
      <c r="J73" s="128">
        <f t="shared" si="43"/>
        <v>132073.81921969992</v>
      </c>
      <c r="K73" s="128">
        <f t="shared" si="43"/>
        <v>154710.5159958458</v>
      </c>
      <c r="L73" s="128">
        <f t="shared" si="43"/>
        <v>119498.69151884451</v>
      </c>
      <c r="M73" s="128">
        <f aca="true" t="shared" si="44" ref="M73:T73">SUM(M69:M72)</f>
        <v>177198.3707232648</v>
      </c>
      <c r="N73" s="128">
        <f t="shared" si="44"/>
        <v>190759.48840871867</v>
      </c>
      <c r="O73" s="128">
        <f t="shared" si="44"/>
        <v>152109.07452704568</v>
      </c>
      <c r="P73" s="128">
        <f t="shared" si="44"/>
        <v>237468.16446849256</v>
      </c>
      <c r="Q73" s="128">
        <f t="shared" si="44"/>
        <v>150798.3726765045</v>
      </c>
      <c r="R73" s="128">
        <f t="shared" si="44"/>
        <v>218830.27720467973</v>
      </c>
      <c r="S73" s="128">
        <f t="shared" si="44"/>
        <v>258636.7973449685</v>
      </c>
      <c r="T73" s="128">
        <f t="shared" si="44"/>
        <v>148691.38042605264</v>
      </c>
      <c r="U73" s="128">
        <f>SUM(U69:U72)</f>
        <v>264593.71350075846</v>
      </c>
    </row>
    <row r="74" spans="3:9" ht="12.75" customHeight="1">
      <c r="C74" s="128"/>
      <c r="D74" s="103"/>
      <c r="E74" s="128"/>
      <c r="F74" s="128"/>
      <c r="G74" s="128"/>
      <c r="H74" s="128"/>
      <c r="I74" s="128"/>
    </row>
    <row r="75" spans="1:22" ht="15">
      <c r="A75" s="102" t="s">
        <v>118</v>
      </c>
      <c r="C75" s="128">
        <f>+C73+C66</f>
        <v>-1233491.4289567494</v>
      </c>
      <c r="D75" s="103"/>
      <c r="E75" s="128">
        <f aca="true" t="shared" si="45" ref="E75:J75">+E73+E66</f>
        <v>-1233491.4289567494</v>
      </c>
      <c r="F75" s="128">
        <f t="shared" si="45"/>
        <v>-874775.3217862048</v>
      </c>
      <c r="G75" s="128">
        <f t="shared" si="45"/>
        <v>-355965.6095896691</v>
      </c>
      <c r="H75" s="128">
        <f t="shared" si="45"/>
        <v>-51480.36886883178</v>
      </c>
      <c r="I75" s="128">
        <f t="shared" si="45"/>
        <v>48729.871287956135</v>
      </c>
      <c r="J75" s="128">
        <f t="shared" si="45"/>
        <v>-299115.06541165477</v>
      </c>
      <c r="K75" s="128">
        <f aca="true" t="shared" si="46" ref="K75:U75">+K73+K66</f>
        <v>-271182.8002434067</v>
      </c>
      <c r="L75" s="128">
        <f t="shared" si="46"/>
        <v>-304477.45613114355</v>
      </c>
      <c r="M75" s="128">
        <f t="shared" si="46"/>
        <v>-233856.64597875674</v>
      </c>
      <c r="N75" s="128">
        <f t="shared" si="46"/>
        <v>-45397.933427660755</v>
      </c>
      <c r="O75" s="128">
        <f t="shared" si="46"/>
        <v>-76711.03018325166</v>
      </c>
      <c r="P75" s="128">
        <f t="shared" si="46"/>
        <v>16190.77018750459</v>
      </c>
      <c r="Q75" s="128">
        <f t="shared" si="46"/>
        <v>-76478.59909936745</v>
      </c>
      <c r="R75" s="128">
        <f t="shared" si="46"/>
        <v>8807.460043030966</v>
      </c>
      <c r="S75" s="128">
        <f t="shared" si="46"/>
        <v>49678.638774938154</v>
      </c>
      <c r="T75" s="128">
        <f t="shared" si="46"/>
        <v>-60894.92965087772</v>
      </c>
      <c r="U75" s="128">
        <f t="shared" si="46"/>
        <v>59946.1621638957</v>
      </c>
      <c r="V75" s="128">
        <f>SUM(J75:U75)</f>
        <v>-1233491.4289567496</v>
      </c>
    </row>
  </sheetData>
  <sheetProtection/>
  <mergeCells count="1">
    <mergeCell ref="B3:C3"/>
  </mergeCells>
  <printOptions/>
  <pageMargins left="0.7" right="0.7" top="0.98" bottom="0.75" header="0.37" footer="0.3"/>
  <pageSetup fitToHeight="0" horizontalDpi="600" verticalDpi="600" orientation="landscape" paperSize="5" scale="45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60" zoomScalePageLayoutView="0" workbookViewId="0" topLeftCell="A1">
      <selection activeCell="A10" sqref="A10"/>
    </sheetView>
  </sheetViews>
  <sheetFormatPr defaultColWidth="9.140625" defaultRowHeight="12.75" customHeight="1"/>
  <cols>
    <col min="1" max="1" width="45.8515625" style="91" customWidth="1"/>
    <col min="2" max="2" width="14.421875" style="91" bestFit="1" customWidth="1"/>
    <col min="3" max="3" width="11.8515625" style="91" bestFit="1" customWidth="1"/>
    <col min="4" max="4" width="14.421875" style="91" bestFit="1" customWidth="1"/>
    <col min="5" max="5" width="1.7109375" style="91" customWidth="1"/>
    <col min="6" max="6" width="9.7109375" style="91" bestFit="1" customWidth="1"/>
    <col min="7" max="16384" width="9.140625" style="91" customWidth="1"/>
  </cols>
  <sheetData>
    <row r="1" ht="15">
      <c r="A1" s="90" t="s">
        <v>195</v>
      </c>
    </row>
    <row r="3" ht="14.25">
      <c r="B3" s="92">
        <v>39813</v>
      </c>
    </row>
    <row r="4" ht="15">
      <c r="A4" s="90" t="s">
        <v>23</v>
      </c>
    </row>
    <row r="5" spans="1:6" ht="14.25">
      <c r="A5" s="91" t="s">
        <v>38</v>
      </c>
      <c r="B5" s="99">
        <f>+'Rev Req 08'!C45</f>
        <v>634340.6463154362</v>
      </c>
      <c r="F5" s="99"/>
    </row>
    <row r="6" spans="1:6" ht="14.25">
      <c r="A6" s="91" t="s">
        <v>39</v>
      </c>
      <c r="B6" s="96">
        <f>+'Rev Req 08'!C37</f>
        <v>1380892.8099999998</v>
      </c>
      <c r="F6" s="99"/>
    </row>
    <row r="7" spans="1:6" ht="14.25">
      <c r="A7" s="91" t="s">
        <v>40</v>
      </c>
      <c r="B7" s="96">
        <f>-'Avg Assets 08'!D84</f>
        <v>-1475283.0235039997</v>
      </c>
      <c r="F7" s="99"/>
    </row>
    <row r="8" spans="1:6" ht="14.25">
      <c r="A8" s="91" t="s">
        <v>91</v>
      </c>
      <c r="B8" s="96">
        <f>-'Avg Assets 08'!D96</f>
        <v>-1640.1599999999999</v>
      </c>
      <c r="F8" s="99"/>
    </row>
    <row r="9" spans="1:6" ht="14.25">
      <c r="A9" s="91" t="s">
        <v>156</v>
      </c>
      <c r="B9" s="96">
        <f>-'Avg Assets 08'!D109</f>
        <v>-305226.3335</v>
      </c>
      <c r="F9" s="99"/>
    </row>
    <row r="10" spans="1:3" ht="14.25">
      <c r="A10" s="91" t="s">
        <v>24</v>
      </c>
      <c r="B10" s="97">
        <f>SUM(B5:B9)</f>
        <v>233083.9393114362</v>
      </c>
      <c r="C10" s="99"/>
    </row>
    <row r="11" spans="1:2" ht="14.25">
      <c r="A11" s="91" t="s">
        <v>42</v>
      </c>
      <c r="B11" s="141">
        <f>Inputs!C15</f>
        <v>0.335</v>
      </c>
    </row>
    <row r="12" spans="1:2" ht="14.25">
      <c r="A12" s="91" t="s">
        <v>25</v>
      </c>
      <c r="B12" s="94">
        <f>B10*B11</f>
        <v>78083.11966933114</v>
      </c>
    </row>
    <row r="13" ht="14.25"/>
    <row r="14" ht="15">
      <c r="A14" s="90" t="s">
        <v>26</v>
      </c>
    </row>
    <row r="15" spans="1:2" ht="14.25">
      <c r="A15" s="91" t="s">
        <v>43</v>
      </c>
      <c r="B15" s="96">
        <f>+'Avg Assets 08'!D16</f>
        <v>24120329.84133333</v>
      </c>
    </row>
    <row r="16" spans="1:2" ht="14.25">
      <c r="A16" s="91" t="s">
        <v>86</v>
      </c>
      <c r="B16" s="96">
        <f>'Avg Assets 08'!D32</f>
        <v>7745.2</v>
      </c>
    </row>
    <row r="17" spans="1:2" ht="14.25">
      <c r="A17" s="91" t="s">
        <v>44</v>
      </c>
      <c r="B17" s="96">
        <f>+'Avg Assets 08'!D48</f>
        <v>41815.638999999996</v>
      </c>
    </row>
    <row r="18" spans="1:2" ht="14.25">
      <c r="A18" s="91" t="s">
        <v>5</v>
      </c>
      <c r="B18" s="142">
        <f>+'Avg Assets 08'!D64</f>
        <v>842518.7819999999</v>
      </c>
    </row>
    <row r="19" spans="1:2" ht="14.25">
      <c r="A19" s="91" t="s">
        <v>27</v>
      </c>
      <c r="B19" s="99">
        <f>SUM(B15:B18)</f>
        <v>25012409.46233333</v>
      </c>
    </row>
    <row r="20" spans="1:2" ht="14.25">
      <c r="A20" s="91" t="s">
        <v>28</v>
      </c>
      <c r="B20" s="96">
        <v>0</v>
      </c>
    </row>
    <row r="21" spans="1:2" ht="14.25">
      <c r="A21" s="91" t="s">
        <v>29</v>
      </c>
      <c r="B21" s="97">
        <f>B19-B20</f>
        <v>25012409.46233333</v>
      </c>
    </row>
    <row r="22" spans="1:2" ht="14.25">
      <c r="A22" s="91" t="s">
        <v>30</v>
      </c>
      <c r="B22" s="143">
        <v>0.00225</v>
      </c>
    </row>
    <row r="23" spans="1:2" ht="14.25">
      <c r="A23" s="91" t="s">
        <v>31</v>
      </c>
      <c r="B23" s="94">
        <f>B21*B22</f>
        <v>56277.921290249986</v>
      </c>
    </row>
    <row r="24" spans="3:4" ht="14.25">
      <c r="C24" s="144"/>
      <c r="D24" s="144"/>
    </row>
    <row r="25" ht="14.25"/>
    <row r="26" spans="1:4" ht="15">
      <c r="A26" s="145" t="s">
        <v>32</v>
      </c>
      <c r="C26" s="141"/>
      <c r="D26" s="146"/>
    </row>
    <row r="27" spans="2:4" ht="28.5">
      <c r="B27" s="91" t="s">
        <v>33</v>
      </c>
      <c r="C27" s="147" t="s">
        <v>32</v>
      </c>
      <c r="D27" s="148" t="s">
        <v>34</v>
      </c>
    </row>
    <row r="28" spans="1:4" ht="14.25">
      <c r="A28" s="91" t="s">
        <v>35</v>
      </c>
      <c r="B28" s="99">
        <f>B12</f>
        <v>78083.11966933114</v>
      </c>
      <c r="C28" s="149">
        <f>B11</f>
        <v>0.335</v>
      </c>
      <c r="D28" s="96">
        <f>B28/(1-C28)</f>
        <v>117418.22506666336</v>
      </c>
    </row>
    <row r="29" spans="1:4" ht="14.25">
      <c r="A29" s="91" t="s">
        <v>36</v>
      </c>
      <c r="B29" s="99">
        <f>B23</f>
        <v>56277.921290249986</v>
      </c>
      <c r="D29" s="96">
        <f>B29</f>
        <v>56277.921290249986</v>
      </c>
    </row>
    <row r="30" spans="1:5" ht="15">
      <c r="A30" s="91" t="s">
        <v>37</v>
      </c>
      <c r="B30" s="97">
        <f>SUM(B28:B29)</f>
        <v>134361.04095958112</v>
      </c>
      <c r="D30" s="150">
        <f>SUM(D28:D29)</f>
        <v>173696.14635691335</v>
      </c>
      <c r="E30" s="100"/>
    </row>
    <row r="31" ht="13.5" customHeight="1"/>
    <row r="32" ht="12.75" customHeight="1">
      <c r="B32" s="144"/>
    </row>
    <row r="33" ht="12.75" customHeight="1">
      <c r="B33" s="144"/>
    </row>
    <row r="34" ht="12.75" customHeight="1">
      <c r="B34" s="144"/>
    </row>
    <row r="35" ht="12.75" customHeight="1">
      <c r="B35" s="144"/>
    </row>
    <row r="36" ht="12.75" customHeight="1">
      <c r="B36" s="144"/>
    </row>
    <row r="37" ht="12.75" customHeight="1">
      <c r="B37" s="144"/>
    </row>
    <row r="38" ht="12.75" customHeight="1">
      <c r="B38" s="144"/>
    </row>
    <row r="39" ht="12.75" customHeight="1">
      <c r="B39" s="144"/>
    </row>
    <row r="40" ht="12.75" customHeight="1">
      <c r="B40" s="144"/>
    </row>
    <row r="41" ht="12.75" customHeight="1">
      <c r="B41" s="144"/>
    </row>
    <row r="42" ht="12.75" customHeight="1">
      <c r="B42" s="144"/>
    </row>
    <row r="43" ht="12.75" customHeight="1">
      <c r="B43" s="144"/>
    </row>
    <row r="44" ht="12.75" customHeight="1">
      <c r="B44" s="144"/>
    </row>
    <row r="45" ht="12.75" customHeight="1">
      <c r="B45" s="144"/>
    </row>
    <row r="46" ht="12.75" customHeight="1">
      <c r="B46" s="144"/>
    </row>
    <row r="47" ht="12.75" customHeight="1">
      <c r="B47" s="144"/>
    </row>
    <row r="48" ht="12.75" customHeight="1">
      <c r="B48" s="144"/>
    </row>
    <row r="49" ht="12.75" customHeight="1">
      <c r="B49" s="144"/>
    </row>
    <row r="50" spans="2:3" ht="12.75" customHeight="1">
      <c r="B50" s="144"/>
      <c r="C50" s="144"/>
    </row>
  </sheetData>
  <sheetProtection/>
  <printOptions/>
  <pageMargins left="0.7" right="0.7" top="0.98" bottom="0.75" header="0.37" footer="0.3"/>
  <pageSetup horizontalDpi="600" verticalDpi="600" orientation="portrait" scale="50" r:id="rId2"/>
  <headerFooter alignWithMargins="0">
    <oddHeader>&amp;L&amp;G&amp;RHydro Ottawa Limited
EB-2010-0133
Filed: 2010-09-09
Tab D  - VECC Interrogatory Responses
Interrogatory #65
Attachment 1
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Anderson</dc:creator>
  <cp:keywords/>
  <dc:description/>
  <cp:lastModifiedBy>Janes</cp:lastModifiedBy>
  <cp:lastPrinted>2010-09-09T15:03:46Z</cp:lastPrinted>
  <dcterms:created xsi:type="dcterms:W3CDTF">2007-06-03T16:12:56Z</dcterms:created>
  <dcterms:modified xsi:type="dcterms:W3CDTF">2010-09-09T17:33:51Z</dcterms:modified>
  <cp:category/>
  <cp:version/>
  <cp:contentType/>
  <cp:contentStatus/>
</cp:coreProperties>
</file>