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<sst xmlns="http://schemas.openxmlformats.org/spreadsheetml/2006/main" count="406" uniqueCount="286">
  <si>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</si>
  <si>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</si>
  <si>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</si>
  <si>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</si>
  <si>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</si>
  <si>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</si>
  <si>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</si>
  <si>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</si>
  <si>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</si>
  <si>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</si>
  <si>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</si>
  <si>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</si>
  <si>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</si>
  <si>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</si>
  <si>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</si>
  <si>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</si>
  <si>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</si>
  <si>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</si>
  <si>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</si>
  <si>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</si>
  <si>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</si>
  <si>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</si>
  <si>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</si>
  <si>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</si>
  <si>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</si>
  <si>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</si>
  <si>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</si>
  <si>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</si>
  <si>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</si>
  <si>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</si>
  <si>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</si>
  <si>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</si>
  <si>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</si>
  <si>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</si>
  <si>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</si>
  <si>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</si>
  <si>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</si>
  <si>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</si>
  <si>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</si>
  <si>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</si>
  <si>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</si>
  <si>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</si>
  <si>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</si>
  <si>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</si>
  <si>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</si>
  <si>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</si>
  <si>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</si>
  <si>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</si>
  <si>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</si>
  <si>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</si>
  <si>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</si>
  <si>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</si>
  <si>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</si>
  <si>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</si>
  <si>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</si>
  <si>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</si>
  <si>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</si>
  <si>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</si>
  <si>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</si>
  <si>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</si>
  <si>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</si>
  <si>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</si>
  <si>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</si>
  <si>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</si>
  <si>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</si>
  <si>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</si>
  <si>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</si>
  <si>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</si>
  <si>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</si>
  <si>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</si>
  <si>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</si>
  <si>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</si>
  <si>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</si>
  <si>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</si>
  <si>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</si>
  <si>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</si>
  <si>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</si>
  <si>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</si>
  <si>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</si>
  <si>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</si>
  <si>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</si>
  <si>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</si>
  <si>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</si>
  <si>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</si>
  <si>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</si>
  <si>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</si>
  <si>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</si>
  <si>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</si>
  <si>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</si>
  <si>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</si>
  <si>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</si>
  <si>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</si>
  <si>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</si>
  <si>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</si>
  <si>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</si>
  <si>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</si>
  <si>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</si>
  <si>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</si>
  <si>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</si>
  <si>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</si>
  <si>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</si>
  <si>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</si>
  <si>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</si>
  <si>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</si>
  <si>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</si>
  <si>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</si>
  <si>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</si>
  <si>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</si>
  <si>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</si>
  <si>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</si>
  <si>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</si>
  <si>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</si>
  <si>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</si>
  <si>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</si>
  <si>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</si>
  <si>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</si>
  <si>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</si>
  <si>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</si>
  <si>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</si>
  <si>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</si>
  <si>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</si>
  <si>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</si>
  <si>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</si>
  <si>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</si>
  <si>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</si>
  <si>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</si>
  <si>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</si>
  <si>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</si>
  <si>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</si>
  <si>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</si>
  <si>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</si>
  <si>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</si>
  <si>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</si>
  <si>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</si>
  <si>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</si>
  <si>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</si>
  <si>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</si>
  <si>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</si>
  <si>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</si>
  <si>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</si>
  <si>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</si>
  <si>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</si>
  <si>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</si>
  <si>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</si>
  <si>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</si>
  <si>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</si>
  <si>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</si>
  <si>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</si>
  <si>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</si>
  <si>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</si>
  <si>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</si>
  <si>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</si>
  <si>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</si>
  <si>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</si>
  <si>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</si>
  <si>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</si>
  <si>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</si>
  <si>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</si>
  <si>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</si>
  <si>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</si>
  <si>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</si>
  <si>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</si>
  <si>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</si>
  <si>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</si>
  <si>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</si>
  <si>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</si>
  <si>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</si>
  <si>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</si>
  <si>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</si>
  <si>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</si>
  <si>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</si>
  <si>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</si>
  <si>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</si>
  <si>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</si>
  <si>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</si>
  <si>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</si>
  <si>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</si>
  <si>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</si>
  <si>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</si>
  <si>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</si>
  <si>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</si>
  <si>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</si>
  <si>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</si>
  <si>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</si>
  <si>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</si>
  <si>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</si>
  <si>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</si>
  <si>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</si>
  <si>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</si>
  <si>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</si>
  <si>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</si>
  <si>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</si>
  <si>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</si>
  <si>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</si>
  <si>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</si>
  <si>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</si>
  <si>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</si>
  <si>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</si>
  <si>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</si>
  <si>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</si>
  <si>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</si>
  <si>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</si>
  <si>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</si>
  <si>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</si>
  <si>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</si>
  <si>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</si>
  <si>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</si>
  <si>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</si>
  <si>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</si>
  <si>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</si>
  <si>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</si>
  <si>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</si>
  <si>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</si>
  <si>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</si>
  <si>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</si>
  <si>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</si>
  <si>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</si>
  <si>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</si>
  <si>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</si>
  <si>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</si>
  <si>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</si>
  <si>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</si>
  <si>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</si>
  <si>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</si>
  <si>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</si>
  <si>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</si>
  <si>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</si>
  <si>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</si>
  <si>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</si>
  <si>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</si>
  <si>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</si>
  <si>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</si>
  <si>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</si>
  <si>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</si>
  <si>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</si>
  <si>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</si>
  <si>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</si>
  <si>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</si>
  <si>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</si>
  <si>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</si>
  <si>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</si>
  <si>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</si>
  <si>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</si>
  <si>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</si>
  <si>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</si>
  <si>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</si>
  <si>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</si>
  <si>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</si>
  <si>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</si>
  <si>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</si>
  <si>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</si>
  <si>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</si>
  <si>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</si>
  <si>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</si>
  <si>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</si>
  <si>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</si>
  <si>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</si>
  <si>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</si>
  <si>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</si>
  <si>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</si>
  <si>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</si>
  <si>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</si>
  <si>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</si>
  <si>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</si>
  <si>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</si>
  <si>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</si>
  <si>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</si>
  <si>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</si>
  <si>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</si>
  <si>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</si>
  <si>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</si>
  <si>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</si>
  <si>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</si>
  <si>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</si>
  <si>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</si>
  <si>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</si>
  <si>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</si>
  <si>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</si>
  <si>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</si>
  <si>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Lakeland Power Distribution Ltd.</t>
  </si>
  <si>
    <t>ED-2002-0540</t>
  </si>
  <si>
    <t>Margaret Maw</t>
  </si>
  <si>
    <t>Chief Financial Officer</t>
  </si>
  <si>
    <t>705-789-5442</t>
  </si>
  <si>
    <t>mmaw@lakelandholding.com</t>
  </si>
  <si>
    <t>(over 24 months-eff to April 30, 2013)</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</si>
</sst>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0.0%"/>
    <numFmt numFmtId="167" formatCode="_-* #,##0.0_-;\-* #,##0.0_-;_-* &quot;-&quot;??_-;_-@_-"/>
    <numFmt numFmtId="168" formatCode="_-* #,##0_-;\-* #,##0_-;_-* &quot;-&quot;??_-;_-@_-"/>
    <numFmt numFmtId="169" formatCode="_-* #,##0.0_-;\-* #,##0.0_-;_-* &quot;-&quot;?_-;_-@_-"/>
    <numFmt numFmtId="170" formatCode="0.000%"/>
    <numFmt numFmtId="171" formatCode="_-&quot;$&quot;* #,##0.000_-;\-&quot;$&quot;* #,##0.000_-;_-&quot;$&quot;* &quot;-&quot;??_-;_-@_-"/>
    <numFmt numFmtId="172" formatCode="_-&quot;$&quot;* #,##0.0000_-;\-&quot;$&quot;* #,##0.0000_-;_-&quot;$&quot;* &quot;-&quot;??_-;_-@_-"/>
    <numFmt numFmtId="173" formatCode="0.0000000000000000%"/>
    <numFmt numFmtId="174" formatCode="_-* #,##0.0000_-;\-* #,##0.0000_-;_-* &quot;-&quot;????_-;_-@_-"/>
    <numFmt numFmtId="175" formatCode="_-&quot;$&quot;* #,##0.00000_-;\-&quot;$&quot;* #,##0.00000_-;_-&quot;$&quot;* &quot;-&quot;??_-;_-@_-"/>
    <numFmt numFmtId="176" formatCode="_-&quot;$&quot;* #,##0.000000_-;\-&quot;$&quot;* #,##0.000000_-;_-&quot;$&quot;* &quot;-&quot;??_-;_-@_-"/>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43">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24"/>
      <color indexed="10"/>
      <name val="Cooper Black"/>
      <family val="1"/>
    </font>
    <font>
      <sz val="1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9" fillId="0" borderId="0" applyNumberFormat="0" applyFill="0" applyBorder="0" applyAlignment="0" applyProtection="0"/>
  </cellStyleXfs>
  <cellXfs count="177">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68" fontId="0" fillId="4" borderId="0" xfId="42" applyNumberFormat="1" applyFill="1" applyAlignment="1" applyProtection="1">
      <alignment/>
      <protection locked="0"/>
    </xf>
    <xf numFmtId="168" fontId="0" fillId="24" borderId="0" xfId="0" applyNumberFormat="1" applyFill="1" applyAlignment="1" applyProtection="1">
      <alignment/>
      <protection/>
    </xf>
    <xf numFmtId="0" fontId="7" fillId="24" borderId="0" xfId="0" applyFont="1" applyFill="1" applyAlignment="1" applyProtection="1">
      <alignment/>
      <protection/>
    </xf>
    <xf numFmtId="168" fontId="0" fillId="24" borderId="11" xfId="42" applyNumberFormat="1" applyFill="1" applyBorder="1" applyAlignment="1" applyProtection="1">
      <alignment/>
      <protection/>
    </xf>
    <xf numFmtId="168"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165" fontId="9" fillId="4" borderId="13" xfId="44" applyNumberFormat="1" applyFont="1" applyFill="1" applyBorder="1" applyAlignment="1" applyProtection="1">
      <alignment/>
      <protection locked="0"/>
    </xf>
    <xf numFmtId="165" fontId="0" fillId="24" borderId="0" xfId="0" applyNumberFormat="1" applyFill="1" applyAlignment="1" applyProtection="1">
      <alignment/>
      <protection/>
    </xf>
    <xf numFmtId="0" fontId="20" fillId="24" borderId="0" xfId="0" applyFont="1" applyFill="1" applyAlignment="1" applyProtection="1">
      <alignment horizontal="left" wrapText="1" indent="2"/>
      <protection/>
    </xf>
    <xf numFmtId="165" fontId="7" fillId="24" borderId="12" xfId="44" applyNumberFormat="1" applyFont="1" applyFill="1" applyBorder="1" applyAlignment="1" applyProtection="1">
      <alignment/>
      <protection/>
    </xf>
    <xf numFmtId="165" fontId="0" fillId="24" borderId="0" xfId="44" applyNumberFormat="1" applyFill="1" applyAlignment="1" applyProtection="1">
      <alignment/>
      <protection/>
    </xf>
    <xf numFmtId="165" fontId="7" fillId="24" borderId="0" xfId="44" applyNumberFormat="1" applyFont="1" applyFill="1" applyBorder="1" applyAlignment="1" applyProtection="1">
      <alignment/>
      <protection/>
    </xf>
    <xf numFmtId="0" fontId="0" fillId="24" borderId="0" xfId="0" applyFill="1" applyAlignment="1">
      <alignment horizontal="left" indent="2"/>
    </xf>
    <xf numFmtId="165" fontId="7" fillId="24" borderId="14" xfId="44" applyNumberFormat="1" applyFont="1" applyFill="1" applyBorder="1" applyAlignment="1" applyProtection="1">
      <alignment/>
      <protection/>
    </xf>
    <xf numFmtId="43" fontId="7" fillId="24" borderId="0" xfId="42" applyFont="1" applyFill="1" applyBorder="1" applyAlignment="1" applyProtection="1">
      <alignment/>
      <protection/>
    </xf>
    <xf numFmtId="165" fontId="7" fillId="24" borderId="14"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1"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7">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5" xfId="0" applyFill="1" applyBorder="1" applyAlignment="1" applyProtection="1">
      <alignment/>
      <protection/>
    </xf>
    <xf numFmtId="165" fontId="0" fillId="24" borderId="0" xfId="0" applyNumberFormat="1" applyFill="1" applyBorder="1" applyAlignment="1" applyProtection="1">
      <alignment/>
      <protection/>
    </xf>
    <xf numFmtId="44" fontId="0" fillId="24" borderId="0" xfId="44" applyFill="1" applyBorder="1" applyAlignment="1" applyProtection="1">
      <alignment/>
      <protection/>
    </xf>
    <xf numFmtId="0" fontId="0" fillId="24" borderId="16" xfId="0" applyFill="1" applyBorder="1" applyAlignment="1" applyProtection="1">
      <alignment/>
      <protection/>
    </xf>
    <xf numFmtId="44" fontId="0" fillId="24" borderId="16" xfId="44" applyFill="1" applyBorder="1" applyAlignment="1" applyProtection="1">
      <alignment/>
      <protection/>
    </xf>
    <xf numFmtId="44" fontId="0" fillId="24" borderId="15" xfId="44" applyFill="1" applyBorder="1" applyAlignment="1" applyProtection="1">
      <alignment/>
      <protection/>
    </xf>
    <xf numFmtId="166" fontId="8" fillId="24" borderId="16" xfId="61" applyNumberFormat="1" applyFont="1" applyFill="1" applyBorder="1" applyAlignment="1" applyProtection="1">
      <alignment horizontal="center"/>
      <protection/>
    </xf>
    <xf numFmtId="9" fontId="0" fillId="24" borderId="16" xfId="0" applyNumberFormat="1" applyFill="1" applyBorder="1" applyAlignment="1" applyProtection="1">
      <alignment/>
      <protection/>
    </xf>
    <xf numFmtId="165" fontId="0" fillId="24" borderId="15" xfId="0" applyNumberFormat="1" applyFill="1" applyBorder="1" applyAlignment="1" applyProtection="1">
      <alignment/>
      <protection/>
    </xf>
    <xf numFmtId="44" fontId="0" fillId="24" borderId="15" xfId="44" applyFont="1" applyFill="1" applyBorder="1" applyAlignment="1" applyProtection="1">
      <alignment/>
      <protection/>
    </xf>
    <xf numFmtId="0" fontId="0" fillId="24" borderId="17" xfId="0" applyFill="1" applyBorder="1" applyAlignment="1" applyProtection="1">
      <alignment/>
      <protection/>
    </xf>
    <xf numFmtId="44" fontId="0" fillId="24" borderId="18"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66" fontId="0" fillId="24" borderId="0" xfId="61" applyNumberFormat="1" applyFill="1" applyAlignment="1" applyProtection="1">
      <alignment/>
      <protection/>
    </xf>
    <xf numFmtId="0" fontId="41" fillId="24" borderId="0" xfId="0" applyFont="1" applyFill="1" applyAlignment="1" applyProtection="1">
      <alignment/>
      <protection/>
    </xf>
    <xf numFmtId="0" fontId="20"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42" fillId="24" borderId="0" xfId="0" applyFont="1" applyFill="1" applyAlignment="1">
      <alignment/>
    </xf>
    <xf numFmtId="168" fontId="0" fillId="24" borderId="0" xfId="42" applyNumberFormat="1" applyFill="1" applyBorder="1" applyAlignment="1" applyProtection="1">
      <alignment/>
      <protection/>
    </xf>
    <xf numFmtId="9" fontId="0" fillId="24" borderId="0" xfId="61" applyFill="1" applyBorder="1" applyAlignment="1" applyProtection="1">
      <alignment/>
      <protection/>
    </xf>
    <xf numFmtId="0" fontId="14" fillId="27" borderId="0" xfId="0" applyFont="1" applyFill="1" applyAlignment="1" applyProtection="1">
      <alignment horizontal="left" indent="2"/>
      <protection/>
    </xf>
    <xf numFmtId="0" fontId="20" fillId="24" borderId="11" xfId="0" applyFont="1" applyFill="1" applyBorder="1" applyAlignment="1" applyProtection="1">
      <alignment vertical="top"/>
      <protection/>
    </xf>
    <xf numFmtId="0" fontId="20" fillId="24" borderId="19" xfId="0" applyFont="1" applyFill="1" applyBorder="1" applyAlignment="1" applyProtection="1">
      <alignment vertical="top"/>
      <protection/>
    </xf>
    <xf numFmtId="9" fontId="0" fillId="4" borderId="0" xfId="61" applyFont="1" applyFill="1" applyAlignment="1" applyProtection="1">
      <alignment horizontal="center"/>
      <protection locked="0"/>
    </xf>
    <xf numFmtId="9" fontId="0" fillId="28" borderId="0" xfId="61" applyFont="1" applyFill="1" applyAlignment="1" applyProtection="1">
      <alignment horizontal="center"/>
      <protection/>
    </xf>
    <xf numFmtId="10" fontId="0" fillId="4" borderId="0" xfId="61" applyNumberFormat="1" applyFont="1" applyFill="1" applyAlignment="1" applyProtection="1">
      <alignment horizontal="center"/>
      <protection locked="0"/>
    </xf>
    <xf numFmtId="168" fontId="0" fillId="4" borderId="0" xfId="42" applyNumberFormat="1" applyFill="1" applyAlignment="1" applyProtection="1">
      <alignment horizontal="center"/>
      <protection locked="0"/>
    </xf>
    <xf numFmtId="43" fontId="20" fillId="24" borderId="20" xfId="42" applyFont="1" applyFill="1" applyBorder="1" applyAlignment="1" applyProtection="1">
      <alignment/>
      <protection/>
    </xf>
    <xf numFmtId="43" fontId="0" fillId="24" borderId="0" xfId="42" applyFill="1" applyAlignment="1" applyProtection="1">
      <alignment/>
      <protection/>
    </xf>
    <xf numFmtId="10" fontId="0" fillId="28" borderId="0" xfId="61" applyNumberFormat="1" applyFont="1" applyFill="1" applyAlignment="1" applyProtection="1">
      <alignment horizontal="center"/>
      <protection/>
    </xf>
    <xf numFmtId="165" fontId="0" fillId="28" borderId="0" xfId="44" applyNumberFormat="1" applyFont="1" applyFill="1" applyAlignment="1" applyProtection="1">
      <alignment/>
      <protection/>
    </xf>
    <xf numFmtId="165" fontId="0" fillId="28" borderId="0" xfId="0" applyNumberFormat="1" applyFill="1" applyAlignment="1" applyProtection="1">
      <alignment/>
      <protection/>
    </xf>
    <xf numFmtId="165" fontId="0" fillId="28" borderId="12" xfId="0" applyNumberFormat="1" applyFill="1" applyBorder="1" applyAlignment="1" applyProtection="1">
      <alignment/>
      <protection/>
    </xf>
    <xf numFmtId="165" fontId="0" fillId="28" borderId="0" xfId="44" applyNumberFormat="1" applyFill="1" applyAlignment="1" applyProtection="1">
      <alignment/>
      <protection/>
    </xf>
    <xf numFmtId="165" fontId="0" fillId="28" borderId="12" xfId="44" applyNumberFormat="1" applyFont="1" applyFill="1" applyBorder="1" applyAlignment="1" applyProtection="1">
      <alignment/>
      <protection/>
    </xf>
    <xf numFmtId="165" fontId="0" fillId="28" borderId="12" xfId="44" applyNumberFormat="1" applyFill="1" applyBorder="1" applyAlignment="1" applyProtection="1">
      <alignment/>
      <protection/>
    </xf>
    <xf numFmtId="44" fontId="0" fillId="28" borderId="0" xfId="44" applyFill="1" applyAlignment="1" applyProtection="1">
      <alignment/>
      <protection/>
    </xf>
    <xf numFmtId="168" fontId="0" fillId="28" borderId="0" xfId="42" applyNumberFormat="1" applyFill="1" applyAlignment="1" applyProtection="1">
      <alignment/>
      <protection/>
    </xf>
    <xf numFmtId="9" fontId="0" fillId="28" borderId="0" xfId="61" applyFill="1" applyAlignment="1" applyProtection="1">
      <alignment/>
      <protection/>
    </xf>
    <xf numFmtId="44" fontId="0" fillId="28" borderId="11" xfId="0" applyNumberFormat="1" applyFill="1" applyBorder="1" applyAlignment="1" applyProtection="1">
      <alignment/>
      <protection/>
    </xf>
    <xf numFmtId="0" fontId="0" fillId="28" borderId="0" xfId="0" applyFill="1" applyAlignment="1" applyProtection="1">
      <alignment/>
      <protection/>
    </xf>
    <xf numFmtId="165"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1" applyFill="1" applyBorder="1" applyAlignment="1" applyProtection="1">
      <alignment horizontal="center"/>
      <protection/>
    </xf>
    <xf numFmtId="44" fontId="0" fillId="24" borderId="21" xfId="44" applyFill="1" applyBorder="1" applyAlignment="1" applyProtection="1">
      <alignment/>
      <protection/>
    </xf>
    <xf numFmtId="165" fontId="3" fillId="4" borderId="0" xfId="44" applyNumberFormat="1" applyFont="1" applyFill="1" applyAlignment="1">
      <alignment/>
    </xf>
    <xf numFmtId="165" fontId="3" fillId="28" borderId="0" xfId="44" applyNumberFormat="1" applyFont="1" applyFill="1" applyAlignment="1">
      <alignment/>
    </xf>
    <xf numFmtId="165" fontId="3" fillId="28" borderId="0" xfId="57" applyNumberFormat="1" applyFill="1">
      <alignment/>
      <protection/>
    </xf>
    <xf numFmtId="0" fontId="14" fillId="28" borderId="0" xfId="57" applyFont="1" applyFill="1">
      <alignment/>
      <protection/>
    </xf>
    <xf numFmtId="0" fontId="14" fillId="28" borderId="0" xfId="57" applyFont="1" applyFill="1" applyAlignment="1">
      <alignment horizontal="center" wrapText="1"/>
      <protection/>
    </xf>
    <xf numFmtId="0" fontId="14" fillId="28" borderId="0" xfId="57" applyFont="1" applyFill="1" applyAlignment="1">
      <alignment horizontal="center"/>
      <protection/>
    </xf>
    <xf numFmtId="9" fontId="0" fillId="28" borderId="0" xfId="61" applyFont="1" applyFill="1" applyAlignment="1" applyProtection="1">
      <alignment horizontal="center"/>
      <protection locked="0"/>
    </xf>
    <xf numFmtId="10" fontId="0" fillId="28" borderId="0" xfId="61" applyNumberFormat="1" applyFont="1" applyFill="1" applyAlignment="1" applyProtection="1">
      <alignment horizontal="center"/>
      <protection locked="0"/>
    </xf>
    <xf numFmtId="4" fontId="14" fillId="28" borderId="0" xfId="57" applyNumberFormat="1" applyFont="1" applyFill="1" applyAlignment="1">
      <alignment horizontal="center"/>
      <protection/>
    </xf>
    <xf numFmtId="165" fontId="3" fillId="28" borderId="12" xfId="57"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44" fontId="0" fillId="28" borderId="0" xfId="0" applyNumberFormat="1" applyFill="1" applyAlignment="1">
      <alignment/>
    </xf>
    <xf numFmtId="44" fontId="0" fillId="28" borderId="12" xfId="0" applyNumberFormat="1" applyFill="1" applyBorder="1" applyAlignment="1">
      <alignment/>
    </xf>
    <xf numFmtId="44" fontId="0" fillId="28" borderId="0" xfId="44" applyFill="1" applyAlignment="1">
      <alignment/>
    </xf>
    <xf numFmtId="0" fontId="3" fillId="24" borderId="0" xfId="57" applyFill="1" applyAlignment="1">
      <alignment horizontal="center"/>
      <protection/>
    </xf>
    <xf numFmtId="0" fontId="3" fillId="24" borderId="0" xfId="57" applyFill="1">
      <alignment/>
      <protection/>
    </xf>
    <xf numFmtId="0" fontId="14" fillId="24" borderId="0" xfId="57" applyFont="1" applyFill="1" applyAlignment="1">
      <alignment horizontal="center"/>
      <protection/>
    </xf>
    <xf numFmtId="17" fontId="3" fillId="24" borderId="0" xfId="57" applyNumberFormat="1" applyFill="1" applyAlignment="1">
      <alignment horizontal="center"/>
      <protection/>
    </xf>
    <xf numFmtId="10" fontId="3" fillId="24" borderId="0" xfId="57" applyNumberFormat="1" applyFill="1">
      <alignment/>
      <protection/>
    </xf>
    <xf numFmtId="10" fontId="3" fillId="24" borderId="0" xfId="61" applyNumberFormat="1" applyFont="1" applyFill="1" applyAlignment="1">
      <alignment/>
    </xf>
    <xf numFmtId="44" fontId="7" fillId="28" borderId="0" xfId="44" applyFont="1" applyFill="1" applyAlignment="1">
      <alignment/>
    </xf>
    <xf numFmtId="44" fontId="8" fillId="28" borderId="0" xfId="44" applyFont="1" applyFill="1" applyAlignment="1" applyProtection="1">
      <alignment/>
      <protection/>
    </xf>
    <xf numFmtId="44"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44" fontId="8" fillId="28" borderId="0" xfId="44" applyFont="1" applyFill="1" applyBorder="1" applyAlignment="1" applyProtection="1">
      <alignment/>
      <protection/>
    </xf>
    <xf numFmtId="44" fontId="8" fillId="28" borderId="22" xfId="44" applyFont="1" applyFill="1" applyBorder="1" applyAlignment="1" applyProtection="1">
      <alignment/>
      <protection/>
    </xf>
    <xf numFmtId="170" fontId="0" fillId="28" borderId="0" xfId="61" applyNumberFormat="1" applyFill="1" applyAlignment="1" applyProtection="1">
      <alignment/>
      <protection/>
    </xf>
    <xf numFmtId="170" fontId="0" fillId="28" borderId="0" xfId="58" applyNumberFormat="1" applyFill="1">
      <alignment/>
      <protection/>
    </xf>
    <xf numFmtId="44" fontId="24" fillId="28" borderId="11" xfId="44" applyFont="1" applyFill="1" applyBorder="1" applyAlignment="1" applyProtection="1">
      <alignment/>
      <protection/>
    </xf>
    <xf numFmtId="44" fontId="0" fillId="28" borderId="12" xfId="44" applyFill="1" applyBorder="1" applyAlignment="1" applyProtection="1">
      <alignment/>
      <protection/>
    </xf>
    <xf numFmtId="44" fontId="9" fillId="28" borderId="11" xfId="44" applyFont="1" applyFill="1" applyBorder="1" applyAlignment="1" applyProtection="1">
      <alignment/>
      <protection/>
    </xf>
    <xf numFmtId="44" fontId="9" fillId="28" borderId="12" xfId="44" applyFont="1" applyFill="1" applyBorder="1" applyAlignment="1" applyProtection="1">
      <alignment/>
      <protection/>
    </xf>
    <xf numFmtId="44" fontId="8" fillId="28" borderId="16" xfId="44" applyFont="1" applyFill="1" applyBorder="1" applyAlignment="1" applyProtection="1">
      <alignment/>
      <protection/>
    </xf>
    <xf numFmtId="44" fontId="0" fillId="28" borderId="23" xfId="44" applyFill="1" applyBorder="1" applyAlignment="1" applyProtection="1">
      <alignment/>
      <protection/>
    </xf>
    <xf numFmtId="44" fontId="0" fillId="28" borderId="0" xfId="44" applyFill="1" applyBorder="1" applyAlignment="1" applyProtection="1">
      <alignment/>
      <protection/>
    </xf>
    <xf numFmtId="44" fontId="0" fillId="28" borderId="16" xfId="44" applyFill="1" applyBorder="1" applyAlignment="1" applyProtection="1">
      <alignment/>
      <protection/>
    </xf>
    <xf numFmtId="44" fontId="0" fillId="28" borderId="15" xfId="44" applyFill="1" applyBorder="1" applyAlignment="1" applyProtection="1">
      <alignment/>
      <protection/>
    </xf>
    <xf numFmtId="44" fontId="8" fillId="28" borderId="15" xfId="44" applyFont="1" applyFill="1" applyBorder="1" applyAlignment="1" applyProtection="1">
      <alignment/>
      <protection/>
    </xf>
    <xf numFmtId="44" fontId="9" fillId="28" borderId="15" xfId="44" applyFont="1" applyFill="1" applyBorder="1" applyAlignment="1" applyProtection="1">
      <alignment/>
      <protection/>
    </xf>
    <xf numFmtId="44" fontId="0" fillId="28" borderId="24" xfId="44" applyFill="1" applyBorder="1" applyAlignment="1" applyProtection="1">
      <alignment/>
      <protection/>
    </xf>
    <xf numFmtId="44" fontId="9" fillId="28" borderId="24" xfId="44" applyFont="1" applyFill="1" applyBorder="1" applyAlignment="1" applyProtection="1">
      <alignment/>
      <protection/>
    </xf>
    <xf numFmtId="44" fontId="0" fillId="28" borderId="15" xfId="44" applyFont="1" applyFill="1" applyBorder="1" applyAlignment="1" applyProtection="1">
      <alignment/>
      <protection/>
    </xf>
    <xf numFmtId="44" fontId="7" fillId="28" borderId="25" xfId="44" applyFont="1" applyFill="1" applyBorder="1" applyAlignment="1" applyProtection="1">
      <alignment/>
      <protection/>
    </xf>
    <xf numFmtId="165" fontId="0" fillId="24" borderId="0" xfId="44" applyNumberFormat="1" applyFill="1" applyAlignment="1" applyProtection="1">
      <alignment/>
      <protection/>
    </xf>
    <xf numFmtId="0" fontId="2" fillId="25" borderId="26" xfId="53"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0" fontId="41" fillId="24" borderId="0" xfId="0" applyFont="1" applyFill="1" applyAlignment="1" applyProtection="1">
      <alignment/>
      <protection/>
    </xf>
    <xf numFmtId="0" fontId="20" fillId="24" borderId="19" xfId="0" applyFont="1" applyFill="1" applyBorder="1" applyAlignment="1" applyProtection="1">
      <alignment horizontal="center" vertical="top"/>
      <protection/>
    </xf>
    <xf numFmtId="0" fontId="18" fillId="24" borderId="0" xfId="0" applyFont="1" applyFill="1" applyAlignment="1" applyProtection="1">
      <alignment/>
      <protection/>
    </xf>
    <xf numFmtId="0" fontId="19" fillId="24" borderId="28" xfId="0" applyFont="1" applyFill="1" applyBorder="1" applyAlignment="1" applyProtection="1">
      <alignment horizontal="center"/>
      <protection/>
    </xf>
    <xf numFmtId="0" fontId="19" fillId="24" borderId="20" xfId="0" applyFont="1" applyFill="1" applyBorder="1" applyAlignment="1" applyProtection="1">
      <alignment horizontal="center"/>
      <protection/>
    </xf>
    <xf numFmtId="0" fontId="19" fillId="24" borderId="29" xfId="0" applyFont="1" applyFill="1" applyBorder="1" applyAlignment="1" applyProtection="1">
      <alignment horizontal="center"/>
      <protection/>
    </xf>
    <xf numFmtId="0" fontId="19" fillId="24" borderId="17"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1" xfId="0" applyFont="1" applyFill="1" applyBorder="1" applyAlignment="1" applyProtection="1">
      <alignment horizontal="center"/>
      <protection/>
    </xf>
    <xf numFmtId="0" fontId="18" fillId="24" borderId="0" xfId="0" applyFont="1" applyFill="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aw@lakelandhold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H21"/>
  <sheetViews>
    <sheetView showGridLines="0" tabSelected="1" zoomScalePageLayoutView="0" workbookViewId="0" topLeftCell="A1">
      <selection activeCell="C10" sqref="C1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279</v>
      </c>
      <c r="D4"/>
      <c r="E4" s="12"/>
      <c r="F4" s="1"/>
      <c r="G4" s="1"/>
      <c r="H4" s="1"/>
    </row>
    <row r="5" spans="1:8" ht="15.75">
      <c r="A5" s="10"/>
      <c r="B5" s="11"/>
      <c r="C5" s="13"/>
      <c r="D5" s="13"/>
      <c r="E5" s="13"/>
      <c r="F5" s="1"/>
      <c r="G5" s="1"/>
      <c r="H5" s="1"/>
    </row>
    <row r="6" spans="1:8" ht="15.75">
      <c r="A6" s="10"/>
      <c r="B6" s="11" t="s">
        <v>1</v>
      </c>
      <c r="C6" s="37" t="s">
        <v>280</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40515</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4" t="s">
        <v>3</v>
      </c>
      <c r="B13" s="164"/>
      <c r="C13" s="16"/>
      <c r="D13" s="16"/>
      <c r="E13" s="16"/>
      <c r="F13" s="15"/>
      <c r="G13" s="15"/>
      <c r="H13" s="15"/>
    </row>
    <row r="14" spans="1:8" ht="16.5" thickBot="1">
      <c r="A14" s="15"/>
      <c r="B14" s="19" t="s">
        <v>4</v>
      </c>
      <c r="C14" s="165" t="s">
        <v>281</v>
      </c>
      <c r="D14" s="166"/>
      <c r="E14" s="20"/>
      <c r="F14" s="15"/>
      <c r="G14" s="15"/>
      <c r="H14" s="15"/>
    </row>
    <row r="15" spans="1:8" ht="16.5" thickBot="1">
      <c r="A15" s="15"/>
      <c r="B15" s="21"/>
      <c r="C15" s="16"/>
      <c r="D15" s="16"/>
      <c r="E15" s="16"/>
      <c r="F15" s="15"/>
      <c r="G15" s="15"/>
      <c r="H15" s="15"/>
    </row>
    <row r="16" spans="1:8" ht="16.5" thickBot="1">
      <c r="A16" s="15"/>
      <c r="B16" s="19" t="s">
        <v>5</v>
      </c>
      <c r="C16" s="165" t="s">
        <v>282</v>
      </c>
      <c r="D16" s="166"/>
      <c r="E16" s="20"/>
      <c r="F16" s="2"/>
      <c r="G16" s="15"/>
      <c r="H16" s="15"/>
    </row>
    <row r="17" spans="1:8" ht="16.5" thickBot="1">
      <c r="A17" s="15"/>
      <c r="B17" s="21"/>
      <c r="C17" s="16"/>
      <c r="D17" s="16"/>
      <c r="E17" s="16"/>
      <c r="F17" s="15"/>
      <c r="G17" s="15"/>
      <c r="H17" s="15"/>
    </row>
    <row r="18" spans="1:8" ht="16.5" thickBot="1">
      <c r="A18" s="15"/>
      <c r="B18" s="19" t="s">
        <v>6</v>
      </c>
      <c r="C18" s="165" t="s">
        <v>283</v>
      </c>
      <c r="D18" s="166"/>
      <c r="E18" s="20"/>
      <c r="F18" s="15"/>
      <c r="G18" s="15"/>
      <c r="H18" s="15"/>
    </row>
    <row r="19" spans="1:8" ht="15" thickBot="1">
      <c r="A19" s="1"/>
      <c r="B19" s="22"/>
      <c r="C19" s="23"/>
      <c r="D19" s="23"/>
      <c r="E19" s="23"/>
      <c r="F19" s="1"/>
      <c r="G19" s="1"/>
      <c r="H19" s="1"/>
    </row>
    <row r="20" spans="1:8" ht="16.5" thickBot="1">
      <c r="A20" s="1"/>
      <c r="B20" s="19" t="s">
        <v>7</v>
      </c>
      <c r="C20" s="162" t="s">
        <v>284</v>
      </c>
      <c r="D20" s="163"/>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mmaw@lakelandholding.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codeName="Sheet6"/>
  <dimension ref="A1:U147"/>
  <sheetViews>
    <sheetView showGridLines="0" view="pageBreakPreview" zoomScale="60" zoomScaleNormal="75" zoomScalePageLayoutView="0" workbookViewId="0" topLeftCell="A1">
      <selection activeCell="B1" sqref="B1:K1"/>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67" t="s">
        <v>12</v>
      </c>
      <c r="C1" s="167"/>
      <c r="D1" s="167"/>
      <c r="E1" s="167"/>
      <c r="F1" s="167"/>
      <c r="G1" s="167"/>
      <c r="H1" s="167"/>
      <c r="I1" s="167"/>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206</v>
      </c>
      <c r="K4" s="24" t="s">
        <v>16</v>
      </c>
    </row>
    <row r="5" spans="1:11" ht="12.75">
      <c r="A5" s="5"/>
      <c r="B5" s="29"/>
      <c r="C5" s="29"/>
      <c r="D5" s="81" t="s">
        <v>204</v>
      </c>
      <c r="E5" s="81" t="s">
        <v>204</v>
      </c>
      <c r="F5" s="81" t="s">
        <v>204</v>
      </c>
      <c r="G5" s="81" t="s">
        <v>204</v>
      </c>
      <c r="H5" s="81" t="s">
        <v>205</v>
      </c>
      <c r="I5" s="81" t="s">
        <v>205</v>
      </c>
      <c r="J5" s="81" t="s">
        <v>205</v>
      </c>
      <c r="K5" s="30"/>
    </row>
    <row r="6" spans="1:11" ht="12.75">
      <c r="A6" s="5"/>
      <c r="B6" s="31" t="s">
        <v>17</v>
      </c>
      <c r="C6" s="31"/>
      <c r="D6" s="92"/>
      <c r="E6" s="92"/>
      <c r="F6" s="92"/>
      <c r="G6" s="92">
        <v>7570</v>
      </c>
      <c r="H6" s="92">
        <v>233</v>
      </c>
      <c r="I6" s="92">
        <v>50</v>
      </c>
      <c r="J6" s="92"/>
      <c r="K6" s="33">
        <f>SUM(D6:J6)</f>
        <v>7853</v>
      </c>
    </row>
    <row r="7" ht="12.75"/>
    <row r="8" spans="1:11" ht="12.75">
      <c r="A8" s="5"/>
      <c r="B8" s="31" t="s">
        <v>18</v>
      </c>
      <c r="C8" s="31"/>
      <c r="D8" s="32"/>
      <c r="E8" s="32"/>
      <c r="F8" s="32"/>
      <c r="G8" s="32">
        <v>1375</v>
      </c>
      <c r="H8" s="32">
        <v>181</v>
      </c>
      <c r="I8" s="32">
        <v>3</v>
      </c>
      <c r="J8" s="32"/>
      <c r="K8" s="33">
        <f>SUM(D8:J8)</f>
        <v>1559</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8945</v>
      </c>
      <c r="H10" s="35">
        <f t="shared" si="0"/>
        <v>414</v>
      </c>
      <c r="I10" s="35">
        <f t="shared" si="0"/>
        <v>53</v>
      </c>
      <c r="J10" s="35">
        <f t="shared" si="0"/>
        <v>0</v>
      </c>
      <c r="K10" s="35">
        <f t="shared" si="0"/>
        <v>9412</v>
      </c>
    </row>
    <row r="11" spans="1:11" ht="12.75">
      <c r="A11" s="5"/>
      <c r="B11" s="34"/>
      <c r="C11" s="34"/>
      <c r="D11" s="84"/>
      <c r="E11" s="84"/>
      <c r="F11" s="84"/>
      <c r="G11" s="84"/>
      <c r="H11" s="84"/>
      <c r="I11" s="84"/>
      <c r="J11" s="84"/>
      <c r="K11" s="84"/>
    </row>
    <row r="12" spans="1:11" ht="12.75">
      <c r="A12" s="5"/>
      <c r="B12" s="34" t="s">
        <v>208</v>
      </c>
      <c r="C12" s="34"/>
      <c r="D12" s="85">
        <f>IF(ISERROR(SUM($D10:D10)/$K10),0,SUM($D10:D10)/$K10)</f>
        <v>0</v>
      </c>
      <c r="E12" s="85">
        <f>IF(ISERROR(SUM($D10:E10)/$K10),0,SUM($D10:E10)/$K10)</f>
        <v>0</v>
      </c>
      <c r="F12" s="85">
        <f>IF(ISERROR(SUM($D10:F10)/$K10),0,SUM($D10:F10)/$K10)</f>
        <v>0</v>
      </c>
      <c r="G12" s="85">
        <f>IF(ISERROR(SUM($D10:G10)/$K10),0,SUM($D10:G10)/$K10)</f>
        <v>0.950382490437739</v>
      </c>
      <c r="H12" s="85">
        <f>IF(ISERROR(SUM($D10:H10)/$K10),0,SUM($D10:H10)/$K10)</f>
        <v>0.9943688907777306</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v>76</v>
      </c>
      <c r="I14" s="32"/>
      <c r="J14" s="32"/>
      <c r="K14" s="33">
        <f>SUM(D14:J14)</f>
        <v>76</v>
      </c>
    </row>
    <row r="16" spans="1:11" ht="13.5" thickBot="1">
      <c r="A16" s="5"/>
      <c r="B16" s="57" t="s">
        <v>207</v>
      </c>
      <c r="C16" s="31"/>
      <c r="D16" s="36">
        <f aca="true" t="shared" si="1" ref="D16:J16">SUM(D10,D14)</f>
        <v>0</v>
      </c>
      <c r="E16" s="36">
        <f t="shared" si="1"/>
        <v>0</v>
      </c>
      <c r="F16" s="36">
        <f t="shared" si="1"/>
        <v>0</v>
      </c>
      <c r="G16" s="36">
        <f t="shared" si="1"/>
        <v>8945</v>
      </c>
      <c r="H16" s="36">
        <f t="shared" si="1"/>
        <v>490</v>
      </c>
      <c r="I16" s="36">
        <f t="shared" si="1"/>
        <v>53</v>
      </c>
      <c r="J16" s="36">
        <f t="shared" si="1"/>
        <v>0</v>
      </c>
      <c r="K16" s="36">
        <f>SUM(D16:J16)</f>
        <v>9488</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Forecasted</v>
      </c>
      <c r="I20" s="24" t="str">
        <f t="shared" si="3"/>
        <v>Forecasted</v>
      </c>
      <c r="J20" s="24" t="str">
        <f t="shared" si="3"/>
        <v>Forecasted</v>
      </c>
      <c r="K20" s="30"/>
    </row>
    <row r="21" spans="1:11" ht="12.75">
      <c r="A21" s="5"/>
      <c r="B21" s="31" t="s">
        <v>22</v>
      </c>
      <c r="C21" s="31"/>
      <c r="D21" s="32"/>
      <c r="E21" s="32"/>
      <c r="F21" s="32"/>
      <c r="G21" s="32">
        <v>30</v>
      </c>
      <c r="H21" s="32"/>
      <c r="I21" s="32"/>
      <c r="J21" s="32"/>
      <c r="K21" s="33">
        <f>SUM(D21:J21)</f>
        <v>30</v>
      </c>
    </row>
    <row r="22" ht="12.75">
      <c r="U22" s="7"/>
    </row>
    <row r="23" spans="1:11" ht="12.75">
      <c r="A23" s="5"/>
      <c r="B23" s="31" t="s">
        <v>23</v>
      </c>
      <c r="C23" s="31"/>
      <c r="D23" s="32"/>
      <c r="E23" s="32"/>
      <c r="F23" s="32"/>
      <c r="G23" s="32">
        <v>27</v>
      </c>
      <c r="H23" s="32"/>
      <c r="I23" s="32"/>
      <c r="J23" s="32"/>
      <c r="K23" s="33">
        <f>SUM(D23:J23)</f>
        <v>27</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Forecasted</v>
      </c>
      <c r="I38" s="24" t="str">
        <f t="shared" si="5"/>
        <v>Forecasted</v>
      </c>
      <c r="J38" s="24" t="str">
        <f t="shared" si="5"/>
        <v>Forecasted</v>
      </c>
      <c r="K38" s="24"/>
    </row>
    <row r="39" spans="1:21" ht="20.25">
      <c r="A39" s="5"/>
      <c r="B39" s="41" t="s">
        <v>28</v>
      </c>
      <c r="C39" s="86" t="s">
        <v>8</v>
      </c>
      <c r="D39" s="42"/>
      <c r="E39" s="42"/>
      <c r="F39" s="42"/>
      <c r="G39" s="42">
        <v>1132828</v>
      </c>
      <c r="H39" s="42">
        <v>55977</v>
      </c>
      <c r="I39" s="42">
        <v>12366</v>
      </c>
      <c r="J39" s="42">
        <v>12366</v>
      </c>
      <c r="K39" s="43">
        <f>SUM(D39:J39)</f>
        <v>1213537</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v>188944</v>
      </c>
      <c r="H41" s="42">
        <v>38030</v>
      </c>
      <c r="I41" s="42">
        <v>618</v>
      </c>
      <c r="J41" s="42">
        <v>618</v>
      </c>
      <c r="K41" s="43">
        <f>SUM(D41:J41)</f>
        <v>228210</v>
      </c>
      <c r="U41" s="83"/>
    </row>
    <row r="42" spans="1:11" ht="12.75">
      <c r="A42" s="5"/>
      <c r="B42" s="44" t="s">
        <v>31</v>
      </c>
      <c r="C42" s="44"/>
      <c r="D42" s="168"/>
      <c r="E42" s="168"/>
      <c r="F42" s="168"/>
      <c r="G42" s="168"/>
      <c r="H42" s="168"/>
      <c r="I42" s="168"/>
      <c r="J42" s="80"/>
      <c r="K42" s="5"/>
    </row>
    <row r="43" spans="1:11" ht="15.75">
      <c r="A43" s="5"/>
      <c r="B43" s="41" t="s">
        <v>32</v>
      </c>
      <c r="C43" s="86" t="s">
        <v>9</v>
      </c>
      <c r="D43" s="42"/>
      <c r="E43" s="42"/>
      <c r="F43" s="42"/>
      <c r="G43" s="42">
        <v>4845</v>
      </c>
      <c r="H43" s="42">
        <v>273</v>
      </c>
      <c r="I43" s="42"/>
      <c r="J43" s="42"/>
      <c r="K43" s="43">
        <f>SUM(D43:J43)</f>
        <v>5118</v>
      </c>
    </row>
    <row r="44" spans="1:11" ht="12.75">
      <c r="A44" s="5"/>
      <c r="B44" s="44" t="s">
        <v>33</v>
      </c>
      <c r="C44" s="44"/>
      <c r="D44" s="168"/>
      <c r="E44" s="168"/>
      <c r="F44" s="168"/>
      <c r="G44" s="168"/>
      <c r="H44" s="168"/>
      <c r="I44" s="168"/>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68"/>
      <c r="E46" s="168"/>
      <c r="F46" s="168"/>
      <c r="G46" s="168"/>
      <c r="H46" s="168"/>
      <c r="I46" s="168"/>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1326617</v>
      </c>
      <c r="H48" s="45">
        <f t="shared" si="6"/>
        <v>94280</v>
      </c>
      <c r="I48" s="45">
        <f t="shared" si="6"/>
        <v>12984</v>
      </c>
      <c r="J48" s="45">
        <f t="shared" si="6"/>
        <v>12984</v>
      </c>
      <c r="K48" s="45">
        <f t="shared" si="6"/>
        <v>1446865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Forecasted</v>
      </c>
      <c r="I52" s="24" t="str">
        <f t="shared" si="8"/>
        <v>Forecasted</v>
      </c>
      <c r="J52" s="24" t="str">
        <f t="shared" si="8"/>
        <v>Forecasted</v>
      </c>
      <c r="K52" s="24"/>
    </row>
    <row r="53" spans="1:11" ht="15.75">
      <c r="A53" s="5"/>
      <c r="B53" s="41" t="s">
        <v>37</v>
      </c>
      <c r="C53" s="86" t="s">
        <v>8</v>
      </c>
      <c r="D53" s="42"/>
      <c r="E53" s="42"/>
      <c r="F53" s="42"/>
      <c r="G53" s="42">
        <v>132809</v>
      </c>
      <c r="H53" s="42">
        <v>12200</v>
      </c>
      <c r="I53" s="42"/>
      <c r="J53" s="42"/>
      <c r="K53" s="46">
        <f>SUM(D53:J53)</f>
        <v>145009</v>
      </c>
    </row>
    <row r="54" spans="1:11" ht="12.75">
      <c r="A54" s="5"/>
      <c r="B54" s="44"/>
      <c r="C54" s="44"/>
      <c r="D54" s="168"/>
      <c r="E54" s="168"/>
      <c r="F54" s="168"/>
      <c r="G54" s="168"/>
      <c r="H54" s="168"/>
      <c r="I54" s="168"/>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v>5728</v>
      </c>
      <c r="H56" s="42"/>
      <c r="I56" s="42"/>
      <c r="J56" s="42"/>
      <c r="K56" s="46">
        <f>SUM(D56:J56)</f>
        <v>5728</v>
      </c>
    </row>
    <row r="57" spans="1:11" ht="12.75">
      <c r="A57" s="5"/>
      <c r="B57" s="44" t="s">
        <v>39</v>
      </c>
      <c r="C57" s="44"/>
      <c r="D57" s="168"/>
      <c r="E57" s="168"/>
      <c r="F57" s="168"/>
      <c r="G57" s="168"/>
      <c r="H57" s="168"/>
      <c r="I57" s="168"/>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v>23865</v>
      </c>
      <c r="H59" s="42">
        <v>4034</v>
      </c>
      <c r="I59" s="42"/>
      <c r="J59" s="42"/>
      <c r="K59" s="46">
        <f>SUM(D59:J59)</f>
        <v>27899</v>
      </c>
    </row>
    <row r="60" spans="1:11" ht="12.75">
      <c r="A60" s="5"/>
      <c r="B60" s="44" t="s">
        <v>41</v>
      </c>
      <c r="C60" s="44"/>
      <c r="D60" s="168"/>
      <c r="E60" s="168"/>
      <c r="F60" s="168"/>
      <c r="G60" s="168"/>
      <c r="H60" s="168"/>
      <c r="I60" s="168"/>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162402</v>
      </c>
      <c r="H62" s="45">
        <f t="shared" si="9"/>
        <v>16234</v>
      </c>
      <c r="I62" s="45">
        <f t="shared" si="9"/>
        <v>0</v>
      </c>
      <c r="J62" s="45">
        <f t="shared" si="9"/>
        <v>0</v>
      </c>
      <c r="K62" s="45">
        <f t="shared" si="9"/>
        <v>178636</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Forecasted</v>
      </c>
      <c r="I66" s="24" t="str">
        <f t="shared" si="11"/>
        <v>Forecasted</v>
      </c>
      <c r="J66" s="24" t="str">
        <f t="shared" si="11"/>
        <v>Forecasted</v>
      </c>
      <c r="K66" s="24"/>
    </row>
    <row r="67" spans="1:11" ht="15.75">
      <c r="A67" s="5"/>
      <c r="B67" s="41" t="s">
        <v>44</v>
      </c>
      <c r="C67" s="86" t="s">
        <v>9</v>
      </c>
      <c r="D67" s="42"/>
      <c r="E67" s="42"/>
      <c r="F67" s="42"/>
      <c r="G67" s="42">
        <v>7203</v>
      </c>
      <c r="H67" s="42">
        <v>7710</v>
      </c>
      <c r="I67" s="42"/>
      <c r="J67" s="42"/>
      <c r="K67" s="46">
        <f>SUM(D67:J67)</f>
        <v>14913</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v>53191</v>
      </c>
      <c r="I69" s="42"/>
      <c r="J69" s="42"/>
      <c r="K69" s="46">
        <f>SUM(D69:J69)</f>
        <v>53191</v>
      </c>
    </row>
    <row r="70" spans="1:11" ht="12.75">
      <c r="A70" s="5"/>
      <c r="B70" s="44"/>
      <c r="C70" s="44"/>
      <c r="D70" s="168"/>
      <c r="E70" s="168"/>
      <c r="F70" s="168"/>
      <c r="G70" s="168"/>
      <c r="H70" s="168"/>
      <c r="I70" s="168"/>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68"/>
      <c r="E72" s="168"/>
      <c r="F72" s="168"/>
      <c r="G72" s="168"/>
      <c r="H72" s="168"/>
      <c r="I72" s="168"/>
      <c r="J72" s="80"/>
      <c r="K72" s="5"/>
    </row>
    <row r="73" spans="1:11" ht="13.5" thickBot="1">
      <c r="A73" s="5"/>
      <c r="B73" s="41" t="s">
        <v>48</v>
      </c>
      <c r="C73" s="41"/>
      <c r="D73" s="45">
        <f aca="true" t="shared" si="12" ref="D73:K73">SUM(D67,D69,D71)</f>
        <v>0</v>
      </c>
      <c r="E73" s="45">
        <f t="shared" si="12"/>
        <v>0</v>
      </c>
      <c r="F73" s="45">
        <f t="shared" si="12"/>
        <v>0</v>
      </c>
      <c r="G73" s="45">
        <f t="shared" si="12"/>
        <v>7203</v>
      </c>
      <c r="H73" s="45">
        <f t="shared" si="12"/>
        <v>60901</v>
      </c>
      <c r="I73" s="45">
        <f t="shared" si="12"/>
        <v>0</v>
      </c>
      <c r="J73" s="45">
        <f t="shared" si="12"/>
        <v>0</v>
      </c>
      <c r="K73" s="45">
        <f t="shared" si="12"/>
        <v>68104</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Forecasted</v>
      </c>
      <c r="I77" s="24" t="str">
        <f t="shared" si="14"/>
        <v>Forecasted</v>
      </c>
      <c r="J77" s="24" t="str">
        <f t="shared" si="14"/>
        <v>Forecasted</v>
      </c>
      <c r="K77" s="24"/>
    </row>
    <row r="78" spans="1:11" ht="15.75">
      <c r="A78" s="5"/>
      <c r="B78" s="41" t="s">
        <v>50</v>
      </c>
      <c r="C78" s="86" t="s">
        <v>210</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Forecasted</v>
      </c>
      <c r="I84" s="24" t="str">
        <f t="shared" si="17"/>
        <v>Forecasted</v>
      </c>
      <c r="J84" s="24" t="str">
        <f t="shared" si="17"/>
        <v>Forecasted</v>
      </c>
      <c r="K84" s="24"/>
    </row>
    <row r="85" spans="1:11" ht="15.75">
      <c r="A85" s="5"/>
      <c r="B85" s="41" t="s">
        <v>53</v>
      </c>
      <c r="C85" s="86" t="s">
        <v>209</v>
      </c>
      <c r="D85" s="42"/>
      <c r="E85" s="42"/>
      <c r="F85" s="42"/>
      <c r="G85" s="42"/>
      <c r="H85" s="42"/>
      <c r="I85" s="42"/>
      <c r="J85" s="42"/>
      <c r="K85" s="46">
        <f>SUM(D85:J85)</f>
        <v>0</v>
      </c>
    </row>
    <row r="86" spans="1:11" ht="12.75">
      <c r="A86" s="5"/>
      <c r="B86" s="44"/>
      <c r="C86" s="44"/>
      <c r="D86" s="168"/>
      <c r="E86" s="168"/>
      <c r="F86" s="168"/>
      <c r="G86" s="168"/>
      <c r="H86" s="168"/>
      <c r="I86" s="168"/>
      <c r="J86" s="80"/>
      <c r="K86" s="5"/>
    </row>
    <row r="87" spans="1:11" ht="15.75">
      <c r="A87" s="5"/>
      <c r="B87" s="41" t="s">
        <v>54</v>
      </c>
      <c r="C87" s="86" t="s">
        <v>10</v>
      </c>
      <c r="D87" s="42"/>
      <c r="E87" s="42"/>
      <c r="F87" s="42">
        <v>14904</v>
      </c>
      <c r="G87" s="42"/>
      <c r="H87" s="42"/>
      <c r="I87" s="42"/>
      <c r="J87" s="42"/>
      <c r="K87" s="46">
        <f>SUM(D87:J87)</f>
        <v>14904</v>
      </c>
    </row>
    <row r="88" spans="1:11" ht="12.75">
      <c r="A88" s="5"/>
      <c r="B88" s="44"/>
      <c r="C88" s="44"/>
      <c r="D88" s="168"/>
      <c r="E88" s="168"/>
      <c r="F88" s="168"/>
      <c r="G88" s="168"/>
      <c r="H88" s="168"/>
      <c r="I88" s="168"/>
      <c r="J88" s="80"/>
      <c r="K88" s="5"/>
    </row>
    <row r="89" spans="1:11" ht="15.75">
      <c r="A89" s="5"/>
      <c r="B89" s="41" t="s">
        <v>55</v>
      </c>
      <c r="C89" s="86" t="s">
        <v>10</v>
      </c>
      <c r="D89" s="42"/>
      <c r="E89" s="42">
        <v>38216</v>
      </c>
      <c r="F89" s="42">
        <v>16224</v>
      </c>
      <c r="G89" s="42">
        <v>28952</v>
      </c>
      <c r="H89" s="42">
        <v>66949</v>
      </c>
      <c r="I89" s="42">
        <v>21525</v>
      </c>
      <c r="J89" s="42"/>
      <c r="K89" s="46">
        <f>SUM(D89:J89)</f>
        <v>171866</v>
      </c>
    </row>
    <row r="90" spans="1:11" ht="12.75">
      <c r="A90" s="5"/>
      <c r="B90" s="44"/>
      <c r="C90" s="44"/>
      <c r="D90" s="168"/>
      <c r="E90" s="168"/>
      <c r="F90" s="168"/>
      <c r="G90" s="168"/>
      <c r="H90" s="168"/>
      <c r="I90" s="168"/>
      <c r="J90" s="80"/>
      <c r="K90" s="5"/>
    </row>
    <row r="91" spans="1:11" ht="15.75">
      <c r="A91" s="5"/>
      <c r="B91" s="41" t="s">
        <v>56</v>
      </c>
      <c r="C91" s="86" t="s">
        <v>10</v>
      </c>
      <c r="D91" s="42"/>
      <c r="E91" s="42">
        <v>3774</v>
      </c>
      <c r="F91" s="42">
        <v>4854</v>
      </c>
      <c r="G91" s="42">
        <v>31370</v>
      </c>
      <c r="H91" s="42">
        <v>17743</v>
      </c>
      <c r="I91" s="42">
        <v>51200</v>
      </c>
      <c r="J91" s="42"/>
      <c r="K91" s="46">
        <f>SUM(D91:J91)</f>
        <v>108941</v>
      </c>
    </row>
    <row r="92" spans="1:11" ht="12.75">
      <c r="A92" s="5"/>
      <c r="B92" s="44"/>
      <c r="C92" s="44"/>
      <c r="D92" s="168"/>
      <c r="E92" s="168"/>
      <c r="F92" s="168"/>
      <c r="G92" s="168"/>
      <c r="H92" s="168"/>
      <c r="I92" s="168"/>
      <c r="J92" s="80"/>
      <c r="K92" s="5"/>
    </row>
    <row r="93" spans="1:11" ht="15.75">
      <c r="A93" s="5"/>
      <c r="B93" s="41" t="s">
        <v>57</v>
      </c>
      <c r="C93" s="86" t="s">
        <v>10</v>
      </c>
      <c r="D93" s="42"/>
      <c r="E93" s="42"/>
      <c r="F93" s="42"/>
      <c r="G93" s="42"/>
      <c r="H93" s="42">
        <v>106194</v>
      </c>
      <c r="I93" s="42"/>
      <c r="J93" s="42"/>
      <c r="K93" s="46">
        <f>SUM(D93:J93)</f>
        <v>106194</v>
      </c>
    </row>
    <row r="94" spans="1:11" ht="12.75">
      <c r="A94" s="5"/>
      <c r="B94" s="44"/>
      <c r="D94" s="168"/>
      <c r="E94" s="168"/>
      <c r="F94" s="168"/>
      <c r="G94" s="168"/>
      <c r="H94" s="168"/>
      <c r="I94" s="168"/>
      <c r="J94" s="80"/>
      <c r="K94" s="5"/>
    </row>
    <row r="95" spans="1:11" ht="15.75">
      <c r="A95" s="5"/>
      <c r="B95" s="41" t="s">
        <v>58</v>
      </c>
      <c r="C95" s="86" t="s">
        <v>10</v>
      </c>
      <c r="D95" s="42"/>
      <c r="E95" s="42"/>
      <c r="F95" s="42">
        <v>24870</v>
      </c>
      <c r="G95" s="42">
        <v>7228</v>
      </c>
      <c r="H95" s="42">
        <v>16700</v>
      </c>
      <c r="I95" s="42">
        <v>58000</v>
      </c>
      <c r="J95" s="42"/>
      <c r="K95" s="46">
        <f>SUM(D95:J95)</f>
        <v>106798</v>
      </c>
    </row>
    <row r="96" spans="1:11" ht="12.75">
      <c r="A96" s="5"/>
      <c r="B96" s="44"/>
      <c r="D96" s="168"/>
      <c r="E96" s="168"/>
      <c r="F96" s="168"/>
      <c r="G96" s="168"/>
      <c r="H96" s="168"/>
      <c r="I96" s="168"/>
      <c r="J96" s="80"/>
      <c r="K96" s="5"/>
    </row>
    <row r="97" spans="1:11" ht="13.5" thickBot="1">
      <c r="A97" s="5"/>
      <c r="B97" s="41" t="s">
        <v>59</v>
      </c>
      <c r="C97" s="41"/>
      <c r="D97" s="45">
        <f aca="true" t="shared" si="18" ref="D97:K97">SUM(D85,D87,D89,D91,D95,D93)</f>
        <v>0</v>
      </c>
      <c r="E97" s="45">
        <f t="shared" si="18"/>
        <v>41990</v>
      </c>
      <c r="F97" s="45">
        <f t="shared" si="18"/>
        <v>60852</v>
      </c>
      <c r="G97" s="45">
        <f t="shared" si="18"/>
        <v>67550</v>
      </c>
      <c r="H97" s="45">
        <f t="shared" si="18"/>
        <v>207586</v>
      </c>
      <c r="I97" s="45">
        <f t="shared" si="18"/>
        <v>130725</v>
      </c>
      <c r="J97" s="45">
        <f t="shared" si="18"/>
        <v>0</v>
      </c>
      <c r="K97" s="45">
        <f t="shared" si="18"/>
        <v>508703</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41990</v>
      </c>
      <c r="F99" s="49">
        <f t="shared" si="19"/>
        <v>60852</v>
      </c>
      <c r="G99" s="49">
        <f t="shared" si="19"/>
        <v>1563772</v>
      </c>
      <c r="H99" s="49">
        <f t="shared" si="19"/>
        <v>379001</v>
      </c>
      <c r="I99" s="49">
        <f t="shared" si="19"/>
        <v>143709</v>
      </c>
      <c r="J99" s="49">
        <f t="shared" si="19"/>
        <v>12984</v>
      </c>
      <c r="K99" s="49">
        <f t="shared" si="19"/>
        <v>2202308</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Forecasted</v>
      </c>
      <c r="I104" s="24" t="str">
        <f t="shared" si="21"/>
        <v>Forecasted</v>
      </c>
      <c r="J104" s="24" t="str">
        <f t="shared" si="21"/>
        <v>Forecasted</v>
      </c>
      <c r="K104" s="24"/>
    </row>
    <row r="105" spans="1:11" ht="12.75">
      <c r="A105" s="5"/>
      <c r="B105" s="41" t="s">
        <v>63</v>
      </c>
      <c r="C105" s="41"/>
      <c r="D105" s="42"/>
      <c r="E105" s="42"/>
      <c r="F105" s="42"/>
      <c r="G105" s="42">
        <v>6440</v>
      </c>
      <c r="H105" s="42">
        <v>11489</v>
      </c>
      <c r="I105" s="42"/>
      <c r="J105" s="42"/>
      <c r="K105" s="46">
        <f>SUM(D105:J105)</f>
        <v>17929</v>
      </c>
    </row>
    <row r="106" spans="1:11" ht="12.75">
      <c r="A106" s="5"/>
      <c r="B106" s="44" t="s">
        <v>64</v>
      </c>
      <c r="C106" s="44"/>
      <c r="D106" s="168"/>
      <c r="E106" s="168"/>
      <c r="F106" s="168"/>
      <c r="G106" s="168"/>
      <c r="H106" s="168"/>
      <c r="I106" s="168"/>
      <c r="J106" s="80"/>
      <c r="K106" s="5"/>
    </row>
    <row r="107" spans="1:11" ht="13.5" thickBot="1">
      <c r="A107" s="5"/>
      <c r="B107" s="41" t="s">
        <v>65</v>
      </c>
      <c r="C107" s="41"/>
      <c r="D107" s="45">
        <f aca="true" t="shared" si="22" ref="D107:K107">SUM(D105)</f>
        <v>0</v>
      </c>
      <c r="E107" s="45">
        <f t="shared" si="22"/>
        <v>0</v>
      </c>
      <c r="F107" s="45">
        <f t="shared" si="22"/>
        <v>0</v>
      </c>
      <c r="G107" s="45">
        <f t="shared" si="22"/>
        <v>6440</v>
      </c>
      <c r="H107" s="45">
        <f t="shared" si="22"/>
        <v>11489</v>
      </c>
      <c r="I107" s="45">
        <f t="shared" si="22"/>
        <v>0</v>
      </c>
      <c r="J107" s="45">
        <f t="shared" si="22"/>
        <v>0</v>
      </c>
      <c r="K107" s="45">
        <f t="shared" si="22"/>
        <v>17929</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68"/>
      <c r="E111" s="168"/>
      <c r="F111" s="168"/>
      <c r="G111" s="168"/>
      <c r="H111" s="168"/>
      <c r="I111" s="168"/>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68"/>
      <c r="E117" s="168"/>
      <c r="F117" s="168"/>
      <c r="G117" s="168"/>
      <c r="H117" s="168"/>
      <c r="I117" s="168"/>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c r="I119" s="42">
        <v>14936</v>
      </c>
      <c r="J119" s="42">
        <v>14936</v>
      </c>
      <c r="K119" s="46">
        <f>SUM(D119:J119)</f>
        <v>29872</v>
      </c>
    </row>
    <row r="120" spans="1:11" ht="12.75">
      <c r="A120" s="5"/>
      <c r="B120" s="44" t="s">
        <v>72</v>
      </c>
      <c r="C120" s="44"/>
      <c r="D120" s="168"/>
      <c r="E120" s="168"/>
      <c r="F120" s="168"/>
      <c r="G120" s="168"/>
      <c r="H120" s="168"/>
      <c r="I120" s="168"/>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0</v>
      </c>
      <c r="H122" s="45">
        <f t="shared" si="24"/>
        <v>0</v>
      </c>
      <c r="I122" s="45">
        <f t="shared" si="24"/>
        <v>14936</v>
      </c>
      <c r="J122" s="45">
        <f t="shared" si="24"/>
        <v>14936</v>
      </c>
      <c r="K122" s="45">
        <f t="shared" si="24"/>
        <v>29872</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v>3572</v>
      </c>
      <c r="H126" s="42">
        <v>5540</v>
      </c>
      <c r="I126" s="42">
        <v>6000</v>
      </c>
      <c r="J126" s="42">
        <v>6000</v>
      </c>
      <c r="K126" s="46">
        <f>SUM(D126:J126)</f>
        <v>21112</v>
      </c>
    </row>
    <row r="127" spans="1:11" ht="12.75">
      <c r="A127" s="5"/>
      <c r="B127" s="44" t="s">
        <v>75</v>
      </c>
      <c r="C127" s="44"/>
      <c r="D127" s="168"/>
      <c r="E127" s="168"/>
      <c r="F127" s="168"/>
      <c r="G127" s="168"/>
      <c r="H127" s="168"/>
      <c r="I127" s="168"/>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3572</v>
      </c>
      <c r="H129" s="45">
        <f t="shared" si="25"/>
        <v>5540</v>
      </c>
      <c r="I129" s="45">
        <f t="shared" si="25"/>
        <v>6000</v>
      </c>
      <c r="J129" s="45">
        <f t="shared" si="25"/>
        <v>6000</v>
      </c>
      <c r="K129" s="45">
        <f t="shared" si="25"/>
        <v>21112</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68"/>
      <c r="E133" s="168"/>
      <c r="F133" s="168"/>
      <c r="G133" s="168"/>
      <c r="H133" s="168"/>
      <c r="I133" s="168"/>
      <c r="J133" s="80"/>
      <c r="K133" s="5"/>
    </row>
    <row r="134" spans="1:11" ht="12.75">
      <c r="A134" s="5"/>
      <c r="B134" s="41" t="s">
        <v>79</v>
      </c>
      <c r="C134" s="41"/>
      <c r="D134" s="42"/>
      <c r="E134" s="42"/>
      <c r="F134" s="42"/>
      <c r="G134" s="42"/>
      <c r="H134" s="42">
        <v>2603</v>
      </c>
      <c r="I134" s="42">
        <v>27795</v>
      </c>
      <c r="J134" s="42">
        <v>4076</v>
      </c>
      <c r="K134" s="46">
        <f>SUM(D134:J134)</f>
        <v>34474</v>
      </c>
    </row>
    <row r="135" spans="1:11" ht="12.75">
      <c r="A135" s="5"/>
      <c r="B135" s="44" t="s">
        <v>80</v>
      </c>
      <c r="C135" s="44"/>
      <c r="D135" s="168"/>
      <c r="E135" s="168"/>
      <c r="F135" s="168"/>
      <c r="G135" s="168"/>
      <c r="H135" s="168"/>
      <c r="I135" s="168"/>
      <c r="J135" s="80"/>
      <c r="K135" s="5"/>
    </row>
    <row r="136" spans="1:11" ht="12.75">
      <c r="A136" s="5"/>
      <c r="B136" s="41" t="s">
        <v>81</v>
      </c>
      <c r="C136" s="41"/>
      <c r="D136" s="42"/>
      <c r="E136" s="42"/>
      <c r="F136" s="42"/>
      <c r="G136" s="42">
        <v>72136</v>
      </c>
      <c r="H136" s="42">
        <v>86020</v>
      </c>
      <c r="I136" s="42">
        <v>90600</v>
      </c>
      <c r="J136" s="42">
        <v>91958</v>
      </c>
      <c r="K136" s="46">
        <f>SUM(D136:J136)</f>
        <v>340714</v>
      </c>
    </row>
    <row r="137" spans="1:11" ht="12.75">
      <c r="A137" s="5"/>
      <c r="B137" s="44"/>
      <c r="C137" s="44"/>
      <c r="D137" s="168"/>
      <c r="E137" s="168"/>
      <c r="F137" s="168"/>
      <c r="G137" s="168"/>
      <c r="H137" s="168"/>
      <c r="I137" s="168"/>
      <c r="J137" s="80"/>
      <c r="K137" s="5"/>
    </row>
    <row r="138" spans="1:11" ht="12.75">
      <c r="A138" s="5"/>
      <c r="B138" s="41" t="s">
        <v>82</v>
      </c>
      <c r="C138" s="41"/>
      <c r="D138" s="42"/>
      <c r="E138" s="42"/>
      <c r="F138" s="42">
        <v>3874</v>
      </c>
      <c r="G138" s="42">
        <v>1909</v>
      </c>
      <c r="H138" s="42">
        <v>6411</v>
      </c>
      <c r="I138" s="42">
        <v>3000</v>
      </c>
      <c r="J138" s="42"/>
      <c r="K138" s="46">
        <f>SUM(D138:J138)</f>
        <v>15194</v>
      </c>
    </row>
    <row r="139" spans="1:11" ht="12.75">
      <c r="A139" s="5"/>
      <c r="B139" s="44" t="s">
        <v>83</v>
      </c>
      <c r="C139" s="44"/>
      <c r="D139" s="168"/>
      <c r="E139" s="168"/>
      <c r="F139" s="168"/>
      <c r="G139" s="168"/>
      <c r="H139" s="168"/>
      <c r="I139" s="168"/>
      <c r="J139" s="80"/>
      <c r="K139" s="5"/>
    </row>
    <row r="140" spans="1:11" ht="12.75">
      <c r="A140" s="5"/>
      <c r="B140" s="41" t="s">
        <v>84</v>
      </c>
      <c r="C140" s="41"/>
      <c r="D140" s="42"/>
      <c r="E140" s="42"/>
      <c r="F140" s="42"/>
      <c r="G140" s="42"/>
      <c r="H140" s="42"/>
      <c r="I140" s="42">
        <v>97919</v>
      </c>
      <c r="J140" s="42">
        <v>56018</v>
      </c>
      <c r="K140" s="46">
        <f>SUM(D140:J140)</f>
        <v>153937</v>
      </c>
    </row>
    <row r="141" spans="1:11" ht="12.75">
      <c r="A141" s="5"/>
      <c r="B141" s="44"/>
      <c r="C141" s="44"/>
      <c r="D141" s="168"/>
      <c r="E141" s="168"/>
      <c r="F141" s="168"/>
      <c r="G141" s="168"/>
      <c r="H141" s="168"/>
      <c r="I141" s="168"/>
      <c r="J141" s="80"/>
      <c r="K141" s="5"/>
    </row>
    <row r="142" spans="1:11" ht="12.75">
      <c r="A142" s="5"/>
      <c r="B142" s="41" t="s">
        <v>85</v>
      </c>
      <c r="C142" s="41"/>
      <c r="D142" s="42"/>
      <c r="E142" s="42"/>
      <c r="F142" s="42"/>
      <c r="G142" s="42">
        <v>11389</v>
      </c>
      <c r="H142" s="42">
        <v>26068</v>
      </c>
      <c r="I142" s="42">
        <v>78891</v>
      </c>
      <c r="J142" s="42">
        <v>56190</v>
      </c>
      <c r="K142" s="46">
        <f>SUM(D142:J142)</f>
        <v>172538</v>
      </c>
    </row>
    <row r="143" spans="1:11" ht="12.75">
      <c r="A143" s="5"/>
      <c r="B143" s="44"/>
      <c r="C143" s="44"/>
      <c r="D143" s="168"/>
      <c r="E143" s="168"/>
      <c r="F143" s="168"/>
      <c r="G143" s="168"/>
      <c r="H143" s="168"/>
      <c r="I143" s="168"/>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3874</v>
      </c>
      <c r="G145" s="45">
        <f t="shared" si="26"/>
        <v>85434</v>
      </c>
      <c r="H145" s="45">
        <f t="shared" si="26"/>
        <v>121102</v>
      </c>
      <c r="I145" s="45">
        <f t="shared" si="26"/>
        <v>298205</v>
      </c>
      <c r="J145" s="45">
        <f t="shared" si="26"/>
        <v>208242</v>
      </c>
      <c r="K145" s="45">
        <f t="shared" si="26"/>
        <v>716857</v>
      </c>
    </row>
    <row r="147" spans="2:11" ht="18.75" thickBot="1">
      <c r="B147" s="28" t="s">
        <v>87</v>
      </c>
      <c r="C147" s="28"/>
      <c r="D147" s="51">
        <f aca="true" t="shared" si="27" ref="D147:K147">SUM(D107,D113,D122,D129,D145)</f>
        <v>0</v>
      </c>
      <c r="E147" s="51">
        <f t="shared" si="27"/>
        <v>0</v>
      </c>
      <c r="F147" s="51">
        <f t="shared" si="27"/>
        <v>3874</v>
      </c>
      <c r="G147" s="51">
        <f t="shared" si="27"/>
        <v>95446</v>
      </c>
      <c r="H147" s="51">
        <f t="shared" si="27"/>
        <v>138131</v>
      </c>
      <c r="I147" s="51">
        <f t="shared" si="27"/>
        <v>319141</v>
      </c>
      <c r="J147" s="51">
        <f t="shared" si="27"/>
        <v>229178</v>
      </c>
      <c r="K147" s="51">
        <f t="shared" si="27"/>
        <v>785770</v>
      </c>
    </row>
    <row r="148" ht="13.5" thickTop="1"/>
  </sheetData>
  <sheetProtection formatColumns="0" selectLockedCells="1"/>
  <mergeCells count="26">
    <mergeCell ref="D143:I143"/>
    <mergeCell ref="D135:I135"/>
    <mergeCell ref="D137:I137"/>
    <mergeCell ref="D120:I120"/>
    <mergeCell ref="D127:I127"/>
    <mergeCell ref="D133:I133"/>
    <mergeCell ref="D139:I139"/>
    <mergeCell ref="D141:I141"/>
    <mergeCell ref="D90:I90"/>
    <mergeCell ref="D92:I92"/>
    <mergeCell ref="D96:I96"/>
    <mergeCell ref="D88:I88"/>
    <mergeCell ref="D117:I117"/>
    <mergeCell ref="D106:I106"/>
    <mergeCell ref="D111:I111"/>
    <mergeCell ref="D94:I94"/>
    <mergeCell ref="D86:I86"/>
    <mergeCell ref="D46:I46"/>
    <mergeCell ref="D60:I60"/>
    <mergeCell ref="D70:I70"/>
    <mergeCell ref="D72:I72"/>
    <mergeCell ref="B1:I1"/>
    <mergeCell ref="D42:I42"/>
    <mergeCell ref="D54:I54"/>
    <mergeCell ref="D57:I57"/>
    <mergeCell ref="D44:I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3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codeName="Sheet1">
    <pageSetUpPr fitToPage="1"/>
  </sheetPr>
  <dimension ref="A1:M75"/>
  <sheetViews>
    <sheetView showGridLines="0" zoomScalePageLayoutView="0" workbookViewId="0" topLeftCell="B3">
      <selection activeCell="C20" sqref="C20:D20"/>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69" t="s">
        <v>88</v>
      </c>
      <c r="C1" s="169"/>
      <c r="D1" s="169"/>
      <c r="E1" s="169"/>
      <c r="F1" s="169"/>
      <c r="G1" s="169"/>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248</v>
      </c>
      <c r="C14" s="5"/>
      <c r="D14"/>
      <c r="E14" s="123">
        <v>0.04</v>
      </c>
      <c r="F14" s="123">
        <v>0.04</v>
      </c>
      <c r="G14" s="123">
        <v>0.04</v>
      </c>
      <c r="H14" s="123">
        <v>0.04</v>
      </c>
      <c r="I14" s="123">
        <v>0.04</v>
      </c>
      <c r="J14" s="46"/>
      <c r="K14" s="46"/>
      <c r="L14" s="46"/>
    </row>
    <row r="15" spans="1:12" ht="12.75">
      <c r="A15" s="5"/>
      <c r="B15" s="54" t="s">
        <v>275</v>
      </c>
      <c r="C15" s="89">
        <v>0</v>
      </c>
      <c r="D15" s="89">
        <v>0.533</v>
      </c>
      <c r="E15" s="89">
        <v>0.533</v>
      </c>
      <c r="F15" s="89">
        <v>0.527</v>
      </c>
      <c r="G15" s="89">
        <v>0.56</v>
      </c>
      <c r="H15" s="89">
        <v>0.56</v>
      </c>
      <c r="I15" s="89">
        <v>0.56</v>
      </c>
      <c r="J15" s="46"/>
      <c r="K15" s="46"/>
      <c r="L15" s="5"/>
    </row>
    <row r="16" spans="1:12" ht="12.75">
      <c r="A16" s="5"/>
      <c r="B16" s="54" t="s">
        <v>276</v>
      </c>
      <c r="C16" s="90">
        <f>1-C15</f>
        <v>1</v>
      </c>
      <c r="D16" s="90">
        <f>1-D15</f>
        <v>0.46699999999999997</v>
      </c>
      <c r="E16" s="90">
        <f>1-E15-E14</f>
        <v>0.427</v>
      </c>
      <c r="F16" s="90">
        <f>1-F15-F14</f>
        <v>0.433</v>
      </c>
      <c r="G16" s="90">
        <f>1-G15-G14</f>
        <v>0.39999999999999997</v>
      </c>
      <c r="H16" s="90">
        <f>1-H15-H14</f>
        <v>0.39999999999999997</v>
      </c>
      <c r="I16" s="90">
        <f>1-I15-I14</f>
        <v>0.39999999999999997</v>
      </c>
      <c r="J16" s="46"/>
      <c r="K16" s="46"/>
      <c r="L16" s="5"/>
    </row>
    <row r="17" ht="12.75"/>
    <row r="18" spans="1:12" ht="12.75">
      <c r="A18" s="5"/>
      <c r="B18" s="54" t="s">
        <v>249</v>
      </c>
      <c r="C18" s="90"/>
      <c r="D18" s="90"/>
      <c r="E18" s="124">
        <v>0.0447</v>
      </c>
      <c r="F18" s="124">
        <v>0.0113</v>
      </c>
      <c r="G18" s="124">
        <v>0.0113</v>
      </c>
      <c r="H18" s="124">
        <v>0.0113</v>
      </c>
      <c r="I18" s="124">
        <v>0.0113</v>
      </c>
      <c r="J18" s="46"/>
      <c r="K18" s="46"/>
      <c r="L18" s="5"/>
    </row>
    <row r="19" spans="1:12" ht="12.75">
      <c r="A19" s="5"/>
      <c r="B19" s="54" t="s">
        <v>277</v>
      </c>
      <c r="C19" s="91">
        <v>0</v>
      </c>
      <c r="D19" s="91">
        <v>0.0511</v>
      </c>
      <c r="E19" s="91">
        <v>0.0511</v>
      </c>
      <c r="F19" s="91">
        <v>0.0516</v>
      </c>
      <c r="G19" s="91">
        <v>0.0516</v>
      </c>
      <c r="H19" s="91">
        <v>0.0516</v>
      </c>
      <c r="I19" s="91">
        <v>0.0516</v>
      </c>
      <c r="J19" s="46"/>
      <c r="K19" s="46"/>
      <c r="L19" s="5"/>
    </row>
    <row r="20" spans="1:12" ht="13.5" customHeight="1">
      <c r="A20" s="5"/>
      <c r="B20" s="54" t="s">
        <v>278</v>
      </c>
      <c r="C20" s="91">
        <v>0.09</v>
      </c>
      <c r="D20" s="91">
        <v>0.09</v>
      </c>
      <c r="E20" s="91">
        <v>0.0857</v>
      </c>
      <c r="F20" s="91">
        <v>0.0801</v>
      </c>
      <c r="G20" s="91">
        <v>0.0801</v>
      </c>
      <c r="H20" s="91">
        <v>0.0801</v>
      </c>
      <c r="I20" s="91">
        <v>0.0801</v>
      </c>
      <c r="J20" s="5"/>
      <c r="K20" s="5"/>
      <c r="L20" s="5"/>
    </row>
    <row r="21" spans="1:12" ht="18" customHeight="1">
      <c r="A21" s="5"/>
      <c r="B21" s="55" t="s">
        <v>94</v>
      </c>
      <c r="C21" s="95">
        <f>(C19*C15)+(C16*C20)</f>
        <v>0.09</v>
      </c>
      <c r="D21" s="95">
        <f>(D19*D15)+(D16*D20)</f>
        <v>0.0692663</v>
      </c>
      <c r="E21" s="95">
        <f>(E14*E18)+(E15*E19)+(E16*E20)</f>
        <v>0.0656182</v>
      </c>
      <c r="F21" s="95">
        <f>(F14*F18)+(F15*F19)+(F16*F20)</f>
        <v>0.0623285</v>
      </c>
      <c r="G21" s="95">
        <f>(G14*G18)+(G15*G19)+(G16*G20)</f>
        <v>0.061388</v>
      </c>
      <c r="H21" s="95">
        <f>(H14*H18)+(H15*H19)+(H16*H20)</f>
        <v>0.061388</v>
      </c>
      <c r="I21" s="95">
        <f>(I14*I18)+(I15*I19)+(I16*I20)</f>
        <v>0.061388</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0.2686</v>
      </c>
      <c r="G26" s="91">
        <v>0.259</v>
      </c>
      <c r="H26" s="91">
        <v>0.244</v>
      </c>
      <c r="I26" s="91">
        <v>0.229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Forecasted</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1484174</v>
      </c>
      <c r="G31" s="96">
        <f>SUMIF('2. Smart Meter Data'!$C:$J,"Smart Meter",'2. Smart Meter Data'!H:H)</f>
        <v>110241</v>
      </c>
      <c r="H31" s="96">
        <f>SUMIF('2. Smart Meter Data'!$C:$J,"Smart Meter",'2. Smart Meter Data'!I:I)</f>
        <v>12984</v>
      </c>
      <c r="I31" s="96">
        <f>SUMIF('2. Smart Meter Data'!$C:$J,"Smart Meter",'2. Smart Meter Data'!J:J)</f>
        <v>12984</v>
      </c>
      <c r="J31" s="97">
        <f>SUM(C31:H31)</f>
        <v>1607399</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12048</v>
      </c>
      <c r="G32" s="96">
        <f>SUMIF('2. Smart Meter Data'!$C:$J,"Comp. Hard.",'2. Smart Meter Data'!H:H)</f>
        <v>7983</v>
      </c>
      <c r="H32" s="96">
        <f>SUMIF('2. Smart Meter Data'!$C:$J,"Comp. Hard.",'2. Smart Meter Data'!I:I)</f>
        <v>0</v>
      </c>
      <c r="I32" s="96">
        <f>SUMIF('2. Smart Meter Data'!$C:$J,"Comp. Hard.",'2. Smart Meter Data'!J:J)</f>
        <v>0</v>
      </c>
      <c r="J32" s="97">
        <f>SUM(C32:H32)</f>
        <v>20031</v>
      </c>
      <c r="K32" s="5"/>
      <c r="L32" s="5"/>
      <c r="M32" s="5"/>
    </row>
    <row r="33" spans="1:13" ht="12.75">
      <c r="A33" s="5"/>
      <c r="B33" s="31" t="s">
        <v>99</v>
      </c>
      <c r="C33" s="96">
        <f>SUMIF('2. Smart Meter Data'!$C:$J,"Comp. Soft.",'2. Smart Meter Data'!D:D)</f>
        <v>0</v>
      </c>
      <c r="D33" s="96">
        <f>SUMIF('2. Smart Meter Data'!$C:$J,"Comp. Soft.",'2. Smart Meter Data'!E:E)</f>
        <v>41990</v>
      </c>
      <c r="E33" s="96">
        <f>SUMIF('2. Smart Meter Data'!$C:$J,"Comp. Soft.",'2. Smart Meter Data'!F:F)</f>
        <v>60852</v>
      </c>
      <c r="F33" s="96">
        <f>SUMIF('2. Smart Meter Data'!$C:$J,"Comp. Soft.",'2. Smart Meter Data'!G:G)</f>
        <v>67550</v>
      </c>
      <c r="G33" s="96">
        <f>SUMIF('2. Smart Meter Data'!$C:$J,"Comp. Soft.",'2. Smart Meter Data'!H:H)</f>
        <v>260777</v>
      </c>
      <c r="H33" s="96">
        <f>SUMIF('2. Smart Meter Data'!$C:$J,"Comp. Soft.",'2. Smart Meter Data'!I:I)</f>
        <v>130725</v>
      </c>
      <c r="I33" s="96">
        <f>SUMIF('2. Smart Meter Data'!$C:$J,"Comp. Soft.",'2. Smart Meter Data'!J:J)</f>
        <v>0</v>
      </c>
      <c r="J33" s="97">
        <f>SUM(C33:H33)</f>
        <v>561894</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41990</v>
      </c>
      <c r="E36" s="98">
        <f t="shared" si="1"/>
        <v>60852</v>
      </c>
      <c r="F36" s="98">
        <f t="shared" si="1"/>
        <v>1563772</v>
      </c>
      <c r="G36" s="98">
        <f t="shared" si="1"/>
        <v>379001</v>
      </c>
      <c r="H36" s="98">
        <f t="shared" si="1"/>
        <v>143709</v>
      </c>
      <c r="I36" s="98">
        <f t="shared" si="1"/>
        <v>12984</v>
      </c>
      <c r="J36" s="98">
        <f t="shared" si="1"/>
        <v>2189324</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12984</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Forecasted</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6440</v>
      </c>
      <c r="G41" s="99">
        <f>'2. Smart Meter Data'!H107</f>
        <v>11489</v>
      </c>
      <c r="H41" s="99">
        <f>'2. Smart Meter Data'!I107</f>
        <v>0</v>
      </c>
      <c r="I41" s="99">
        <f>'2. Smart Meter Data'!J107</f>
        <v>0</v>
      </c>
      <c r="J41" s="97">
        <f>SUM(C41:H41)</f>
        <v>17929</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0</v>
      </c>
      <c r="G43" s="99">
        <f>'2. Smart Meter Data'!H122</f>
        <v>0</v>
      </c>
      <c r="H43" s="99">
        <f>'2. Smart Meter Data'!I122</f>
        <v>14936</v>
      </c>
      <c r="I43" s="99">
        <f>'2. Smart Meter Data'!J122</f>
        <v>14936</v>
      </c>
      <c r="J43" s="97">
        <f>SUM(C43:H43)</f>
        <v>14936</v>
      </c>
      <c r="K43" s="5"/>
      <c r="L43" s="5"/>
      <c r="M43" s="5"/>
    </row>
    <row r="44" spans="1:13" ht="12.75">
      <c r="A44" s="5"/>
      <c r="B44" s="57" t="s">
        <v>104</v>
      </c>
      <c r="C44" s="99">
        <f>'2. Smart Meter Data'!D129</f>
        <v>0</v>
      </c>
      <c r="D44" s="99">
        <f>'2. Smart Meter Data'!E129</f>
        <v>0</v>
      </c>
      <c r="E44" s="99">
        <f>'2. Smart Meter Data'!F129</f>
        <v>0</v>
      </c>
      <c r="F44" s="99">
        <f>'2. Smart Meter Data'!G129</f>
        <v>3572</v>
      </c>
      <c r="G44" s="99">
        <f>'2. Smart Meter Data'!H129</f>
        <v>5540</v>
      </c>
      <c r="H44" s="99">
        <f>'2. Smart Meter Data'!I129</f>
        <v>6000</v>
      </c>
      <c r="I44" s="99">
        <f>'2. Smart Meter Data'!J129</f>
        <v>6000</v>
      </c>
      <c r="J44" s="97">
        <f>SUM(C44:H44)</f>
        <v>15112</v>
      </c>
      <c r="K44" s="5"/>
      <c r="L44" s="5"/>
      <c r="M44" s="5"/>
    </row>
    <row r="45" spans="1:13" ht="12.75">
      <c r="A45" s="5"/>
      <c r="B45" s="57" t="s">
        <v>105</v>
      </c>
      <c r="C45" s="99">
        <f>'2. Smart Meter Data'!D145</f>
        <v>0</v>
      </c>
      <c r="D45" s="99">
        <f>'2. Smart Meter Data'!E145</f>
        <v>0</v>
      </c>
      <c r="E45" s="99">
        <f>'2. Smart Meter Data'!F145</f>
        <v>3874</v>
      </c>
      <c r="F45" s="99">
        <f>'2. Smart Meter Data'!G145</f>
        <v>85434</v>
      </c>
      <c r="G45" s="99">
        <f>'2. Smart Meter Data'!H145</f>
        <v>121102</v>
      </c>
      <c r="H45" s="99">
        <f>'2. Smart Meter Data'!I145</f>
        <v>298205</v>
      </c>
      <c r="I45" s="99">
        <f>'2. Smart Meter Data'!J145</f>
        <v>208242</v>
      </c>
      <c r="J45" s="97">
        <f>SUM(C45:H45)</f>
        <v>508615</v>
      </c>
      <c r="K45" s="5"/>
      <c r="L45" s="5"/>
      <c r="M45" s="5"/>
    </row>
    <row r="46" spans="1:13" ht="13.5" thickBot="1">
      <c r="A46" s="5"/>
      <c r="B46" s="54" t="s">
        <v>87</v>
      </c>
      <c r="C46" s="100">
        <f aca="true" t="shared" si="4" ref="C46:J46">SUM(C41:C45)</f>
        <v>0</v>
      </c>
      <c r="D46" s="100">
        <f t="shared" si="4"/>
        <v>0</v>
      </c>
      <c r="E46" s="100">
        <f t="shared" si="4"/>
        <v>3874</v>
      </c>
      <c r="F46" s="101">
        <f t="shared" si="4"/>
        <v>95446</v>
      </c>
      <c r="G46" s="101">
        <f t="shared" si="4"/>
        <v>138131</v>
      </c>
      <c r="H46" s="101">
        <f t="shared" si="4"/>
        <v>319141</v>
      </c>
      <c r="I46" s="101">
        <f t="shared" si="4"/>
        <v>229178</v>
      </c>
      <c r="J46" s="101">
        <f t="shared" si="4"/>
        <v>556592</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229178</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170.78187420314492</v>
      </c>
      <c r="D50" s="103">
        <f>'2. Smart Meter Data'!K10</f>
        <v>9412</v>
      </c>
      <c r="E50" s="97">
        <f>J31</f>
        <v>1607399</v>
      </c>
      <c r="F50" s="104">
        <f aca="true" t="shared" si="6" ref="F50:F55">IF(ISERROR(E50/$E$56),0,E50/$E$56)</f>
        <v>0.5853780669182889</v>
      </c>
      <c r="G50" s="5"/>
      <c r="H50" s="5"/>
      <c r="I50" s="5"/>
      <c r="J50" s="5"/>
      <c r="K50" s="5"/>
      <c r="L50" s="5"/>
    </row>
    <row r="51" spans="1:12" ht="12.75">
      <c r="A51" s="5"/>
      <c r="B51" s="31" t="s">
        <v>112</v>
      </c>
      <c r="C51" s="102">
        <f t="shared" si="5"/>
        <v>2.1282405439864003</v>
      </c>
      <c r="D51" s="103">
        <f>D50</f>
        <v>9412</v>
      </c>
      <c r="E51" s="97">
        <f>J32</f>
        <v>20031</v>
      </c>
      <c r="F51" s="104">
        <f t="shared" si="6"/>
        <v>0.007294833490900669</v>
      </c>
      <c r="G51" s="5"/>
      <c r="H51" s="5"/>
      <c r="I51" s="5"/>
      <c r="J51" s="5"/>
      <c r="K51" s="5"/>
      <c r="L51" s="5"/>
    </row>
    <row r="52" spans="1:12" ht="12.75">
      <c r="A52" s="5"/>
      <c r="B52" s="31" t="s">
        <v>113</v>
      </c>
      <c r="C52" s="102">
        <f t="shared" si="5"/>
        <v>59.69974500637484</v>
      </c>
      <c r="D52" s="103">
        <f>D51</f>
        <v>9412</v>
      </c>
      <c r="E52" s="97">
        <f>J33</f>
        <v>561894</v>
      </c>
      <c r="F52" s="104">
        <f t="shared" si="6"/>
        <v>0.20462898355230094</v>
      </c>
      <c r="G52" s="5"/>
      <c r="H52" s="5"/>
      <c r="I52" s="5"/>
      <c r="J52" s="5"/>
      <c r="K52" s="5"/>
      <c r="L52" s="5"/>
    </row>
    <row r="53" spans="1:12" ht="12.75">
      <c r="A53" s="5"/>
      <c r="B53" s="31" t="s">
        <v>11</v>
      </c>
      <c r="C53" s="102">
        <f t="shared" si="5"/>
        <v>0</v>
      </c>
      <c r="D53" s="103">
        <f>D52</f>
        <v>9412</v>
      </c>
      <c r="E53" s="97">
        <f>J34</f>
        <v>0</v>
      </c>
      <c r="F53" s="104">
        <f t="shared" si="6"/>
        <v>0</v>
      </c>
      <c r="G53" s="5"/>
      <c r="H53" s="5"/>
      <c r="I53" s="5"/>
      <c r="J53" s="5"/>
      <c r="K53" s="5"/>
      <c r="L53" s="5"/>
    </row>
    <row r="54" spans="1:12" ht="12.75">
      <c r="A54" s="5"/>
      <c r="B54" s="31" t="s">
        <v>13</v>
      </c>
      <c r="C54" s="102">
        <f t="shared" si="5"/>
        <v>0</v>
      </c>
      <c r="D54" s="103">
        <f>D53</f>
        <v>9412</v>
      </c>
      <c r="E54" s="97">
        <f>J35</f>
        <v>0</v>
      </c>
      <c r="F54" s="104">
        <f t="shared" si="6"/>
        <v>0</v>
      </c>
      <c r="G54" s="5"/>
      <c r="H54" s="5"/>
      <c r="I54" s="5"/>
      <c r="J54" s="5"/>
      <c r="K54" s="5"/>
      <c r="L54" s="5"/>
    </row>
    <row r="55" spans="1:12" ht="12.75">
      <c r="A55" s="5"/>
      <c r="B55" s="31" t="s">
        <v>114</v>
      </c>
      <c r="C55" s="102">
        <f t="shared" si="5"/>
        <v>59.13642158946026</v>
      </c>
      <c r="D55" s="103">
        <f>D52</f>
        <v>9412</v>
      </c>
      <c r="E55" s="97">
        <f>J46</f>
        <v>556592</v>
      </c>
      <c r="F55" s="104">
        <f t="shared" si="6"/>
        <v>0.20269811603850954</v>
      </c>
      <c r="G55" s="5"/>
      <c r="H55" s="5"/>
      <c r="I55" s="5"/>
      <c r="J55" s="5"/>
      <c r="K55" s="5"/>
      <c r="L55" s="5"/>
    </row>
    <row r="56" spans="1:12" ht="12.75">
      <c r="A56" s="5"/>
      <c r="B56" s="5" t="s">
        <v>115</v>
      </c>
      <c r="C56" s="105">
        <f>SUM(C50:C55)</f>
        <v>291.7462813429664</v>
      </c>
      <c r="D56" s="106"/>
      <c r="E56" s="107">
        <f>SUM(E50:E55)</f>
        <v>2745916</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211</v>
      </c>
      <c r="C59" s="111" t="str">
        <f>C40</f>
        <v>Audited Actual</v>
      </c>
      <c r="D59" s="111" t="str">
        <f aca="true" t="shared" si="8" ref="D59:I59">D40</f>
        <v>Audited Actual</v>
      </c>
      <c r="E59" s="111" t="str">
        <f t="shared" si="8"/>
        <v>Audited Actual</v>
      </c>
      <c r="F59" s="111" t="str">
        <f t="shared" si="8"/>
        <v>Audited Actual</v>
      </c>
      <c r="G59" s="111" t="str">
        <f t="shared" si="8"/>
        <v>Forecasted</v>
      </c>
      <c r="H59" s="111" t="str">
        <f t="shared" si="8"/>
        <v>Forecasted</v>
      </c>
      <c r="I59" s="111" t="str">
        <f t="shared" si="8"/>
        <v>Forecasted</v>
      </c>
    </row>
    <row r="60" spans="2:9" ht="12.75">
      <c r="B60" s="31" t="s">
        <v>212</v>
      </c>
      <c r="C60" s="112">
        <v>15</v>
      </c>
      <c r="D60" s="112">
        <v>15</v>
      </c>
      <c r="E60" s="112">
        <v>15</v>
      </c>
      <c r="F60" s="112">
        <v>15</v>
      </c>
      <c r="G60" s="112">
        <v>15</v>
      </c>
      <c r="H60" s="112">
        <v>15</v>
      </c>
      <c r="I60" s="112">
        <v>15</v>
      </c>
    </row>
    <row r="61" spans="2:9" ht="12.75">
      <c r="B61" s="31" t="s">
        <v>213</v>
      </c>
      <c r="C61" s="112">
        <v>10</v>
      </c>
      <c r="D61" s="112">
        <v>10</v>
      </c>
      <c r="E61" s="112">
        <v>10</v>
      </c>
      <c r="F61" s="112">
        <v>10</v>
      </c>
      <c r="G61" s="112">
        <v>10</v>
      </c>
      <c r="H61" s="112">
        <v>10</v>
      </c>
      <c r="I61" s="112">
        <v>10</v>
      </c>
    </row>
    <row r="62" spans="2:9" ht="12.75">
      <c r="B62" s="31" t="s">
        <v>214</v>
      </c>
      <c r="C62" s="112">
        <v>5</v>
      </c>
      <c r="D62" s="112">
        <v>5</v>
      </c>
      <c r="E62" s="112">
        <v>5</v>
      </c>
      <c r="F62" s="112">
        <v>5</v>
      </c>
      <c r="G62" s="112">
        <v>5</v>
      </c>
      <c r="H62" s="112">
        <v>5</v>
      </c>
      <c r="I62" s="112">
        <v>5</v>
      </c>
    </row>
    <row r="63" spans="2:9" ht="12.75">
      <c r="B63" s="31" t="s">
        <v>215</v>
      </c>
      <c r="C63" s="112">
        <v>10</v>
      </c>
      <c r="D63" s="112">
        <v>10</v>
      </c>
      <c r="E63" s="112">
        <v>10</v>
      </c>
      <c r="F63" s="112">
        <v>10</v>
      </c>
      <c r="G63" s="112">
        <v>10</v>
      </c>
      <c r="H63" s="112">
        <v>10</v>
      </c>
      <c r="I63" s="112">
        <v>10</v>
      </c>
    </row>
    <row r="64" spans="2:9" ht="12.75">
      <c r="B64" s="31" t="s">
        <v>216</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217</v>
      </c>
      <c r="C67" s="111" t="str">
        <f>C59</f>
        <v>Audited Actual</v>
      </c>
      <c r="D67" s="111" t="str">
        <f aca="true" t="shared" si="10" ref="D67:I67">D59</f>
        <v>Audited Actual</v>
      </c>
      <c r="E67" s="111" t="str">
        <f t="shared" si="10"/>
        <v>Audited Actual</v>
      </c>
      <c r="F67" s="111" t="str">
        <f t="shared" si="10"/>
        <v>Audited Actual</v>
      </c>
      <c r="G67" s="111" t="str">
        <f t="shared" si="10"/>
        <v>Forecasted</v>
      </c>
      <c r="H67" s="111" t="str">
        <f t="shared" si="10"/>
        <v>Forecasted</v>
      </c>
      <c r="I67" s="111" t="str">
        <f t="shared" si="10"/>
        <v>Forecasted</v>
      </c>
    </row>
    <row r="68" spans="2:9" ht="12.75">
      <c r="B68" s="7" t="s">
        <v>220</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220</v>
      </c>
      <c r="C71" s="111">
        <v>45</v>
      </c>
      <c r="D71" s="111">
        <v>50</v>
      </c>
      <c r="E71" s="111">
        <v>50</v>
      </c>
      <c r="F71" s="111">
        <v>50</v>
      </c>
      <c r="G71" s="111">
        <v>50</v>
      </c>
      <c r="H71" s="111">
        <v>50</v>
      </c>
      <c r="I71" s="111">
        <v>50</v>
      </c>
    </row>
    <row r="72" spans="2:9" ht="12.75">
      <c r="B72" s="31" t="s">
        <v>219</v>
      </c>
      <c r="C72" s="113">
        <v>0.45</v>
      </c>
      <c r="D72" s="113">
        <v>0.55</v>
      </c>
      <c r="E72" s="113">
        <v>0.55</v>
      </c>
      <c r="F72" s="113">
        <v>0.55</v>
      </c>
      <c r="G72" s="113">
        <v>0.55</v>
      </c>
      <c r="H72" s="113">
        <v>0.55</v>
      </c>
      <c r="I72" s="113">
        <v>0.55</v>
      </c>
    </row>
    <row r="74" spans="2:9" ht="12.75">
      <c r="B74" s="7" t="s">
        <v>220</v>
      </c>
      <c r="C74" s="111">
        <v>8</v>
      </c>
      <c r="D74" s="111">
        <v>8</v>
      </c>
      <c r="E74" s="111">
        <v>8</v>
      </c>
      <c r="F74" s="111">
        <v>8</v>
      </c>
      <c r="G74" s="111">
        <v>8</v>
      </c>
      <c r="H74" s="111">
        <v>8</v>
      </c>
      <c r="I74" s="111">
        <v>8</v>
      </c>
    </row>
    <row r="75" spans="2:9" ht="12.75">
      <c r="B75" s="31" t="s">
        <v>221</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W61"/>
  <sheetViews>
    <sheetView showGridLines="0" zoomScale="75" zoomScaleNormal="75" zoomScalePageLayoutView="0" workbookViewId="0" topLeftCell="A1">
      <selection activeCell="C20" sqref="C20:D20"/>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6" t="s">
        <v>228</v>
      </c>
      <c r="C1" s="176"/>
      <c r="D1" s="176"/>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227</v>
      </c>
      <c r="B4" s="5"/>
      <c r="C4" s="5"/>
      <c r="D4" s="5"/>
      <c r="E4" s="5"/>
      <c r="F4" s="5"/>
      <c r="G4" s="59"/>
    </row>
    <row r="5" spans="1:7" ht="13.5" thickBot="1">
      <c r="A5" s="5"/>
      <c r="B5" s="5"/>
      <c r="C5" s="5"/>
      <c r="D5" s="5"/>
      <c r="E5" s="5"/>
      <c r="F5" s="5"/>
      <c r="G5" s="59"/>
    </row>
    <row r="6" spans="1:23" ht="18">
      <c r="A6" s="5"/>
      <c r="B6" s="28" t="s">
        <v>128</v>
      </c>
      <c r="C6" s="170">
        <f>'2. Smart Meter Data'!D4</f>
        <v>2006</v>
      </c>
      <c r="D6" s="171"/>
      <c r="E6" s="172"/>
      <c r="F6" s="170">
        <f>'2. Smart Meter Data'!E4</f>
        <v>2007</v>
      </c>
      <c r="G6" s="171"/>
      <c r="H6" s="172"/>
      <c r="I6" s="170">
        <f>'2. Smart Meter Data'!F4</f>
        <v>2008</v>
      </c>
      <c r="J6" s="171"/>
      <c r="K6" s="172"/>
      <c r="L6" s="170">
        <f>'2. Smart Meter Data'!G4</f>
        <v>2009</v>
      </c>
      <c r="M6" s="171"/>
      <c r="N6" s="172"/>
      <c r="O6" s="170">
        <f>'2. Smart Meter Data'!H4</f>
        <v>2010</v>
      </c>
      <c r="P6" s="171"/>
      <c r="Q6" s="172"/>
      <c r="R6" s="170">
        <f>'2. Smart Meter Data'!I4</f>
        <v>2011</v>
      </c>
      <c r="S6" s="171"/>
      <c r="T6" s="172"/>
      <c r="U6" s="170" t="str">
        <f>'2. Smart Meter Data'!J4</f>
        <v>Later</v>
      </c>
      <c r="V6" s="171"/>
      <c r="W6" s="172"/>
    </row>
    <row r="7" spans="1:23" ht="18.75" thickBot="1">
      <c r="A7" s="5"/>
      <c r="B7" s="28"/>
      <c r="C7" s="173" t="str">
        <f>'2. Smart Meter Data'!D5</f>
        <v>Audited Actual</v>
      </c>
      <c r="D7" s="174"/>
      <c r="E7" s="175"/>
      <c r="F7" s="173" t="str">
        <f>'2. Smart Meter Data'!E5</f>
        <v>Audited Actual</v>
      </c>
      <c r="G7" s="174"/>
      <c r="H7" s="175"/>
      <c r="I7" s="173" t="str">
        <f>'2. Smart Meter Data'!F5</f>
        <v>Audited Actual</v>
      </c>
      <c r="J7" s="174"/>
      <c r="K7" s="175"/>
      <c r="L7" s="173" t="str">
        <f>'2. Smart Meter Data'!G5</f>
        <v>Audited Actual</v>
      </c>
      <c r="M7" s="174"/>
      <c r="N7" s="175"/>
      <c r="O7" s="173" t="str">
        <f>'2. Smart Meter Data'!H5</f>
        <v>Forecasted</v>
      </c>
      <c r="P7" s="174"/>
      <c r="Q7" s="175"/>
      <c r="R7" s="173" t="str">
        <f>'2. Smart Meter Data'!I5</f>
        <v>Forecasted</v>
      </c>
      <c r="S7" s="174"/>
      <c r="T7" s="175"/>
      <c r="U7" s="173" t="str">
        <f>'2. Smart Meter Data'!J5</f>
        <v>Forecasted</v>
      </c>
      <c r="V7" s="174"/>
      <c r="W7" s="175"/>
    </row>
    <row r="8" spans="1:23" ht="12.75">
      <c r="A8" s="5"/>
      <c r="B8" s="61" t="s">
        <v>129</v>
      </c>
      <c r="C8" s="150">
        <f>'6. Avg Nt Fix Ass &amp;UCC'!C18</f>
        <v>0</v>
      </c>
      <c r="D8" s="6"/>
      <c r="E8" s="62"/>
      <c r="F8" s="150">
        <f>'6. Avg Nt Fix Ass &amp;UCC'!D18</f>
        <v>0</v>
      </c>
      <c r="G8" s="6"/>
      <c r="H8" s="62"/>
      <c r="I8" s="150">
        <f>'6. Avg Nt Fix Ass &amp;UCC'!E18</f>
        <v>0</v>
      </c>
      <c r="J8" s="6"/>
      <c r="K8" s="62"/>
      <c r="L8" s="150">
        <f>'6. Avg Nt Fix Ass &amp;UCC'!F18</f>
        <v>717350.7666666667</v>
      </c>
      <c r="M8" s="6"/>
      <c r="N8" s="62"/>
      <c r="O8" s="150">
        <f>'6. Avg Nt Fix Ass &amp;UCC'!G18</f>
        <v>1438512.2166666668</v>
      </c>
      <c r="P8" s="6"/>
      <c r="Q8" s="62"/>
      <c r="R8" s="150">
        <f>'6. Avg Nt Fix Ass &amp;UCC'!H18</f>
        <v>1395451.3333333333</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5722.8</v>
      </c>
      <c r="M9" s="63"/>
      <c r="N9" s="62"/>
      <c r="O9" s="150">
        <f>'6. Avg Nt Fix Ass &amp;UCC'!G33</f>
        <v>14635.125</v>
      </c>
      <c r="P9" s="63"/>
      <c r="Q9" s="62"/>
      <c r="R9" s="150">
        <f>'6. Avg Nt Fix Ass &amp;UCC'!H33</f>
        <v>16823.1</v>
      </c>
      <c r="S9" s="63"/>
      <c r="T9" s="62"/>
      <c r="U9" s="150">
        <f>'6. Avg Nt Fix Ass &amp;UCC'!I33</f>
        <v>0</v>
      </c>
      <c r="V9" s="63"/>
      <c r="W9" s="62"/>
    </row>
    <row r="10" spans="1:23" ht="12.75">
      <c r="A10" s="5"/>
      <c r="B10" s="61" t="s">
        <v>131</v>
      </c>
      <c r="C10" s="150">
        <f>'6. Avg Nt Fix Ass &amp;UCC'!C48</f>
        <v>0</v>
      </c>
      <c r="D10" s="64"/>
      <c r="E10" s="62"/>
      <c r="F10" s="150">
        <f>'6. Avg Nt Fix Ass &amp;UCC'!D48</f>
        <v>18895.5</v>
      </c>
      <c r="G10" s="64"/>
      <c r="H10" s="62"/>
      <c r="I10" s="150">
        <f>'6. Avg Nt Fix Ass &amp;UCC'!E48</f>
        <v>60975.4</v>
      </c>
      <c r="J10" s="64"/>
      <c r="K10" s="62"/>
      <c r="L10" s="150">
        <f>'6. Avg Nt Fix Ass &amp;UCC'!F48</f>
        <v>104273.1</v>
      </c>
      <c r="M10" s="64"/>
      <c r="N10" s="62"/>
      <c r="O10" s="150">
        <f>'6. Avg Nt Fix Ass &amp;UCC'!G48</f>
        <v>224696.84999999998</v>
      </c>
      <c r="P10" s="64"/>
      <c r="Q10" s="62"/>
      <c r="R10" s="150">
        <f>'6. Avg Nt Fix Ass &amp;UCC'!H48</f>
        <v>340716.65</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18895.5</v>
      </c>
      <c r="G13" s="152">
        <f>F13</f>
        <v>18895.5</v>
      </c>
      <c r="H13" s="62"/>
      <c r="I13" s="151">
        <f>SUM(I8:I12)</f>
        <v>60975.4</v>
      </c>
      <c r="J13" s="152">
        <f>I13</f>
        <v>60975.4</v>
      </c>
      <c r="K13" s="62"/>
      <c r="L13" s="151">
        <f>SUM(L8:L12)</f>
        <v>827346.6666666667</v>
      </c>
      <c r="M13" s="152">
        <f>L13</f>
        <v>827346.6666666667</v>
      </c>
      <c r="N13" s="62"/>
      <c r="O13" s="151">
        <f>SUM(O8:O12)</f>
        <v>1677844.191666667</v>
      </c>
      <c r="P13" s="152">
        <f>O13</f>
        <v>1677844.191666667</v>
      </c>
      <c r="Q13" s="62"/>
      <c r="R13" s="151">
        <f>SUM(R8:R12)</f>
        <v>1752991.0833333335</v>
      </c>
      <c r="S13" s="152">
        <f>R13</f>
        <v>1752991.0833333335</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3874</v>
      </c>
      <c r="J16" s="64"/>
      <c r="K16" s="67"/>
      <c r="L16" s="153">
        <f>N33</f>
        <v>95446</v>
      </c>
      <c r="M16" s="64"/>
      <c r="N16" s="67"/>
      <c r="O16" s="153">
        <f>Q33</f>
        <v>138131</v>
      </c>
      <c r="P16" s="64"/>
      <c r="Q16" s="67"/>
      <c r="R16" s="153">
        <f>T33</f>
        <v>319141</v>
      </c>
      <c r="S16" s="64"/>
      <c r="T16" s="67"/>
      <c r="U16" s="153">
        <f>W33</f>
        <v>229178</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581.1</v>
      </c>
      <c r="J17" s="152">
        <f>I17</f>
        <v>581.1</v>
      </c>
      <c r="K17" s="67"/>
      <c r="L17" s="153">
        <f>L16*'3.  LDC Assumptions and Data'!$F$23</f>
        <v>14316.9</v>
      </c>
      <c r="M17" s="152">
        <f>L17</f>
        <v>14316.9</v>
      </c>
      <c r="N17" s="67"/>
      <c r="O17" s="153">
        <f>O16*'3.  LDC Assumptions and Data'!$G$23</f>
        <v>20719.649999999998</v>
      </c>
      <c r="P17" s="152">
        <f>O17</f>
        <v>20719.649999999998</v>
      </c>
      <c r="Q17" s="67"/>
      <c r="R17" s="153">
        <f>R16*'3.  LDC Assumptions and Data'!$H$23</f>
        <v>47871.15</v>
      </c>
      <c r="S17" s="152">
        <f>R17</f>
        <v>47871.15</v>
      </c>
      <c r="T17" s="67"/>
      <c r="U17" s="153">
        <f>U16*'3.  LDC Assumptions and Data'!$I$23</f>
        <v>34376.7</v>
      </c>
      <c r="V17" s="152">
        <f>U17</f>
        <v>34376.7</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18895.5</v>
      </c>
      <c r="H19" s="67"/>
      <c r="I19" s="66"/>
      <c r="J19" s="140">
        <f>SUM(J9:J17)</f>
        <v>61556.5</v>
      </c>
      <c r="K19" s="67"/>
      <c r="L19" s="66"/>
      <c r="M19" s="140">
        <f>SUM(M9:M17)</f>
        <v>841663.5666666668</v>
      </c>
      <c r="N19" s="67"/>
      <c r="O19" s="66"/>
      <c r="P19" s="140">
        <f>SUM(P9:P17)</f>
        <v>1698563.8416666668</v>
      </c>
      <c r="Q19" s="67"/>
      <c r="R19" s="66"/>
      <c r="S19" s="140">
        <f>SUM(S9:S17)</f>
        <v>1800862.2333333334</v>
      </c>
      <c r="T19" s="67"/>
      <c r="U19" s="66"/>
      <c r="V19" s="140">
        <f>SUM(V9:V17)</f>
        <v>34376.7</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248</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246</v>
      </c>
      <c r="C23" s="68">
        <f>'3.  LDC Assumptions and Data'!$C$15</f>
        <v>0</v>
      </c>
      <c r="D23" s="152">
        <f>D19*C23</f>
        <v>0</v>
      </c>
      <c r="E23" s="62"/>
      <c r="F23" s="68">
        <f>'3.  LDC Assumptions and Data'!$D$15</f>
        <v>0.533</v>
      </c>
      <c r="G23" s="152">
        <f>G19*F23</f>
        <v>10071.301500000001</v>
      </c>
      <c r="H23" s="62"/>
      <c r="I23" s="68">
        <f>'3.  LDC Assumptions and Data'!$E$15</f>
        <v>0.533</v>
      </c>
      <c r="J23" s="152">
        <f>J19*I23</f>
        <v>32809.6145</v>
      </c>
      <c r="K23" s="62"/>
      <c r="L23" s="68">
        <f>'3.  LDC Assumptions and Data'!$F15</f>
        <v>0.527</v>
      </c>
      <c r="M23" s="152">
        <f>M19*L23</f>
        <v>443556.6996333334</v>
      </c>
      <c r="N23" s="62"/>
      <c r="O23" s="68">
        <f>'3.  LDC Assumptions and Data'!$G15</f>
        <v>0.56</v>
      </c>
      <c r="P23" s="152">
        <f>P19*O23</f>
        <v>951195.7513333334</v>
      </c>
      <c r="Q23" s="62"/>
      <c r="R23" s="68">
        <f>'3.  LDC Assumptions and Data'!$H15</f>
        <v>0.56</v>
      </c>
      <c r="S23" s="152">
        <f>S19*R23</f>
        <v>1008482.8506666668</v>
      </c>
      <c r="T23" s="62"/>
      <c r="U23" s="68">
        <f>'3.  LDC Assumptions and Data'!$I15</f>
        <v>0.56</v>
      </c>
      <c r="V23" s="152">
        <f>V19*U23</f>
        <v>19250.952</v>
      </c>
      <c r="W23" s="62"/>
    </row>
    <row r="24" spans="1:23" ht="12.75">
      <c r="A24" s="5"/>
      <c r="B24" s="2" t="s">
        <v>247</v>
      </c>
      <c r="C24" s="68">
        <f>'3.  LDC Assumptions and Data'!$C$16</f>
        <v>1</v>
      </c>
      <c r="D24" s="152">
        <f>D19*C24</f>
        <v>0</v>
      </c>
      <c r="E24" s="62"/>
      <c r="F24" s="68">
        <f>'3.  LDC Assumptions and Data'!$D$16</f>
        <v>0.46699999999999997</v>
      </c>
      <c r="G24" s="152">
        <f>G19*F24</f>
        <v>8824.198499999999</v>
      </c>
      <c r="H24" s="62"/>
      <c r="I24" s="68">
        <f>'3.  LDC Assumptions and Data'!$E$16</f>
        <v>0.427</v>
      </c>
      <c r="J24" s="152">
        <f>J19*I24</f>
        <v>26284.6255</v>
      </c>
      <c r="K24" s="62"/>
      <c r="L24" s="68">
        <f>'3.  LDC Assumptions and Data'!$F$16</f>
        <v>0.433</v>
      </c>
      <c r="M24" s="152">
        <f>M19*L24</f>
        <v>364440.3243666667</v>
      </c>
      <c r="N24" s="62"/>
      <c r="O24" s="68">
        <f>'3.  LDC Assumptions and Data'!$G$16</f>
        <v>0.39999999999999997</v>
      </c>
      <c r="P24" s="152">
        <f>P19*O24</f>
        <v>679425.5366666666</v>
      </c>
      <c r="Q24" s="62"/>
      <c r="R24" s="68">
        <f>'3.  LDC Assumptions and Data'!$H$16</f>
        <v>0.39999999999999997</v>
      </c>
      <c r="S24" s="152">
        <f>S19*R24</f>
        <v>720344.8933333333</v>
      </c>
      <c r="T24" s="62"/>
      <c r="U24" s="68">
        <f>'3.  LDC Assumptions and Data'!$I$16</f>
        <v>0.39999999999999997</v>
      </c>
      <c r="V24" s="152">
        <f>V19*U24</f>
        <v>13750.679999999998</v>
      </c>
      <c r="W24" s="62"/>
    </row>
    <row r="25" spans="1:23" ht="12.75">
      <c r="A25" s="5"/>
      <c r="B25" s="61"/>
      <c r="C25" s="69"/>
      <c r="D25" s="140">
        <f>SUM(D23:D24)</f>
        <v>0</v>
      </c>
      <c r="E25" s="62"/>
      <c r="F25" s="69"/>
      <c r="G25" s="140">
        <f>SUM(G23:G24)</f>
        <v>18895.5</v>
      </c>
      <c r="H25" s="62"/>
      <c r="I25" s="69"/>
      <c r="J25" s="140">
        <f>SUM(J23:J24)</f>
        <v>59094.240000000005</v>
      </c>
      <c r="K25" s="62"/>
      <c r="L25" s="69"/>
      <c r="M25" s="140">
        <f>SUM(M23:M24)</f>
        <v>807997.0240000002</v>
      </c>
      <c r="N25" s="62"/>
      <c r="O25" s="69"/>
      <c r="P25" s="140">
        <f>SUM(P23:P24)</f>
        <v>1630621.2880000002</v>
      </c>
      <c r="Q25" s="62"/>
      <c r="R25" s="69"/>
      <c r="S25" s="140">
        <f>SUM(S23:S24)</f>
        <v>1728827.744</v>
      </c>
      <c r="T25" s="62"/>
      <c r="U25" s="69"/>
      <c r="V25" s="140">
        <f>SUM(V23:V24)</f>
        <v>33001.632</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250</v>
      </c>
      <c r="C27" s="68"/>
      <c r="D27" s="6"/>
      <c r="E27" s="62"/>
      <c r="F27" s="68"/>
      <c r="G27" s="6"/>
      <c r="H27" s="62"/>
      <c r="I27" s="68">
        <f>'3.  LDC Assumptions and Data'!$E$18</f>
        <v>0.0447</v>
      </c>
      <c r="J27" s="6"/>
      <c r="K27" s="62"/>
      <c r="L27" s="68">
        <f>'3.  LDC Assumptions and Data'!$F18</f>
        <v>0.0113</v>
      </c>
      <c r="M27" s="6"/>
      <c r="N27" s="62"/>
      <c r="O27" s="68">
        <f>'3.  LDC Assumptions and Data'!$G18</f>
        <v>0.0113</v>
      </c>
      <c r="P27" s="6"/>
      <c r="Q27" s="62"/>
      <c r="R27" s="68">
        <f>'3.  LDC Assumptions and Data'!$H18</f>
        <v>0.0113</v>
      </c>
      <c r="S27" s="6"/>
      <c r="T27" s="62"/>
      <c r="U27" s="68">
        <f>'3.  LDC Assumptions and Data'!$I18</f>
        <v>0.0113</v>
      </c>
      <c r="V27" s="6"/>
      <c r="W27" s="62"/>
    </row>
    <row r="28" spans="1:23" ht="12.75">
      <c r="A28" s="5"/>
      <c r="B28" s="61" t="s">
        <v>196</v>
      </c>
      <c r="C28" s="68">
        <f>'3.  LDC Assumptions and Data'!$C$19</f>
        <v>0</v>
      </c>
      <c r="D28" s="152">
        <f>D23*C28</f>
        <v>0</v>
      </c>
      <c r="E28" s="67"/>
      <c r="F28" s="68">
        <f>'3.  LDC Assumptions and Data'!$D$19</f>
        <v>0.0511</v>
      </c>
      <c r="G28" s="152">
        <f>G23*F28</f>
        <v>514.6435066500001</v>
      </c>
      <c r="H28" s="67"/>
      <c r="I28" s="68">
        <f>'3.  LDC Assumptions and Data'!$E$19</f>
        <v>0.0511</v>
      </c>
      <c r="J28" s="152">
        <f>J23*I28</f>
        <v>1676.5713009500002</v>
      </c>
      <c r="K28" s="67"/>
      <c r="L28" s="68">
        <f>'3.  LDC Assumptions and Data'!$F19</f>
        <v>0.0516</v>
      </c>
      <c r="M28" s="152">
        <f>M23*L28</f>
        <v>22887.525701080005</v>
      </c>
      <c r="N28" s="67"/>
      <c r="O28" s="68">
        <f>'3.  LDC Assumptions and Data'!$G19</f>
        <v>0.0516</v>
      </c>
      <c r="P28" s="152">
        <f>P23*O28</f>
        <v>49081.70076880001</v>
      </c>
      <c r="Q28" s="67"/>
      <c r="R28" s="68">
        <f>'3.  LDC Assumptions and Data'!$H19</f>
        <v>0.0516</v>
      </c>
      <c r="S28" s="152">
        <f>S23*R28</f>
        <v>52037.7150944</v>
      </c>
      <c r="T28" s="67"/>
      <c r="U28" s="68">
        <f>'3.  LDC Assumptions and Data'!$I19</f>
        <v>0.0516</v>
      </c>
      <c r="V28" s="152">
        <f>V23*U28</f>
        <v>993.3491232</v>
      </c>
      <c r="W28" s="67"/>
    </row>
    <row r="29" spans="1:23" ht="12.75">
      <c r="A29" s="5"/>
      <c r="B29" s="61" t="s">
        <v>197</v>
      </c>
      <c r="C29" s="68">
        <f>'3.  LDC Assumptions and Data'!$C$20</f>
        <v>0.09</v>
      </c>
      <c r="D29" s="152">
        <f>D24*C29</f>
        <v>0</v>
      </c>
      <c r="E29" s="67"/>
      <c r="F29" s="68">
        <f>'3.  LDC Assumptions and Data'!$D$20</f>
        <v>0.09</v>
      </c>
      <c r="G29" s="152">
        <f>G24*F29</f>
        <v>794.1778649999999</v>
      </c>
      <c r="H29" s="67"/>
      <c r="I29" s="68">
        <f>'3.  LDC Assumptions and Data'!$E$20</f>
        <v>0.0857</v>
      </c>
      <c r="J29" s="152">
        <f>J24*I29</f>
        <v>2252.59240535</v>
      </c>
      <c r="K29" s="67"/>
      <c r="L29" s="68">
        <f>'3.  LDC Assumptions and Data'!$F$20</f>
        <v>0.0801</v>
      </c>
      <c r="M29" s="152">
        <f>M24*L29</f>
        <v>29191.669981770006</v>
      </c>
      <c r="N29" s="67"/>
      <c r="O29" s="68">
        <f>'3.  LDC Assumptions and Data'!$G$20</f>
        <v>0.0801</v>
      </c>
      <c r="P29" s="152">
        <f>P24*O29</f>
        <v>54421.985487</v>
      </c>
      <c r="Q29" s="67"/>
      <c r="R29" s="68">
        <f>'3.  LDC Assumptions and Data'!$H$20</f>
        <v>0.0801</v>
      </c>
      <c r="S29" s="152">
        <f>S24*R29</f>
        <v>57699.625956</v>
      </c>
      <c r="T29" s="67"/>
      <c r="U29" s="68">
        <f>'3.  LDC Assumptions and Data'!$I$20</f>
        <v>0.0801</v>
      </c>
      <c r="V29" s="152">
        <f>V24*U29</f>
        <v>1101.429468</v>
      </c>
      <c r="W29" s="67"/>
    </row>
    <row r="30" spans="1:23" ht="15.75">
      <c r="A30" s="5"/>
      <c r="B30" s="52" t="s">
        <v>118</v>
      </c>
      <c r="C30" s="65"/>
      <c r="D30" s="140">
        <f>SUM(D28:D29)</f>
        <v>0</v>
      </c>
      <c r="E30" s="154">
        <f>D30</f>
        <v>0</v>
      </c>
      <c r="F30" s="65"/>
      <c r="G30" s="140">
        <f>SUM(G28:G29)</f>
        <v>1308.82137165</v>
      </c>
      <c r="H30" s="154">
        <f>G30</f>
        <v>1308.82137165</v>
      </c>
      <c r="I30" s="65"/>
      <c r="J30" s="140">
        <f>SUM(J28:J29)</f>
        <v>3929.1637063</v>
      </c>
      <c r="K30" s="154">
        <f>J30</f>
        <v>3929.1637063</v>
      </c>
      <c r="L30" s="65"/>
      <c r="M30" s="140">
        <f>SUM(M28:M29)</f>
        <v>52079.19568285001</v>
      </c>
      <c r="N30" s="154">
        <f>M30</f>
        <v>52079.19568285001</v>
      </c>
      <c r="O30" s="65"/>
      <c r="P30" s="140">
        <f>SUM(P28:P29)</f>
        <v>103503.68625580001</v>
      </c>
      <c r="Q30" s="154">
        <f>P30</f>
        <v>103503.68625580001</v>
      </c>
      <c r="R30" s="65"/>
      <c r="S30" s="140">
        <f>SUM(S28:S29)</f>
        <v>109737.3410504</v>
      </c>
      <c r="T30" s="154">
        <f>S30</f>
        <v>109737.3410504</v>
      </c>
      <c r="U30" s="65"/>
      <c r="V30" s="140">
        <f>SUM(V28:V29)</f>
        <v>2094.7785912</v>
      </c>
      <c r="W30" s="154">
        <f>V30</f>
        <v>2094.7785912</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3874</v>
      </c>
      <c r="L33" s="65"/>
      <c r="M33" s="64"/>
      <c r="N33" s="155">
        <f>'3.  LDC Assumptions and Data'!F46</f>
        <v>95446</v>
      </c>
      <c r="O33" s="65"/>
      <c r="P33" s="64"/>
      <c r="Q33" s="155">
        <f>'3.  LDC Assumptions and Data'!G46</f>
        <v>138131</v>
      </c>
      <c r="R33" s="65"/>
      <c r="S33" s="64"/>
      <c r="T33" s="155">
        <f>'3.  LDC Assumptions and Data'!H46</f>
        <v>319141</v>
      </c>
      <c r="U33" s="65"/>
      <c r="V33" s="64"/>
      <c r="W33" s="155">
        <f>'3.  LDC Assumptions and Data'!I46</f>
        <v>229178</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0</v>
      </c>
      <c r="K36" s="67"/>
      <c r="L36" s="65"/>
      <c r="M36" s="142">
        <f>SUM('6. Avg Nt Fix Ass &amp;UCC'!F13:F13)</f>
        <v>49472.46666666667</v>
      </c>
      <c r="N36" s="67"/>
      <c r="O36" s="65"/>
      <c r="P36" s="142">
        <f>SUM('6. Avg Nt Fix Ass &amp;UCC'!G13:G13)</f>
        <v>102619.63333333333</v>
      </c>
      <c r="Q36" s="67"/>
      <c r="R36" s="65"/>
      <c r="S36" s="142">
        <f>SUM('6. Avg Nt Fix Ass &amp;UCC'!H13:H13)</f>
        <v>106727.13333333333</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602.4</v>
      </c>
      <c r="N37" s="67"/>
      <c r="O37" s="65"/>
      <c r="P37" s="142">
        <f>SUM('6. Avg Nt Fix Ass &amp;UCC'!G28:G28)</f>
        <v>1603.9499999999998</v>
      </c>
      <c r="Q37" s="67"/>
      <c r="R37" s="65"/>
      <c r="S37" s="142">
        <f>SUM('6. Avg Nt Fix Ass &amp;UCC'!H28:H28)</f>
        <v>2003.1</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4199</v>
      </c>
      <c r="H38" s="67"/>
      <c r="I38" s="65"/>
      <c r="J38" s="142">
        <f>SUM('6. Avg Nt Fix Ass &amp;UCC'!E43:E43)</f>
        <v>14483.2</v>
      </c>
      <c r="K38" s="67"/>
      <c r="L38" s="65"/>
      <c r="M38" s="142">
        <f>SUM('6. Avg Nt Fix Ass &amp;UCC'!F43:F43)</f>
        <v>27323.4</v>
      </c>
      <c r="N38" s="67"/>
      <c r="O38" s="65"/>
      <c r="P38" s="142">
        <f>SUM('6. Avg Nt Fix Ass &amp;UCC'!G43:G43)</f>
        <v>60156.100000000006</v>
      </c>
      <c r="Q38" s="67"/>
      <c r="R38" s="65"/>
      <c r="S38" s="142">
        <f>SUM('6. Avg Nt Fix Ass &amp;UCC'!H43:H43)</f>
        <v>99306.3</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4199</v>
      </c>
      <c r="I41" s="65"/>
      <c r="J41" s="64"/>
      <c r="K41" s="156">
        <f>SUM(J36:J40)</f>
        <v>14483.2</v>
      </c>
      <c r="L41" s="65"/>
      <c r="M41" s="64"/>
      <c r="N41" s="156">
        <f>SUM(M36:M40)</f>
        <v>77398.26666666666</v>
      </c>
      <c r="O41" s="65"/>
      <c r="P41" s="64"/>
      <c r="Q41" s="156">
        <f>SUM(P36:P40)</f>
        <v>164379.68333333335</v>
      </c>
      <c r="R41" s="65"/>
      <c r="S41" s="64"/>
      <c r="T41" s="156">
        <f>SUM(S36:S40)</f>
        <v>208036.53333333333</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5507.8213716499995</v>
      </c>
      <c r="I43" s="65"/>
      <c r="J43" s="64"/>
      <c r="K43" s="157">
        <f>SUM(K30,K41,K33)</f>
        <v>22286.3637063</v>
      </c>
      <c r="L43" s="65"/>
      <c r="M43" s="64"/>
      <c r="N43" s="157">
        <f>SUM(N30,N41,N33)</f>
        <v>224923.4623495167</v>
      </c>
      <c r="O43" s="65"/>
      <c r="P43" s="64"/>
      <c r="Q43" s="157">
        <f>SUM(Q30,Q41,Q33)</f>
        <v>406014.36958913336</v>
      </c>
      <c r="R43" s="65"/>
      <c r="S43" s="64"/>
      <c r="T43" s="157">
        <f>SUM(T30,T41,T33)</f>
        <v>636914.8743837334</v>
      </c>
      <c r="U43" s="65"/>
      <c r="V43" s="64"/>
      <c r="W43" s="157">
        <f>SUM(W30,W41,W33)</f>
        <v>231272.7785912</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-3874</v>
      </c>
      <c r="L46" s="65"/>
      <c r="M46" s="64"/>
      <c r="N46" s="154">
        <f>-N33</f>
        <v>-95446</v>
      </c>
      <c r="O46" s="65"/>
      <c r="P46" s="64"/>
      <c r="Q46" s="154">
        <f>-Q33</f>
        <v>-138131</v>
      </c>
      <c r="R46" s="65"/>
      <c r="S46" s="64"/>
      <c r="T46" s="154">
        <f>-T33</f>
        <v>-319141</v>
      </c>
      <c r="U46" s="65"/>
      <c r="V46" s="64"/>
      <c r="W46" s="154">
        <f>-W33</f>
        <v>-229178</v>
      </c>
    </row>
    <row r="47" spans="1:23" ht="12.75">
      <c r="A47" s="5"/>
      <c r="B47" s="57" t="s">
        <v>144</v>
      </c>
      <c r="C47" s="65"/>
      <c r="D47" s="64"/>
      <c r="E47" s="154">
        <f>-E41</f>
        <v>0</v>
      </c>
      <c r="F47" s="65"/>
      <c r="G47" s="64"/>
      <c r="H47" s="154">
        <f>-H41</f>
        <v>-4199</v>
      </c>
      <c r="I47" s="65"/>
      <c r="J47" s="64"/>
      <c r="K47" s="154">
        <f>-K41</f>
        <v>-14483.2</v>
      </c>
      <c r="L47" s="65"/>
      <c r="M47" s="64"/>
      <c r="N47" s="154">
        <f>-N41</f>
        <v>-77398.26666666666</v>
      </c>
      <c r="O47" s="65"/>
      <c r="P47" s="64"/>
      <c r="Q47" s="154">
        <f>-Q41</f>
        <v>-164379.68333333335</v>
      </c>
      <c r="R47" s="65"/>
      <c r="S47" s="64"/>
      <c r="T47" s="154">
        <f>-T41</f>
        <v>-208036.53333333333</v>
      </c>
      <c r="U47" s="65"/>
      <c r="V47" s="64"/>
      <c r="W47" s="154">
        <f>-W41</f>
        <v>0</v>
      </c>
    </row>
    <row r="48" spans="1:23" ht="12.75">
      <c r="A48" s="5"/>
      <c r="B48" s="57" t="s">
        <v>145</v>
      </c>
      <c r="C48" s="65"/>
      <c r="D48" s="64"/>
      <c r="E48" s="154">
        <f>-D28</f>
        <v>0</v>
      </c>
      <c r="F48" s="65"/>
      <c r="G48" s="64"/>
      <c r="H48" s="154">
        <f>-G28</f>
        <v>-514.6435066500001</v>
      </c>
      <c r="I48" s="65"/>
      <c r="J48" s="64"/>
      <c r="K48" s="154">
        <f>-J28</f>
        <v>-1676.5713009500002</v>
      </c>
      <c r="L48" s="65"/>
      <c r="M48" s="64"/>
      <c r="N48" s="154">
        <f>-M28</f>
        <v>-22887.525701080005</v>
      </c>
      <c r="O48" s="65"/>
      <c r="P48" s="64"/>
      <c r="Q48" s="154">
        <f>-P28</f>
        <v>-49081.70076880001</v>
      </c>
      <c r="R48" s="65"/>
      <c r="S48" s="64"/>
      <c r="T48" s="154">
        <f>-S28</f>
        <v>-52037.7150944</v>
      </c>
      <c r="U48" s="65"/>
      <c r="V48" s="64"/>
      <c r="W48" s="154">
        <f>-V28</f>
        <v>-993.3491232</v>
      </c>
    </row>
    <row r="49" spans="1:23" ht="15.75">
      <c r="A49" s="5"/>
      <c r="B49" s="52" t="s">
        <v>146</v>
      </c>
      <c r="C49" s="65"/>
      <c r="D49" s="64"/>
      <c r="E49" s="158">
        <f>SUM(E43:E48)</f>
        <v>0</v>
      </c>
      <c r="F49" s="65"/>
      <c r="G49" s="64"/>
      <c r="H49" s="158">
        <f>SUM(H43:H48)</f>
        <v>794.1778649999994</v>
      </c>
      <c r="I49" s="65"/>
      <c r="J49" s="64"/>
      <c r="K49" s="158">
        <f>SUM(K43:K48)</f>
        <v>2252.5924053499975</v>
      </c>
      <c r="L49" s="65"/>
      <c r="M49" s="64"/>
      <c r="N49" s="158">
        <f>SUM(N43:N48)</f>
        <v>29191.66998177002</v>
      </c>
      <c r="O49" s="65"/>
      <c r="P49" s="64"/>
      <c r="Q49" s="158">
        <f>SUM(Q43:Q48)</f>
        <v>54421.985487000005</v>
      </c>
      <c r="R49" s="65"/>
      <c r="S49" s="64"/>
      <c r="T49" s="158">
        <f>SUM(T43:T48)</f>
        <v>57699.62595600005</v>
      </c>
      <c r="U49" s="65"/>
      <c r="V49" s="64"/>
      <c r="W49" s="158">
        <f>SUM(W43:W48)</f>
        <v>1101.4294680000107</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-3620.873279370696</v>
      </c>
      <c r="I51" s="65"/>
      <c r="J51" s="64"/>
      <c r="K51" s="155">
        <f>'5. PILs'!E42</f>
        <v>-8244.590422492858</v>
      </c>
      <c r="L51" s="65"/>
      <c r="M51" s="64"/>
      <c r="N51" s="155">
        <f>'5. PILs'!F42</f>
        <v>1159.1982362935323</v>
      </c>
      <c r="O51" s="65"/>
      <c r="P51" s="64"/>
      <c r="Q51" s="155">
        <f>'5. PILs'!G42</f>
        <v>-5494.72439951406</v>
      </c>
      <c r="R51" s="65"/>
      <c r="S51" s="64"/>
      <c r="T51" s="155">
        <f>'5. PILs'!H42</f>
        <v>-89625.24067971857</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5507.8213716499995</v>
      </c>
      <c r="I53" s="65"/>
      <c r="J53" s="64"/>
      <c r="K53" s="159">
        <f>K43</f>
        <v>22286.3637063</v>
      </c>
      <c r="L53" s="65"/>
      <c r="M53" s="64"/>
      <c r="N53" s="159">
        <f>N43</f>
        <v>224923.4623495167</v>
      </c>
      <c r="O53" s="65"/>
      <c r="P53" s="64"/>
      <c r="Q53" s="159">
        <f>Q43</f>
        <v>406014.36958913336</v>
      </c>
      <c r="R53" s="65"/>
      <c r="S53" s="64"/>
      <c r="T53" s="159">
        <f>T43</f>
        <v>636914.8743837334</v>
      </c>
      <c r="U53" s="65"/>
      <c r="V53" s="64"/>
      <c r="W53" s="159">
        <f>W43</f>
        <v>231272.7785912</v>
      </c>
    </row>
    <row r="54" spans="1:23" ht="12.75">
      <c r="A54" s="5"/>
      <c r="B54" s="61" t="s">
        <v>147</v>
      </c>
      <c r="C54" s="65"/>
      <c r="D54" s="64"/>
      <c r="E54" s="159">
        <f>E51</f>
        <v>0</v>
      </c>
      <c r="F54" s="65"/>
      <c r="G54" s="64"/>
      <c r="H54" s="159">
        <f>H51</f>
        <v>-3620.873279370696</v>
      </c>
      <c r="I54" s="65"/>
      <c r="J54" s="64"/>
      <c r="K54" s="159">
        <f>K51</f>
        <v>-8244.590422492858</v>
      </c>
      <c r="L54" s="65"/>
      <c r="M54" s="64"/>
      <c r="N54" s="159">
        <f>N51</f>
        <v>1159.1982362935323</v>
      </c>
      <c r="O54" s="65"/>
      <c r="P54" s="64"/>
      <c r="Q54" s="159">
        <f>Q51</f>
        <v>-5494.72439951406</v>
      </c>
      <c r="R54" s="65"/>
      <c r="S54" s="64"/>
      <c r="T54" s="159">
        <f>T51</f>
        <v>-89625.24067971857</v>
      </c>
      <c r="U54" s="65"/>
      <c r="V54" s="64"/>
      <c r="W54" s="159">
        <f>W51</f>
        <v>0</v>
      </c>
    </row>
    <row r="55" spans="1:23" ht="16.5" thickBot="1">
      <c r="A55" s="5"/>
      <c r="B55" s="52" t="s">
        <v>123</v>
      </c>
      <c r="C55" s="65"/>
      <c r="D55" s="64"/>
      <c r="E55" s="160">
        <f>SUM(E53:E54)</f>
        <v>0</v>
      </c>
      <c r="F55" s="65"/>
      <c r="G55" s="64"/>
      <c r="H55" s="160">
        <f>SUM(H53:H54)</f>
        <v>1886.9480922793036</v>
      </c>
      <c r="I55" s="65"/>
      <c r="J55" s="64"/>
      <c r="K55" s="160">
        <f>SUM(K53:K54)</f>
        <v>14041.77328380714</v>
      </c>
      <c r="L55" s="65"/>
      <c r="M55" s="64"/>
      <c r="N55" s="160">
        <f>SUM(N53:N54)</f>
        <v>226082.66058581023</v>
      </c>
      <c r="O55" s="65"/>
      <c r="P55" s="64"/>
      <c r="Q55" s="160">
        <f>SUM(Q53:Q54)</f>
        <v>400519.6451896193</v>
      </c>
      <c r="R55" s="65"/>
      <c r="S55" s="64"/>
      <c r="T55" s="160">
        <f>SUM(T53:T54)</f>
        <v>547289.6337040148</v>
      </c>
      <c r="U55" s="65"/>
      <c r="V55" s="64"/>
      <c r="W55" s="160">
        <f>SUM(W53:W54)</f>
        <v>231272.7785912</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fitToHeight="1" fitToWidth="1" horizontalDpi="600" verticalDpi="600" orientation="landscape" scale="2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I42"/>
  <sheetViews>
    <sheetView showGridLines="0" zoomScalePageLayoutView="0" workbookViewId="0" topLeftCell="A19">
      <selection activeCell="C20" sqref="C20:D20"/>
    </sheetView>
  </sheetViews>
  <sheetFormatPr defaultColWidth="9.140625" defaultRowHeight="12.75"/>
  <cols>
    <col min="1" max="1" width="16.28125" style="7" customWidth="1"/>
    <col min="2" max="2" width="33.00390625" style="7" bestFit="1" customWidth="1"/>
    <col min="3" max="4" width="13.28125" style="7" bestFit="1" customWidth="1"/>
    <col min="5" max="5" width="12.00390625" style="7" bestFit="1" customWidth="1"/>
    <col min="6" max="8" width="14.00390625" style="7" bestFit="1" customWidth="1"/>
    <col min="9" max="9" width="15.28125" style="7" bestFit="1" customWidth="1"/>
    <col min="10" max="16384" width="9.140625" style="7" customWidth="1"/>
  </cols>
  <sheetData>
    <row r="1" spans="1:6" s="3" customFormat="1" ht="21" customHeight="1">
      <c r="A1" s="1"/>
      <c r="B1" s="176" t="s">
        <v>148</v>
      </c>
      <c r="C1" s="176"/>
      <c r="D1" s="176"/>
      <c r="E1" s="176"/>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Forecasted</v>
      </c>
      <c r="H7" s="24" t="str">
        <f>'2. Smart Meter Data'!I5</f>
        <v>Forecasted</v>
      </c>
      <c r="I7" s="24" t="str">
        <f>'2. Smart Meter Data'!J5</f>
        <v>Forecasted</v>
      </c>
    </row>
    <row r="8" spans="1:9" ht="12.75">
      <c r="A8" s="5"/>
      <c r="B8" s="5" t="s">
        <v>151</v>
      </c>
      <c r="C8" s="139">
        <f>'4. Smart Meter Rev Req'!E49</f>
        <v>0</v>
      </c>
      <c r="D8" s="139">
        <f>'4. Smart Meter Rev Req'!H49</f>
        <v>794.1778649999994</v>
      </c>
      <c r="E8" s="139">
        <f>'4. Smart Meter Rev Req'!K49</f>
        <v>2252.5924053499975</v>
      </c>
      <c r="F8" s="139">
        <f>'4. Smart Meter Rev Req'!N49</f>
        <v>29191.66998177002</v>
      </c>
      <c r="G8" s="139">
        <f>'4. Smart Meter Rev Req'!Q49</f>
        <v>54421.985487000005</v>
      </c>
      <c r="H8" s="139">
        <f>'4. Smart Meter Rev Req'!R49</f>
        <v>0</v>
      </c>
      <c r="I8" s="139">
        <f>'4. Smart Meter Rev Req'!S49</f>
        <v>0</v>
      </c>
    </row>
    <row r="9" spans="1:9" ht="12.75">
      <c r="A9" s="5"/>
      <c r="B9" s="5" t="s">
        <v>200</v>
      </c>
      <c r="C9" s="139">
        <f>-'4. Smart Meter Rev Req'!E47</f>
        <v>0</v>
      </c>
      <c r="D9" s="139">
        <f>-'4. Smart Meter Rev Req'!H47</f>
        <v>4199</v>
      </c>
      <c r="E9" s="139">
        <f>-'4. Smart Meter Rev Req'!K47</f>
        <v>14483.2</v>
      </c>
      <c r="F9" s="139">
        <f>-'4. Smart Meter Rev Req'!N47</f>
        <v>77398.26666666666</v>
      </c>
      <c r="G9" s="139">
        <f>-'4. Smart Meter Rev Req'!Q47</f>
        <v>164379.68333333335</v>
      </c>
      <c r="H9" s="139">
        <f>-'4. Smart Meter Rev Req'!R47</f>
        <v>0</v>
      </c>
      <c r="I9" s="139">
        <f>-'4. Smart Meter Rev Req'!S47</f>
        <v>0</v>
      </c>
    </row>
    <row r="10" spans="1:9" ht="12.75">
      <c r="A10" s="5"/>
      <c r="B10" s="5" t="s">
        <v>224</v>
      </c>
      <c r="C10" s="139">
        <f>-'6. Avg Nt Fix Ass &amp;UCC'!C93</f>
        <v>0</v>
      </c>
      <c r="D10" s="139">
        <f>-'6. Avg Nt Fix Ass &amp;UCC'!D93</f>
        <v>0</v>
      </c>
      <c r="E10" s="139">
        <f>-'6. Avg Nt Fix Ass &amp;UCC'!E93</f>
        <v>0</v>
      </c>
      <c r="F10" s="139">
        <f>-'6. Avg Nt Fix Ass &amp;UCC'!F93</f>
        <v>-59366.96</v>
      </c>
      <c r="G10" s="139">
        <f>-'6. Avg Nt Fix Ass &amp;UCC'!G93</f>
        <v>-118394.2032</v>
      </c>
      <c r="H10" s="139">
        <f>-'6. Avg Nt Fix Ass &amp;UCC'!H93</f>
        <v>-113851.666944</v>
      </c>
      <c r="I10" s="139">
        <f>-'6. Avg Nt Fix Ass &amp;UCC'!I93</f>
        <v>0</v>
      </c>
    </row>
    <row r="11" spans="1:9" ht="12.75">
      <c r="A11" s="5"/>
      <c r="B11" s="5" t="s">
        <v>226</v>
      </c>
      <c r="C11" s="139">
        <f>-'6. Avg Nt Fix Ass &amp;UCC'!C107</f>
        <v>0</v>
      </c>
      <c r="D11" s="139">
        <f>-'6. Avg Nt Fix Ass &amp;UCC'!D107</f>
        <v>-11547.250000000002</v>
      </c>
      <c r="E11" s="139">
        <f>-'6. Avg Nt Fix Ass &amp;UCC'!E107</f>
        <v>-33477.8125</v>
      </c>
      <c r="F11" s="139">
        <f>-'6. Avg Nt Fix Ass &amp;UCC'!F107</f>
        <v>-53688.76562500001</v>
      </c>
      <c r="G11" s="139">
        <f>-'6. Avg Nt Fix Ass &amp;UCC'!G107</f>
        <v>-119958.39453125001</v>
      </c>
      <c r="H11" s="139">
        <f>-'6. Avg Nt Fix Ass &amp;UCC'!H107</f>
        <v>-163839.65253906252</v>
      </c>
      <c r="I11" s="139">
        <f>-'6. Avg Nt Fix Ass &amp;UCC'!I107</f>
        <v>0</v>
      </c>
    </row>
    <row r="12" spans="1:9" ht="12.75">
      <c r="A12" s="5"/>
      <c r="B12" s="5" t="s">
        <v>225</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-6554.072135000002</v>
      </c>
      <c r="E13" s="140">
        <f t="shared" si="0"/>
        <v>-16742.02009465</v>
      </c>
      <c r="F13" s="140">
        <f t="shared" si="0"/>
        <v>-6465.78897656333</v>
      </c>
      <c r="G13" s="140">
        <f t="shared" si="0"/>
        <v>-19550.92891091667</v>
      </c>
      <c r="H13" s="140">
        <f t="shared" si="0"/>
        <v>-277691.3194830625</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0.2686</v>
      </c>
      <c r="G14" s="141">
        <f>'3.  LDC Assumptions and Data'!G26</f>
        <v>0.259</v>
      </c>
      <c r="H14" s="141">
        <f>'3.  LDC Assumptions and Data'!H26</f>
        <v>0.244</v>
      </c>
      <c r="I14" s="141">
        <f>'3.  LDC Assumptions and Data'!I26</f>
        <v>0.229</v>
      </c>
    </row>
    <row r="15" spans="1:9" ht="12.75">
      <c r="A15" s="5"/>
      <c r="B15" s="5" t="s">
        <v>153</v>
      </c>
      <c r="C15" s="140">
        <f aca="true" t="shared" si="1" ref="C15:I15">C13*C14</f>
        <v>0</v>
      </c>
      <c r="D15" s="140">
        <f t="shared" si="1"/>
        <v>-2367.3308551620007</v>
      </c>
      <c r="E15" s="140">
        <f t="shared" si="1"/>
        <v>-5608.576731707751</v>
      </c>
      <c r="F15" s="140">
        <f t="shared" si="1"/>
        <v>-1736.7109191049105</v>
      </c>
      <c r="G15" s="140">
        <f t="shared" si="1"/>
        <v>-5063.690587927418</v>
      </c>
      <c r="H15" s="140">
        <f t="shared" si="1"/>
        <v>-67756.68195386724</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0</v>
      </c>
      <c r="F18" s="139">
        <f>'6. Avg Nt Fix Ass &amp;UCC'!F17</f>
        <v>1434701.5333333334</v>
      </c>
      <c r="G18" s="139">
        <f>'6. Avg Nt Fix Ass &amp;UCC'!G17</f>
        <v>1442322.9</v>
      </c>
      <c r="H18" s="139">
        <f>'6. Avg Nt Fix Ass &amp;UCC'!H17</f>
        <v>1348579.7666666666</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11445.6</v>
      </c>
      <c r="G19" s="139">
        <f>'6. Avg Nt Fix Ass &amp;UCC'!G32</f>
        <v>17824.65</v>
      </c>
      <c r="H19" s="139">
        <f>'6. Avg Nt Fix Ass &amp;UCC'!H32</f>
        <v>15821.55</v>
      </c>
      <c r="I19" s="139">
        <f>'6. Avg Nt Fix Ass &amp;UCC'!I32</f>
        <v>0</v>
      </c>
    </row>
    <row r="20" spans="1:9" ht="12.75">
      <c r="A20" s="5"/>
      <c r="B20" s="61" t="s">
        <v>99</v>
      </c>
      <c r="C20" s="142">
        <f>'6. Avg Nt Fix Ass &amp;UCC'!C47</f>
        <v>0</v>
      </c>
      <c r="D20" s="142">
        <f>'6. Avg Nt Fix Ass &amp;UCC'!D47</f>
        <v>37791</v>
      </c>
      <c r="E20" s="142">
        <f>'6. Avg Nt Fix Ass &amp;UCC'!E47</f>
        <v>84159.8</v>
      </c>
      <c r="F20" s="142">
        <f>'6. Avg Nt Fix Ass &amp;UCC'!F47</f>
        <v>124386.4</v>
      </c>
      <c r="G20" s="142">
        <f>'6. Avg Nt Fix Ass &amp;UCC'!G47</f>
        <v>325007.3</v>
      </c>
      <c r="H20" s="142">
        <f>'6. Avg Nt Fix Ass &amp;UCC'!H47</f>
        <v>356426</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37791</v>
      </c>
      <c r="E23" s="102">
        <f t="shared" si="2"/>
        <v>84159.8</v>
      </c>
      <c r="F23" s="102">
        <f t="shared" si="2"/>
        <v>1570533.5333333334</v>
      </c>
      <c r="G23" s="102">
        <f t="shared" si="2"/>
        <v>1785154.8499999999</v>
      </c>
      <c r="H23" s="102">
        <f t="shared" si="2"/>
        <v>1720827.3166666667</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37791</v>
      </c>
      <c r="E25" s="140">
        <f t="shared" si="3"/>
        <v>84159.8</v>
      </c>
      <c r="F25" s="140">
        <f t="shared" si="3"/>
        <v>1570533.5333333334</v>
      </c>
      <c r="G25" s="140">
        <f t="shared" si="3"/>
        <v>1785154.8499999999</v>
      </c>
      <c r="H25" s="140">
        <f t="shared" si="3"/>
        <v>1720827.3166666667</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85.02974999999999</v>
      </c>
      <c r="E27" s="140">
        <f t="shared" si="4"/>
        <v>189.35954999999998</v>
      </c>
      <c r="F27" s="140">
        <f t="shared" si="4"/>
        <v>3533.70045</v>
      </c>
      <c r="G27" s="140">
        <f t="shared" si="4"/>
        <v>1338.8661375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-2367.3308551620007</v>
      </c>
      <c r="E32" s="102">
        <f t="shared" si="5"/>
        <v>-5608.576731707751</v>
      </c>
      <c r="F32" s="102">
        <f t="shared" si="5"/>
        <v>-1736.7109191049105</v>
      </c>
      <c r="G32" s="102">
        <f t="shared" si="5"/>
        <v>-5063.690587927418</v>
      </c>
      <c r="H32" s="102">
        <f t="shared" si="5"/>
        <v>-67756.68195386724</v>
      </c>
      <c r="I32" s="102">
        <f t="shared" si="5"/>
        <v>0</v>
      </c>
    </row>
    <row r="33" spans="1:9" ht="12.75">
      <c r="A33" s="5"/>
      <c r="B33" s="5" t="s">
        <v>163</v>
      </c>
      <c r="C33" s="102">
        <f aca="true" t="shared" si="6" ref="C33:I33">C27</f>
        <v>0</v>
      </c>
      <c r="D33" s="102">
        <f t="shared" si="6"/>
        <v>85.02974999999999</v>
      </c>
      <c r="E33" s="102">
        <f t="shared" si="6"/>
        <v>189.35954999999998</v>
      </c>
      <c r="F33" s="102">
        <f t="shared" si="6"/>
        <v>3533.70045</v>
      </c>
      <c r="G33" s="102">
        <f t="shared" si="6"/>
        <v>1338.8661375</v>
      </c>
      <c r="H33" s="102">
        <f t="shared" si="6"/>
        <v>0</v>
      </c>
      <c r="I33" s="102">
        <f t="shared" si="6"/>
        <v>0</v>
      </c>
    </row>
    <row r="34" spans="1:9" ht="12.75">
      <c r="A34" s="5"/>
      <c r="B34" s="5" t="s">
        <v>164</v>
      </c>
      <c r="C34" s="140">
        <f aca="true" t="shared" si="7" ref="C34:I34">SUM(C32:C33)</f>
        <v>0</v>
      </c>
      <c r="D34" s="140">
        <f t="shared" si="7"/>
        <v>-2282.3011051620006</v>
      </c>
      <c r="E34" s="140">
        <f t="shared" si="7"/>
        <v>-5419.217181707751</v>
      </c>
      <c r="F34" s="140">
        <f t="shared" si="7"/>
        <v>1796.9895308950893</v>
      </c>
      <c r="G34" s="140">
        <f t="shared" si="7"/>
        <v>-3724.824450427418</v>
      </c>
      <c r="H34" s="140">
        <f t="shared" si="7"/>
        <v>-67756.68195386724</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0.2686</v>
      </c>
      <c r="G37" s="76">
        <f t="shared" si="8"/>
        <v>0.259</v>
      </c>
      <c r="H37" s="76">
        <f t="shared" si="8"/>
        <v>0.244</v>
      </c>
      <c r="I37" s="76">
        <f t="shared" si="8"/>
        <v>0.229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-3705.903029370696</v>
      </c>
      <c r="E40" s="102">
        <f t="shared" si="9"/>
        <v>-8433.949972492857</v>
      </c>
      <c r="F40" s="102">
        <f t="shared" si="9"/>
        <v>-2374.5022137064675</v>
      </c>
      <c r="G40" s="102">
        <f t="shared" si="9"/>
        <v>-6833.59053701406</v>
      </c>
      <c r="H40" s="102">
        <f t="shared" si="9"/>
        <v>-89625.24067971857</v>
      </c>
      <c r="I40" s="102">
        <f t="shared" si="9"/>
        <v>0</v>
      </c>
    </row>
    <row r="41" spans="2:9" ht="12.75">
      <c r="B41" s="5" t="s">
        <v>163</v>
      </c>
      <c r="C41" s="102">
        <f aca="true" t="shared" si="10" ref="C41:I41">C33</f>
        <v>0</v>
      </c>
      <c r="D41" s="102">
        <f t="shared" si="10"/>
        <v>85.02974999999999</v>
      </c>
      <c r="E41" s="102">
        <f t="shared" si="10"/>
        <v>189.35954999999998</v>
      </c>
      <c r="F41" s="102">
        <f t="shared" si="10"/>
        <v>3533.70045</v>
      </c>
      <c r="G41" s="102">
        <f t="shared" si="10"/>
        <v>1338.8661375</v>
      </c>
      <c r="H41" s="102">
        <f t="shared" si="10"/>
        <v>0</v>
      </c>
      <c r="I41" s="102">
        <f t="shared" si="10"/>
        <v>0</v>
      </c>
    </row>
    <row r="42" spans="2:9" ht="12.75">
      <c r="B42" s="5" t="s">
        <v>164</v>
      </c>
      <c r="C42" s="146">
        <f aca="true" t="shared" si="11" ref="C42:I42">SUM(C40:C41)</f>
        <v>0</v>
      </c>
      <c r="D42" s="146">
        <f t="shared" si="11"/>
        <v>-3620.873279370696</v>
      </c>
      <c r="E42" s="146">
        <f t="shared" si="11"/>
        <v>-8244.590422492858</v>
      </c>
      <c r="F42" s="146">
        <f t="shared" si="11"/>
        <v>1159.1982362935323</v>
      </c>
      <c r="G42" s="146">
        <f t="shared" si="11"/>
        <v>-5494.72439951406</v>
      </c>
      <c r="H42" s="146">
        <f t="shared" si="11"/>
        <v>-89625.24067971857</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codeName="Sheet4"/>
  <dimension ref="A1:I127"/>
  <sheetViews>
    <sheetView zoomScalePageLayoutView="0" workbookViewId="0" topLeftCell="B63">
      <selection activeCell="C20" sqref="C20:D20"/>
    </sheetView>
  </sheetViews>
  <sheetFormatPr defaultColWidth="9.140625" defaultRowHeight="12.75"/>
  <cols>
    <col min="1" max="1" width="16.57421875" style="7" customWidth="1"/>
    <col min="2" max="2" width="75.28125" style="7" bestFit="1" customWidth="1"/>
    <col min="3" max="7" width="15.00390625" style="7" bestFit="1" customWidth="1"/>
    <col min="8" max="8" width="14.00390625" style="7" bestFit="1" customWidth="1"/>
    <col min="9" max="16384" width="9.140625" style="7" customWidth="1"/>
  </cols>
  <sheetData>
    <row r="1" spans="1:9" s="3" customFormat="1" ht="21" customHeight="1">
      <c r="A1" s="1"/>
      <c r="B1" s="169" t="s">
        <v>218</v>
      </c>
      <c r="C1" s="169"/>
      <c r="D1" s="169"/>
      <c r="E1" s="169"/>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Forecasted</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0</v>
      </c>
      <c r="G8" s="140">
        <f>F10</f>
        <v>1484174</v>
      </c>
      <c r="H8" s="140">
        <f>G10</f>
        <v>1594415</v>
      </c>
      <c r="I8" s="5"/>
    </row>
    <row r="9" spans="1:9" ht="12.75">
      <c r="A9" s="5"/>
      <c r="B9" s="5" t="s">
        <v>202</v>
      </c>
      <c r="C9" s="142">
        <f>'3.  LDC Assumptions and Data'!C31</f>
        <v>0</v>
      </c>
      <c r="D9" s="142">
        <f>'3.  LDC Assumptions and Data'!D31</f>
        <v>0</v>
      </c>
      <c r="E9" s="142">
        <f>'3.  LDC Assumptions and Data'!E31</f>
        <v>0</v>
      </c>
      <c r="F9" s="142">
        <f>'3.  LDC Assumptions and Data'!F31</f>
        <v>1484174</v>
      </c>
      <c r="G9" s="142">
        <f>'3.  LDC Assumptions and Data'!G31</f>
        <v>110241</v>
      </c>
      <c r="H9" s="142">
        <f>'3.  LDC Assumptions and Data'!H31</f>
        <v>12984</v>
      </c>
      <c r="I9" s="5"/>
    </row>
    <row r="10" spans="1:9" ht="12.75">
      <c r="A10" s="5"/>
      <c r="B10" s="5" t="s">
        <v>169</v>
      </c>
      <c r="C10" s="140">
        <f aca="true" t="shared" si="0" ref="C10:H10">SUM(C8:C9)</f>
        <v>0</v>
      </c>
      <c r="D10" s="140">
        <f t="shared" si="0"/>
        <v>0</v>
      </c>
      <c r="E10" s="140">
        <f t="shared" si="0"/>
        <v>0</v>
      </c>
      <c r="F10" s="140">
        <f t="shared" si="0"/>
        <v>1484174</v>
      </c>
      <c r="G10" s="140">
        <f t="shared" si="0"/>
        <v>1594415</v>
      </c>
      <c r="H10" s="140">
        <f t="shared" si="0"/>
        <v>1607399</v>
      </c>
      <c r="I10" s="5"/>
    </row>
    <row r="11" spans="1:9" ht="12.75">
      <c r="A11" s="5"/>
      <c r="B11" s="5"/>
      <c r="C11" s="63"/>
      <c r="D11" s="63"/>
      <c r="E11" s="63"/>
      <c r="F11" s="63"/>
      <c r="G11" s="63"/>
      <c r="H11" s="5"/>
      <c r="I11" s="5"/>
    </row>
    <row r="12" spans="1:9" ht="12.75">
      <c r="A12" s="5"/>
      <c r="B12" s="5" t="s">
        <v>170</v>
      </c>
      <c r="C12" s="140">
        <v>0</v>
      </c>
      <c r="D12" s="140">
        <f>C14</f>
        <v>0</v>
      </c>
      <c r="E12" s="140">
        <f>D14</f>
        <v>0</v>
      </c>
      <c r="F12" s="140">
        <f>E14</f>
        <v>0</v>
      </c>
      <c r="G12" s="140">
        <f>F14</f>
        <v>49472.46666666667</v>
      </c>
      <c r="H12" s="140">
        <f>G14</f>
        <v>152092.1</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49472.46666666667</v>
      </c>
      <c r="G13" s="102">
        <f>IF(G12+(G8/'3.  LDC Assumptions and Data'!G60)+(G9/'3.  LDC Assumptions and Data'!G60/2)&lt;G10,(G8/'3.  LDC Assumptions and Data'!G60)+(G9/'3.  LDC Assumptions and Data'!G60/2),G10-G12)</f>
        <v>102619.63333333333</v>
      </c>
      <c r="H13" s="102">
        <f>IF(H12+(H8/'3.  LDC Assumptions and Data'!H60)+(H9/'3.  LDC Assumptions and Data'!H60/2)&lt;H10,(H8/'3.  LDC Assumptions and Data'!H60)+(H9/'3.  LDC Assumptions and Data'!H60/2),H10-H12)</f>
        <v>106727.13333333333</v>
      </c>
      <c r="I13" s="5"/>
    </row>
    <row r="14" spans="1:9" ht="12.75">
      <c r="A14" s="5"/>
      <c r="B14" s="5" t="s">
        <v>171</v>
      </c>
      <c r="C14" s="140">
        <f aca="true" t="shared" si="1" ref="C14:H14">SUM(C12:C13)</f>
        <v>0</v>
      </c>
      <c r="D14" s="140">
        <f t="shared" si="1"/>
        <v>0</v>
      </c>
      <c r="E14" s="140">
        <f t="shared" si="1"/>
        <v>0</v>
      </c>
      <c r="F14" s="140">
        <f t="shared" si="1"/>
        <v>49472.46666666667</v>
      </c>
      <c r="G14" s="140">
        <f t="shared" si="1"/>
        <v>152092.1</v>
      </c>
      <c r="H14" s="140">
        <f t="shared" si="1"/>
        <v>258819.23333333334</v>
      </c>
      <c r="I14" s="5"/>
    </row>
    <row r="15" spans="1:9" ht="12.75">
      <c r="A15" s="5"/>
      <c r="B15" s="5"/>
      <c r="H15" s="5"/>
      <c r="I15" s="5"/>
    </row>
    <row r="16" spans="1:9" ht="16.5" customHeight="1">
      <c r="A16" s="5"/>
      <c r="B16" s="5" t="s">
        <v>172</v>
      </c>
      <c r="C16" s="102">
        <f>0</f>
        <v>0</v>
      </c>
      <c r="D16" s="102">
        <f>C17</f>
        <v>0</v>
      </c>
      <c r="E16" s="102">
        <f>D17</f>
        <v>0</v>
      </c>
      <c r="F16" s="102">
        <f>E17</f>
        <v>0</v>
      </c>
      <c r="G16" s="102">
        <f>F17</f>
        <v>1434701.5333333334</v>
      </c>
      <c r="H16" s="102">
        <f>G17</f>
        <v>1442322.9</v>
      </c>
      <c r="I16" s="5"/>
    </row>
    <row r="17" spans="1:8" ht="12.75">
      <c r="A17" s="5"/>
      <c r="B17" s="5" t="s">
        <v>173</v>
      </c>
      <c r="C17" s="140">
        <f aca="true" t="shared" si="2" ref="C17:H17">C10-C14</f>
        <v>0</v>
      </c>
      <c r="D17" s="140">
        <f t="shared" si="2"/>
        <v>0</v>
      </c>
      <c r="E17" s="140">
        <f t="shared" si="2"/>
        <v>0</v>
      </c>
      <c r="F17" s="140">
        <f t="shared" si="2"/>
        <v>1434701.5333333334</v>
      </c>
      <c r="G17" s="140">
        <f t="shared" si="2"/>
        <v>1442322.9</v>
      </c>
      <c r="H17" s="140">
        <f t="shared" si="2"/>
        <v>1348579.7666666666</v>
      </c>
    </row>
    <row r="18" spans="1:8" ht="13.5" thickBot="1">
      <c r="A18" s="5"/>
      <c r="B18" s="5" t="s">
        <v>174</v>
      </c>
      <c r="C18" s="147">
        <f aca="true" t="shared" si="3" ref="C18:H18">(C17+C16)/2</f>
        <v>0</v>
      </c>
      <c r="D18" s="147">
        <f t="shared" si="3"/>
        <v>0</v>
      </c>
      <c r="E18" s="147">
        <f t="shared" si="3"/>
        <v>0</v>
      </c>
      <c r="F18" s="147">
        <f t="shared" si="3"/>
        <v>717350.7666666667</v>
      </c>
      <c r="G18" s="147">
        <f t="shared" si="3"/>
        <v>1438512.2166666668</v>
      </c>
      <c r="H18" s="147">
        <f t="shared" si="3"/>
        <v>1395451.3333333333</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Forecasted</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12048</v>
      </c>
      <c r="H23" s="140">
        <f>G25</f>
        <v>20031</v>
      </c>
      <c r="I23" s="5"/>
    </row>
    <row r="24" spans="1:9" ht="12.75">
      <c r="A24" s="5"/>
      <c r="B24" s="5" t="s">
        <v>203</v>
      </c>
      <c r="C24" s="142">
        <f>'3.  LDC Assumptions and Data'!C32</f>
        <v>0</v>
      </c>
      <c r="D24" s="142">
        <f>'3.  LDC Assumptions and Data'!D32</f>
        <v>0</v>
      </c>
      <c r="E24" s="142">
        <f>'3.  LDC Assumptions and Data'!E32</f>
        <v>0</v>
      </c>
      <c r="F24" s="142">
        <f>'3.  LDC Assumptions and Data'!F32</f>
        <v>12048</v>
      </c>
      <c r="G24" s="142">
        <f>'3.  LDC Assumptions and Data'!G32</f>
        <v>7983</v>
      </c>
      <c r="H24" s="142">
        <f>'3.  LDC Assumptions and Data'!H32</f>
        <v>0</v>
      </c>
      <c r="I24" s="5"/>
    </row>
    <row r="25" spans="1:9" ht="12.75">
      <c r="A25" s="5"/>
      <c r="B25" s="5" t="s">
        <v>169</v>
      </c>
      <c r="C25" s="140">
        <f aca="true" t="shared" si="5" ref="C25:H25">SUM(C23:C24)</f>
        <v>0</v>
      </c>
      <c r="D25" s="140">
        <f t="shared" si="5"/>
        <v>0</v>
      </c>
      <c r="E25" s="140">
        <f t="shared" si="5"/>
        <v>0</v>
      </c>
      <c r="F25" s="140">
        <f t="shared" si="5"/>
        <v>12048</v>
      </c>
      <c r="G25" s="140">
        <f t="shared" si="5"/>
        <v>20031</v>
      </c>
      <c r="H25" s="140">
        <f t="shared" si="5"/>
        <v>20031</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602.4</v>
      </c>
      <c r="H27" s="140">
        <f>G29</f>
        <v>2206.35</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602.4</v>
      </c>
      <c r="G28" s="102">
        <f>IF(G27+(G23/'3.  LDC Assumptions and Data'!C61)+(G24/'3.  LDC Assumptions and Data'!C61/2)&lt;G25,(G23/'3.  LDC Assumptions and Data'!C61)+(G24/'3.  LDC Assumptions and Data'!C61/2),G25-G27)</f>
        <v>1603.9499999999998</v>
      </c>
      <c r="H28" s="102">
        <f>IF(H27+(H23/'3.  LDC Assumptions and Data'!D61)+(H24/'3.  LDC Assumptions and Data'!D61/2)&lt;H25,(H23/'3.  LDC Assumptions and Data'!D61)+(H24/'3.  LDC Assumptions and Data'!D61/2),H25-H27)</f>
        <v>2003.1</v>
      </c>
      <c r="I28" s="5"/>
    </row>
    <row r="29" spans="1:9" ht="12.75">
      <c r="A29" s="5"/>
      <c r="B29" s="5" t="s">
        <v>171</v>
      </c>
      <c r="C29" s="140">
        <f aca="true" t="shared" si="6" ref="C29:H29">SUM(C27:C28)</f>
        <v>0</v>
      </c>
      <c r="D29" s="140">
        <f t="shared" si="6"/>
        <v>0</v>
      </c>
      <c r="E29" s="140">
        <f t="shared" si="6"/>
        <v>0</v>
      </c>
      <c r="F29" s="140">
        <f t="shared" si="6"/>
        <v>602.4</v>
      </c>
      <c r="G29" s="140">
        <f t="shared" si="6"/>
        <v>2206.35</v>
      </c>
      <c r="H29" s="140">
        <f t="shared" si="6"/>
        <v>4209.45</v>
      </c>
      <c r="I29" s="5"/>
    </row>
    <row r="30" spans="1:9" ht="12.75">
      <c r="A30" s="5"/>
      <c r="B30" s="5"/>
      <c r="H30" s="5"/>
      <c r="I30" s="5"/>
    </row>
    <row r="31" spans="1:9" ht="12.75">
      <c r="A31" s="5"/>
      <c r="B31" s="5" t="s">
        <v>172</v>
      </c>
      <c r="C31" s="102">
        <f>0</f>
        <v>0</v>
      </c>
      <c r="D31" s="102">
        <f>C32</f>
        <v>0</v>
      </c>
      <c r="E31" s="102">
        <f>D32</f>
        <v>0</v>
      </c>
      <c r="F31" s="102">
        <f>E32</f>
        <v>0</v>
      </c>
      <c r="G31" s="102">
        <f>F32</f>
        <v>11445.6</v>
      </c>
      <c r="H31" s="102">
        <f>G32</f>
        <v>17824.65</v>
      </c>
      <c r="I31" s="5"/>
    </row>
    <row r="32" spans="1:9" ht="12.75">
      <c r="A32" s="5"/>
      <c r="B32" s="5" t="s">
        <v>173</v>
      </c>
      <c r="C32" s="140">
        <f aca="true" t="shared" si="7" ref="C32:H32">C25-C29</f>
        <v>0</v>
      </c>
      <c r="D32" s="148">
        <f t="shared" si="7"/>
        <v>0</v>
      </c>
      <c r="E32" s="148">
        <f t="shared" si="7"/>
        <v>0</v>
      </c>
      <c r="F32" s="148">
        <f t="shared" si="7"/>
        <v>11445.6</v>
      </c>
      <c r="G32" s="148">
        <f t="shared" si="7"/>
        <v>17824.65</v>
      </c>
      <c r="H32" s="148">
        <f t="shared" si="7"/>
        <v>15821.55</v>
      </c>
      <c r="I32" s="5"/>
    </row>
    <row r="33" spans="1:9" ht="13.5" thickBot="1">
      <c r="A33" s="5"/>
      <c r="B33" s="5" t="s">
        <v>174</v>
      </c>
      <c r="C33" s="147">
        <f aca="true" t="shared" si="8" ref="C33:H33">(C32+C31)/2</f>
        <v>0</v>
      </c>
      <c r="D33" s="149">
        <f t="shared" si="8"/>
        <v>0</v>
      </c>
      <c r="E33" s="149">
        <f t="shared" si="8"/>
        <v>0</v>
      </c>
      <c r="F33" s="149">
        <f t="shared" si="8"/>
        <v>5722.8</v>
      </c>
      <c r="G33" s="149">
        <f t="shared" si="8"/>
        <v>14635.125</v>
      </c>
      <c r="H33" s="149">
        <f t="shared" si="8"/>
        <v>16823.1</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Forecasted</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41990</v>
      </c>
      <c r="F38" s="140">
        <f>E40</f>
        <v>102842</v>
      </c>
      <c r="G38" s="140">
        <f>F40</f>
        <v>170392</v>
      </c>
      <c r="H38" s="140">
        <f>G40</f>
        <v>431169</v>
      </c>
      <c r="I38" s="5"/>
    </row>
    <row r="39" spans="1:9" ht="12.75">
      <c r="A39" s="5"/>
      <c r="B39" s="5" t="s">
        <v>202</v>
      </c>
      <c r="C39" s="142">
        <f>'3.  LDC Assumptions and Data'!C33</f>
        <v>0</v>
      </c>
      <c r="D39" s="142">
        <f>'3.  LDC Assumptions and Data'!D33</f>
        <v>41990</v>
      </c>
      <c r="E39" s="142">
        <f>'3.  LDC Assumptions and Data'!E33</f>
        <v>60852</v>
      </c>
      <c r="F39" s="142">
        <f>'3.  LDC Assumptions and Data'!F33</f>
        <v>67550</v>
      </c>
      <c r="G39" s="142">
        <f>'3.  LDC Assumptions and Data'!G33</f>
        <v>260777</v>
      </c>
      <c r="H39" s="142">
        <f>'3.  LDC Assumptions and Data'!H33</f>
        <v>130725</v>
      </c>
      <c r="I39" s="5"/>
    </row>
    <row r="40" spans="1:9" ht="12.75">
      <c r="A40" s="5"/>
      <c r="B40" s="5" t="s">
        <v>169</v>
      </c>
      <c r="C40" s="140">
        <f aca="true" t="shared" si="10" ref="C40:H40">SUM(C38:C39)</f>
        <v>0</v>
      </c>
      <c r="D40" s="140">
        <f t="shared" si="10"/>
        <v>41990</v>
      </c>
      <c r="E40" s="140">
        <f t="shared" si="10"/>
        <v>102842</v>
      </c>
      <c r="F40" s="140">
        <f t="shared" si="10"/>
        <v>170392</v>
      </c>
      <c r="G40" s="140">
        <f t="shared" si="10"/>
        <v>431169</v>
      </c>
      <c r="H40" s="140">
        <f t="shared" si="10"/>
        <v>561894</v>
      </c>
      <c r="I40" s="5"/>
    </row>
    <row r="41" spans="1:9" ht="12.75">
      <c r="A41" s="5"/>
      <c r="B41" s="5"/>
      <c r="C41" s="64"/>
      <c r="D41" s="64"/>
      <c r="E41" s="64"/>
      <c r="F41" s="64"/>
      <c r="G41" s="64"/>
      <c r="H41" s="5"/>
      <c r="I41" s="5"/>
    </row>
    <row r="42" spans="1:9" ht="12.75">
      <c r="A42" s="5"/>
      <c r="B42" s="5" t="s">
        <v>170</v>
      </c>
      <c r="C42" s="140">
        <v>0</v>
      </c>
      <c r="D42" s="140">
        <f>C44</f>
        <v>0</v>
      </c>
      <c r="E42" s="140">
        <f>D44</f>
        <v>4199</v>
      </c>
      <c r="F42" s="140">
        <f>E44</f>
        <v>18682.2</v>
      </c>
      <c r="G42" s="140">
        <f>F44</f>
        <v>46005.600000000006</v>
      </c>
      <c r="H42" s="140">
        <f>G44</f>
        <v>106161.70000000001</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4199</v>
      </c>
      <c r="E43" s="102">
        <f>IF(E42+(E38/'3.  LDC Assumptions and Data'!C62)+(E39/'3.  LDC Assumptions and Data'!C62/2)&lt;E40,(E38/'3.  LDC Assumptions and Data'!C62)+(E39/'3.  LDC Assumptions and Data'!C62/2),E40-E42)</f>
        <v>14483.2</v>
      </c>
      <c r="F43" s="102">
        <f>IF(F42+(F38/'3.  LDC Assumptions and Data'!C62)+(F39/'3.  LDC Assumptions and Data'!C62/2)&lt;F40,(F38/'3.  LDC Assumptions and Data'!C62)+(F39/'3.  LDC Assumptions and Data'!C62/2),F40-F42)</f>
        <v>27323.4</v>
      </c>
      <c r="G43" s="102">
        <f>IF(G42+(G38/'3.  LDC Assumptions and Data'!C62)+(G39/'3.  LDC Assumptions and Data'!C62/2)&lt;G40,(G38/'3.  LDC Assumptions and Data'!C62)+(G39/'3.  LDC Assumptions and Data'!C62/2),G40-G42)</f>
        <v>60156.100000000006</v>
      </c>
      <c r="H43" s="102">
        <f>IF(H42+(H38/'3.  LDC Assumptions and Data'!D62)+(H39/'3.  LDC Assumptions and Data'!D62/2)&lt;H40,(H38/'3.  LDC Assumptions and Data'!D62)+(H39/'3.  LDC Assumptions and Data'!D62/2),H40-H42)</f>
        <v>99306.3</v>
      </c>
      <c r="I43" s="5"/>
    </row>
    <row r="44" spans="1:9" ht="12.75">
      <c r="A44" s="5"/>
      <c r="B44" s="5" t="s">
        <v>171</v>
      </c>
      <c r="C44" s="140">
        <f aca="true" t="shared" si="11" ref="C44:H44">SUM(C42:C43)</f>
        <v>0</v>
      </c>
      <c r="D44" s="140">
        <f t="shared" si="11"/>
        <v>4199</v>
      </c>
      <c r="E44" s="140">
        <f t="shared" si="11"/>
        <v>18682.2</v>
      </c>
      <c r="F44" s="140">
        <f t="shared" si="11"/>
        <v>46005.600000000006</v>
      </c>
      <c r="G44" s="140">
        <f t="shared" si="11"/>
        <v>106161.70000000001</v>
      </c>
      <c r="H44" s="140">
        <f t="shared" si="11"/>
        <v>205468</v>
      </c>
      <c r="I44" s="5"/>
    </row>
    <row r="45" spans="1:9" ht="12.75">
      <c r="A45" s="5"/>
      <c r="B45" s="5"/>
      <c r="H45" s="5"/>
      <c r="I45" s="5"/>
    </row>
    <row r="46" spans="1:9" ht="12.75">
      <c r="A46" s="5"/>
      <c r="B46" s="5" t="s">
        <v>172</v>
      </c>
      <c r="C46" s="102">
        <f>0</f>
        <v>0</v>
      </c>
      <c r="D46" s="102">
        <f>C47</f>
        <v>0</v>
      </c>
      <c r="E46" s="102">
        <f>D47</f>
        <v>37791</v>
      </c>
      <c r="F46" s="102">
        <f>E47</f>
        <v>84159.8</v>
      </c>
      <c r="G46" s="102">
        <f>F47</f>
        <v>124386.4</v>
      </c>
      <c r="H46" s="102">
        <f>G47</f>
        <v>325007.3</v>
      </c>
      <c r="I46" s="5"/>
    </row>
    <row r="47" spans="1:9" ht="12.75">
      <c r="A47" s="5"/>
      <c r="B47" s="5" t="s">
        <v>173</v>
      </c>
      <c r="C47" s="140">
        <f aca="true" t="shared" si="12" ref="C47:H47">C40-C44</f>
        <v>0</v>
      </c>
      <c r="D47" s="148">
        <f t="shared" si="12"/>
        <v>37791</v>
      </c>
      <c r="E47" s="148">
        <f t="shared" si="12"/>
        <v>84159.8</v>
      </c>
      <c r="F47" s="148">
        <f t="shared" si="12"/>
        <v>124386.4</v>
      </c>
      <c r="G47" s="148">
        <f t="shared" si="12"/>
        <v>325007.3</v>
      </c>
      <c r="H47" s="148">
        <f t="shared" si="12"/>
        <v>356426</v>
      </c>
      <c r="I47" s="5"/>
    </row>
    <row r="48" spans="1:9" ht="13.5" thickBot="1">
      <c r="A48" s="5"/>
      <c r="B48" s="5" t="s">
        <v>174</v>
      </c>
      <c r="C48" s="147">
        <f aca="true" t="shared" si="13" ref="C48:H48">(C47+C46)/2</f>
        <v>0</v>
      </c>
      <c r="D48" s="149">
        <f t="shared" si="13"/>
        <v>18895.5</v>
      </c>
      <c r="E48" s="149">
        <f t="shared" si="13"/>
        <v>60975.4</v>
      </c>
      <c r="F48" s="149">
        <f t="shared" si="13"/>
        <v>104273.1</v>
      </c>
      <c r="G48" s="149">
        <f t="shared" si="13"/>
        <v>224696.84999999998</v>
      </c>
      <c r="H48" s="149">
        <f t="shared" si="13"/>
        <v>340716.65</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Forecasted</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Data'!F34</f>
        <v>0</v>
      </c>
      <c r="F54" s="142">
        <f>'3.  LDC Assumptions and Data'!G34</f>
        <v>0</v>
      </c>
      <c r="G54" s="142">
        <f>'3.  LDC Assumptions and Data'!H34</f>
        <v>0</v>
      </c>
      <c r="H54" s="142">
        <f>'3.  LDC Assumptions and Data'!I34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Forecasted</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Data'!F35</f>
        <v>0</v>
      </c>
      <c r="F69" s="142">
        <f>'3.  LDC Assumptions and Data'!G35</f>
        <v>0</v>
      </c>
      <c r="G69" s="142">
        <f>'3.  LDC Assumptions and Data'!H35</f>
        <v>0</v>
      </c>
      <c r="H69" s="142">
        <f>'3.  LDC Assumptions and Data'!I35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Forecasted</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0</v>
      </c>
      <c r="G86" s="140">
        <f>F88-F93</f>
        <v>1424807.04</v>
      </c>
      <c r="H86" s="140">
        <f>G88-G93</f>
        <v>1416653.8368</v>
      </c>
      <c r="I86" s="5"/>
    </row>
    <row r="87" spans="1:9" ht="12.75">
      <c r="A87" s="5"/>
      <c r="B87" s="5" t="s">
        <v>182</v>
      </c>
      <c r="C87" s="102">
        <f aca="true" t="shared" si="25" ref="C87:H87">C9</f>
        <v>0</v>
      </c>
      <c r="D87" s="102">
        <f t="shared" si="25"/>
        <v>0</v>
      </c>
      <c r="E87" s="102">
        <f t="shared" si="25"/>
        <v>0</v>
      </c>
      <c r="F87" s="102">
        <f t="shared" si="25"/>
        <v>1484174</v>
      </c>
      <c r="G87" s="102">
        <f t="shared" si="25"/>
        <v>110241</v>
      </c>
      <c r="H87" s="102">
        <f t="shared" si="25"/>
        <v>12984</v>
      </c>
      <c r="I87" s="5"/>
    </row>
    <row r="88" spans="1:9" ht="12.75">
      <c r="A88" s="5"/>
      <c r="B88" s="5" t="s">
        <v>183</v>
      </c>
      <c r="C88" s="140">
        <f aca="true" t="shared" si="26" ref="C88:H88">SUM(C86:C87)</f>
        <v>0</v>
      </c>
      <c r="D88" s="140">
        <f t="shared" si="26"/>
        <v>0</v>
      </c>
      <c r="E88" s="140">
        <f t="shared" si="26"/>
        <v>0</v>
      </c>
      <c r="F88" s="140">
        <f t="shared" si="26"/>
        <v>1484174</v>
      </c>
      <c r="G88" s="140">
        <f t="shared" si="26"/>
        <v>1535048.04</v>
      </c>
      <c r="H88" s="140">
        <f t="shared" si="26"/>
        <v>1429637.8368</v>
      </c>
      <c r="I88" s="5"/>
    </row>
    <row r="89" spans="1:9" ht="12.75">
      <c r="A89" s="5"/>
      <c r="B89" s="5" t="s">
        <v>184</v>
      </c>
      <c r="C89" s="102">
        <f aca="true" t="shared" si="27" ref="C89:H89">SUM(C87:C87)/2</f>
        <v>0</v>
      </c>
      <c r="D89" s="102">
        <f t="shared" si="27"/>
        <v>0</v>
      </c>
      <c r="E89" s="102">
        <f t="shared" si="27"/>
        <v>0</v>
      </c>
      <c r="F89" s="102">
        <f t="shared" si="27"/>
        <v>742087</v>
      </c>
      <c r="G89" s="102">
        <f t="shared" si="27"/>
        <v>55120.5</v>
      </c>
      <c r="H89" s="102">
        <f t="shared" si="27"/>
        <v>6492</v>
      </c>
      <c r="I89" s="5"/>
    </row>
    <row r="90" spans="1:9" ht="12.75">
      <c r="A90" s="5"/>
      <c r="B90" s="5" t="s">
        <v>185</v>
      </c>
      <c r="C90" s="140">
        <f aca="true" t="shared" si="28" ref="C90:H90">C86+C89</f>
        <v>0</v>
      </c>
      <c r="D90" s="140">
        <f t="shared" si="28"/>
        <v>0</v>
      </c>
      <c r="E90" s="140">
        <f t="shared" si="28"/>
        <v>0</v>
      </c>
      <c r="F90" s="140">
        <f t="shared" si="28"/>
        <v>742087</v>
      </c>
      <c r="G90" s="140">
        <f t="shared" si="28"/>
        <v>1479927.54</v>
      </c>
      <c r="H90" s="140">
        <f t="shared" si="28"/>
        <v>1423145.8368</v>
      </c>
      <c r="I90" s="5"/>
    </row>
    <row r="91" spans="1:9" ht="12.75">
      <c r="A91" s="5"/>
      <c r="B91" s="5" t="s">
        <v>222</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223</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0</v>
      </c>
      <c r="F93" s="140">
        <f t="shared" si="29"/>
        <v>59366.96</v>
      </c>
      <c r="G93" s="140">
        <f t="shared" si="29"/>
        <v>118394.2032</v>
      </c>
      <c r="H93" s="140">
        <f t="shared" si="29"/>
        <v>113851.666944</v>
      </c>
      <c r="I93" s="5"/>
    </row>
    <row r="94" spans="1:9" ht="13.5" thickBot="1">
      <c r="A94" s="5"/>
      <c r="B94" s="5" t="s">
        <v>187</v>
      </c>
      <c r="C94" s="147">
        <f aca="true" t="shared" si="30" ref="C94:H94">IF((C88-C93)&lt;0,0,(C88-C93))</f>
        <v>0</v>
      </c>
      <c r="D94" s="147">
        <f t="shared" si="30"/>
        <v>0</v>
      </c>
      <c r="E94" s="147">
        <f t="shared" si="30"/>
        <v>0</v>
      </c>
      <c r="F94" s="147">
        <f t="shared" si="30"/>
        <v>1424807.04</v>
      </c>
      <c r="G94" s="147">
        <f t="shared" si="30"/>
        <v>1416653.8368</v>
      </c>
      <c r="H94" s="147">
        <f t="shared" si="30"/>
        <v>1315786.169856</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Forecasted</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30442.75</v>
      </c>
      <c r="F99" s="140">
        <f>E108</f>
        <v>57816.9375</v>
      </c>
      <c r="G99" s="140">
        <f>F108</f>
        <v>83726.171875</v>
      </c>
      <c r="H99" s="140">
        <f>G108</f>
        <v>232527.77734375</v>
      </c>
      <c r="I99" s="5"/>
    </row>
    <row r="100" spans="1:9" ht="12.75">
      <c r="A100" s="5"/>
      <c r="B100" s="5" t="s">
        <v>189</v>
      </c>
      <c r="C100" s="102">
        <f aca="true" t="shared" si="32" ref="C100:H100">C24</f>
        <v>0</v>
      </c>
      <c r="D100" s="102">
        <f t="shared" si="32"/>
        <v>0</v>
      </c>
      <c r="E100" s="102">
        <f t="shared" si="32"/>
        <v>0</v>
      </c>
      <c r="F100" s="102">
        <f t="shared" si="32"/>
        <v>12048</v>
      </c>
      <c r="G100" s="102">
        <f t="shared" si="32"/>
        <v>7983</v>
      </c>
      <c r="H100" s="102">
        <f t="shared" si="32"/>
        <v>0</v>
      </c>
      <c r="I100" s="5"/>
    </row>
    <row r="101" spans="1:9" ht="12.75">
      <c r="A101" s="5"/>
      <c r="B101" s="5" t="s">
        <v>190</v>
      </c>
      <c r="C101" s="102">
        <f aca="true" t="shared" si="33" ref="C101:H101">C39</f>
        <v>0</v>
      </c>
      <c r="D101" s="102">
        <f t="shared" si="33"/>
        <v>41990</v>
      </c>
      <c r="E101" s="102">
        <f t="shared" si="33"/>
        <v>60852</v>
      </c>
      <c r="F101" s="102">
        <f t="shared" si="33"/>
        <v>67550</v>
      </c>
      <c r="G101" s="102">
        <f t="shared" si="33"/>
        <v>260777</v>
      </c>
      <c r="H101" s="102">
        <f t="shared" si="33"/>
        <v>130725</v>
      </c>
      <c r="I101" s="5"/>
    </row>
    <row r="102" spans="1:9" ht="12.75">
      <c r="A102" s="5"/>
      <c r="B102" s="5" t="s">
        <v>183</v>
      </c>
      <c r="C102" s="140">
        <f aca="true" t="shared" si="34" ref="C102:H102">SUM(C99:C101)</f>
        <v>0</v>
      </c>
      <c r="D102" s="140">
        <f t="shared" si="34"/>
        <v>41990</v>
      </c>
      <c r="E102" s="140">
        <f t="shared" si="34"/>
        <v>91294.75</v>
      </c>
      <c r="F102" s="140">
        <f t="shared" si="34"/>
        <v>137414.9375</v>
      </c>
      <c r="G102" s="140">
        <f t="shared" si="34"/>
        <v>352486.171875</v>
      </c>
      <c r="H102" s="140">
        <f t="shared" si="34"/>
        <v>363252.77734375</v>
      </c>
      <c r="I102" s="5"/>
    </row>
    <row r="103" spans="1:9" ht="12.75">
      <c r="A103" s="5"/>
      <c r="B103" s="5" t="s">
        <v>184</v>
      </c>
      <c r="C103" s="102">
        <f aca="true" t="shared" si="35" ref="C103:H103">SUM(C100:C101)/2</f>
        <v>0</v>
      </c>
      <c r="D103" s="102">
        <f t="shared" si="35"/>
        <v>20995</v>
      </c>
      <c r="E103" s="102">
        <f t="shared" si="35"/>
        <v>30426</v>
      </c>
      <c r="F103" s="102">
        <f t="shared" si="35"/>
        <v>39799</v>
      </c>
      <c r="G103" s="102">
        <f t="shared" si="35"/>
        <v>134380</v>
      </c>
      <c r="H103" s="102">
        <f t="shared" si="35"/>
        <v>65362.5</v>
      </c>
      <c r="I103" s="5"/>
    </row>
    <row r="104" spans="1:9" ht="12.75">
      <c r="A104" s="5"/>
      <c r="B104" s="5" t="s">
        <v>185</v>
      </c>
      <c r="C104" s="140">
        <f aca="true" t="shared" si="36" ref="C104:H104">C99+C103</f>
        <v>0</v>
      </c>
      <c r="D104" s="140">
        <f t="shared" si="36"/>
        <v>20995</v>
      </c>
      <c r="E104" s="140">
        <f t="shared" si="36"/>
        <v>60868.75</v>
      </c>
      <c r="F104" s="140">
        <f t="shared" si="36"/>
        <v>97615.9375</v>
      </c>
      <c r="G104" s="140">
        <f t="shared" si="36"/>
        <v>218106.171875</v>
      </c>
      <c r="H104" s="140">
        <f t="shared" si="36"/>
        <v>297890.27734375</v>
      </c>
      <c r="I104" s="5"/>
    </row>
    <row r="105" spans="1:9" ht="12.75">
      <c r="A105" s="5"/>
      <c r="B105" s="5" t="s">
        <v>222</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223</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0</v>
      </c>
      <c r="D107" s="140">
        <f t="shared" si="37"/>
        <v>11547.250000000002</v>
      </c>
      <c r="E107" s="140">
        <f t="shared" si="37"/>
        <v>33477.8125</v>
      </c>
      <c r="F107" s="140">
        <f t="shared" si="37"/>
        <v>53688.76562500001</v>
      </c>
      <c r="G107" s="140">
        <f t="shared" si="37"/>
        <v>119958.39453125001</v>
      </c>
      <c r="H107" s="140">
        <f t="shared" si="37"/>
        <v>163839.65253906252</v>
      </c>
      <c r="I107" s="5"/>
    </row>
    <row r="108" spans="1:9" ht="13.5" thickBot="1">
      <c r="A108" s="5"/>
      <c r="B108" s="5" t="s">
        <v>187</v>
      </c>
      <c r="C108" s="147">
        <f aca="true" t="shared" si="38" ref="C108:H108">IF((C102-C107)&lt;0,0,(C102-C107))</f>
        <v>0</v>
      </c>
      <c r="D108" s="147">
        <f t="shared" si="38"/>
        <v>30442.75</v>
      </c>
      <c r="E108" s="147">
        <f t="shared" si="38"/>
        <v>57816.9375</v>
      </c>
      <c r="F108" s="147">
        <f t="shared" si="38"/>
        <v>83726.171875</v>
      </c>
      <c r="G108" s="147">
        <f t="shared" si="38"/>
        <v>232527.77734375</v>
      </c>
      <c r="H108" s="147">
        <f t="shared" si="38"/>
        <v>199413.12480468748</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Forecasted</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222</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223</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K81"/>
  <sheetViews>
    <sheetView zoomScalePageLayoutView="0" workbookViewId="0" topLeftCell="A39">
      <selection activeCell="C20" sqref="C20:D20"/>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258</v>
      </c>
      <c r="C1" s="26"/>
      <c r="D1" s="26"/>
      <c r="E1" s="26"/>
      <c r="F1" s="26"/>
      <c r="G1" s="26"/>
      <c r="I1" s="120"/>
      <c r="J1" s="121" t="s">
        <v>230</v>
      </c>
      <c r="K1" s="121" t="s">
        <v>232</v>
      </c>
    </row>
    <row r="2" spans="9:11" ht="94.5">
      <c r="I2" s="120"/>
      <c r="J2" s="121" t="s">
        <v>231</v>
      </c>
      <c r="K2" s="121" t="s">
        <v>233</v>
      </c>
    </row>
    <row r="3" spans="1:11" ht="15.75">
      <c r="A3" s="134" t="s">
        <v>272</v>
      </c>
      <c r="B3" s="134" t="s">
        <v>124</v>
      </c>
      <c r="C3" s="134" t="s">
        <v>229</v>
      </c>
      <c r="D3" s="134" t="s">
        <v>125</v>
      </c>
      <c r="E3" s="134" t="s">
        <v>126</v>
      </c>
      <c r="F3" s="134" t="s">
        <v>127</v>
      </c>
      <c r="I3" s="120" t="s">
        <v>245</v>
      </c>
      <c r="J3" s="122">
        <v>4.14</v>
      </c>
      <c r="K3" s="122">
        <v>4.68</v>
      </c>
    </row>
    <row r="4" spans="1:11" ht="15.75">
      <c r="A4" s="135">
        <v>38718</v>
      </c>
      <c r="B4" s="118">
        <v>0</v>
      </c>
      <c r="C4" s="117">
        <v>0</v>
      </c>
      <c r="D4" s="136">
        <f>'3.  LDC Assumptions and Data'!$C$19</f>
        <v>0</v>
      </c>
      <c r="E4" s="118">
        <f aca="true" t="shared" si="0" ref="E4:E27">(B4*D4)/12</f>
        <v>0</v>
      </c>
      <c r="F4" s="118">
        <f>SUM(B4:C4,E4)</f>
        <v>0</v>
      </c>
      <c r="I4" s="120" t="s">
        <v>244</v>
      </c>
      <c r="J4" s="122">
        <v>4.59</v>
      </c>
      <c r="K4" s="122">
        <v>5.05</v>
      </c>
    </row>
    <row r="5" spans="1:11" ht="15.75">
      <c r="A5" s="135">
        <v>38749</v>
      </c>
      <c r="B5" s="119">
        <f aca="true" t="shared" si="1" ref="B5:B28">F4</f>
        <v>0</v>
      </c>
      <c r="C5" s="117">
        <v>0</v>
      </c>
      <c r="D5" s="136">
        <f>'3.  LDC Assumptions and Data'!$C$19</f>
        <v>0</v>
      </c>
      <c r="E5" s="118">
        <f t="shared" si="0"/>
        <v>0</v>
      </c>
      <c r="F5" s="118">
        <f aca="true" t="shared" si="2" ref="F5:F27">SUM(B5:C5,E5)</f>
        <v>0</v>
      </c>
      <c r="I5" s="120" t="s">
        <v>243</v>
      </c>
      <c r="J5" s="122">
        <v>4.59</v>
      </c>
      <c r="K5" s="122">
        <v>4.72</v>
      </c>
    </row>
    <row r="6" spans="1:11" ht="15.75">
      <c r="A6" s="135">
        <v>38777</v>
      </c>
      <c r="B6" s="119">
        <f t="shared" si="1"/>
        <v>0</v>
      </c>
      <c r="C6" s="117">
        <v>0</v>
      </c>
      <c r="D6" s="136">
        <f>'3.  LDC Assumptions and Data'!$C$19</f>
        <v>0</v>
      </c>
      <c r="E6" s="118">
        <f t="shared" si="0"/>
        <v>0</v>
      </c>
      <c r="F6" s="118">
        <f t="shared" si="2"/>
        <v>0</v>
      </c>
      <c r="I6" s="120" t="s">
        <v>242</v>
      </c>
      <c r="J6" s="122">
        <v>4.59</v>
      </c>
      <c r="K6" s="122">
        <v>4.72</v>
      </c>
    </row>
    <row r="7" spans="1:11" ht="15.75">
      <c r="A7" s="135">
        <v>38808</v>
      </c>
      <c r="B7" s="119">
        <f t="shared" si="1"/>
        <v>0</v>
      </c>
      <c r="C7" s="117">
        <v>0</v>
      </c>
      <c r="D7" s="137">
        <v>0.0414</v>
      </c>
      <c r="E7" s="118">
        <f t="shared" si="0"/>
        <v>0</v>
      </c>
      <c r="F7" s="118">
        <f t="shared" si="2"/>
        <v>0</v>
      </c>
      <c r="I7" s="120" t="s">
        <v>241</v>
      </c>
      <c r="J7" s="122">
        <v>4.59</v>
      </c>
      <c r="K7" s="122">
        <v>4.72</v>
      </c>
    </row>
    <row r="8" spans="1:11" ht="15.75">
      <c r="A8" s="135">
        <v>38838</v>
      </c>
      <c r="B8" s="119">
        <f t="shared" si="1"/>
        <v>0</v>
      </c>
      <c r="C8" s="117">
        <v>-255</v>
      </c>
      <c r="D8" s="137">
        <v>0.0414</v>
      </c>
      <c r="E8" s="118">
        <f t="shared" si="0"/>
        <v>0</v>
      </c>
      <c r="F8" s="118">
        <f t="shared" si="2"/>
        <v>-255</v>
      </c>
      <c r="I8" s="120" t="s">
        <v>240</v>
      </c>
      <c r="J8" s="122">
        <v>4.59</v>
      </c>
      <c r="K8" s="122">
        <v>5.18</v>
      </c>
    </row>
    <row r="9" spans="1:11" ht="15.75">
      <c r="A9" s="135">
        <v>38869</v>
      </c>
      <c r="B9" s="119">
        <f t="shared" si="1"/>
        <v>-255</v>
      </c>
      <c r="C9" s="117">
        <v>-2004</v>
      </c>
      <c r="D9" s="137">
        <v>0.0414</v>
      </c>
      <c r="E9" s="118">
        <f t="shared" si="0"/>
        <v>-0.87975</v>
      </c>
      <c r="F9" s="118">
        <f t="shared" si="2"/>
        <v>-2259.87975</v>
      </c>
      <c r="I9" s="120" t="s">
        <v>239</v>
      </c>
      <c r="J9" s="122">
        <v>5.14</v>
      </c>
      <c r="K9" s="122">
        <v>5.18</v>
      </c>
    </row>
    <row r="10" spans="1:11" ht="15.75">
      <c r="A10" s="135">
        <v>38899</v>
      </c>
      <c r="B10" s="119">
        <f t="shared" si="1"/>
        <v>-2259.87975</v>
      </c>
      <c r="C10" s="117">
        <v>-2249</v>
      </c>
      <c r="D10" s="137">
        <v>0.0459</v>
      </c>
      <c r="E10" s="118">
        <f t="shared" si="0"/>
        <v>-8.644040043750001</v>
      </c>
      <c r="F10" s="118">
        <f t="shared" si="2"/>
        <v>-4517.52379004375</v>
      </c>
      <c r="I10" s="120" t="s">
        <v>238</v>
      </c>
      <c r="J10" s="122">
        <v>5.14</v>
      </c>
      <c r="K10" s="122">
        <v>5.18</v>
      </c>
    </row>
    <row r="11" spans="1:11" ht="15.75">
      <c r="A11" s="135">
        <v>38930</v>
      </c>
      <c r="B11" s="119">
        <f t="shared" si="1"/>
        <v>-4517.52379004375</v>
      </c>
      <c r="C11" s="117">
        <v>-2261</v>
      </c>
      <c r="D11" s="137">
        <v>0.0459</v>
      </c>
      <c r="E11" s="118">
        <f t="shared" si="0"/>
        <v>-17.279528496917344</v>
      </c>
      <c r="F11" s="118">
        <f t="shared" si="2"/>
        <v>-6795.803318540667</v>
      </c>
      <c r="I11" s="120" t="s">
        <v>237</v>
      </c>
      <c r="J11" s="122">
        <v>4.08</v>
      </c>
      <c r="K11" s="122">
        <v>5.18</v>
      </c>
    </row>
    <row r="12" spans="1:11" ht="15.75">
      <c r="A12" s="135">
        <v>38961</v>
      </c>
      <c r="B12" s="119">
        <f t="shared" si="1"/>
        <v>-6795.803318540667</v>
      </c>
      <c r="C12" s="117">
        <v>-2249</v>
      </c>
      <c r="D12" s="137">
        <v>0.0459</v>
      </c>
      <c r="E12" s="118">
        <f t="shared" si="0"/>
        <v>-25.99394769341805</v>
      </c>
      <c r="F12" s="118">
        <f t="shared" si="2"/>
        <v>-9070.797266234085</v>
      </c>
      <c r="I12" s="120" t="s">
        <v>236</v>
      </c>
      <c r="J12" s="122">
        <v>3.35</v>
      </c>
      <c r="K12" s="122">
        <v>5.43</v>
      </c>
    </row>
    <row r="13" spans="1:11" ht="15.75">
      <c r="A13" s="135">
        <v>38991</v>
      </c>
      <c r="B13" s="119">
        <f t="shared" si="1"/>
        <v>-9070.797266234085</v>
      </c>
      <c r="C13" s="117">
        <v>-2249</v>
      </c>
      <c r="D13" s="137">
        <v>0.0459</v>
      </c>
      <c r="E13" s="118">
        <f t="shared" si="0"/>
        <v>-34.69579954334538</v>
      </c>
      <c r="F13" s="118">
        <f t="shared" si="2"/>
        <v>-11354.493065777431</v>
      </c>
      <c r="I13" s="120" t="s">
        <v>235</v>
      </c>
      <c r="J13" s="122">
        <v>3.35</v>
      </c>
      <c r="K13" s="122">
        <v>5.43</v>
      </c>
    </row>
    <row r="14" spans="1:11" ht="15.75">
      <c r="A14" s="135">
        <v>39022</v>
      </c>
      <c r="B14" s="119">
        <f t="shared" si="1"/>
        <v>-11354.493065777431</v>
      </c>
      <c r="C14" s="117">
        <v>-2252</v>
      </c>
      <c r="D14" s="137">
        <v>0.0459</v>
      </c>
      <c r="E14" s="118">
        <f t="shared" si="0"/>
        <v>-43.430935976598676</v>
      </c>
      <c r="F14" s="118">
        <f t="shared" si="2"/>
        <v>-13649.92400175403</v>
      </c>
      <c r="I14" s="120" t="s">
        <v>251</v>
      </c>
      <c r="J14" s="125">
        <v>2.45</v>
      </c>
      <c r="K14" s="125">
        <v>6.61</v>
      </c>
    </row>
    <row r="15" spans="1:11" ht="15.75">
      <c r="A15" s="135">
        <v>39052</v>
      </c>
      <c r="B15" s="119">
        <f t="shared" si="1"/>
        <v>-13649.92400175403</v>
      </c>
      <c r="C15" s="117">
        <v>-2253</v>
      </c>
      <c r="D15" s="137">
        <v>0.0459</v>
      </c>
      <c r="E15" s="118">
        <f t="shared" si="0"/>
        <v>-52.210959306709164</v>
      </c>
      <c r="F15" s="118">
        <f t="shared" si="2"/>
        <v>-15955.13496106074</v>
      </c>
      <c r="I15" s="120" t="s">
        <v>252</v>
      </c>
      <c r="J15" s="125">
        <v>1</v>
      </c>
      <c r="K15" s="125">
        <v>6.61</v>
      </c>
    </row>
    <row r="16" spans="1:11" ht="15.75">
      <c r="A16" s="135">
        <v>39083</v>
      </c>
      <c r="B16" s="119">
        <f t="shared" si="1"/>
        <v>-15955.13496106074</v>
      </c>
      <c r="C16" s="117">
        <v>-2262</v>
      </c>
      <c r="D16" s="137">
        <v>0.0459</v>
      </c>
      <c r="E16" s="118">
        <f t="shared" si="0"/>
        <v>-61.02839122605733</v>
      </c>
      <c r="F16" s="118">
        <f t="shared" si="2"/>
        <v>-18278.163352286796</v>
      </c>
      <c r="I16" s="120" t="s">
        <v>253</v>
      </c>
      <c r="J16" s="125">
        <v>0.55</v>
      </c>
      <c r="K16" s="125">
        <v>5.67</v>
      </c>
    </row>
    <row r="17" spans="1:11" ht="15.75">
      <c r="A17" s="135">
        <v>39114</v>
      </c>
      <c r="B17" s="119">
        <f t="shared" si="1"/>
        <v>-18278.163352286796</v>
      </c>
      <c r="C17" s="117">
        <v>-2261</v>
      </c>
      <c r="D17" s="137">
        <v>0.0459</v>
      </c>
      <c r="E17" s="118">
        <f t="shared" si="0"/>
        <v>-69.913974822497</v>
      </c>
      <c r="F17" s="118">
        <f t="shared" si="2"/>
        <v>-20609.07732710929</v>
      </c>
      <c r="I17" s="120" t="s">
        <v>255</v>
      </c>
      <c r="J17" s="125">
        <v>0.55</v>
      </c>
      <c r="K17" s="125">
        <v>4.66</v>
      </c>
    </row>
    <row r="18" spans="1:11" ht="15.75">
      <c r="A18" s="135">
        <v>39142</v>
      </c>
      <c r="B18" s="119">
        <f t="shared" si="1"/>
        <v>-20609.07732710929</v>
      </c>
      <c r="C18" s="117">
        <v>-2261</v>
      </c>
      <c r="D18" s="137">
        <v>0.0459</v>
      </c>
      <c r="E18" s="118">
        <f t="shared" si="0"/>
        <v>-78.82972077619304</v>
      </c>
      <c r="F18" s="118">
        <f t="shared" si="2"/>
        <v>-22948.907047885485</v>
      </c>
      <c r="I18" s="120" t="s">
        <v>256</v>
      </c>
      <c r="J18" s="125">
        <v>0.55</v>
      </c>
      <c r="K18" s="125">
        <v>4.34</v>
      </c>
    </row>
    <row r="19" spans="1:11" ht="15.75">
      <c r="A19" s="135">
        <v>39173</v>
      </c>
      <c r="B19" s="119">
        <f t="shared" si="1"/>
        <v>-22948.907047885485</v>
      </c>
      <c r="C19" s="117">
        <v>-2258</v>
      </c>
      <c r="D19" s="137">
        <v>0.0459</v>
      </c>
      <c r="E19" s="118">
        <f t="shared" si="0"/>
        <v>-87.77956945816199</v>
      </c>
      <c r="F19" s="118">
        <f t="shared" si="2"/>
        <v>-25294.686617343647</v>
      </c>
      <c r="I19" s="120" t="s">
        <v>257</v>
      </c>
      <c r="J19" s="125">
        <v>0.55</v>
      </c>
      <c r="K19" s="125">
        <v>4.34</v>
      </c>
    </row>
    <row r="20" spans="1:11" ht="15.75">
      <c r="A20" s="135">
        <v>39203</v>
      </c>
      <c r="B20" s="119">
        <f t="shared" si="1"/>
        <v>-25294.686617343647</v>
      </c>
      <c r="C20" s="117">
        <v>-2236</v>
      </c>
      <c r="D20" s="137">
        <v>0.0459</v>
      </c>
      <c r="E20" s="118">
        <f t="shared" si="0"/>
        <v>-96.75217631133945</v>
      </c>
      <c r="F20" s="118">
        <f t="shared" si="2"/>
        <v>-27627.438793654987</v>
      </c>
      <c r="I20" s="120" t="s">
        <v>254</v>
      </c>
      <c r="J20" s="125">
        <v>0.89</v>
      </c>
      <c r="K20" s="125">
        <v>4.66</v>
      </c>
    </row>
    <row r="21" spans="1:6" ht="15">
      <c r="A21" s="135">
        <v>39234</v>
      </c>
      <c r="B21" s="119">
        <f t="shared" si="1"/>
        <v>-27627.438793654987</v>
      </c>
      <c r="C21" s="117">
        <v>-2259</v>
      </c>
      <c r="D21" s="137">
        <v>0.0459</v>
      </c>
      <c r="E21" s="118">
        <f t="shared" si="0"/>
        <v>-105.67495338573032</v>
      </c>
      <c r="F21" s="118">
        <f t="shared" si="2"/>
        <v>-29992.113747040716</v>
      </c>
    </row>
    <row r="22" spans="1:6" ht="15">
      <c r="A22" s="135">
        <v>39264</v>
      </c>
      <c r="B22" s="119">
        <f t="shared" si="1"/>
        <v>-29992.113747040716</v>
      </c>
      <c r="C22" s="117">
        <v>-2256</v>
      </c>
      <c r="D22" s="137">
        <v>0.0459</v>
      </c>
      <c r="E22" s="118">
        <f t="shared" si="0"/>
        <v>-114.71983508243075</v>
      </c>
      <c r="F22" s="118">
        <f t="shared" si="2"/>
        <v>-32362.833582123145</v>
      </c>
    </row>
    <row r="23" spans="1:10" ht="15">
      <c r="A23" s="135">
        <v>39295</v>
      </c>
      <c r="B23" s="119">
        <f t="shared" si="1"/>
        <v>-32362.833582123145</v>
      </c>
      <c r="C23" s="117">
        <v>-2258</v>
      </c>
      <c r="D23" s="137">
        <v>0.0459</v>
      </c>
      <c r="E23" s="118">
        <f t="shared" si="0"/>
        <v>-123.78783845162104</v>
      </c>
      <c r="F23" s="118">
        <f t="shared" si="2"/>
        <v>-34744.62142057477</v>
      </c>
      <c r="J23" s="132" t="s">
        <v>234</v>
      </c>
    </row>
    <row r="24" spans="1:6" ht="15">
      <c r="A24" s="135">
        <v>39326</v>
      </c>
      <c r="B24" s="119">
        <f t="shared" si="1"/>
        <v>-34744.62142057477</v>
      </c>
      <c r="C24" s="117">
        <v>-2264</v>
      </c>
      <c r="D24" s="137">
        <v>0.0459</v>
      </c>
      <c r="E24" s="118">
        <f t="shared" si="0"/>
        <v>-132.8981769336985</v>
      </c>
      <c r="F24" s="118">
        <f t="shared" si="2"/>
        <v>-37141.519597508464</v>
      </c>
    </row>
    <row r="25" spans="1:6" ht="15">
      <c r="A25" s="135">
        <v>39356</v>
      </c>
      <c r="B25" s="119">
        <f t="shared" si="1"/>
        <v>-37141.519597508464</v>
      </c>
      <c r="C25" s="117">
        <v>-2263</v>
      </c>
      <c r="D25" s="137">
        <v>0.0514</v>
      </c>
      <c r="E25" s="118">
        <f t="shared" si="0"/>
        <v>-159.08950894266127</v>
      </c>
      <c r="F25" s="118">
        <f t="shared" si="2"/>
        <v>-39563.60910645113</v>
      </c>
    </row>
    <row r="26" spans="1:6" ht="15">
      <c r="A26" s="135">
        <v>39387</v>
      </c>
      <c r="B26" s="119">
        <f t="shared" si="1"/>
        <v>-39563.60910645113</v>
      </c>
      <c r="C26" s="117">
        <v>-2270</v>
      </c>
      <c r="D26" s="137">
        <v>0.0514</v>
      </c>
      <c r="E26" s="118">
        <f t="shared" si="0"/>
        <v>-169.46412567263232</v>
      </c>
      <c r="F26" s="118">
        <f t="shared" si="2"/>
        <v>-42003.07323212376</v>
      </c>
    </row>
    <row r="27" spans="1:6" ht="15">
      <c r="A27" s="135">
        <v>39417</v>
      </c>
      <c r="B27" s="119">
        <f t="shared" si="1"/>
        <v>-42003.07323212376</v>
      </c>
      <c r="C27" s="117">
        <v>-2261</v>
      </c>
      <c r="D27" s="137">
        <v>0.0514</v>
      </c>
      <c r="E27" s="118">
        <f t="shared" si="0"/>
        <v>-179.91316367759677</v>
      </c>
      <c r="F27" s="118">
        <f t="shared" si="2"/>
        <v>-44443.98639580136</v>
      </c>
    </row>
    <row r="28" spans="1:6" ht="15">
      <c r="A28" s="135">
        <v>39448</v>
      </c>
      <c r="B28" s="119">
        <f t="shared" si="1"/>
        <v>-44443.98639580136</v>
      </c>
      <c r="C28" s="117">
        <v>-2281</v>
      </c>
      <c r="D28" s="137">
        <v>0.0514</v>
      </c>
      <c r="E28" s="118">
        <f aca="true" t="shared" si="3" ref="E28:E80">(B28*D28)/12</f>
        <v>-190.36840839534918</v>
      </c>
      <c r="F28" s="118">
        <f aca="true" t="shared" si="4" ref="F28:F80">SUM(B28:C28,E28)</f>
        <v>-46915.35480419671</v>
      </c>
    </row>
    <row r="29" spans="1:6" ht="15">
      <c r="A29" s="135">
        <v>39479</v>
      </c>
      <c r="B29" s="119">
        <f aca="true" t="shared" si="5" ref="B29:B80">F28</f>
        <v>-46915.35480419671</v>
      </c>
      <c r="C29" s="117">
        <v>-2275</v>
      </c>
      <c r="D29" s="137">
        <v>0.0514</v>
      </c>
      <c r="E29" s="118">
        <f t="shared" si="3"/>
        <v>-200.9541030779759</v>
      </c>
      <c r="F29" s="118">
        <f t="shared" si="4"/>
        <v>-49391.30890727468</v>
      </c>
    </row>
    <row r="30" spans="1:6" ht="15">
      <c r="A30" s="135">
        <v>39508</v>
      </c>
      <c r="B30" s="119">
        <f t="shared" si="5"/>
        <v>-49391.30890727468</v>
      </c>
      <c r="C30" s="117">
        <v>-2284</v>
      </c>
      <c r="D30" s="137">
        <v>0.0514</v>
      </c>
      <c r="E30" s="118">
        <f t="shared" si="3"/>
        <v>-211.55943981949324</v>
      </c>
      <c r="F30" s="118">
        <f t="shared" si="4"/>
        <v>-51886.868347094176</v>
      </c>
    </row>
    <row r="31" spans="1:10" ht="15">
      <c r="A31" s="135">
        <v>39539</v>
      </c>
      <c r="B31" s="119">
        <f t="shared" si="5"/>
        <v>-51886.868347094176</v>
      </c>
      <c r="C31" s="117">
        <v>-2297</v>
      </c>
      <c r="D31" s="137">
        <v>0.0408</v>
      </c>
      <c r="E31" s="118">
        <f t="shared" si="3"/>
        <v>-176.41535238012023</v>
      </c>
      <c r="F31" s="118">
        <f t="shared" si="4"/>
        <v>-54360.2836994743</v>
      </c>
      <c r="J31" s="132" t="s">
        <v>234</v>
      </c>
    </row>
    <row r="32" spans="1:6" ht="15">
      <c r="A32" s="135">
        <v>39569</v>
      </c>
      <c r="B32" s="119">
        <f t="shared" si="5"/>
        <v>-54360.2836994743</v>
      </c>
      <c r="C32" s="117">
        <v>-2286</v>
      </c>
      <c r="D32" s="137">
        <v>0.0408</v>
      </c>
      <c r="E32" s="118">
        <f t="shared" si="3"/>
        <v>-184.82496457821264</v>
      </c>
      <c r="F32" s="118">
        <f t="shared" si="4"/>
        <v>-56831.10866405251</v>
      </c>
    </row>
    <row r="33" spans="1:6" ht="15">
      <c r="A33" s="135">
        <v>39600</v>
      </c>
      <c r="B33" s="119">
        <f t="shared" si="5"/>
        <v>-56831.10866405251</v>
      </c>
      <c r="C33" s="117">
        <v>-2286</v>
      </c>
      <c r="D33" s="137">
        <v>0.0408</v>
      </c>
      <c r="E33" s="118">
        <f t="shared" si="3"/>
        <v>-193.22576945777857</v>
      </c>
      <c r="F33" s="118">
        <f t="shared" si="4"/>
        <v>-59310.33443351029</v>
      </c>
    </row>
    <row r="34" spans="1:6" ht="15">
      <c r="A34" s="135">
        <v>39630</v>
      </c>
      <c r="B34" s="119">
        <f t="shared" si="5"/>
        <v>-59310.33443351029</v>
      </c>
      <c r="C34" s="117">
        <v>-2292</v>
      </c>
      <c r="D34" s="137">
        <v>0.0335</v>
      </c>
      <c r="E34" s="118">
        <f t="shared" si="3"/>
        <v>-165.5746836268829</v>
      </c>
      <c r="F34" s="118">
        <f t="shared" si="4"/>
        <v>-61767.90911713717</v>
      </c>
    </row>
    <row r="35" spans="1:10" ht="15">
      <c r="A35" s="135">
        <v>39661</v>
      </c>
      <c r="B35" s="119">
        <f t="shared" si="5"/>
        <v>-61767.90911713717</v>
      </c>
      <c r="C35" s="117">
        <v>-2286</v>
      </c>
      <c r="D35" s="137">
        <v>0.0335</v>
      </c>
      <c r="E35" s="118">
        <f t="shared" si="3"/>
        <v>-172.43541295200794</v>
      </c>
      <c r="F35" s="118">
        <f t="shared" si="4"/>
        <v>-64226.344530089176</v>
      </c>
      <c r="J35" s="132" t="s">
        <v>234</v>
      </c>
    </row>
    <row r="36" spans="1:6" ht="15">
      <c r="A36" s="135">
        <v>39692</v>
      </c>
      <c r="B36" s="119">
        <f t="shared" si="5"/>
        <v>-64226.344530089176</v>
      </c>
      <c r="C36" s="117">
        <v>-2302</v>
      </c>
      <c r="D36" s="137">
        <v>0.0335</v>
      </c>
      <c r="E36" s="118">
        <f t="shared" si="3"/>
        <v>-179.29854514649898</v>
      </c>
      <c r="F36" s="118">
        <f t="shared" si="4"/>
        <v>-66707.64307523567</v>
      </c>
    </row>
    <row r="37" spans="1:6" ht="15">
      <c r="A37" s="135">
        <v>39722</v>
      </c>
      <c r="B37" s="119">
        <f t="shared" si="5"/>
        <v>-66707.64307523567</v>
      </c>
      <c r="C37" s="117">
        <v>-2310</v>
      </c>
      <c r="D37" s="137">
        <v>0.0335</v>
      </c>
      <c r="E37" s="118">
        <f t="shared" si="3"/>
        <v>-186.22550358503293</v>
      </c>
      <c r="F37" s="118">
        <f t="shared" si="4"/>
        <v>-69203.86857882071</v>
      </c>
    </row>
    <row r="38" spans="1:6" ht="15">
      <c r="A38" s="135">
        <v>39753</v>
      </c>
      <c r="B38" s="119">
        <f t="shared" si="5"/>
        <v>-69203.86857882071</v>
      </c>
      <c r="C38" s="117">
        <v>-2314</v>
      </c>
      <c r="D38" s="137">
        <v>0.0335</v>
      </c>
      <c r="E38" s="118">
        <f t="shared" si="3"/>
        <v>-193.19413311587448</v>
      </c>
      <c r="F38" s="118">
        <f t="shared" si="4"/>
        <v>-71711.06271193658</v>
      </c>
    </row>
    <row r="39" spans="1:10" ht="15">
      <c r="A39" s="135">
        <v>39783</v>
      </c>
      <c r="B39" s="119">
        <f t="shared" si="5"/>
        <v>-71711.06271193658</v>
      </c>
      <c r="C39" s="117">
        <v>-2319</v>
      </c>
      <c r="D39" s="137">
        <v>0.0335</v>
      </c>
      <c r="E39" s="118">
        <f t="shared" si="3"/>
        <v>-200.1933834041563</v>
      </c>
      <c r="F39" s="118">
        <f t="shared" si="4"/>
        <v>-74230.25609534074</v>
      </c>
      <c r="J39" s="132" t="s">
        <v>234</v>
      </c>
    </row>
    <row r="40" spans="1:6" ht="15">
      <c r="A40" s="135">
        <v>39814</v>
      </c>
      <c r="B40" s="119">
        <f t="shared" si="5"/>
        <v>-74230.25609534074</v>
      </c>
      <c r="C40" s="117">
        <v>-2322</v>
      </c>
      <c r="D40" s="137">
        <v>0.0245</v>
      </c>
      <c r="E40" s="118">
        <f t="shared" si="3"/>
        <v>-151.55343952798734</v>
      </c>
      <c r="F40" s="118">
        <f t="shared" si="4"/>
        <v>-76703.80953486872</v>
      </c>
    </row>
    <row r="41" spans="1:6" ht="15">
      <c r="A41" s="135">
        <v>39845</v>
      </c>
      <c r="B41" s="119">
        <f t="shared" si="5"/>
        <v>-76703.80953486872</v>
      </c>
      <c r="C41" s="117">
        <v>-2318</v>
      </c>
      <c r="D41" s="137">
        <v>0.0245</v>
      </c>
      <c r="E41" s="118">
        <f t="shared" si="3"/>
        <v>-156.6036111336903</v>
      </c>
      <c r="F41" s="118">
        <f t="shared" si="4"/>
        <v>-79178.41314600241</v>
      </c>
    </row>
    <row r="42" spans="1:6" ht="15">
      <c r="A42" s="135">
        <v>39873</v>
      </c>
      <c r="B42" s="119">
        <f t="shared" si="5"/>
        <v>-79178.41314600241</v>
      </c>
      <c r="C42" s="117">
        <v>-2334</v>
      </c>
      <c r="D42" s="137">
        <v>0.0245</v>
      </c>
      <c r="E42" s="118">
        <f t="shared" si="3"/>
        <v>-161.65592683975493</v>
      </c>
      <c r="F42" s="118">
        <f t="shared" si="4"/>
        <v>-81674.06907284216</v>
      </c>
    </row>
    <row r="43" spans="1:10" ht="15">
      <c r="A43" s="135">
        <v>39904</v>
      </c>
      <c r="B43" s="119">
        <f t="shared" si="5"/>
        <v>-81674.06907284216</v>
      </c>
      <c r="C43" s="117">
        <v>-2324</v>
      </c>
      <c r="D43" s="137">
        <v>0.01</v>
      </c>
      <c r="E43" s="118">
        <f t="shared" si="3"/>
        <v>-68.06172422736847</v>
      </c>
      <c r="F43" s="118">
        <f t="shared" si="4"/>
        <v>-84066.13079706953</v>
      </c>
      <c r="J43" s="132" t="s">
        <v>234</v>
      </c>
    </row>
    <row r="44" spans="1:6" ht="15">
      <c r="A44" s="135">
        <v>39934</v>
      </c>
      <c r="B44" s="119">
        <f t="shared" si="5"/>
        <v>-84066.13079706953</v>
      </c>
      <c r="C44" s="117">
        <v>-2330</v>
      </c>
      <c r="D44" s="137">
        <v>0.01</v>
      </c>
      <c r="E44" s="118">
        <f t="shared" si="3"/>
        <v>-70.05510899755795</v>
      </c>
      <c r="F44" s="118">
        <f t="shared" si="4"/>
        <v>-86466.1859060671</v>
      </c>
    </row>
    <row r="45" spans="1:6" ht="15">
      <c r="A45" s="135">
        <v>39965</v>
      </c>
      <c r="B45" s="119">
        <f t="shared" si="5"/>
        <v>-86466.1859060671</v>
      </c>
      <c r="C45" s="117">
        <v>-2743</v>
      </c>
      <c r="D45" s="137">
        <v>0.01</v>
      </c>
      <c r="E45" s="118">
        <f t="shared" si="3"/>
        <v>-72.05515492172258</v>
      </c>
      <c r="F45" s="118">
        <f t="shared" si="4"/>
        <v>-89281.24106098882</v>
      </c>
    </row>
    <row r="46" spans="1:6" ht="15">
      <c r="A46" s="135">
        <v>39995</v>
      </c>
      <c r="B46" s="119">
        <f t="shared" si="5"/>
        <v>-89281.24106098882</v>
      </c>
      <c r="C46" s="117">
        <v>-9514</v>
      </c>
      <c r="D46" s="137">
        <v>0.0055</v>
      </c>
      <c r="E46" s="118">
        <f t="shared" si="3"/>
        <v>-40.920568819619874</v>
      </c>
      <c r="F46" s="118">
        <f t="shared" si="4"/>
        <v>-98836.16162980844</v>
      </c>
    </row>
    <row r="47" spans="1:10" ht="15">
      <c r="A47" s="135">
        <v>40026</v>
      </c>
      <c r="B47" s="119">
        <f t="shared" si="5"/>
        <v>-98836.16162980844</v>
      </c>
      <c r="C47" s="117">
        <v>-10725</v>
      </c>
      <c r="D47" s="137">
        <v>0.0055</v>
      </c>
      <c r="E47" s="118">
        <f t="shared" si="3"/>
        <v>-45.2999074136622</v>
      </c>
      <c r="F47" s="118">
        <f t="shared" si="4"/>
        <v>-109606.4615372221</v>
      </c>
      <c r="J47" s="132" t="s">
        <v>234</v>
      </c>
    </row>
    <row r="48" spans="1:6" ht="15">
      <c r="A48" s="135">
        <v>40057</v>
      </c>
      <c r="B48" s="119">
        <f t="shared" si="5"/>
        <v>-109606.4615372221</v>
      </c>
      <c r="C48" s="117">
        <v>-10752</v>
      </c>
      <c r="D48" s="137">
        <v>0.0055</v>
      </c>
      <c r="E48" s="118">
        <f t="shared" si="3"/>
        <v>-50.23629487122679</v>
      </c>
      <c r="F48" s="118">
        <f t="shared" si="4"/>
        <v>-120408.69783209333</v>
      </c>
    </row>
    <row r="49" spans="1:6" ht="15">
      <c r="A49" s="135">
        <v>40087</v>
      </c>
      <c r="B49" s="119">
        <f t="shared" si="5"/>
        <v>-120408.69783209333</v>
      </c>
      <c r="C49" s="117">
        <v>-10754</v>
      </c>
      <c r="D49" s="137">
        <v>0.0055</v>
      </c>
      <c r="E49" s="118">
        <f t="shared" si="3"/>
        <v>-55.18731983970944</v>
      </c>
      <c r="F49" s="118">
        <f t="shared" si="4"/>
        <v>-131217.88515193306</v>
      </c>
    </row>
    <row r="50" spans="1:6" ht="15">
      <c r="A50" s="135">
        <v>40118</v>
      </c>
      <c r="B50" s="119">
        <f t="shared" si="5"/>
        <v>-131217.88515193306</v>
      </c>
      <c r="C50" s="117">
        <v>-10780</v>
      </c>
      <c r="D50" s="137">
        <v>0.0055</v>
      </c>
      <c r="E50" s="118">
        <f t="shared" si="3"/>
        <v>-60.14153069463598</v>
      </c>
      <c r="F50" s="118">
        <f t="shared" si="4"/>
        <v>-142058.0266826277</v>
      </c>
    </row>
    <row r="51" spans="1:10" ht="15">
      <c r="A51" s="135">
        <v>40148</v>
      </c>
      <c r="B51" s="119">
        <f t="shared" si="5"/>
        <v>-142058.0266826277</v>
      </c>
      <c r="C51" s="117">
        <v>-10780</v>
      </c>
      <c r="D51" s="137">
        <v>0.0055</v>
      </c>
      <c r="E51" s="118">
        <f t="shared" si="3"/>
        <v>-65.10992889620437</v>
      </c>
      <c r="F51" s="118">
        <f t="shared" si="4"/>
        <v>-152903.13661152392</v>
      </c>
      <c r="J51" s="132" t="s">
        <v>234</v>
      </c>
    </row>
    <row r="52" spans="1:6" ht="15">
      <c r="A52" s="135">
        <v>40179</v>
      </c>
      <c r="B52" s="119">
        <f t="shared" si="5"/>
        <v>-152903.13661152392</v>
      </c>
      <c r="C52" s="117">
        <v>-10789</v>
      </c>
      <c r="D52" s="137">
        <v>0.0055</v>
      </c>
      <c r="E52" s="118">
        <f t="shared" si="3"/>
        <v>-70.08060428028179</v>
      </c>
      <c r="F52" s="118">
        <f t="shared" si="4"/>
        <v>-163762.2172158042</v>
      </c>
    </row>
    <row r="53" spans="1:6" ht="15">
      <c r="A53" s="135">
        <v>40210</v>
      </c>
      <c r="B53" s="119">
        <f t="shared" si="5"/>
        <v>-163762.2172158042</v>
      </c>
      <c r="C53" s="117">
        <v>-10790</v>
      </c>
      <c r="D53" s="137">
        <v>0.0055</v>
      </c>
      <c r="E53" s="118">
        <f t="shared" si="3"/>
        <v>-75.05768289057693</v>
      </c>
      <c r="F53" s="118">
        <f t="shared" si="4"/>
        <v>-174627.2748986948</v>
      </c>
    </row>
    <row r="54" spans="1:6" ht="15">
      <c r="A54" s="135">
        <v>40238</v>
      </c>
      <c r="B54" s="119">
        <f t="shared" si="5"/>
        <v>-174627.2748986948</v>
      </c>
      <c r="C54" s="117">
        <v>-10781</v>
      </c>
      <c r="D54" s="137">
        <v>0.0055</v>
      </c>
      <c r="E54" s="118">
        <f t="shared" si="3"/>
        <v>-80.0375009952351</v>
      </c>
      <c r="F54" s="118">
        <f t="shared" si="4"/>
        <v>-185488.31239969004</v>
      </c>
    </row>
    <row r="55" spans="1:10" ht="15">
      <c r="A55" s="135">
        <v>40269</v>
      </c>
      <c r="B55" s="119">
        <f t="shared" si="5"/>
        <v>-185488.31239969004</v>
      </c>
      <c r="C55" s="117">
        <v>-10791</v>
      </c>
      <c r="D55" s="137">
        <v>0.0055</v>
      </c>
      <c r="E55" s="118">
        <f t="shared" si="3"/>
        <v>-85.0154765165246</v>
      </c>
      <c r="F55" s="118">
        <f t="shared" si="4"/>
        <v>-196364.32787620657</v>
      </c>
      <c r="J55" s="132" t="s">
        <v>234</v>
      </c>
    </row>
    <row r="56" spans="1:6" ht="15">
      <c r="A56" s="135">
        <v>40299</v>
      </c>
      <c r="B56" s="119">
        <f t="shared" si="5"/>
        <v>-196364.32787620657</v>
      </c>
      <c r="C56" s="117">
        <v>-11371</v>
      </c>
      <c r="D56" s="137">
        <v>0.0055</v>
      </c>
      <c r="E56" s="118">
        <f t="shared" si="3"/>
        <v>-90.00031694326134</v>
      </c>
      <c r="F56" s="118">
        <f t="shared" si="4"/>
        <v>-207825.32819314985</v>
      </c>
    </row>
    <row r="57" spans="1:6" ht="15">
      <c r="A57" s="135">
        <v>40330</v>
      </c>
      <c r="B57" s="119">
        <f t="shared" si="5"/>
        <v>-207825.32819314985</v>
      </c>
      <c r="C57" s="117">
        <v>-17700</v>
      </c>
      <c r="D57" s="137">
        <v>0.0055</v>
      </c>
      <c r="E57" s="118">
        <f t="shared" si="3"/>
        <v>-95.25327542186034</v>
      </c>
      <c r="F57" s="118">
        <f t="shared" si="4"/>
        <v>-225620.5814685717</v>
      </c>
    </row>
    <row r="58" spans="1:6" ht="15">
      <c r="A58" s="135">
        <v>40360</v>
      </c>
      <c r="B58" s="119">
        <f t="shared" si="5"/>
        <v>-225620.5814685717</v>
      </c>
      <c r="C58" s="117">
        <v>-18830</v>
      </c>
      <c r="D58" s="137">
        <v>0.0089</v>
      </c>
      <c r="E58" s="118">
        <f t="shared" si="3"/>
        <v>-167.33526458919067</v>
      </c>
      <c r="F58" s="118">
        <f t="shared" si="4"/>
        <v>-244617.9167331609</v>
      </c>
    </row>
    <row r="59" spans="1:6" ht="15">
      <c r="A59" s="135">
        <v>40391</v>
      </c>
      <c r="B59" s="119">
        <f t="shared" si="5"/>
        <v>-244617.9167331609</v>
      </c>
      <c r="C59" s="117">
        <v>-18828</v>
      </c>
      <c r="D59" s="137">
        <v>0.0089</v>
      </c>
      <c r="E59" s="118">
        <f t="shared" si="3"/>
        <v>-181.4249549104277</v>
      </c>
      <c r="F59" s="118">
        <f t="shared" si="4"/>
        <v>-263627.3416880713</v>
      </c>
    </row>
    <row r="60" spans="1:6" ht="15">
      <c r="A60" s="135">
        <v>40422</v>
      </c>
      <c r="B60" s="119">
        <f t="shared" si="5"/>
        <v>-263627.3416880713</v>
      </c>
      <c r="C60" s="117">
        <v>-18830</v>
      </c>
      <c r="D60" s="137">
        <v>0.0089</v>
      </c>
      <c r="E60" s="118">
        <f t="shared" si="3"/>
        <v>-195.5236117519862</v>
      </c>
      <c r="F60" s="118">
        <f t="shared" si="4"/>
        <v>-282652.8652998233</v>
      </c>
    </row>
    <row r="61" spans="1:6" ht="15">
      <c r="A61" s="135">
        <v>40452</v>
      </c>
      <c r="B61" s="119">
        <f t="shared" si="5"/>
        <v>-282652.8652998233</v>
      </c>
      <c r="C61" s="117">
        <v>0</v>
      </c>
      <c r="D61" s="137">
        <v>0.0089</v>
      </c>
      <c r="E61" s="118">
        <f t="shared" si="3"/>
        <v>-209.63420843070227</v>
      </c>
      <c r="F61" s="118">
        <f t="shared" si="4"/>
        <v>-282862.499508254</v>
      </c>
    </row>
    <row r="62" spans="1:6" ht="15">
      <c r="A62" s="135">
        <v>40483</v>
      </c>
      <c r="B62" s="119">
        <f t="shared" si="5"/>
        <v>-282862.499508254</v>
      </c>
      <c r="C62" s="117">
        <v>0</v>
      </c>
      <c r="D62" s="137">
        <v>0.0089</v>
      </c>
      <c r="E62" s="118">
        <f t="shared" si="3"/>
        <v>-209.7896871352884</v>
      </c>
      <c r="F62" s="118">
        <f t="shared" si="4"/>
        <v>-283072.2891953893</v>
      </c>
    </row>
    <row r="63" spans="1:6" ht="15">
      <c r="A63" s="135">
        <v>40513</v>
      </c>
      <c r="B63" s="119">
        <f t="shared" si="5"/>
        <v>-283072.2891953893</v>
      </c>
      <c r="C63" s="117">
        <v>0</v>
      </c>
      <c r="D63" s="137">
        <v>0.0089</v>
      </c>
      <c r="E63" s="118">
        <f t="shared" si="3"/>
        <v>-209.94528115324707</v>
      </c>
      <c r="F63" s="118">
        <f t="shared" si="4"/>
        <v>-283282.23447654257</v>
      </c>
    </row>
    <row r="64" spans="1:6" ht="15">
      <c r="A64" s="135">
        <v>40544</v>
      </c>
      <c r="B64" s="119">
        <f t="shared" si="5"/>
        <v>-283282.23447654257</v>
      </c>
      <c r="C64" s="117">
        <v>0</v>
      </c>
      <c r="D64" s="137">
        <v>0.0089</v>
      </c>
      <c r="E64" s="118">
        <f t="shared" si="3"/>
        <v>-210.10099057010243</v>
      </c>
      <c r="F64" s="118">
        <f t="shared" si="4"/>
        <v>-283492.33546711266</v>
      </c>
    </row>
    <row r="65" spans="1:6" ht="15">
      <c r="A65" s="135">
        <v>40575</v>
      </c>
      <c r="B65" s="119">
        <f t="shared" si="5"/>
        <v>-283492.33546711266</v>
      </c>
      <c r="C65" s="117">
        <v>0</v>
      </c>
      <c r="D65" s="137">
        <v>0.0089</v>
      </c>
      <c r="E65" s="118">
        <f t="shared" si="3"/>
        <v>-210.25681547144188</v>
      </c>
      <c r="F65" s="118">
        <f t="shared" si="4"/>
        <v>-283702.5922825841</v>
      </c>
    </row>
    <row r="66" spans="1:6" ht="15">
      <c r="A66" s="135">
        <v>40603</v>
      </c>
      <c r="B66" s="119">
        <f t="shared" si="5"/>
        <v>-283702.5922825841</v>
      </c>
      <c r="C66" s="117">
        <v>0</v>
      </c>
      <c r="D66" s="137">
        <v>0.0089</v>
      </c>
      <c r="E66" s="118">
        <f t="shared" si="3"/>
        <v>-210.41275594291653</v>
      </c>
      <c r="F66" s="118">
        <f t="shared" si="4"/>
        <v>-283913.005038527</v>
      </c>
    </row>
    <row r="67" spans="1:6" ht="15">
      <c r="A67" s="135">
        <v>40634</v>
      </c>
      <c r="B67" s="119">
        <f t="shared" si="5"/>
        <v>-283913.005038527</v>
      </c>
      <c r="C67" s="117">
        <v>0</v>
      </c>
      <c r="D67" s="137">
        <v>0.0089</v>
      </c>
      <c r="E67" s="118">
        <f t="shared" si="3"/>
        <v>-210.56881207024085</v>
      </c>
      <c r="F67" s="118">
        <f t="shared" si="4"/>
        <v>-284123.57385059725</v>
      </c>
    </row>
    <row r="68" spans="1:6" ht="15">
      <c r="A68" s="135">
        <v>40664</v>
      </c>
      <c r="B68" s="119">
        <f t="shared" si="5"/>
        <v>-284123.57385059725</v>
      </c>
      <c r="C68" s="117">
        <v>0</v>
      </c>
      <c r="D68" s="137"/>
      <c r="E68" s="118">
        <f t="shared" si="3"/>
        <v>0</v>
      </c>
      <c r="F68" s="118">
        <f t="shared" si="4"/>
        <v>-284123.57385059725</v>
      </c>
    </row>
    <row r="69" spans="1:6" ht="15">
      <c r="A69" s="135">
        <v>40695</v>
      </c>
      <c r="B69" s="119">
        <f t="shared" si="5"/>
        <v>-284123.57385059725</v>
      </c>
      <c r="C69" s="117">
        <v>0</v>
      </c>
      <c r="D69" s="137"/>
      <c r="E69" s="118">
        <f t="shared" si="3"/>
        <v>0</v>
      </c>
      <c r="F69" s="118">
        <f t="shared" si="4"/>
        <v>-284123.57385059725</v>
      </c>
    </row>
    <row r="70" spans="1:6" ht="15">
      <c r="A70" s="135">
        <v>40725</v>
      </c>
      <c r="B70" s="119">
        <f t="shared" si="5"/>
        <v>-284123.57385059725</v>
      </c>
      <c r="C70" s="117">
        <v>0</v>
      </c>
      <c r="D70" s="137"/>
      <c r="E70" s="118">
        <f t="shared" si="3"/>
        <v>0</v>
      </c>
      <c r="F70" s="118">
        <f t="shared" si="4"/>
        <v>-284123.57385059725</v>
      </c>
    </row>
    <row r="71" spans="1:6" ht="15">
      <c r="A71" s="135">
        <v>40756</v>
      </c>
      <c r="B71" s="119">
        <f t="shared" si="5"/>
        <v>-284123.57385059725</v>
      </c>
      <c r="C71" s="117">
        <v>0</v>
      </c>
      <c r="D71" s="137"/>
      <c r="E71" s="118">
        <f t="shared" si="3"/>
        <v>0</v>
      </c>
      <c r="F71" s="118">
        <f t="shared" si="4"/>
        <v>-284123.57385059725</v>
      </c>
    </row>
    <row r="72" spans="1:6" ht="15">
      <c r="A72" s="135">
        <v>40787</v>
      </c>
      <c r="B72" s="119">
        <f t="shared" si="5"/>
        <v>-284123.57385059725</v>
      </c>
      <c r="C72" s="117">
        <v>0</v>
      </c>
      <c r="D72" s="137"/>
      <c r="E72" s="118">
        <f t="shared" si="3"/>
        <v>0</v>
      </c>
      <c r="F72" s="118">
        <f t="shared" si="4"/>
        <v>-284123.57385059725</v>
      </c>
    </row>
    <row r="73" spans="1:6" ht="15">
      <c r="A73" s="135">
        <v>40817</v>
      </c>
      <c r="B73" s="119">
        <f t="shared" si="5"/>
        <v>-284123.57385059725</v>
      </c>
      <c r="C73" s="117">
        <v>0</v>
      </c>
      <c r="D73" s="137"/>
      <c r="E73" s="118">
        <f t="shared" si="3"/>
        <v>0</v>
      </c>
      <c r="F73" s="118">
        <f t="shared" si="4"/>
        <v>-284123.57385059725</v>
      </c>
    </row>
    <row r="74" spans="1:6" ht="15">
      <c r="A74" s="135">
        <v>40848</v>
      </c>
      <c r="B74" s="119">
        <f t="shared" si="5"/>
        <v>-284123.57385059725</v>
      </c>
      <c r="C74" s="117">
        <v>0</v>
      </c>
      <c r="D74" s="137"/>
      <c r="E74" s="118">
        <f t="shared" si="3"/>
        <v>0</v>
      </c>
      <c r="F74" s="118">
        <f t="shared" si="4"/>
        <v>-284123.57385059725</v>
      </c>
    </row>
    <row r="75" spans="1:6" ht="15">
      <c r="A75" s="135">
        <v>40878</v>
      </c>
      <c r="B75" s="119">
        <f t="shared" si="5"/>
        <v>-284123.57385059725</v>
      </c>
      <c r="C75" s="117">
        <v>0</v>
      </c>
      <c r="D75" s="137"/>
      <c r="E75" s="118">
        <f t="shared" si="3"/>
        <v>0</v>
      </c>
      <c r="F75" s="118">
        <f t="shared" si="4"/>
        <v>-284123.57385059725</v>
      </c>
    </row>
    <row r="76" spans="1:6" ht="15">
      <c r="A76" s="135">
        <v>40909</v>
      </c>
      <c r="B76" s="119">
        <f t="shared" si="5"/>
        <v>-284123.57385059725</v>
      </c>
      <c r="C76" s="117">
        <v>0</v>
      </c>
      <c r="D76" s="137"/>
      <c r="E76" s="118">
        <f t="shared" si="3"/>
        <v>0</v>
      </c>
      <c r="F76" s="118">
        <f t="shared" si="4"/>
        <v>-284123.57385059725</v>
      </c>
    </row>
    <row r="77" spans="1:6" ht="15">
      <c r="A77" s="135">
        <v>40940</v>
      </c>
      <c r="B77" s="119">
        <f t="shared" si="5"/>
        <v>-284123.57385059725</v>
      </c>
      <c r="C77" s="117">
        <v>0</v>
      </c>
      <c r="D77" s="137"/>
      <c r="E77" s="118">
        <f t="shared" si="3"/>
        <v>0</v>
      </c>
      <c r="F77" s="118">
        <f t="shared" si="4"/>
        <v>-284123.57385059725</v>
      </c>
    </row>
    <row r="78" spans="1:6" ht="15">
      <c r="A78" s="135">
        <v>40969</v>
      </c>
      <c r="B78" s="119">
        <f t="shared" si="5"/>
        <v>-284123.57385059725</v>
      </c>
      <c r="C78" s="117">
        <v>0</v>
      </c>
      <c r="D78" s="137"/>
      <c r="E78" s="118">
        <f t="shared" si="3"/>
        <v>0</v>
      </c>
      <c r="F78" s="118">
        <f t="shared" si="4"/>
        <v>-284123.57385059725</v>
      </c>
    </row>
    <row r="79" spans="1:6" ht="15">
      <c r="A79" s="135">
        <v>41000</v>
      </c>
      <c r="B79" s="119">
        <f t="shared" si="5"/>
        <v>-284123.57385059725</v>
      </c>
      <c r="C79" s="117">
        <v>0</v>
      </c>
      <c r="D79" s="137"/>
      <c r="E79" s="118">
        <f t="shared" si="3"/>
        <v>0</v>
      </c>
      <c r="F79" s="118">
        <f t="shared" si="4"/>
        <v>-284123.57385059725</v>
      </c>
    </row>
    <row r="80" spans="1:6" ht="15">
      <c r="A80" s="135">
        <v>41030</v>
      </c>
      <c r="B80" s="119">
        <f t="shared" si="5"/>
        <v>-284123.57385059725</v>
      </c>
      <c r="C80" s="117">
        <v>0</v>
      </c>
      <c r="D80" s="137"/>
      <c r="E80" s="118">
        <f t="shared" si="3"/>
        <v>0</v>
      </c>
      <c r="F80" s="118">
        <f t="shared" si="4"/>
        <v>-284123.57385059725</v>
      </c>
    </row>
    <row r="81" spans="3:6" ht="15.75" thickBot="1">
      <c r="C81" s="126">
        <f>SUM(C4:C80)</f>
        <v>-276799</v>
      </c>
      <c r="E81" s="126">
        <f>SUM(E4:E80)</f>
        <v>-7324.573850597165</v>
      </c>
      <c r="F81" s="58"/>
    </row>
  </sheetData>
  <sheetProtection/>
  <printOptions/>
  <pageMargins left="0.75" right="0.75" top="1" bottom="1" header="0.5" footer="0.5"/>
  <pageSetup fitToHeight="1" fitToWidth="1" horizontalDpi="600" verticalDpi="600" orientation="portrait" scale="4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1"/>
  <sheetViews>
    <sheetView workbookViewId="0" topLeftCell="A1">
      <selection activeCell="C20" sqref="C2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259</v>
      </c>
    </row>
    <row r="4" spans="2:3" ht="12.75">
      <c r="B4" s="127" t="s">
        <v>268</v>
      </c>
      <c r="C4" s="127" t="s">
        <v>267</v>
      </c>
    </row>
    <row r="5" spans="2:3" ht="12.75">
      <c r="B5" s="128" t="s">
        <v>260</v>
      </c>
      <c r="C5" s="129">
        <f>'4. Smart Meter Rev Req'!E55</f>
        <v>0</v>
      </c>
    </row>
    <row r="6" spans="2:3" ht="12.75">
      <c r="B6" s="128" t="s">
        <v>261</v>
      </c>
      <c r="C6" s="129">
        <f>'4. Smart Meter Rev Req'!H55</f>
        <v>1886.9480922793036</v>
      </c>
    </row>
    <row r="7" spans="2:3" ht="12.75">
      <c r="B7" s="128" t="s">
        <v>262</v>
      </c>
      <c r="C7" s="129">
        <f>'4. Smart Meter Rev Req'!K55</f>
        <v>14041.77328380714</v>
      </c>
    </row>
    <row r="8" spans="2:3" ht="12.75">
      <c r="B8" s="128" t="s">
        <v>263</v>
      </c>
      <c r="C8" s="129">
        <f>'4. Smart Meter Rev Req'!N55</f>
        <v>226082.66058581023</v>
      </c>
    </row>
    <row r="9" spans="2:3" ht="12.75">
      <c r="B9" s="128" t="s">
        <v>264</v>
      </c>
      <c r="C9" s="129">
        <f>'4. Smart Meter Rev Req'!Q55</f>
        <v>400519.6451896193</v>
      </c>
    </row>
    <row r="10" spans="2:3" ht="12.75">
      <c r="B10" s="128" t="s">
        <v>265</v>
      </c>
      <c r="C10" s="129">
        <f>'4. Smart Meter Rev Req'!T55</f>
        <v>547289.6337040148</v>
      </c>
    </row>
    <row r="11" spans="2:3" ht="13.5" thickBot="1">
      <c r="B11" s="7" t="s">
        <v>266</v>
      </c>
      <c r="C11" s="130">
        <f>SUM(C5:C10)</f>
        <v>1189820.6608555308</v>
      </c>
    </row>
    <row r="13" spans="2:3" ht="12.75">
      <c r="B13" s="7" t="s">
        <v>269</v>
      </c>
      <c r="C13" s="131">
        <f>-'7. Funding Adder Collected'!C81</f>
        <v>276799</v>
      </c>
    </row>
    <row r="14" spans="2:3" ht="12.75">
      <c r="B14" s="7" t="s">
        <v>270</v>
      </c>
      <c r="C14" s="131">
        <f>-'7. Funding Adder Collected'!E81</f>
        <v>7324.573850597165</v>
      </c>
    </row>
    <row r="16" spans="2:3" ht="13.5" thickBot="1">
      <c r="B16" s="7" t="s">
        <v>271</v>
      </c>
      <c r="C16" s="130">
        <f>+C11-C13-C14</f>
        <v>905697.0870049336</v>
      </c>
    </row>
    <row r="18" spans="2:3" ht="12.75">
      <c r="B18" s="7" t="s">
        <v>273</v>
      </c>
      <c r="C18" s="37">
        <v>9412</v>
      </c>
    </row>
    <row r="20" spans="2:3" ht="12.75">
      <c r="B20" s="127" t="s">
        <v>274</v>
      </c>
      <c r="C20" s="138">
        <f>IF(C18&lt;&gt;0,C16/C18/24,0)</f>
        <v>4.009496241522053</v>
      </c>
    </row>
    <row r="21" ht="12.75">
      <c r="B21" s="7" t="s">
        <v>285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serraoje</cp:lastModifiedBy>
  <cp:lastPrinted>2010-11-29T21:21:20Z</cp:lastPrinted>
  <dcterms:created xsi:type="dcterms:W3CDTF">2007-08-13T15:48:29Z</dcterms:created>
  <dcterms:modified xsi:type="dcterms:W3CDTF">2010-12-29T19:20:10Z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