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True-up'!$A$1:$F$76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<sst xmlns="http://schemas.openxmlformats.org/spreadsheetml/2006/main" count="885" uniqueCount="515">
  <si>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</si>
  <si>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</si>
  <si>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</si>
  <si>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</si>
  <si>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</si>
  <si>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</si>
  <si>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</si>
  <si>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</si>
  <si>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</si>
  <si>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</si>
  <si>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</si>
  <si>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</si>
  <si>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</si>
  <si>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</si>
  <si>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</si>
  <si>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</si>
  <si>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</si>
  <si>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</si>
  <si>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</si>
  <si>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</si>
  <si>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</si>
  <si>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</si>
  <si>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</si>
  <si>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</si>
  <si>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</si>
  <si>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</si>
  <si>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</si>
  <si>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</si>
  <si>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</si>
  <si>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</si>
  <si>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</si>
  <si>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</si>
  <si>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</si>
  <si>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</si>
  <si>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</si>
  <si>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</si>
  <si>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</si>
  <si>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</si>
  <si>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</si>
  <si>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</si>
  <si>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</si>
  <si>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</si>
  <si>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</si>
  <si>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</si>
  <si>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</si>
  <si>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</si>
  <si>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</si>
  <si>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</si>
  <si>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</si>
  <si>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</si>
  <si>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</si>
  <si>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</si>
  <si>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</si>
  <si>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</si>
  <si>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</si>
  <si>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</si>
  <si>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</si>
  <si>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</si>
  <si>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</si>
  <si>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</si>
  <si>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</si>
  <si>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</si>
  <si>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</si>
  <si>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</si>
  <si>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</si>
  <si>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</si>
  <si>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</si>
  <si>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</si>
  <si>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</si>
  <si>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</si>
  <si>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</si>
  <si>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</si>
  <si>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</si>
  <si>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</si>
  <si>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</si>
  <si>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</si>
  <si>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</si>
  <si>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</si>
  <si>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</si>
  <si>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</si>
  <si>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</si>
  <si>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</si>
  <si>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</si>
  <si>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</si>
  <si>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</si>
  <si>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</si>
  <si>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</si>
  <si>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</si>
  <si>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</si>
  <si>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</si>
  <si>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</si>
  <si>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</si>
  <si>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</si>
  <si>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</si>
  <si>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</si>
  <si>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</si>
  <si>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</si>
  <si>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</si>
  <si>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</si>
  <si>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</si>
  <si>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</si>
  <si>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</si>
  <si>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</si>
  <si>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</si>
  <si>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</si>
  <si>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</si>
  <si>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</si>
  <si>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</si>
  <si>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</si>
  <si>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</si>
  <si>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</si>
  <si>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</si>
  <si>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</si>
  <si>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</si>
  <si>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</si>
  <si>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</si>
  <si>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</si>
  <si>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</si>
  <si>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</si>
  <si>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</si>
  <si>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</si>
  <si>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</si>
  <si>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</si>
  <si>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</si>
  <si>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</si>
  <si>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</si>
  <si>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</si>
  <si>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</si>
  <si>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</si>
  <si>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</si>
  <si>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</si>
  <si>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</si>
  <si>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</si>
  <si>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</si>
  <si>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</si>
  <si>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</si>
  <si>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</si>
  <si>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</si>
  <si>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</si>
  <si>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</si>
  <si>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</si>
  <si>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</si>
  <si>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</si>
  <si>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</si>
  <si>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</si>
  <si>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</si>
  <si>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</si>
  <si>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</si>
  <si>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</si>
  <si>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</si>
  <si>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</si>
  <si>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</si>
  <si>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</si>
  <si>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</si>
  <si>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</si>
  <si>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</si>
  <si>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</si>
  <si>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</si>
  <si>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</si>
  <si>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</si>
  <si>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</si>
  <si>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</si>
  <si>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</si>
  <si>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</si>
  <si>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</si>
  <si>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</si>
  <si>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</si>
  <si>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</si>
  <si>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</si>
  <si>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</si>
  <si>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</si>
  <si>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</si>
  <si>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</si>
  <si>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</si>
  <si>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</si>
  <si>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</si>
  <si>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</si>
  <si>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</si>
  <si>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</si>
  <si>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</si>
  <si>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</si>
  <si>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</si>
  <si>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</si>
  <si>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</si>
  <si>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</si>
  <si>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</si>
  <si>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</si>
  <si>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</si>
  <si>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</si>
  <si>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</si>
  <si>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</si>
  <si>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</si>
  <si>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</si>
  <si>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</si>
  <si>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</si>
  <si>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</si>
  <si>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</si>
  <si>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</si>
  <si>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</si>
  <si>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</si>
  <si>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</si>
  <si>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</si>
  <si>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</si>
  <si>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</si>
  <si>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</si>
  <si>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</si>
  <si>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</si>
  <si>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</si>
  <si>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</si>
  <si>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</si>
  <si>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</si>
  <si>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</si>
  <si>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</si>
  <si>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</si>
  <si>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</si>
  <si>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</si>
  <si>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</si>
  <si>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</si>
  <si>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</si>
  <si>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</si>
  <si>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</si>
  <si>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</si>
  <si>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</si>
  <si>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</si>
  <si>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</si>
  <si>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</si>
  <si>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</si>
  <si>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</si>
  <si>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</si>
  <si>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</si>
  <si>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</si>
  <si>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</si>
  <si>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</si>
  <si>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</si>
  <si>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</si>
  <si>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</si>
  <si>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</si>
  <si>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</si>
  <si>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</si>
  <si>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</si>
  <si>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</si>
  <si>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</si>
  <si>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</si>
  <si>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</si>
  <si>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</si>
  <si>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</si>
  <si>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</si>
  <si>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</si>
  <si>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</si>
  <si>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</si>
  <si>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</si>
  <si>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</si>
  <si>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</si>
  <si>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</si>
  <si>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</si>
  <si>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</si>
  <si>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</si>
  <si>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</si>
  <si>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</si>
  <si>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</si>
  <si>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</si>
  <si>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</si>
  <si>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</si>
  <si>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</si>
  <si>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</si>
  <si>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</si>
  <si>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</si>
  <si>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</si>
  <si>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</si>
  <si>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</si>
  <si>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</si>
  <si>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</si>
  <si>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</si>
  <si>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</si>
  <si>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</si>
  <si>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</si>
  <si>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</si>
  <si>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</si>
  <si>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</si>
  <si>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</si>
  <si>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</si>
  <si>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</si>
  <si>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</si>
  <si>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</si>
  <si>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</si>
  <si>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</si>
  <si>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</si>
  <si>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</si>
  <si>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</si>
  <si>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</si>
  <si>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</si>
  <si>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</si>
  <si>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</si>
  <si>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</si>
  <si>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</si>
  <si>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</si>
  <si>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</si>
  <si>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</si>
  <si>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</si>
  <si>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</si>
  <si>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</si>
  <si>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</si>
  <si>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</si>
  <si>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</si>
  <si>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</si>
  <si>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</si>
  <si>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</si>
  <si>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</si>
  <si>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</si>
  <si>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</si>
  <si>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</si>
  <si>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</si>
  <si>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</si>
  <si>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</si>
  <si>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</si>
  <si>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</si>
  <si>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</si>
  <si>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</si>
  <si>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</si>
  <si>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</si>
  <si>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</si>
  <si>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</si>
  <si>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</si>
  <si>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</si>
  <si>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</si>
  <si>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</si>
  <si>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</si>
  <si>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</si>
  <si>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</si>
  <si>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</si>
  <si>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</si>
  <si>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</si>
  <si>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</si>
  <si>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</si>
  <si>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</si>
  <si>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</si>
  <si>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</si>
  <si>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</si>
  <si>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</si>
  <si>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</si>
  <si>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</si>
  <si>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</si>
  <si>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</si>
  <si>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</si>
  <si>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</si>
  <si>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</si>
  <si>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</si>
  <si>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</si>
  <si>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</si>
  <si>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</si>
  <si>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</si>
  <si>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</si>
  <si>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</si>
  <si>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</si>
  <si>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</si>
  <si>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</si>
  <si>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</si>
  <si>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</si>
  <si>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</si>
  <si>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</si>
  <si>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</si>
  <si>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</si>
  <si>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</si>
  <si>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</si>
  <si>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</si>
  <si>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</si>
  <si>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</si>
  <si>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</si>
  <si>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</si>
  <si>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</si>
  <si>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</si>
  <si>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</si>
  <si>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</si>
  <si>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</si>
  <si>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</si>
  <si>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</si>
  <si>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</si>
  <si>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</si>
  <si>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</si>
  <si>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</si>
  <si>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</si>
  <si>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</si>
  <si>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</si>
  <si>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</si>
  <si>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</si>
  <si>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</si>
  <si>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</si>
  <si>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</si>
  <si>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</si>
  <si>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</si>
  <si>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</si>
  <si>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</si>
  <si>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</si>
  <si>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</si>
  <si>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</si>
  <si>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</si>
  <si>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</si>
  <si>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</si>
  <si>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</si>
  <si>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</si>
  <si>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</si>
  <si>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</si>
  <si>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</si>
  <si>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</si>
  <si>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</si>
  <si>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</si>
  <si>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</si>
  <si>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</si>
  <si>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</si>
  <si>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</si>
  <si>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</si>
  <si>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</si>
  <si>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</si>
  <si>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</si>
  <si>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</si>
  <si>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</si>
  <si>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</si>
  <si>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</si>
  <si>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</si>
  <si>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</si>
  <si>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</si>
  <si>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</si>
  <si>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</si>
  <si>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</si>
  <si>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</si>
  <si>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</si>
  <si>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</si>
  <si>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</si>
  <si>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</si>
  <si>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</si>
  <si>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</si>
  <si>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</si>
  <si>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</si>
  <si>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</si>
  <si>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</si>
  <si>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</si>
  <si>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</si>
  <si>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</si>
  <si>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</si>
  <si>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</si>
  <si>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</si>
  <si>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</si>
  <si>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</si>
  <si>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</si>
  <si>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</si>
  <si>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</si>
  <si>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</si>
  <si>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</si>
  <si>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</si>
  <si>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</si>
  <si>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</si>
  <si>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</si>
  <si>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</si>
  <si>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</si>
  <si>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</si>
  <si>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</si>
  <si>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</si>
  <si>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</si>
  <si>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</si>
  <si>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</si>
  <si>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</si>
  <si>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</si>
  <si>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</si>
  <si>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</si>
  <si>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</si>
  <si>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</si>
  <si>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</si>
  <si>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</si>
  <si>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</si>
  <si>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</si>
  <si>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</si>
  <si>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</si>
  <si>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</si>
  <si>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</si>
  <si>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</si>
  <si>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</si>
  <si>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</si>
  <si>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</si>
  <si>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</si>
  <si>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</si>
  <si>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</si>
  <si>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</si>
  <si>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</si>
  <si>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</si>
  <si>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</si>
  <si>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</si>
  <si>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</si>
  <si>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</si>
  <si>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</si>
  <si>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</si>
  <si>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</si>
  <si>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</si>
  <si>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</si>
  <si>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</si>
  <si>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</si>
  <si>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</si>
  <si>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</si>
  <si>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Utility Name: Hydro One Brampton Networks Inc.</t>
  </si>
  <si>
    <t>PILs TAXES - EB-2010-</t>
  </si>
  <si>
    <t>Legal Claim</t>
  </si>
  <si>
    <t>Depreciation expensed via OM&amp;A</t>
  </si>
  <si>
    <t>Amortization of debt discount</t>
  </si>
  <si>
    <t>Capital items expensed - Computer equipment expensed for book</t>
  </si>
  <si>
    <t>Ontario specified tax credits</t>
  </si>
  <si>
    <t>Prospectus &amp; underwriting fees</t>
  </si>
  <si>
    <t>Total deemed interest  (REGINFO CELL D62)</t>
  </si>
  <si>
    <t>RSVA</t>
  </si>
  <si>
    <t>Income not earned on movement of Regulatory A/Cs</t>
  </si>
  <si>
    <t>OPEB Amounts Capitalized</t>
  </si>
  <si>
    <t xml:space="preserve">  Charitable donations</t>
  </si>
  <si>
    <t>Regulatory assets contra</t>
  </si>
  <si>
    <t xml:space="preserve">Partnership income </t>
  </si>
  <si>
    <t>Interest phased-in  (Cell C37)</t>
  </si>
  <si>
    <t xml:space="preserve">Interest deducted on MoF filing  (Cell G37+G42) </t>
  </si>
  <si>
    <t>Bill 4 deferred revenue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</si>
</sst>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9" fontId="0" fillId="44" borderId="0" xfId="0" applyNumberFormat="1" applyFill="1" applyAlignment="1">
      <alignment horizontal="center" vertical="top"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10" fontId="0" fillId="44" borderId="51" xfId="0" applyNumberFormat="1" applyFill="1" applyBorder="1" applyAlignment="1" applyProtection="1">
      <alignment horizontal="center" vertical="top"/>
      <protection locked="0"/>
    </xf>
    <xf numFmtId="10" fontId="0" fillId="44" borderId="10" xfId="0" applyNumberFormat="1" applyFill="1" applyBorder="1" applyAlignment="1" applyProtection="1">
      <alignment horizontal="center" vertical="top"/>
      <protection locked="0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top"/>
    </xf>
    <xf numFmtId="0" fontId="0" fillId="45" borderId="0" xfId="0" applyFont="1" applyFill="1" applyAlignment="1">
      <alignment vertical="top" wrapText="1"/>
    </xf>
    <xf numFmtId="3" fontId="0" fillId="32" borderId="14" xfId="0" applyNumberFormat="1" applyFill="1" applyBorder="1" applyAlignment="1" applyProtection="1">
      <alignment/>
      <protection/>
    </xf>
    <xf numFmtId="0" fontId="0" fillId="0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3" fontId="0" fillId="0" borderId="0" xfId="42" applyNumberFormat="1" applyFont="1" applyFill="1" applyBorder="1" applyAlignment="1" applyProtection="1">
      <alignment vertical="top"/>
      <protection locked="0"/>
    </xf>
    <xf numFmtId="37" fontId="0" fillId="0" borderId="14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45">
      <selection activeCell="B6" sqref="B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498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49" t="s">
        <v>445</v>
      </c>
      <c r="E3" s="8"/>
      <c r="F3" s="8"/>
      <c r="G3" s="8"/>
      <c r="H3" s="8"/>
    </row>
    <row r="4" spans="1:8" ht="12.75">
      <c r="A4" s="2" t="s">
        <v>484</v>
      </c>
      <c r="C4" s="8"/>
      <c r="D4" s="448" t="s">
        <v>440</v>
      </c>
      <c r="E4" s="422"/>
      <c r="H4" s="8"/>
    </row>
    <row r="5" spans="1:8" ht="12.75">
      <c r="A5" s="52"/>
      <c r="C5" s="8"/>
      <c r="D5" s="447" t="s">
        <v>441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0" t="s">
        <v>313</v>
      </c>
      <c r="C18" s="8"/>
      <c r="D18" s="8"/>
    </row>
    <row r="19" spans="1:4" ht="15" customHeight="1">
      <c r="A19" s="514" t="s">
        <v>314</v>
      </c>
      <c r="B19" s="8" t="s">
        <v>311</v>
      </c>
      <c r="C19" s="8" t="s">
        <v>64</v>
      </c>
      <c r="D19" s="389"/>
    </row>
    <row r="20" spans="1:4" ht="13.5" thickBot="1">
      <c r="A20" s="515"/>
      <c r="B20" s="8" t="s">
        <v>312</v>
      </c>
      <c r="C20" s="8" t="s">
        <v>64</v>
      </c>
      <c r="D20" s="258"/>
    </row>
    <row r="21" spans="1:4" ht="12.75">
      <c r="A21" s="514" t="s">
        <v>310</v>
      </c>
      <c r="B21" s="8" t="s">
        <v>311</v>
      </c>
      <c r="C21" s="8"/>
      <c r="D21" s="483">
        <v>0.02</v>
      </c>
    </row>
    <row r="22" spans="1:4" ht="12.75">
      <c r="A22" s="514"/>
      <c r="B22" s="8" t="s">
        <v>312</v>
      </c>
      <c r="C22" s="8"/>
      <c r="D22" s="483">
        <v>0.03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485</v>
      </c>
    </row>
    <row r="25" ht="6.75" customHeight="1" thickBot="1">
      <c r="A25" s="12"/>
    </row>
    <row r="26" spans="1:5" ht="12.75">
      <c r="A26" s="255" t="s">
        <v>67</v>
      </c>
      <c r="C26" s="8"/>
      <c r="E26" s="437" t="s">
        <v>295</v>
      </c>
    </row>
    <row r="27" spans="1:5" ht="12.75">
      <c r="A27" s="256" t="s">
        <v>68</v>
      </c>
      <c r="C27" s="8"/>
      <c r="E27" s="438" t="s">
        <v>296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285</v>
      </c>
      <c r="D31" s="484">
        <v>211672968</v>
      </c>
      <c r="H31" s="5"/>
    </row>
    <row r="32" ht="6" customHeight="1"/>
    <row r="33" spans="1:8" ht="12.75">
      <c r="A33" t="s">
        <v>71</v>
      </c>
      <c r="D33" s="48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5">
        <v>0.0988</v>
      </c>
      <c r="H37" s="41"/>
    </row>
    <row r="38" ht="4.5" customHeight="1">
      <c r="H38" s="34"/>
    </row>
    <row r="39" spans="1:8" ht="12.75">
      <c r="A39" t="s">
        <v>74</v>
      </c>
      <c r="D39" s="485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86">
        <v>7853867</v>
      </c>
      <c r="E43" s="388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7">
        <v>3235507</v>
      </c>
      <c r="E47" s="388">
        <f aca="true" t="shared" si="0" ref="E47:E53">D47</f>
        <v>3235507</v>
      </c>
      <c r="H47" s="40"/>
      <c r="J47" s="5"/>
      <c r="K47" s="5"/>
    </row>
    <row r="48" spans="1:11" ht="12.75">
      <c r="A48" t="s">
        <v>288</v>
      </c>
      <c r="D48" s="487">
        <v>3235507</v>
      </c>
      <c r="E48" s="388">
        <f>D48</f>
        <v>3235507</v>
      </c>
      <c r="F48" s="22"/>
      <c r="H48" s="40"/>
      <c r="J48" s="5"/>
      <c r="K48" s="5"/>
    </row>
    <row r="49" spans="1:11" ht="12.75">
      <c r="A49" t="s">
        <v>289</v>
      </c>
      <c r="D49" s="488"/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2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2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2"/>
      <c r="E52" s="388">
        <f t="shared" si="0"/>
        <v>0</v>
      </c>
      <c r="H52" s="40"/>
      <c r="J52" s="5"/>
      <c r="K52" s="5"/>
    </row>
    <row r="53" spans="4:11" ht="12.75">
      <c r="D53" s="422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14324881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88">
      <selection activeCell="E206" sqref="E206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59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59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3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3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59">
        <f>REGINFO!E54</f>
        <v>14324881</v>
      </c>
      <c r="D16" s="17"/>
      <c r="E16" s="267">
        <f>G16-C16</f>
        <v>13532762</v>
      </c>
      <c r="F16" s="3"/>
      <c r="G16" s="267">
        <f>TAXREC!E50</f>
        <v>27857643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9">
        <v>9600202</v>
      </c>
      <c r="D20" s="18"/>
      <c r="E20" s="267">
        <f>G20-C20</f>
        <v>3106179</v>
      </c>
      <c r="F20" s="6"/>
      <c r="G20" s="267">
        <f>TAXREC!E61</f>
        <v>12706381</v>
      </c>
      <c r="H20" s="151"/>
    </row>
    <row r="21" spans="1:8" ht="12.75">
      <c r="A21" s="158" t="s">
        <v>56</v>
      </c>
      <c r="B21" s="127">
        <v>3</v>
      </c>
      <c r="C21" s="261">
        <v>263000</v>
      </c>
      <c r="D21" s="18"/>
      <c r="E21" s="267">
        <f>G21-C21</f>
        <v>-158000</v>
      </c>
      <c r="F21" s="6"/>
      <c r="G21" s="267">
        <f>TAXREC!E62</f>
        <v>105000</v>
      </c>
      <c r="H21" s="151"/>
    </row>
    <row r="22" spans="1:8" ht="12.75">
      <c r="A22" s="158" t="s">
        <v>262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261</v>
      </c>
      <c r="B23" s="127">
        <v>4</v>
      </c>
      <c r="C23" s="261"/>
      <c r="D23" s="18"/>
      <c r="E23" s="267">
        <f>G23-C23</f>
        <v>3485134</v>
      </c>
      <c r="F23" s="6"/>
      <c r="G23" s="267">
        <f>TAXREC!E64</f>
        <v>3485134</v>
      </c>
      <c r="H23" s="151"/>
    </row>
    <row r="24" spans="1:8" ht="12.75">
      <c r="A24" s="158" t="s">
        <v>263</v>
      </c>
      <c r="B24" s="127">
        <v>5</v>
      </c>
      <c r="C24" s="489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69066</v>
      </c>
      <c r="F26" s="6"/>
      <c r="G26" s="267">
        <f>TAXREC!E92</f>
        <v>69066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13539</v>
      </c>
      <c r="F28" s="6"/>
      <c r="G28" s="267">
        <f>TAXREC!E67</f>
        <v>13539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74" t="s">
        <v>393</v>
      </c>
      <c r="B30" s="127"/>
      <c r="C30" s="259"/>
      <c r="D30" s="18"/>
      <c r="E30" s="267">
        <f>G30-C30</f>
        <v>448734</v>
      </c>
      <c r="F30" s="6"/>
      <c r="G30" s="267">
        <f>TAXREC!E66</f>
        <v>448734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9">
        <v>7215016</v>
      </c>
      <c r="D33" s="132"/>
      <c r="E33" s="267">
        <f aca="true" t="shared" si="0" ref="E33:E42">G33-C33</f>
        <v>5782188</v>
      </c>
      <c r="F33" s="6"/>
      <c r="G33" s="267">
        <f>TAXREC!E97+TAXREC!E98</f>
        <v>12997204</v>
      </c>
      <c r="H33" s="151"/>
    </row>
    <row r="34" spans="1:8" ht="12.75">
      <c r="A34" s="158" t="s">
        <v>57</v>
      </c>
      <c r="B34" s="127">
        <v>8</v>
      </c>
      <c r="C34" s="261">
        <v>90000</v>
      </c>
      <c r="D34" s="132"/>
      <c r="E34" s="267">
        <f t="shared" si="0"/>
        <v>-90000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264</v>
      </c>
      <c r="B36" s="127">
        <v>10</v>
      </c>
      <c r="C36" s="489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6647877.5132594025</v>
      </c>
      <c r="D37" s="132"/>
      <c r="E37" s="267">
        <f t="shared" si="0"/>
        <v>3260122.4867405975</v>
      </c>
      <c r="F37" s="6"/>
      <c r="G37" s="267">
        <f>TAXREC!E51</f>
        <v>9908000</v>
      </c>
      <c r="H37" s="151"/>
    </row>
    <row r="38" spans="1:8" ht="12.75">
      <c r="A38" s="155" t="s">
        <v>260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259</v>
      </c>
      <c r="B39" s="125">
        <v>4</v>
      </c>
      <c r="C39" s="261"/>
      <c r="D39" s="132"/>
      <c r="E39" s="267">
        <f t="shared" si="0"/>
        <v>353625</v>
      </c>
      <c r="F39" s="6"/>
      <c r="G39" s="267">
        <f>TAXREC!E105</f>
        <v>353625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31304</v>
      </c>
      <c r="F46" s="6"/>
      <c r="G46" s="251">
        <f>TAXREC!E110</f>
        <v>31304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4" t="s">
        <v>393</v>
      </c>
      <c r="B48" s="127"/>
      <c r="C48" s="259"/>
      <c r="D48" s="132"/>
      <c r="E48" s="267">
        <f>G48-C48</f>
        <v>1604994</v>
      </c>
      <c r="F48" s="6"/>
      <c r="G48" s="251">
        <f>TAXREC!E108</f>
        <v>1604994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3">
        <f>C16+SUM(C20:C30)-SUM(C33:C48)</f>
        <v>10235189.486740597</v>
      </c>
      <c r="D50" s="102"/>
      <c r="E50" s="263">
        <f>E16+SUM(E20:E30)-SUM(E33:E48)</f>
        <v>9555180.513259403</v>
      </c>
      <c r="F50" s="425" t="s">
        <v>365</v>
      </c>
      <c r="G50" s="263">
        <f>G16+SUM(G20:G30)-SUM(G33:G48)</f>
        <v>19790370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-0.024995484874714258</v>
      </c>
      <c r="F53" s="114"/>
      <c r="G53" s="467">
        <f>TAXREC!E151</f>
        <v>0.36120451512528573</v>
      </c>
      <c r="H53" s="151"/>
      <c r="I53" s="464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3952830.1797792185</v>
      </c>
      <c r="D55" s="102"/>
      <c r="E55" s="267">
        <f>G55-C55</f>
        <v>3195540.8202207815</v>
      </c>
      <c r="F55" s="425" t="s">
        <v>366</v>
      </c>
      <c r="G55" s="264">
        <f>TAXREC!E144</f>
        <v>7148371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2074</v>
      </c>
      <c r="F58" s="425" t="s">
        <v>366</v>
      </c>
      <c r="G58" s="270">
        <f>TAXREC!E145</f>
        <v>2074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3952830.1797792185</v>
      </c>
      <c r="D60" s="133"/>
      <c r="E60" s="269">
        <f>+E55-E58</f>
        <v>3193466.8202207815</v>
      </c>
      <c r="F60" s="425" t="s">
        <v>366</v>
      </c>
      <c r="G60" s="269">
        <f>+G55-G58</f>
        <v>7146297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211672968</v>
      </c>
      <c r="D66" s="102"/>
      <c r="E66" s="267">
        <f>G66-C66</f>
        <v>67026761</v>
      </c>
      <c r="F66" s="6"/>
      <c r="G66" s="490">
        <v>278699729</v>
      </c>
      <c r="H66" s="151"/>
      <c r="I66" s="469" t="s">
        <v>473</v>
      </c>
    </row>
    <row r="67" spans="1:10" ht="12.75">
      <c r="A67" s="152" t="s">
        <v>358</v>
      </c>
      <c r="B67" s="125">
        <v>16</v>
      </c>
      <c r="C67" s="260">
        <f>IF(C66&gt;0,'Tax Rates'!C21,0)</f>
        <v>100000</v>
      </c>
      <c r="D67" s="102"/>
      <c r="E67" s="267">
        <f>G67-C67</f>
        <v>50000</v>
      </c>
      <c r="F67" s="6"/>
      <c r="G67" s="267">
        <f>'Tax Rates'!C57</f>
        <v>150000</v>
      </c>
      <c r="H67" s="151"/>
      <c r="I67" s="469" t="s">
        <v>473</v>
      </c>
      <c r="J67" s="470" t="s">
        <v>474</v>
      </c>
    </row>
    <row r="68" spans="1:8" ht="12.75">
      <c r="A68" s="152" t="s">
        <v>42</v>
      </c>
      <c r="B68" s="125"/>
      <c r="C68" s="264">
        <f>IF((C66-C67)&gt;0,C66-C67,0)</f>
        <v>211572968</v>
      </c>
      <c r="D68" s="102"/>
      <c r="E68" s="267">
        <f>SUM(E66:E67)</f>
        <v>67076761</v>
      </c>
      <c r="F68" s="114"/>
      <c r="G68" s="264">
        <f>G66-G67</f>
        <v>278549729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4">
        <f>IF(C68&gt;0,C68*C70,0)*REGINFO!$B$6/REGINFO!$B$7</f>
        <v>634718.904</v>
      </c>
      <c r="D72" s="101"/>
      <c r="E72" s="267">
        <f>+G72-C72</f>
        <v>200930.28300000005</v>
      </c>
      <c r="F72" s="471"/>
      <c r="G72" s="264">
        <f>IF(G68&gt;0,G68*G70,0)*REGINFO!$B$6/REGINFO!$B$7</f>
        <v>835649.187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211672968</v>
      </c>
      <c r="D75" s="102"/>
      <c r="E75" s="267">
        <f>+G75-C75</f>
        <v>83230548</v>
      </c>
      <c r="F75" s="6"/>
      <c r="G75" s="490">
        <v>294903516</v>
      </c>
      <c r="H75" s="151"/>
      <c r="I75" s="469" t="s">
        <v>473</v>
      </c>
    </row>
    <row r="76" spans="1:9" ht="12.75">
      <c r="A76" s="152" t="s">
        <v>358</v>
      </c>
      <c r="B76" s="125">
        <v>19</v>
      </c>
      <c r="C76" s="260">
        <f>IF(C75&gt;0,'Tax Rates'!C22,0)</f>
        <v>300000</v>
      </c>
      <c r="D76" s="18"/>
      <c r="E76" s="267">
        <f>+G76-C76</f>
        <v>-300000</v>
      </c>
      <c r="F76" s="6"/>
      <c r="G76" s="267">
        <f>'Tax Rates'!C58</f>
        <v>0</v>
      </c>
      <c r="H76" s="151"/>
      <c r="I76" s="469" t="s">
        <v>473</v>
      </c>
    </row>
    <row r="77" spans="1:8" ht="12.75">
      <c r="A77" s="152" t="s">
        <v>42</v>
      </c>
      <c r="B77" s="125"/>
      <c r="C77" s="264">
        <f>IF((C75-C76)&gt;0,C75-C76,0)</f>
        <v>211372968</v>
      </c>
      <c r="D77" s="19"/>
      <c r="E77" s="267">
        <f>SUM(E75:E76)</f>
        <v>82930548</v>
      </c>
      <c r="F77" s="114"/>
      <c r="G77" s="264">
        <f>IF(G76&gt;G75,0,G75-G76)</f>
        <v>294903516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4">
        <f>IF(C77&gt;0,C77*C79,0)*REGINFO!$B$6/REGINFO!$B$7</f>
        <v>475589.1779999999</v>
      </c>
      <c r="D81" s="102"/>
      <c r="E81" s="267">
        <f>+G81-C81</f>
        <v>114217.85400000011</v>
      </c>
      <c r="F81" s="6"/>
      <c r="G81" s="264">
        <f>G77*G79*B9/B10</f>
        <v>589807.032</v>
      </c>
      <c r="H81" s="151"/>
    </row>
    <row r="82" spans="1:8" ht="12.75">
      <c r="A82" s="152" t="s">
        <v>317</v>
      </c>
      <c r="B82" s="125">
        <v>21</v>
      </c>
      <c r="C82" s="300">
        <f>IF(C77&gt;0,IF(C60&gt;0,C50*'Tax Rates'!C20,0),0)</f>
        <v>114634.12225149469</v>
      </c>
      <c r="D82" s="102"/>
      <c r="E82" s="267">
        <f>+G82-C82</f>
        <v>107018.02174850531</v>
      </c>
      <c r="F82" s="6"/>
      <c r="G82" s="300">
        <f>IF(G77&gt;0,IF(G60&gt;0,G50*'Tax Rates'!C20,0),0)</f>
        <v>221652.144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360955.0557485052</v>
      </c>
      <c r="D84" s="16"/>
      <c r="E84" s="267">
        <f>E81-E82</f>
        <v>7199.832251494794</v>
      </c>
      <c r="F84" s="103"/>
      <c r="G84" s="264">
        <f>G81-G82</f>
        <v>368154.88800000004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4">
        <f>C60/(1-C88)</f>
        <v>6324528.28764675</v>
      </c>
      <c r="D90" s="20"/>
      <c r="E90" s="139"/>
      <c r="F90" s="424" t="s">
        <v>487</v>
      </c>
      <c r="G90" s="270">
        <f>TAXREC!E156</f>
        <v>7146297</v>
      </c>
      <c r="H90" s="151"/>
    </row>
    <row r="91" spans="1:8" ht="12.75">
      <c r="A91" s="158" t="s">
        <v>368</v>
      </c>
      <c r="B91" s="127">
        <v>23</v>
      </c>
      <c r="C91" s="264">
        <f>C84/(1-C88)</f>
        <v>577528.0891976084</v>
      </c>
      <c r="D91" s="20"/>
      <c r="E91" s="139"/>
      <c r="F91" s="424" t="s">
        <v>487</v>
      </c>
      <c r="G91" s="270">
        <f>TAXREC!E158</f>
        <v>368212</v>
      </c>
      <c r="H91" s="151"/>
    </row>
    <row r="92" spans="1:8" ht="12.75">
      <c r="A92" s="158" t="s">
        <v>346</v>
      </c>
      <c r="B92" s="127">
        <v>24</v>
      </c>
      <c r="C92" s="264">
        <f>C72</f>
        <v>634718.904</v>
      </c>
      <c r="D92" s="20"/>
      <c r="E92" s="139"/>
      <c r="F92" s="424" t="s">
        <v>487</v>
      </c>
      <c r="G92" s="270">
        <f>TAXREC!E157</f>
        <v>835649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478</v>
      </c>
      <c r="B95" s="125">
        <v>25</v>
      </c>
      <c r="C95" s="269">
        <f>SUM(C90:C93)</f>
        <v>7536775.280844359</v>
      </c>
      <c r="D95" s="6"/>
      <c r="E95" s="139"/>
      <c r="F95" s="424" t="s">
        <v>487</v>
      </c>
      <c r="G95" s="413">
        <f>SUM(G90:G94)</f>
        <v>8350158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-158000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3485134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69066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13539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482</v>
      </c>
      <c r="B112" s="127">
        <v>11</v>
      </c>
      <c r="C112" s="112"/>
      <c r="D112" s="3"/>
      <c r="E112" s="466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353625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31304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3114810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63">
        <f>IF((E120+G50)&gt;'Tax Rates'!$E$47,'Tax Rates'!$F$52-1.12%,IF((E120+G50)&gt;'Tax Rates'!$D$47,'Tax Rates'!$E$52-1.12%,IF((E120+G50)&gt;'Tax Rates'!$C$47,'Tax Rates'!$D$52-1.12%,'Tax Rates'!$C$52-1.12%)))</f>
        <v>0.35000000000000003</v>
      </c>
      <c r="F122" s="464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1090183.5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2074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1088109.5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478">
        <f>E128/(1-E130)</f>
        <v>1674014.6153846157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10235189.486740597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IF((E120+E136)&gt;'Tax Rates'!E47,'Tax Rates'!F52,IF((E120+E136)&gt;'Tax Rates'!D47,'Tax Rates'!E52,IF((E120+E136)&gt;'Tax Rates'!C47,'Tax Rates'!D52,'Tax Rates'!C52)))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3696950.442610704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2074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3694876.442610704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3952830.1797792185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-257953.73716851464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211672968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5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634718.904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188</v>
      </c>
      <c r="E158" s="305">
        <f>C72</f>
        <v>634718.904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8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211672968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5">
        <f>IF(E162&gt;0,'Tax Rates'!C40,0)</f>
        <v>1500000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210172968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308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420345.936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188</v>
      </c>
      <c r="E169" s="307">
        <f>IF(E164&gt;0,IF(E144&gt;0,E136*'Tax Rates'!C56,0),0)</f>
        <v>114634.12225149469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305711.8137485053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5">
        <f>C84</f>
        <v>360955.0557485052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8">
        <f>E170-E172</f>
        <v>-55243.24199999991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463">
        <f>IF((E120+G50)&gt;'Tax Rates'!E47,'Tax Rates'!F52-1.12%,IF((E120+G50)&gt;'Tax Rates'!D47,'Tax Rates'!E52-1.12%,IF((E120+G50)&gt;'Tax Rates'!C47,'Tax Rates'!D52,'Tax Rates'!C52-1.12%)))</f>
        <v>0.35000000000000003</v>
      </c>
      <c r="F175" s="464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-396851.9033361764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-84989.60307692295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477">
        <f>SUM(E177:E179)</f>
        <v>-481841.50641309936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481</v>
      </c>
      <c r="B183" s="130"/>
      <c r="C183" s="112"/>
      <c r="D183" s="119" t="s">
        <v>187</v>
      </c>
      <c r="E183" s="477">
        <f>E132</f>
        <v>1674014.6153846157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477">
        <f>E181+E183</f>
        <v>1192173.1089715164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8149409.268000001</v>
      </c>
      <c r="F193" s="3"/>
      <c r="G193" s="123"/>
      <c r="H193" s="164"/>
    </row>
    <row r="194" spans="1:8" ht="12.75">
      <c r="A194" s="513" t="s">
        <v>512</v>
      </c>
      <c r="B194" s="127"/>
      <c r="C194" s="112"/>
      <c r="D194" s="120"/>
      <c r="E194" s="308">
        <f>C37</f>
        <v>6647877.5132594025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8">
        <f>E193-E194</f>
        <v>1501531.7547405986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13" t="s">
        <v>513</v>
      </c>
      <c r="B201" s="127"/>
      <c r="C201" s="112"/>
      <c r="D201" s="120"/>
      <c r="E201" s="308">
        <f>G37+G42</f>
        <v>9908000</v>
      </c>
      <c r="F201" s="3"/>
      <c r="G201" s="482"/>
      <c r="H201" s="164"/>
    </row>
    <row r="202" spans="1:8" ht="12.75">
      <c r="A202" s="155" t="s">
        <v>505</v>
      </c>
      <c r="B202" s="127"/>
      <c r="C202" s="112"/>
      <c r="D202" s="120"/>
      <c r="E202" s="505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1758590.731999999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483</v>
      </c>
      <c r="B206" s="127"/>
      <c r="C206" s="112"/>
      <c r="D206" s="120"/>
      <c r="E206" s="465"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-257058.9772594003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6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PageLayoutView="0" workbookViewId="0" topLeftCell="A128">
      <selection activeCell="E153" sqref="E15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9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0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187</v>
      </c>
      <c r="C31" s="491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1">
        <v>285733000</v>
      </c>
      <c r="D32" s="286"/>
      <c r="E32" s="284">
        <f>C32-D32</f>
        <v>285733000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491">
        <v>2221000</v>
      </c>
      <c r="D33" s="492"/>
      <c r="E33" s="284">
        <f>C33-D33</f>
        <v>2221000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1493024</v>
      </c>
      <c r="D34" s="286"/>
      <c r="E34" s="284">
        <f>C34-D34</f>
        <v>1493024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1">
        <v>234908000</v>
      </c>
      <c r="D39" s="286"/>
      <c r="E39" s="284">
        <f>C39-D39</f>
        <v>234908000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1">
        <v>13095000</v>
      </c>
      <c r="D40" s="492"/>
      <c r="E40" s="284">
        <f aca="true" t="shared" si="0" ref="E40:E48">C40-D40</f>
        <v>13095000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5"/>
      <c r="D41" s="286"/>
      <c r="E41" s="284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5"/>
      <c r="D42" s="286"/>
      <c r="E42" s="284">
        <f t="shared" si="0"/>
        <v>0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91">
        <v>12706381</v>
      </c>
      <c r="D43" s="492"/>
      <c r="E43" s="284">
        <f t="shared" si="0"/>
        <v>12706381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91">
        <v>880000</v>
      </c>
      <c r="D44" s="286"/>
      <c r="E44" s="284">
        <f t="shared" si="0"/>
        <v>880000</v>
      </c>
      <c r="F44" s="11"/>
      <c r="G44" s="11"/>
      <c r="H44" s="6"/>
      <c r="I44" s="6"/>
    </row>
    <row r="45" spans="1:11" ht="12.75">
      <c r="A45" s="4" t="s">
        <v>495</v>
      </c>
      <c r="B45" s="23" t="s">
        <v>188</v>
      </c>
      <c r="C45" s="491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27857643</v>
      </c>
      <c r="D50" s="281">
        <f>SUM(D31:D36)-SUM(D39:D49)</f>
        <v>0</v>
      </c>
      <c r="E50" s="281">
        <f>SUM(E31:E35)-SUM(E39:E48)</f>
        <v>27857643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1">
        <v>9908000</v>
      </c>
      <c r="D51" s="285"/>
      <c r="E51" s="282">
        <f>+C51-D51</f>
        <v>9908000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1">
        <v>6893496</v>
      </c>
      <c r="D52" s="285"/>
      <c r="E52" s="283">
        <f>+C52-D52</f>
        <v>6893496</v>
      </c>
      <c r="F52" s="8"/>
      <c r="G52" s="415"/>
    </row>
    <row r="53" spans="1:7" ht="12.75">
      <c r="A53" s="2" t="s">
        <v>131</v>
      </c>
      <c r="B53" s="8" t="s">
        <v>189</v>
      </c>
      <c r="C53" s="281">
        <f>C50-C51-C52</f>
        <v>11056147</v>
      </c>
      <c r="D53" s="281">
        <f>D50-D51-D52</f>
        <v>0</v>
      </c>
      <c r="E53" s="281">
        <f>E50-E51-E52</f>
        <v>11056147</v>
      </c>
      <c r="F53" s="8"/>
      <c r="G53" s="22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6893496</v>
      </c>
      <c r="D59" s="287">
        <f>D52</f>
        <v>0</v>
      </c>
      <c r="E59" s="272">
        <f>+C59-D59</f>
        <v>6893496</v>
      </c>
      <c r="F59" s="8"/>
      <c r="G59" s="415"/>
    </row>
    <row r="60" spans="1:6" ht="12.75">
      <c r="A60" s="4" t="s">
        <v>325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12706381</v>
      </c>
      <c r="D61" s="287">
        <f>D43</f>
        <v>0</v>
      </c>
      <c r="E61" s="272">
        <f>+C61-D61</f>
        <v>12706381</v>
      </c>
      <c r="F61" s="8"/>
      <c r="G61" s="415"/>
    </row>
    <row r="62" spans="1:6" ht="12.75">
      <c r="A62" t="s">
        <v>6</v>
      </c>
      <c r="B62" s="8" t="s">
        <v>187</v>
      </c>
      <c r="C62" s="493">
        <v>105000</v>
      </c>
      <c r="D62" s="287">
        <v>0</v>
      </c>
      <c r="E62" s="272">
        <f>+C62-D62</f>
        <v>105000</v>
      </c>
      <c r="F62" s="8"/>
    </row>
    <row r="63" spans="1:6" ht="12.75">
      <c r="A63" s="31" t="s">
        <v>277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3485134</v>
      </c>
      <c r="D64" s="317">
        <f>'Tax Reserves'!D63</f>
        <v>0</v>
      </c>
      <c r="E64" s="272">
        <f>+C64-D64</f>
        <v>3485134</v>
      </c>
      <c r="F64" s="8"/>
    </row>
    <row r="65" spans="1:6" ht="12.75">
      <c r="A65" t="s">
        <v>442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1" t="s">
        <v>393</v>
      </c>
      <c r="B66" s="8"/>
      <c r="C66" s="440">
        <f>'TAXREC 3 No True-up'!C48</f>
        <v>448734</v>
      </c>
      <c r="D66" s="440">
        <f>'TAXREC 3 No True-up'!D48</f>
        <v>0</v>
      </c>
      <c r="E66" s="272">
        <f>+C66-D66</f>
        <v>448734</v>
      </c>
      <c r="F66" s="8"/>
    </row>
    <row r="67" spans="1:6" ht="12.75">
      <c r="A67" t="s">
        <v>160</v>
      </c>
      <c r="B67" s="8" t="s">
        <v>187</v>
      </c>
      <c r="C67" s="251">
        <f>'TAXREC 2'!C77</f>
        <v>13539</v>
      </c>
      <c r="D67" s="251">
        <f>'TAXREC 2'!D77</f>
        <v>0</v>
      </c>
      <c r="E67" s="272">
        <f>+C67-D67</f>
        <v>13539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23652284</v>
      </c>
      <c r="D70" s="272">
        <f>SUM(D59:D68)</f>
        <v>0</v>
      </c>
      <c r="E70" s="272">
        <f>SUM(E59:E68)</f>
        <v>23652284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>
        <v>58639</v>
      </c>
      <c r="D74" s="294"/>
      <c r="E74" s="272">
        <f t="shared" si="1"/>
        <v>58639</v>
      </c>
      <c r="F74" s="8"/>
      <c r="G74" s="76"/>
      <c r="H74" s="77"/>
      <c r="I74" s="78"/>
      <c r="J74" s="77"/>
      <c r="K74" s="77"/>
    </row>
    <row r="75" spans="1:11" ht="12.75">
      <c r="A75" s="4" t="s">
        <v>502</v>
      </c>
      <c r="B75" s="8" t="s">
        <v>187</v>
      </c>
      <c r="C75" s="294">
        <v>10427</v>
      </c>
      <c r="D75" s="294"/>
      <c r="E75" s="272">
        <f t="shared" si="1"/>
        <v>10427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5">
        <v>0</v>
      </c>
      <c r="D76" s="294"/>
      <c r="E76" s="472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69066</v>
      </c>
      <c r="D80" s="251">
        <f>SUM(D73:D79)</f>
        <v>0</v>
      </c>
      <c r="E80" s="251">
        <f>SUM(E73:E79)</f>
        <v>69066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23721350</v>
      </c>
      <c r="D82" s="251">
        <f>D70+D80</f>
        <v>0</v>
      </c>
      <c r="E82" s="251">
        <f>E70+E80</f>
        <v>23721350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Non-deductible meals and entertainment expense</v>
      </c>
      <c r="B86" s="273"/>
      <c r="C86" s="290">
        <f t="shared" si="3"/>
        <v>58639</v>
      </c>
      <c r="D86" s="290">
        <f t="shared" si="3"/>
        <v>0</v>
      </c>
      <c r="E86" s="290">
        <f t="shared" si="3"/>
        <v>58639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Capital items expensed - Computer equipment expensed for book</v>
      </c>
      <c r="B87" s="273"/>
      <c r="C87" s="290">
        <f t="shared" si="3"/>
        <v>10427</v>
      </c>
      <c r="D87" s="290">
        <f t="shared" si="3"/>
        <v>0</v>
      </c>
      <c r="E87" s="290">
        <f t="shared" si="3"/>
        <v>10427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69066</v>
      </c>
      <c r="D92" s="279">
        <f>SUM(D85:D91)</f>
        <v>0</v>
      </c>
      <c r="E92" s="279">
        <f>SUM(E85:E91)</f>
        <v>69066</v>
      </c>
      <c r="F92" s="8"/>
      <c r="G92" s="45"/>
      <c r="H92" s="45"/>
      <c r="I92" s="45"/>
      <c r="J92" s="45"/>
      <c r="K92" s="45"/>
    </row>
    <row r="93" spans="1:11" ht="12.75">
      <c r="A93" s="273" t="s">
        <v>430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69066</v>
      </c>
      <c r="D94" s="251">
        <f>D92+D93</f>
        <v>0</v>
      </c>
      <c r="E94" s="251">
        <f>E92+E93</f>
        <v>69066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94">
        <v>10355305</v>
      </c>
      <c r="D97" s="294"/>
      <c r="E97" s="272">
        <f>+C97-D97</f>
        <v>10355305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2641899</v>
      </c>
      <c r="D98" s="294"/>
      <c r="E98" s="272">
        <f>+C98-D98</f>
        <v>2641899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94"/>
      <c r="D99" s="294"/>
      <c r="E99" s="272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9">
        <f>'Tax Reserves'!C50</f>
        <v>353625</v>
      </c>
      <c r="D105" s="319">
        <f>'Tax Reserves'!D50</f>
        <v>0</v>
      </c>
      <c r="E105" s="282">
        <f t="shared" si="5"/>
        <v>353625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1" t="s">
        <v>393</v>
      </c>
      <c r="B108" s="8"/>
      <c r="C108" s="254">
        <f>'TAXREC 3 No True-up'!C74</f>
        <v>1604994</v>
      </c>
      <c r="D108" s="254">
        <f>'TAXREC 3 No True-up'!D74</f>
        <v>0</v>
      </c>
      <c r="E108" s="272">
        <f t="shared" si="5"/>
        <v>1604994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31304</v>
      </c>
      <c r="D110" s="251">
        <f>'TAXREC 2'!D119</f>
        <v>0</v>
      </c>
      <c r="E110" s="251">
        <f>'TAXREC 2'!E119</f>
        <v>31304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14987127</v>
      </c>
      <c r="D113" s="251">
        <f>SUM(D97:D111)</f>
        <v>0</v>
      </c>
      <c r="E113" s="251">
        <f>SUM(E97:E111)</f>
        <v>14987127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14987127</v>
      </c>
      <c r="D122" s="251">
        <f>D113+D120</f>
        <v>0</v>
      </c>
      <c r="E122" s="251">
        <f>+E113+E120</f>
        <v>14987127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510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19790370</v>
      </c>
      <c r="D134" s="251">
        <f>D53+D82-D122</f>
        <v>0</v>
      </c>
      <c r="E134" s="251">
        <f>E53+E82-E122</f>
        <v>19790370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510"/>
      <c r="H135" s="45"/>
      <c r="I135" s="45"/>
      <c r="J135" s="45"/>
      <c r="K135" s="45"/>
    </row>
    <row r="136" spans="1:11" ht="12.75">
      <c r="A136" s="12" t="s">
        <v>373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510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512" t="s">
        <v>509</v>
      </c>
      <c r="B138" s="8"/>
      <c r="C138" s="310">
        <v>5075</v>
      </c>
      <c r="D138" s="310"/>
      <c r="E138" s="394">
        <f>C138-D138</f>
        <v>5075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19785295</v>
      </c>
      <c r="D139" s="252">
        <f>D134-D136-D137-D138</f>
        <v>0</v>
      </c>
      <c r="E139" s="252">
        <f>E134-E136-E137-E138</f>
        <v>19785295</v>
      </c>
      <c r="F139" s="8"/>
      <c r="G139" s="511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187</v>
      </c>
      <c r="C142" s="496">
        <v>4378358</v>
      </c>
      <c r="D142" s="479">
        <f>D139*C149</f>
        <v>0</v>
      </c>
      <c r="E142" s="252">
        <f>C142-D142</f>
        <v>4378358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187</v>
      </c>
      <c r="C143" s="496">
        <v>2770013</v>
      </c>
      <c r="D143" s="479">
        <f>D139*C150</f>
        <v>0</v>
      </c>
      <c r="E143" s="292">
        <f>C143-D143</f>
        <v>2770013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7148371</v>
      </c>
      <c r="D144" s="252">
        <f>D142+D143</f>
        <v>0</v>
      </c>
      <c r="E144" s="252">
        <f>E142+E143</f>
        <v>7148371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8">
        <v>2074</v>
      </c>
      <c r="D145" s="479"/>
      <c r="E145" s="293">
        <f>C145-D145</f>
        <v>2074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7146297</v>
      </c>
      <c r="D146" s="252">
        <f>D144-D145</f>
        <v>0</v>
      </c>
      <c r="E146" s="252">
        <f>E144-E145</f>
        <v>7146297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495">
        <f>C142/C134</f>
        <v>0.22123679345055197</v>
      </c>
      <c r="D149" s="5"/>
      <c r="E149" s="405">
        <f>C149</f>
        <v>0.22123679345055197</v>
      </c>
      <c r="F149" s="8"/>
      <c r="G149" s="476" t="s">
        <v>467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95">
        <f>C143/C134</f>
        <v>0.13996772167473373</v>
      </c>
      <c r="D150" s="5"/>
      <c r="E150" s="405">
        <f>C150</f>
        <v>0.13996772167473373</v>
      </c>
      <c r="F150" s="8"/>
      <c r="G150" s="476" t="s">
        <v>468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05">
        <f>SUM(C149:C150)</f>
        <v>0.36120451512528573</v>
      </c>
      <c r="D151" s="5"/>
      <c r="E151" s="405">
        <f>SUM(E149:E150)</f>
        <v>0.36120451512528573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7146297</v>
      </c>
      <c r="D156" s="251">
        <f>D146</f>
        <v>0</v>
      </c>
      <c r="E156" s="251">
        <f>E146</f>
        <v>7146297</v>
      </c>
    </row>
    <row r="157" spans="1:5" ht="12.75">
      <c r="A157" t="s">
        <v>20</v>
      </c>
      <c r="B157" s="86" t="s">
        <v>187</v>
      </c>
      <c r="C157" s="497">
        <v>835649</v>
      </c>
      <c r="D157" s="251"/>
      <c r="E157" s="251">
        <f>C157+D157</f>
        <v>835649</v>
      </c>
    </row>
    <row r="158" spans="1:5" ht="12.75">
      <c r="A158" t="s">
        <v>218</v>
      </c>
      <c r="B158" s="86" t="s">
        <v>187</v>
      </c>
      <c r="C158" s="497">
        <v>368212</v>
      </c>
      <c r="D158" s="251"/>
      <c r="E158" s="251">
        <f>C158+D158</f>
        <v>368212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1">
        <f>C156+C157+C158</f>
        <v>8350158</v>
      </c>
      <c r="D160" s="251">
        <f>D156+D157+D158</f>
        <v>0</v>
      </c>
      <c r="E160" s="251">
        <f>E156+E157+E158</f>
        <v>8350158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4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PageLayoutView="0" workbookViewId="0" topLeftCell="A37">
      <selection activeCell="C53" sqref="C5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271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279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4"/>
      <c r="D15" s="294"/>
      <c r="E15" s="251">
        <f t="shared" si="0"/>
        <v>0</v>
      </c>
    </row>
    <row r="16" spans="1:5" ht="12.75">
      <c r="A16" s="61" t="s">
        <v>281</v>
      </c>
      <c r="B16" s="61"/>
      <c r="C16" s="294"/>
      <c r="D16" s="294"/>
      <c r="E16" s="251">
        <f t="shared" si="0"/>
        <v>0</v>
      </c>
    </row>
    <row r="17" spans="1:5" ht="12.75">
      <c r="A17" s="61" t="s">
        <v>282</v>
      </c>
      <c r="B17" s="61"/>
      <c r="C17" s="294"/>
      <c r="D17" s="294"/>
      <c r="E17" s="251">
        <f t="shared" si="0"/>
        <v>0</v>
      </c>
    </row>
    <row r="18" spans="1:5" ht="12.75">
      <c r="A18" s="61" t="s">
        <v>447</v>
      </c>
      <c r="B18" s="61"/>
      <c r="C18" s="294"/>
      <c r="D18" s="294"/>
      <c r="E18" s="251">
        <f t="shared" si="0"/>
        <v>0</v>
      </c>
    </row>
    <row r="19" spans="1:5" ht="12.75">
      <c r="A19" s="61" t="s">
        <v>447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279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4"/>
      <c r="D27" s="294"/>
      <c r="E27" s="251">
        <f t="shared" si="1"/>
        <v>0</v>
      </c>
    </row>
    <row r="28" spans="1:5" ht="12.75">
      <c r="A28" s="61" t="s">
        <v>281</v>
      </c>
      <c r="B28" s="61"/>
      <c r="C28" s="294"/>
      <c r="D28" s="294"/>
      <c r="E28" s="251">
        <f t="shared" si="1"/>
        <v>0</v>
      </c>
    </row>
    <row r="29" spans="1:5" ht="12.75">
      <c r="A29" s="61" t="s">
        <v>282</v>
      </c>
      <c r="B29" s="61"/>
      <c r="C29" s="294"/>
      <c r="D29" s="294"/>
      <c r="E29" s="251">
        <f t="shared" si="1"/>
        <v>0</v>
      </c>
    </row>
    <row r="30" spans="1:5" ht="12.75">
      <c r="A30" s="61" t="s">
        <v>447</v>
      </c>
      <c r="B30" s="61"/>
      <c r="C30" s="294"/>
      <c r="D30" s="294"/>
      <c r="E30" s="251">
        <f t="shared" si="1"/>
        <v>0</v>
      </c>
    </row>
    <row r="31" spans="1:5" ht="12.75">
      <c r="A31" s="61" t="s">
        <v>447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4"/>
      <c r="D43" s="294"/>
      <c r="E43" s="251">
        <f t="shared" si="2"/>
        <v>0</v>
      </c>
    </row>
    <row r="44" spans="1:5" ht="12.75">
      <c r="A44" s="61" t="s">
        <v>266</v>
      </c>
      <c r="B44" s="61"/>
      <c r="C44" s="294">
        <v>353625</v>
      </c>
      <c r="D44" s="294"/>
      <c r="E44" s="251">
        <f t="shared" si="2"/>
        <v>353625</v>
      </c>
    </row>
    <row r="45" spans="1:5" ht="12.75">
      <c r="A45" s="61" t="s">
        <v>267</v>
      </c>
      <c r="B45" s="61"/>
      <c r="C45" s="294"/>
      <c r="D45" s="294"/>
      <c r="E45" s="251">
        <f t="shared" si="2"/>
        <v>0</v>
      </c>
    </row>
    <row r="46" spans="1:5" ht="12.75">
      <c r="A46" s="61" t="s">
        <v>268</v>
      </c>
      <c r="B46" s="61"/>
      <c r="C46" s="294"/>
      <c r="D46" s="294"/>
      <c r="E46" s="251">
        <f t="shared" si="2"/>
        <v>0</v>
      </c>
    </row>
    <row r="47" spans="1:5" ht="12.75">
      <c r="A47" s="61" t="s">
        <v>447</v>
      </c>
      <c r="B47" s="61"/>
      <c r="C47" s="294"/>
      <c r="D47" s="294"/>
      <c r="E47" s="251">
        <f t="shared" si="2"/>
        <v>0</v>
      </c>
    </row>
    <row r="48" spans="1:5" ht="12.75">
      <c r="A48" s="61" t="s">
        <v>447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353625</v>
      </c>
      <c r="D50" s="251">
        <f>SUM(D41:D49)</f>
        <v>0</v>
      </c>
      <c r="E50" s="251">
        <f>SUM(E41:E49)</f>
        <v>353625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503" t="s">
        <v>514</v>
      </c>
      <c r="B53" s="61"/>
      <c r="C53" s="294">
        <v>2881192</v>
      </c>
      <c r="D53" s="294"/>
      <c r="E53" s="251">
        <f>C53-D53</f>
        <v>2881192</v>
      </c>
    </row>
    <row r="54" spans="1:5" ht="12.75">
      <c r="A54" s="246" t="s">
        <v>499</v>
      </c>
      <c r="B54" s="61"/>
      <c r="C54" s="294">
        <v>268942</v>
      </c>
      <c r="D54" s="294"/>
      <c r="E54" s="251">
        <f aca="true" t="shared" si="3" ref="E54:E61">C54-D54</f>
        <v>268942</v>
      </c>
    </row>
    <row r="55" spans="1:5" ht="12.75">
      <c r="A55" s="246" t="s">
        <v>265</v>
      </c>
      <c r="B55" s="61"/>
      <c r="C55" s="294"/>
      <c r="D55" s="294"/>
      <c r="E55" s="251">
        <f t="shared" si="3"/>
        <v>0</v>
      </c>
    </row>
    <row r="56" spans="1:5" ht="12.75">
      <c r="A56" s="246" t="s">
        <v>266</v>
      </c>
      <c r="B56" s="61"/>
      <c r="C56" s="294">
        <v>335000</v>
      </c>
      <c r="D56" s="294"/>
      <c r="E56" s="251">
        <f t="shared" si="3"/>
        <v>335000</v>
      </c>
    </row>
    <row r="57" spans="1:5" ht="12.75">
      <c r="A57" s="246" t="s">
        <v>267</v>
      </c>
      <c r="B57" s="61"/>
      <c r="C57" s="294"/>
      <c r="D57" s="294"/>
      <c r="E57" s="251">
        <f t="shared" si="3"/>
        <v>0</v>
      </c>
    </row>
    <row r="58" spans="1:5" ht="12.75">
      <c r="A58" s="246" t="s">
        <v>268</v>
      </c>
      <c r="B58" s="61"/>
      <c r="C58" s="294"/>
      <c r="D58" s="294"/>
      <c r="E58" s="251">
        <f t="shared" si="3"/>
        <v>0</v>
      </c>
    </row>
    <row r="59" spans="1:5" ht="12.75">
      <c r="A59" s="61" t="s">
        <v>447</v>
      </c>
      <c r="B59" s="61"/>
      <c r="C59" s="294"/>
      <c r="D59" s="294"/>
      <c r="E59" s="251">
        <f t="shared" si="3"/>
        <v>0</v>
      </c>
    </row>
    <row r="60" spans="1:5" ht="12.75">
      <c r="A60" s="61" t="s">
        <v>447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3485134</v>
      </c>
      <c r="D63" s="251">
        <f>SUM(D53:D61)</f>
        <v>0</v>
      </c>
      <c r="E63" s="251">
        <f>SUM(E53:E61)</f>
        <v>3485134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PageLayoutView="0" workbookViewId="0" topLeftCell="A1">
      <pane xSplit="1" ySplit="6" topLeftCell="B2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8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251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448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>
        <v>13539</v>
      </c>
      <c r="D21" s="295"/>
      <c r="E21" s="313">
        <f t="shared" si="0"/>
        <v>13539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475</v>
      </c>
      <c r="B36" t="s">
        <v>187</v>
      </c>
      <c r="C36" s="498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504"/>
      <c r="B41" t="s">
        <v>187</v>
      </c>
      <c r="C41" s="294"/>
      <c r="D41" s="294"/>
      <c r="E41" s="251">
        <f t="shared" si="0"/>
        <v>0</v>
      </c>
    </row>
    <row r="42" spans="1:5" ht="12.75">
      <c r="A42" s="504"/>
      <c r="B42" t="s">
        <v>187</v>
      </c>
      <c r="C42" s="294"/>
      <c r="D42" s="294"/>
      <c r="E42" s="251">
        <f t="shared" si="0"/>
        <v>0</v>
      </c>
    </row>
    <row r="43" spans="1:5" ht="12.75">
      <c r="A43" s="506"/>
      <c r="B43" t="s">
        <v>187</v>
      </c>
      <c r="C43" s="294"/>
      <c r="D43" s="294"/>
      <c r="E43" s="251">
        <f t="shared" si="0"/>
        <v>0</v>
      </c>
    </row>
    <row r="44" spans="1:5" ht="12.75">
      <c r="A44" s="506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13539</v>
      </c>
      <c r="D46" s="251">
        <f>SUM(D17:D45)</f>
        <v>0</v>
      </c>
      <c r="E46" s="251">
        <f>SUM(E17:E45)</f>
        <v>13539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Loss on disposal of assets</v>
      </c>
      <c r="B53" s="273"/>
      <c r="C53" s="251">
        <f t="shared" si="1"/>
        <v>13539</v>
      </c>
      <c r="D53" s="251">
        <f t="shared" si="1"/>
        <v>0</v>
      </c>
      <c r="E53" s="251">
        <f t="shared" si="1"/>
        <v>13539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13539</v>
      </c>
      <c r="D77" s="251">
        <f>SUM(D49:D75)</f>
        <v>0</v>
      </c>
      <c r="E77" s="251">
        <f>SUM(E49:E75)</f>
        <v>13539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13539</v>
      </c>
      <c r="D79" s="315">
        <f>D77+D78</f>
        <v>0</v>
      </c>
      <c r="E79" s="315">
        <f>E77+E78</f>
        <v>13539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509" t="s">
        <v>508</v>
      </c>
      <c r="B97" s="8" t="s">
        <v>188</v>
      </c>
      <c r="C97" s="294">
        <v>31304</v>
      </c>
      <c r="D97" s="294"/>
      <c r="E97" s="251">
        <f t="shared" si="5"/>
        <v>31304</v>
      </c>
    </row>
    <row r="98" spans="1:5" ht="12.75">
      <c r="A98" s="506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31304</v>
      </c>
      <c r="D99" s="251">
        <f>SUM(D82:D98)</f>
        <v>0</v>
      </c>
      <c r="E99" s="251">
        <f>SUM(E82:E98)</f>
        <v>31304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OPEB Amounts Capitalized</v>
      </c>
      <c r="B117" s="273"/>
      <c r="C117" s="251">
        <f t="shared" si="7"/>
        <v>31304</v>
      </c>
      <c r="D117" s="251">
        <f t="shared" si="7"/>
        <v>0</v>
      </c>
      <c r="E117" s="251">
        <f t="shared" si="7"/>
        <v>31304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31304</v>
      </c>
      <c r="D119" s="251">
        <f>SUM(D102:D118)</f>
        <v>0</v>
      </c>
      <c r="E119" s="251">
        <f>SUM(E102:E118)</f>
        <v>31304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31304</v>
      </c>
      <c r="D121" s="251">
        <f>D119+D120</f>
        <v>0</v>
      </c>
      <c r="E121" s="251">
        <f>E119+E120</f>
        <v>31304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4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3"/>
  <sheetViews>
    <sheetView zoomScale="90" zoomScaleNormal="90" zoomScalePageLayoutView="0" workbookViewId="0" topLeftCell="A1">
      <pane xSplit="1" ySplit="8" topLeftCell="B3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55" sqref="A5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.75">
      <c r="A4" s="458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0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4">
        <v>192862</v>
      </c>
      <c r="D20" s="295"/>
      <c r="E20" s="313">
        <f t="shared" si="0"/>
        <v>192862</v>
      </c>
    </row>
    <row r="21" spans="1:5" ht="12.75">
      <c r="A21" t="s">
        <v>452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389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4"/>
      <c r="D23" s="295"/>
      <c r="E23" s="313">
        <f t="shared" si="0"/>
        <v>0</v>
      </c>
    </row>
    <row r="24" spans="1:5" ht="12.75">
      <c r="A24" s="67" t="s">
        <v>453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436</v>
      </c>
      <c r="B27" t="s">
        <v>187</v>
      </c>
      <c r="C27" s="498"/>
      <c r="D27" s="498"/>
      <c r="E27" s="313">
        <f t="shared" si="0"/>
        <v>0</v>
      </c>
    </row>
    <row r="28" spans="1:5" ht="12.75">
      <c r="A28" s="67" t="s">
        <v>388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387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431</v>
      </c>
      <c r="B32" t="s">
        <v>187</v>
      </c>
      <c r="C32" s="498"/>
      <c r="D32" s="295"/>
      <c r="E32" s="313">
        <f t="shared" si="0"/>
        <v>0</v>
      </c>
    </row>
    <row r="33" spans="1:5" ht="12.75">
      <c r="A33" s="67" t="s">
        <v>432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449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450</v>
      </c>
      <c r="C35" s="498">
        <v>5075</v>
      </c>
      <c r="D35" s="295"/>
      <c r="E35" s="313">
        <f t="shared" si="0"/>
        <v>5075</v>
      </c>
    </row>
    <row r="36" spans="1:5" ht="12.75">
      <c r="A36" s="67" t="s">
        <v>433</v>
      </c>
      <c r="C36" s="295"/>
      <c r="D36" s="295"/>
      <c r="E36" s="313">
        <f t="shared" si="0"/>
        <v>0</v>
      </c>
    </row>
    <row r="37" spans="1:5" ht="12.75">
      <c r="A37" s="67" t="s">
        <v>434</v>
      </c>
      <c r="C37" s="295"/>
      <c r="D37" s="295"/>
      <c r="E37" s="313">
        <f t="shared" si="0"/>
        <v>0</v>
      </c>
    </row>
    <row r="38" spans="1:5" ht="12.75">
      <c r="A38" s="81" t="s">
        <v>391</v>
      </c>
      <c r="C38" s="295">
        <v>44351</v>
      </c>
      <c r="D38" s="295"/>
      <c r="E38" s="313">
        <f t="shared" si="0"/>
        <v>44351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385</v>
      </c>
      <c r="B40" t="s">
        <v>187</v>
      </c>
      <c r="C40" s="498"/>
      <c r="D40" s="295"/>
      <c r="E40" s="313">
        <f t="shared" si="0"/>
        <v>0</v>
      </c>
    </row>
    <row r="41" spans="1:5" ht="12.75">
      <c r="A41" s="67" t="s">
        <v>456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s="504" t="s">
        <v>500</v>
      </c>
      <c r="B44" t="s">
        <v>187</v>
      </c>
      <c r="C44" s="294">
        <v>172973</v>
      </c>
      <c r="D44" s="294"/>
      <c r="E44" s="251">
        <f t="shared" si="0"/>
        <v>172973</v>
      </c>
    </row>
    <row r="45" spans="1:5" ht="12.75">
      <c r="A45" s="504" t="s">
        <v>501</v>
      </c>
      <c r="B45" t="s">
        <v>187</v>
      </c>
      <c r="C45" s="294">
        <v>25920</v>
      </c>
      <c r="D45" s="294"/>
      <c r="E45" s="251">
        <f t="shared" si="0"/>
        <v>25920</v>
      </c>
    </row>
    <row r="46" spans="1:5" ht="12.75">
      <c r="A46" s="509" t="s">
        <v>511</v>
      </c>
      <c r="C46" s="294">
        <v>5479</v>
      </c>
      <c r="D46" s="294"/>
      <c r="E46" s="279"/>
    </row>
    <row r="47" spans="1:5" ht="12.75">
      <c r="A47" s="509" t="s">
        <v>503</v>
      </c>
      <c r="B47" t="s">
        <v>187</v>
      </c>
      <c r="C47" s="294">
        <v>2074</v>
      </c>
      <c r="D47" s="294"/>
      <c r="E47" s="279"/>
    </row>
    <row r="48" spans="1:5" ht="12.75">
      <c r="A48" s="443" t="s">
        <v>395</v>
      </c>
      <c r="B48" t="s">
        <v>189</v>
      </c>
      <c r="C48" s="251">
        <f>SUM(C19:C47)</f>
        <v>448734</v>
      </c>
      <c r="D48" s="251">
        <f>SUM(D19:D47)</f>
        <v>0</v>
      </c>
      <c r="E48" s="251">
        <f>SUM(E19:E47)</f>
        <v>441181</v>
      </c>
    </row>
    <row r="49" ht="12.75">
      <c r="A49" s="67"/>
    </row>
    <row r="50" ht="12.75">
      <c r="A50" s="81" t="s">
        <v>145</v>
      </c>
    </row>
    <row r="52" spans="1:5" ht="12.75">
      <c r="A52" s="71" t="s">
        <v>386</v>
      </c>
      <c r="B52" s="8" t="s">
        <v>188</v>
      </c>
      <c r="C52" s="294"/>
      <c r="D52" s="294"/>
      <c r="E52" s="251">
        <f aca="true" t="shared" si="1" ref="E52:E62">C52-D52</f>
        <v>0</v>
      </c>
    </row>
    <row r="53" spans="1:5" ht="12.75">
      <c r="A53" s="67" t="s">
        <v>452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387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t="s">
        <v>435</v>
      </c>
      <c r="B55" s="8" t="s">
        <v>188</v>
      </c>
      <c r="C55" s="494"/>
      <c r="D55" s="294"/>
      <c r="E55" s="251">
        <f t="shared" si="1"/>
        <v>0</v>
      </c>
    </row>
    <row r="56" spans="1:5" ht="12.75">
      <c r="A56" s="67" t="s">
        <v>443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67" t="s">
        <v>455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2" t="s">
        <v>451</v>
      </c>
      <c r="B58" s="8" t="s">
        <v>188</v>
      </c>
      <c r="C58" s="494"/>
      <c r="D58" s="294"/>
      <c r="E58" s="251">
        <f t="shared" si="1"/>
        <v>0</v>
      </c>
    </row>
    <row r="59" spans="1:5" ht="12.75">
      <c r="A59" s="67" t="s">
        <v>454</v>
      </c>
      <c r="B59" s="8" t="s">
        <v>188</v>
      </c>
      <c r="C59" s="294"/>
      <c r="D59" s="294"/>
      <c r="E59" s="251">
        <f t="shared" si="1"/>
        <v>0</v>
      </c>
    </row>
    <row r="60" spans="1:5" ht="12.75">
      <c r="A60" s="67"/>
      <c r="B60" s="8" t="s">
        <v>188</v>
      </c>
      <c r="C60" s="294"/>
      <c r="D60" s="294"/>
      <c r="E60" s="251">
        <f t="shared" si="1"/>
        <v>0</v>
      </c>
    </row>
    <row r="61" spans="1:5" ht="12.75">
      <c r="A61" s="462" t="s">
        <v>392</v>
      </c>
      <c r="B61" s="8" t="s">
        <v>188</v>
      </c>
      <c r="C61" s="4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t="shared" si="1"/>
        <v>0</v>
      </c>
    </row>
    <row r="63" spans="1:5" ht="12.75">
      <c r="A63" s="462" t="s">
        <v>385</v>
      </c>
      <c r="B63" s="8" t="s">
        <v>188</v>
      </c>
      <c r="C63" s="494"/>
      <c r="D63" s="294"/>
      <c r="E63" s="251">
        <f aca="true" t="shared" si="2" ref="E63:E73">C63-D63</f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1:5" ht="12.75">
      <c r="A65" t="s">
        <v>496</v>
      </c>
      <c r="B65" s="8" t="s">
        <v>188</v>
      </c>
      <c r="C65" s="4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2:5" ht="12.75">
      <c r="B67" s="8" t="s">
        <v>188</v>
      </c>
      <c r="C67" s="294"/>
      <c r="D67" s="294"/>
      <c r="E67" s="251">
        <f t="shared" si="2"/>
        <v>0</v>
      </c>
    </row>
    <row r="68" spans="1:5" ht="12.75">
      <c r="A68" s="67"/>
      <c r="B68" s="8" t="s">
        <v>188</v>
      </c>
      <c r="C68" s="294"/>
      <c r="D68" s="294"/>
      <c r="E68" s="251">
        <f t="shared" si="2"/>
        <v>0</v>
      </c>
    </row>
    <row r="69" spans="1:5" ht="12.75">
      <c r="A69" s="68" t="s">
        <v>205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507" t="s">
        <v>504</v>
      </c>
      <c r="B70" s="8" t="s">
        <v>188</v>
      </c>
      <c r="C70" s="294">
        <v>154606</v>
      </c>
      <c r="D70" s="294"/>
      <c r="E70" s="251">
        <f t="shared" si="2"/>
        <v>154606</v>
      </c>
    </row>
    <row r="71" spans="1:5" ht="12.75">
      <c r="A71" s="508" t="s">
        <v>506</v>
      </c>
      <c r="B71" s="8" t="s">
        <v>188</v>
      </c>
      <c r="C71" s="294">
        <v>39748</v>
      </c>
      <c r="D71" s="294"/>
      <c r="E71" s="251">
        <f t="shared" si="2"/>
        <v>39748</v>
      </c>
    </row>
    <row r="72" spans="1:5" ht="12.75">
      <c r="A72" s="509" t="s">
        <v>507</v>
      </c>
      <c r="B72" s="8" t="s">
        <v>188</v>
      </c>
      <c r="C72" s="294">
        <v>333999</v>
      </c>
      <c r="D72" s="294"/>
      <c r="E72" s="251">
        <f t="shared" si="2"/>
        <v>333999</v>
      </c>
    </row>
    <row r="73" spans="1:5" ht="12.75">
      <c r="A73" s="509" t="s">
        <v>510</v>
      </c>
      <c r="B73" s="8" t="s">
        <v>188</v>
      </c>
      <c r="C73" s="294">
        <v>1076641</v>
      </c>
      <c r="D73" s="294"/>
      <c r="E73" s="279">
        <f t="shared" si="2"/>
        <v>1076641</v>
      </c>
    </row>
    <row r="74" spans="1:5" ht="12.75">
      <c r="A74" s="442" t="s">
        <v>394</v>
      </c>
      <c r="B74" s="8" t="s">
        <v>189</v>
      </c>
      <c r="C74" s="251">
        <f>SUM(C52:C73)</f>
        <v>1604994</v>
      </c>
      <c r="D74" s="251">
        <f>SUM(D52:D73)</f>
        <v>0</v>
      </c>
      <c r="E74" s="251">
        <f>SUM(E52:E73)</f>
        <v>1604994</v>
      </c>
    </row>
    <row r="75" ht="12.75">
      <c r="A75" s="67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43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22" t="s">
        <v>479</v>
      </c>
      <c r="B8" s="523"/>
      <c r="C8" s="523"/>
      <c r="D8" s="523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6" t="s">
        <v>470</v>
      </c>
      <c r="C21" s="362">
        <f>5000000*REGINFO!D21</f>
        <v>100000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331</v>
      </c>
      <c r="B22" s="407" t="s">
        <v>471</v>
      </c>
      <c r="C22" s="363">
        <f>10000000*REGINFO!D22</f>
        <v>300000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16" t="s">
        <v>494</v>
      </c>
      <c r="B23" s="517"/>
      <c r="C23" s="517"/>
      <c r="D23" s="517"/>
      <c r="E23" s="517"/>
      <c r="F23" s="517"/>
      <c r="G23" s="432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22" t="s">
        <v>490</v>
      </c>
      <c r="B26" s="523"/>
      <c r="C26" s="523"/>
      <c r="D26" s="523"/>
      <c r="E26" s="523"/>
      <c r="F26" s="52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 t="s">
        <v>111</v>
      </c>
      <c r="E28" s="370" t="s">
        <v>111</v>
      </c>
      <c r="F28" s="371" t="s">
        <v>493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09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09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491</v>
      </c>
      <c r="B39" s="406" t="s">
        <v>470</v>
      </c>
      <c r="C39" s="362">
        <f>5000000*REGINFO!D21</f>
        <v>100000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492</v>
      </c>
      <c r="B40" s="407" t="s">
        <v>489</v>
      </c>
      <c r="C40" s="363">
        <f>50000000*REGINFO!D22</f>
        <v>1500000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8" t="s">
        <v>333</v>
      </c>
      <c r="B41" s="517"/>
      <c r="C41" s="517"/>
      <c r="D41" s="517"/>
      <c r="E41" s="517"/>
      <c r="F41" s="517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9"/>
      <c r="B42" s="519"/>
      <c r="C42" s="519"/>
      <c r="D42" s="519"/>
      <c r="E42" s="519"/>
      <c r="F42" s="519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488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>
        <v>0.1312</v>
      </c>
      <c r="D50" s="352">
        <v>0.2212</v>
      </c>
      <c r="E50" s="353">
        <v>0.2229</v>
      </c>
      <c r="F50" s="499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500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6" t="s">
        <v>470</v>
      </c>
      <c r="C57" s="501">
        <v>150000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348</v>
      </c>
      <c r="B58" s="407" t="s">
        <v>489</v>
      </c>
      <c r="C58" s="502">
        <v>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16" t="s">
        <v>349</v>
      </c>
      <c r="B59" s="520"/>
      <c r="C59" s="520"/>
      <c r="D59" s="520"/>
      <c r="E59" s="520"/>
      <c r="F59" s="520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21"/>
      <c r="B60" s="521"/>
      <c r="C60" s="521"/>
      <c r="D60" s="521"/>
      <c r="E60" s="521"/>
      <c r="F60" s="521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B12">
      <selection activeCell="M17" sqref="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Hydro One Brampton Networks Inc.</v>
      </c>
      <c r="O3" s="416" t="str">
        <f>REGINFO!E1</f>
        <v>Version 2009.1</v>
      </c>
    </row>
    <row r="4" spans="1:15" ht="12.75">
      <c r="A4" s="2" t="str">
        <f>REGINFO!A4</f>
        <v>Reporting period:  2004</v>
      </c>
      <c r="E4" s="417" t="s">
        <v>319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5.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1674014.6153846157</v>
      </c>
      <c r="N15" s="392"/>
      <c r="O15" s="397">
        <f t="shared" si="0"/>
        <v>1674014.6153846157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-481841.50641309936</v>
      </c>
      <c r="N17" s="392"/>
      <c r="O17" s="397">
        <f t="shared" si="0"/>
        <v>-481841.50641309936</v>
      </c>
    </row>
    <row r="18" spans="1:15" ht="25.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6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1192173.1089715164</v>
      </c>
      <c r="N22" s="391"/>
      <c r="O22" s="444">
        <f>SUM(O11:O20)</f>
        <v>1192173.1089715164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8"/>
      <c r="M23" s="436"/>
      <c r="N23" s="188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403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8"/>
      <c r="M27" s="188"/>
      <c r="N27" s="188"/>
      <c r="O27" s="188"/>
    </row>
    <row r="28" spans="1:15" ht="12.75">
      <c r="A28" s="427" t="s">
        <v>404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8"/>
      <c r="M28" s="188"/>
      <c r="N28" s="188"/>
      <c r="O28" s="188"/>
    </row>
    <row r="29" spans="1:15" ht="12.75">
      <c r="A29" s="430" t="s">
        <v>405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8"/>
      <c r="M29" s="188"/>
      <c r="N29" s="188"/>
      <c r="O29" s="188"/>
    </row>
    <row r="30" spans="1:15" ht="9" customHeight="1">
      <c r="A30" s="188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8"/>
      <c r="M30" s="188"/>
      <c r="N30" s="188"/>
      <c r="O30" s="188"/>
    </row>
    <row r="31" spans="1:15" ht="12.75">
      <c r="A31" s="445" t="s">
        <v>406</v>
      </c>
      <c r="B31" s="80"/>
      <c r="C31" s="80"/>
      <c r="D31" s="80"/>
      <c r="E31" s="80"/>
      <c r="F31" s="80"/>
      <c r="G31" s="80"/>
      <c r="H31" s="80"/>
      <c r="I31" s="441"/>
      <c r="J31" s="441"/>
      <c r="K31" s="441"/>
      <c r="L31" s="441"/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525" t="s">
        <v>407</v>
      </c>
      <c r="B33" s="526"/>
      <c r="C33" s="526"/>
      <c r="D33" s="526"/>
      <c r="E33" s="526"/>
      <c r="F33" s="526"/>
      <c r="G33" s="526"/>
      <c r="H33" s="526"/>
      <c r="I33" s="526"/>
      <c r="J33" s="526"/>
      <c r="K33" s="526"/>
      <c r="L33" s="526"/>
      <c r="M33" s="526"/>
      <c r="N33" s="526"/>
      <c r="O33" s="526"/>
      <c r="P33" s="420"/>
      <c r="Q33" s="420"/>
      <c r="R33" s="420"/>
      <c r="S33" s="420"/>
    </row>
    <row r="34" spans="1:19" ht="12.75">
      <c r="A34" s="524" t="s">
        <v>408</v>
      </c>
      <c r="B34" s="527"/>
      <c r="C34" s="527"/>
      <c r="D34" s="527"/>
      <c r="E34" s="527"/>
      <c r="F34" s="527"/>
      <c r="G34" s="527"/>
      <c r="H34" s="527"/>
      <c r="I34" s="527"/>
      <c r="J34" s="527"/>
      <c r="K34" s="527"/>
      <c r="L34" s="527"/>
      <c r="M34" s="527"/>
      <c r="N34" s="527"/>
      <c r="O34" s="527"/>
      <c r="P34" s="420"/>
      <c r="Q34" s="420"/>
      <c r="R34" s="420"/>
      <c r="S34" s="420"/>
    </row>
    <row r="35" spans="1:19" ht="12.75">
      <c r="A35" s="524" t="s">
        <v>429</v>
      </c>
      <c r="B35" s="527"/>
      <c r="C35" s="527"/>
      <c r="D35" s="527"/>
      <c r="E35" s="527"/>
      <c r="F35" s="527"/>
      <c r="G35" s="527"/>
      <c r="H35" s="527"/>
      <c r="I35" s="527"/>
      <c r="J35" s="527"/>
      <c r="K35" s="527"/>
      <c r="L35" s="527"/>
      <c r="M35" s="527"/>
      <c r="N35" s="527"/>
      <c r="O35" s="527"/>
      <c r="P35" s="420"/>
      <c r="Q35" s="420"/>
      <c r="R35" s="420"/>
      <c r="S35" s="420"/>
    </row>
    <row r="36" spans="1:19" ht="12.75">
      <c r="A36" s="524" t="s">
        <v>409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6"/>
      <c r="L36" s="526"/>
      <c r="M36" s="526"/>
      <c r="N36" s="526"/>
      <c r="O36" s="526"/>
      <c r="P36" s="420"/>
      <c r="Q36" s="420"/>
      <c r="R36" s="420"/>
      <c r="S36" s="420"/>
    </row>
    <row r="37" spans="1:19" ht="12.75">
      <c r="A37" s="431" t="s">
        <v>369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20"/>
      <c r="Q37" s="420"/>
      <c r="R37" s="420"/>
      <c r="S37" s="420"/>
    </row>
    <row r="38" spans="1:19" ht="12.75">
      <c r="A38" s="431" t="s">
        <v>370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20"/>
      <c r="Q38" s="420"/>
      <c r="R38" s="420"/>
      <c r="S38" s="420"/>
    </row>
    <row r="39" spans="1:19" ht="12.75">
      <c r="A39" s="431" t="s">
        <v>410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20"/>
      <c r="Q39" s="420"/>
      <c r="R39" s="420"/>
      <c r="S39" s="420"/>
    </row>
    <row r="40" spans="1:19" ht="12.75">
      <c r="A40" s="431" t="s">
        <v>411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20"/>
      <c r="Q40" s="420"/>
      <c r="R40" s="420"/>
      <c r="S40" s="420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20"/>
      <c r="Q41" s="420"/>
      <c r="R41" s="420"/>
      <c r="S41" s="420"/>
    </row>
    <row r="42" spans="1:15" ht="12.75">
      <c r="A42" s="433" t="s">
        <v>412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8"/>
      <c r="M42" s="188"/>
      <c r="N42" s="188"/>
      <c r="O42" s="188"/>
    </row>
    <row r="43" spans="1:15" ht="12.75">
      <c r="A43" s="428" t="s">
        <v>413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8"/>
      <c r="M43" s="188"/>
      <c r="N43" s="188"/>
      <c r="O43" s="188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8"/>
      <c r="M44" s="188"/>
      <c r="N44" s="188"/>
      <c r="O44" s="188"/>
    </row>
    <row r="45" spans="1:15" ht="12.75">
      <c r="A45" s="433" t="s">
        <v>414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8"/>
      <c r="M45" s="188"/>
      <c r="N45" s="188"/>
      <c r="O45" s="188"/>
    </row>
    <row r="46" spans="1:15" ht="12.75">
      <c r="A46" s="428" t="s">
        <v>415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8"/>
      <c r="M46" s="188"/>
      <c r="N46" s="188"/>
      <c r="O46" s="188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8"/>
      <c r="M47" s="188"/>
      <c r="N47" s="188"/>
      <c r="O47" s="188"/>
    </row>
    <row r="48" spans="1:15" ht="12.75">
      <c r="A48" s="433" t="s">
        <v>416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8"/>
      <c r="M48" s="188"/>
      <c r="N48" s="188"/>
      <c r="O48" s="188"/>
    </row>
    <row r="49" spans="1:15" ht="12.75">
      <c r="A49" s="428" t="s">
        <v>417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8"/>
      <c r="M49" s="188"/>
      <c r="N49" s="188"/>
      <c r="O49" s="188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8"/>
      <c r="M50" s="188"/>
      <c r="N50" s="188"/>
      <c r="O50" s="188"/>
    </row>
    <row r="51" spans="1:15" ht="12.75">
      <c r="A51" s="433" t="s">
        <v>418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8"/>
      <c r="M51" s="188"/>
      <c r="N51" s="188"/>
      <c r="O51" s="188"/>
    </row>
    <row r="52" spans="1:15" ht="12.75">
      <c r="A52" s="428" t="s">
        <v>415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8"/>
      <c r="M52" s="188"/>
      <c r="N52" s="188"/>
      <c r="O52" s="188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8"/>
      <c r="M53" s="188"/>
      <c r="N53" s="188"/>
      <c r="O53" s="188"/>
    </row>
    <row r="54" spans="1:15" ht="12.75">
      <c r="A54" s="428" t="s">
        <v>419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8"/>
      <c r="M54" s="188"/>
      <c r="N54" s="188"/>
      <c r="O54" s="188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8"/>
      <c r="M55" s="188"/>
      <c r="N55" s="188"/>
      <c r="O55" s="188"/>
    </row>
    <row r="56" spans="1:15" ht="12.75" customHeight="1">
      <c r="A56" s="433" t="s">
        <v>420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8"/>
      <c r="M56" s="188"/>
      <c r="N56" s="188"/>
      <c r="O56" s="188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8"/>
      <c r="M57" s="188"/>
      <c r="N57" s="188"/>
      <c r="O57" s="188"/>
    </row>
    <row r="58" spans="1:15" ht="12.75">
      <c r="A58" s="428" t="s">
        <v>421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8"/>
      <c r="M58" s="188"/>
      <c r="N58" s="188"/>
      <c r="O58" s="188"/>
    </row>
    <row r="59" spans="1:15" ht="12.75">
      <c r="A59" s="428" t="s">
        <v>422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8"/>
      <c r="M59" s="188"/>
      <c r="N59" s="188"/>
      <c r="O59" s="188"/>
    </row>
    <row r="60" spans="1:15" ht="12.75">
      <c r="A60" s="428" t="s">
        <v>423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8"/>
      <c r="M60" s="188"/>
      <c r="N60" s="188"/>
      <c r="O60" s="188"/>
    </row>
    <row r="61" spans="1:15" ht="12.75">
      <c r="A61" s="428" t="s">
        <v>379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8"/>
      <c r="M61" s="188"/>
      <c r="N61" s="188"/>
      <c r="O61" s="188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8"/>
      <c r="M62" s="188"/>
      <c r="N62" s="188"/>
      <c r="O62" s="188"/>
    </row>
    <row r="63" spans="1:15" ht="12.75">
      <c r="A63" s="428" t="s">
        <v>424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8"/>
      <c r="M63" s="188"/>
      <c r="N63" s="188"/>
      <c r="O63" s="188"/>
    </row>
    <row r="64" spans="1:15" ht="12.75">
      <c r="A64" s="428" t="s">
        <v>425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8"/>
      <c r="M64" s="188"/>
      <c r="N64" s="188"/>
      <c r="O64" s="188"/>
    </row>
    <row r="65" spans="1:15" ht="12.75">
      <c r="A65" s="428" t="s">
        <v>381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8"/>
      <c r="M65" s="188"/>
      <c r="N65" s="188"/>
      <c r="O65" s="188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8"/>
      <c r="M66" s="188"/>
      <c r="N66" s="188"/>
      <c r="O66" s="188"/>
    </row>
    <row r="67" spans="1:15" ht="12.75">
      <c r="A67" s="428" t="s">
        <v>380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8"/>
      <c r="M67" s="188"/>
      <c r="N67" s="188"/>
      <c r="O67" s="188"/>
    </row>
    <row r="68" spans="1:15" ht="12.75">
      <c r="A68" s="428" t="s">
        <v>382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8"/>
      <c r="M68" s="188"/>
      <c r="N68" s="188"/>
      <c r="O68" s="188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8"/>
      <c r="M69" s="188"/>
      <c r="N69" s="188"/>
      <c r="O69" s="188"/>
    </row>
    <row r="70" spans="1:15" ht="12.75">
      <c r="A70" s="428" t="s">
        <v>426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8"/>
      <c r="M70" s="188"/>
      <c r="N70" s="188"/>
      <c r="O70" s="188"/>
    </row>
    <row r="71" spans="1:15" ht="12.75">
      <c r="A71" s="428" t="s">
        <v>427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8"/>
      <c r="M71" s="188"/>
      <c r="N71" s="188"/>
      <c r="O71" s="188"/>
    </row>
    <row r="72" spans="1:15" ht="12.75">
      <c r="A72" s="428" t="s">
        <v>428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8"/>
      <c r="M72" s="188"/>
      <c r="N72" s="188"/>
      <c r="O72" s="188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8"/>
      <c r="M73" s="188"/>
      <c r="N73" s="188"/>
      <c r="O73" s="188"/>
    </row>
    <row r="74" spans="1:15" ht="12.75" customHeight="1">
      <c r="A74" s="524" t="s">
        <v>458</v>
      </c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</row>
    <row r="75" spans="1:15" ht="12.75">
      <c r="A75" s="428" t="s">
        <v>371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8"/>
      <c r="M75" s="188"/>
      <c r="N75" s="188"/>
      <c r="O75" s="188"/>
    </row>
    <row r="76" spans="1:15" ht="12.75">
      <c r="A76" s="18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8"/>
      <c r="M76" s="188"/>
      <c r="N76" s="188"/>
      <c r="O76" s="188"/>
    </row>
    <row r="77" spans="1:15" ht="12.75">
      <c r="A77" s="188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8"/>
      <c r="M77" s="188"/>
      <c r="N77" s="188"/>
      <c r="O77" s="188"/>
    </row>
    <row r="78" spans="1:17" ht="12.75">
      <c r="A78" s="188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8"/>
      <c r="O78" s="188"/>
      <c r="P78" s="188"/>
      <c r="Q78" s="188"/>
    </row>
    <row r="79" spans="1:17" ht="12.75">
      <c r="A79" s="18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8"/>
      <c r="O79" s="188"/>
      <c r="P79" s="188"/>
      <c r="Q79" s="188"/>
    </row>
    <row r="80" spans="1:17" ht="12.75">
      <c r="A80" s="188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8"/>
      <c r="O80" s="188"/>
      <c r="P80" s="188"/>
      <c r="Q80" s="188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8"/>
      <c r="O81" s="188"/>
      <c r="P81" s="188"/>
      <c r="Q81" s="188"/>
    </row>
    <row r="82" spans="1:17" ht="12.75">
      <c r="A82" s="188"/>
      <c r="B82" s="188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8"/>
      <c r="O82" s="188"/>
      <c r="P82" s="188"/>
      <c r="Q82" s="188"/>
    </row>
    <row r="83" spans="1:17" ht="12.75">
      <c r="A83" s="188"/>
      <c r="B83" s="18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8"/>
      <c r="O83" s="188"/>
      <c r="P83" s="188"/>
      <c r="Q83" s="188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8"/>
      <c r="O84" s="188"/>
      <c r="P84" s="188"/>
      <c r="Q84" s="188"/>
    </row>
    <row r="85" spans="1:17" ht="12.75">
      <c r="A85" s="188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8"/>
      <c r="O85" s="188"/>
      <c r="P85" s="188"/>
      <c r="Q85" s="188"/>
    </row>
    <row r="86" spans="1:17" ht="12.75">
      <c r="A86" s="188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8"/>
      <c r="O86" s="188"/>
      <c r="P86" s="188"/>
      <c r="Q86" s="188"/>
    </row>
    <row r="87" spans="1:17" ht="12.75">
      <c r="A87" s="188"/>
      <c r="B87" s="188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8"/>
      <c r="O87" s="188"/>
      <c r="P87" s="188"/>
      <c r="Q87" s="188"/>
    </row>
    <row r="88" spans="1:17" ht="12.75">
      <c r="A88" s="188"/>
      <c r="B88" s="188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8"/>
      <c r="O88" s="188"/>
      <c r="P88" s="188"/>
      <c r="Q88" s="188"/>
    </row>
    <row r="89" spans="1:17" ht="12.75">
      <c r="A89" s="188"/>
      <c r="B89" s="188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8"/>
      <c r="O89" s="188"/>
      <c r="P89" s="188"/>
      <c r="Q89" s="188"/>
    </row>
    <row r="90" spans="1:17" ht="12.75">
      <c r="A90" s="188"/>
      <c r="B90" s="188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8"/>
      <c r="O90" s="188"/>
      <c r="P90" s="188"/>
      <c r="Q90" s="188"/>
    </row>
    <row r="91" spans="1:17" ht="12.75">
      <c r="A91" s="188"/>
      <c r="B91" s="18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8"/>
      <c r="O91" s="188"/>
      <c r="P91" s="188"/>
      <c r="Q91" s="188"/>
    </row>
    <row r="92" spans="1:17" ht="12.75">
      <c r="A92" s="188"/>
      <c r="B92" s="188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</row>
    <row r="93" spans="1:17" ht="12.75">
      <c r="A93" s="188"/>
      <c r="B93" s="188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2010-09-13T15:02:08Z</cp:lastPrinted>
  <dcterms:created xsi:type="dcterms:W3CDTF">2001-11-07T16:15:53Z</dcterms:created>
  <dcterms:modified xsi:type="dcterms:W3CDTF">2010-09-23T15:21:35Z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