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True-up'!$A$1:$F$77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<sst xmlns="http://schemas.openxmlformats.org/spreadsheetml/2006/main" count="879" uniqueCount="509">
  <si>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</si>
  <si>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</si>
  <si>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</si>
  <si>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</si>
  <si>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</si>
  <si>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</si>
  <si>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</si>
  <si>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</si>
  <si>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</si>
  <si>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</si>
  <si>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</si>
  <si>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</si>
  <si>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</si>
  <si>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</si>
  <si>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</si>
  <si>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</si>
  <si>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</si>
  <si>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</si>
  <si>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</si>
  <si>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</si>
  <si>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</si>
  <si>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</si>
  <si>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</si>
  <si>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</si>
  <si>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</si>
  <si>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</si>
  <si>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</si>
  <si>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</si>
  <si>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</si>
  <si>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</si>
  <si>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</si>
  <si>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</si>
  <si>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</si>
  <si>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</si>
  <si>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</si>
  <si>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</si>
  <si>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</si>
  <si>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</si>
  <si>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</si>
  <si>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</si>
  <si>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</si>
  <si>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</si>
  <si>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</si>
  <si>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</si>
  <si>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</si>
  <si>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</si>
  <si>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</si>
  <si>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</si>
  <si>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</si>
  <si>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</si>
  <si>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</si>
  <si>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</si>
  <si>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</si>
  <si>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</si>
  <si>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</si>
  <si>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</si>
  <si>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</si>
  <si>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</si>
  <si>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</si>
  <si>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</si>
  <si>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</si>
  <si>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</si>
  <si>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</si>
  <si>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</si>
  <si>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</si>
  <si>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</si>
  <si>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</si>
  <si>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</si>
  <si>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</si>
  <si>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</si>
  <si>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</si>
  <si>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</si>
  <si>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</si>
  <si>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</si>
  <si>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</si>
  <si>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</si>
  <si>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</si>
  <si>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</si>
  <si>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</si>
  <si>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</si>
  <si>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</si>
  <si>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</si>
  <si>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</si>
  <si>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</si>
  <si>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</si>
  <si>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</si>
  <si>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</si>
  <si>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</si>
  <si>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</si>
  <si>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</si>
  <si>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</si>
  <si>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</si>
  <si>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</si>
  <si>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</si>
  <si>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</si>
  <si>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</si>
  <si>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</si>
  <si>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</si>
  <si>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</si>
  <si>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</si>
  <si>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</si>
  <si>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</si>
  <si>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</si>
  <si>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</si>
  <si>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</si>
  <si>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</si>
  <si>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</si>
  <si>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</si>
  <si>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</si>
  <si>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</si>
  <si>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</si>
  <si>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</si>
  <si>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</si>
  <si>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</si>
  <si>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</si>
  <si>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</si>
  <si>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</si>
  <si>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</si>
  <si>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</si>
  <si>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</si>
  <si>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</si>
  <si>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</si>
  <si>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</si>
  <si>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</si>
  <si>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</si>
  <si>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</si>
  <si>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</si>
  <si>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</si>
  <si>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</si>
  <si>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</si>
  <si>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</si>
  <si>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</si>
  <si>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</si>
  <si>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</si>
  <si>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</si>
  <si>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</si>
  <si>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</si>
  <si>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</si>
  <si>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</si>
  <si>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</si>
  <si>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</si>
  <si>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</si>
  <si>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</si>
  <si>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</si>
  <si>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</si>
  <si>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</si>
  <si>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</si>
  <si>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</si>
  <si>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</si>
  <si>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</si>
  <si>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</si>
  <si>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</si>
  <si>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</si>
  <si>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</si>
  <si>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</si>
  <si>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</si>
  <si>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</si>
  <si>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</si>
  <si>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</si>
  <si>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</si>
  <si>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</si>
  <si>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</si>
  <si>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</si>
  <si>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</si>
  <si>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</si>
  <si>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</si>
  <si>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</si>
  <si>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</si>
  <si>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</si>
  <si>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</si>
  <si>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</si>
  <si>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</si>
  <si>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</si>
  <si>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</si>
  <si>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</si>
  <si>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</si>
  <si>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</si>
  <si>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</si>
  <si>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</si>
  <si>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</si>
  <si>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</si>
  <si>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</si>
  <si>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</si>
  <si>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</si>
  <si>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</si>
  <si>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</si>
  <si>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</si>
  <si>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</si>
  <si>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</si>
  <si>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</si>
  <si>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</si>
  <si>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</si>
  <si>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</si>
  <si>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</si>
  <si>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</si>
  <si>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</si>
  <si>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</si>
  <si>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</si>
  <si>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</si>
  <si>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</si>
  <si>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</si>
  <si>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</si>
  <si>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</si>
  <si>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</si>
  <si>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</si>
  <si>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</si>
  <si>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</si>
  <si>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</si>
  <si>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</si>
  <si>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</si>
  <si>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</si>
  <si>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</si>
  <si>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</si>
  <si>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</si>
  <si>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</si>
  <si>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</si>
  <si>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</si>
  <si>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</si>
  <si>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</si>
  <si>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</si>
  <si>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</si>
  <si>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</si>
  <si>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</si>
  <si>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</si>
  <si>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</si>
  <si>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</si>
  <si>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</si>
  <si>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</si>
  <si>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</si>
  <si>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</si>
  <si>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</si>
  <si>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</si>
  <si>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</si>
  <si>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</si>
  <si>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</si>
  <si>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</si>
  <si>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</si>
  <si>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</si>
  <si>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</si>
  <si>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</si>
  <si>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</si>
  <si>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</si>
  <si>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</si>
  <si>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</si>
  <si>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</si>
  <si>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</si>
  <si>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</si>
  <si>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</si>
  <si>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</si>
  <si>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</si>
  <si>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</si>
  <si>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</si>
  <si>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</si>
  <si>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</si>
  <si>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</si>
  <si>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</si>
  <si>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</si>
  <si>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</si>
  <si>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</si>
  <si>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</si>
  <si>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</si>
  <si>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</si>
  <si>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</si>
  <si>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</si>
  <si>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</si>
  <si>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</si>
  <si>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</si>
  <si>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</si>
  <si>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</si>
  <si>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</si>
  <si>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</si>
  <si>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</si>
  <si>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</si>
  <si>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</si>
  <si>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</si>
  <si>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</si>
  <si>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</si>
  <si>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</si>
  <si>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</si>
  <si>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</si>
  <si>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</si>
  <si>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</si>
  <si>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</si>
  <si>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</si>
  <si>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</si>
  <si>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</si>
  <si>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</si>
  <si>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</si>
  <si>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</si>
  <si>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</si>
  <si>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</si>
  <si>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</si>
  <si>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</si>
  <si>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</si>
  <si>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</si>
  <si>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</si>
  <si>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</si>
  <si>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</si>
  <si>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</si>
  <si>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</si>
  <si>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</si>
  <si>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</si>
  <si>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</si>
  <si>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</si>
  <si>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</si>
  <si>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</si>
  <si>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</si>
  <si>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</si>
  <si>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</si>
  <si>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</si>
  <si>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</si>
  <si>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</si>
  <si>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</si>
  <si>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</si>
  <si>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</si>
  <si>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</si>
  <si>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</si>
  <si>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</si>
  <si>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</si>
  <si>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</si>
  <si>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</si>
  <si>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</si>
  <si>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</si>
  <si>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</si>
  <si>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</si>
  <si>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</si>
  <si>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</si>
  <si>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</si>
  <si>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</si>
  <si>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</si>
  <si>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</si>
  <si>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</si>
  <si>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</si>
  <si>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</si>
  <si>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</si>
  <si>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</si>
  <si>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</si>
  <si>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</si>
  <si>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</si>
  <si>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</si>
  <si>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</si>
  <si>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</si>
  <si>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</si>
  <si>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</si>
  <si>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</si>
  <si>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</si>
  <si>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</si>
  <si>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</si>
  <si>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</si>
  <si>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</si>
  <si>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</si>
  <si>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</si>
  <si>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</si>
  <si>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</si>
  <si>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</si>
  <si>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</si>
  <si>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</si>
  <si>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</si>
  <si>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</si>
  <si>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</si>
  <si>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</si>
  <si>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</si>
  <si>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</si>
  <si>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</si>
  <si>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</si>
  <si>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</si>
  <si>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</si>
  <si>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</si>
  <si>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</si>
  <si>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</si>
  <si>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</si>
  <si>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</si>
  <si>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</si>
  <si>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</si>
  <si>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</si>
  <si>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</si>
  <si>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</si>
  <si>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</si>
  <si>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</si>
  <si>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</si>
  <si>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</si>
  <si>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</si>
  <si>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</si>
  <si>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</si>
  <si>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</si>
  <si>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</si>
  <si>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</si>
  <si>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</si>
  <si>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</si>
  <si>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</si>
  <si>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</si>
  <si>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</si>
  <si>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</si>
  <si>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</si>
  <si>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</si>
  <si>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</si>
  <si>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</si>
  <si>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</si>
  <si>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</si>
  <si>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</si>
  <si>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</si>
  <si>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</si>
  <si>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</si>
  <si>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</si>
  <si>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</si>
  <si>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</si>
  <si>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</si>
  <si>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</si>
  <si>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</si>
  <si>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</si>
  <si>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</si>
  <si>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</si>
  <si>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</si>
  <si>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</si>
  <si>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</si>
  <si>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</si>
  <si>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</si>
  <si>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</si>
  <si>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</si>
  <si>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</si>
  <si>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</si>
  <si>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</si>
  <si>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</si>
  <si>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</si>
  <si>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</si>
  <si>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</si>
  <si>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</si>
  <si>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</si>
  <si>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</si>
  <si>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</si>
  <si>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</si>
  <si>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</si>
  <si>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</si>
  <si>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</si>
  <si>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</si>
  <si>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</si>
  <si>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</si>
  <si>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</si>
  <si>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</si>
  <si>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</si>
  <si>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</si>
  <si>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</si>
  <si>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</si>
  <si>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</si>
  <si>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</si>
  <si>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</si>
  <si>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</si>
  <si>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</si>
  <si>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</si>
  <si>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</si>
  <si>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</si>
  <si>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</si>
  <si>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</si>
  <si>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</si>
  <si>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</si>
  <si>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</si>
  <si>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</si>
  <si>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</si>
  <si>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</si>
  <si>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</si>
  <si>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</si>
  <si>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</si>
  <si>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</si>
  <si>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</si>
  <si>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</si>
  <si>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</si>
  <si>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</si>
  <si>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</si>
  <si>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</si>
  <si>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</si>
  <si>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</si>
  <si>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</si>
  <si>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</si>
  <si>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</si>
  <si>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</si>
  <si>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</si>
  <si>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</si>
  <si>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</si>
  <si>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</si>
  <si>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</si>
  <si>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</si>
  <si>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</si>
  <si>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</si>
  <si>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</si>
  <si>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</si>
  <si>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</si>
  <si>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</si>
  <si>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</si>
  <si>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</si>
  <si>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</si>
  <si>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</si>
  <si>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</si>
  <si>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</si>
  <si>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 xml:space="preserve">     Reg Asset movement</t>
  </si>
  <si>
    <t>Utility Name: Hydro One Brampton Networks Inc.</t>
  </si>
  <si>
    <t>PILs TAXES - EB-2010-</t>
  </si>
  <si>
    <t>Total deemed interest  (REGINFO CELL D62)</t>
  </si>
  <si>
    <t>Partnership income per T5013 (net of 2001 loss)</t>
  </si>
  <si>
    <t>Amortization of debt discount</t>
  </si>
  <si>
    <t>RSVA Reserve (1580)</t>
  </si>
  <si>
    <t>Reserves for Transition Costs</t>
  </si>
  <si>
    <t>Reserves for rebate payment</t>
  </si>
  <si>
    <t>Prospectus &amp; underwriting fees</t>
  </si>
  <si>
    <t>Income not earned on movement of Regulatory A/Cs</t>
  </si>
  <si>
    <t>Deferred cost deductible (market ready)</t>
  </si>
  <si>
    <t>Other Liabilities (2405) - Allowance for doubtful accounts</t>
  </si>
  <si>
    <t>Regulayory assets contra</t>
  </si>
  <si>
    <t>Interest phased-in  (Cell C37)</t>
  </si>
  <si>
    <t xml:space="preserve">Interest deducted on MoF filing  (Cell G37+G42) 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</si>
</sst>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2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58" xfId="0" applyNumberFormat="1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 vertical="top"/>
    </xf>
    <xf numFmtId="10" fontId="0" fillId="44" borderId="0" xfId="0" applyNumberFormat="1" applyFill="1" applyAlignment="1">
      <alignment vertical="top"/>
    </xf>
    <xf numFmtId="37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0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7" fontId="0" fillId="44" borderId="14" xfId="0" applyNumberFormat="1" applyFill="1" applyBorder="1" applyAlignment="1">
      <alignment vertical="top"/>
    </xf>
    <xf numFmtId="10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/>
    </xf>
    <xf numFmtId="9" fontId="0" fillId="44" borderId="0" xfId="0" applyNumberFormat="1" applyFill="1" applyAlignment="1">
      <alignment horizontal="center" vertical="top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3" fontId="0" fillId="32" borderId="14" xfId="0" applyNumberFormat="1" applyFill="1" applyBorder="1" applyAlignment="1" applyProtection="1">
      <alignment/>
      <protection/>
    </xf>
    <xf numFmtId="0" fontId="0" fillId="45" borderId="0" xfId="0" applyFont="1" applyFill="1" applyAlignment="1">
      <alignment vertical="top"/>
    </xf>
    <xf numFmtId="0" fontId="0" fillId="45" borderId="0" xfId="0" applyFont="1" applyFill="1" applyAlignment="1">
      <alignment vertical="top" wrapText="1"/>
    </xf>
    <xf numFmtId="0" fontId="0" fillId="0" borderId="14" xfId="0" applyFont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workbookViewId="0" topLeftCell="A44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495</v>
      </c>
      <c r="C1" s="8"/>
      <c r="E1" s="2" t="s">
        <v>458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494</v>
      </c>
      <c r="C3" s="8"/>
      <c r="D3" s="452" t="s">
        <v>444</v>
      </c>
      <c r="E3" s="8"/>
      <c r="F3" s="8"/>
      <c r="G3" s="8"/>
      <c r="H3" s="8"/>
    </row>
    <row r="4" spans="1:8" ht="12.75">
      <c r="A4" s="2" t="s">
        <v>478</v>
      </c>
      <c r="C4" s="8"/>
      <c r="D4" s="451" t="s">
        <v>439</v>
      </c>
      <c r="E4" s="425"/>
      <c r="H4" s="8"/>
    </row>
    <row r="5" spans="1:8" ht="12.75">
      <c r="A5" s="52"/>
      <c r="C5" s="8"/>
      <c r="D5" s="450" t="s">
        <v>440</v>
      </c>
      <c r="E5" s="400"/>
      <c r="H5" s="8"/>
    </row>
    <row r="6" spans="1:8" ht="12.75">
      <c r="A6" s="2" t="s">
        <v>126</v>
      </c>
      <c r="B6" s="390">
        <v>365</v>
      </c>
      <c r="C6" s="8" t="s">
        <v>127</v>
      </c>
      <c r="D6" s="21"/>
      <c r="H6" s="8"/>
    </row>
    <row r="7" spans="1:8" ht="13.5" thickBot="1">
      <c r="A7" s="52" t="s">
        <v>254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/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/>
    </row>
    <row r="18" spans="1:4" ht="15" customHeight="1">
      <c r="A18" s="391" t="s">
        <v>312</v>
      </c>
      <c r="C18" s="8"/>
      <c r="D18" s="8"/>
    </row>
    <row r="19" spans="1:4" ht="15" customHeight="1">
      <c r="A19" s="507" t="s">
        <v>313</v>
      </c>
      <c r="B19" s="8" t="s">
        <v>310</v>
      </c>
      <c r="C19" s="8" t="s">
        <v>64</v>
      </c>
      <c r="D19" s="390"/>
    </row>
    <row r="20" spans="1:4" ht="13.5" thickBot="1">
      <c r="A20" s="508"/>
      <c r="B20" s="8" t="s">
        <v>311</v>
      </c>
      <c r="C20" s="8" t="s">
        <v>64</v>
      </c>
      <c r="D20" s="258"/>
    </row>
    <row r="21" spans="1:4" ht="12.75">
      <c r="A21" s="507" t="s">
        <v>309</v>
      </c>
      <c r="B21" s="8" t="s">
        <v>310</v>
      </c>
      <c r="C21" s="8"/>
      <c r="D21" s="497">
        <v>0.02</v>
      </c>
    </row>
    <row r="22" spans="1:4" ht="12.75">
      <c r="A22" s="507"/>
      <c r="B22" s="8" t="s">
        <v>311</v>
      </c>
      <c r="C22" s="8"/>
      <c r="D22" s="497">
        <v>0.03</v>
      </c>
    </row>
    <row r="23" spans="1:4" ht="7.5" customHeight="1">
      <c r="A23" s="45"/>
      <c r="C23" s="8"/>
      <c r="D23" s="390"/>
    </row>
    <row r="24" spans="1:4" ht="12.75">
      <c r="A24" s="45" t="s">
        <v>212</v>
      </c>
      <c r="C24" s="8" t="s">
        <v>213</v>
      </c>
      <c r="D24" s="423" t="s">
        <v>479</v>
      </c>
    </row>
    <row r="25" ht="6.75" customHeight="1" thickBot="1">
      <c r="A25" s="12"/>
    </row>
    <row r="26" spans="1:5" ht="12.75">
      <c r="A26" s="255" t="s">
        <v>67</v>
      </c>
      <c r="C26" s="8"/>
      <c r="E26" s="440" t="s">
        <v>294</v>
      </c>
    </row>
    <row r="27" spans="1:5" ht="12.75">
      <c r="A27" s="256" t="s">
        <v>68</v>
      </c>
      <c r="C27" s="8"/>
      <c r="E27" s="441" t="s">
        <v>295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284</v>
      </c>
      <c r="D31" s="486">
        <v>211672968</v>
      </c>
      <c r="H31" s="5"/>
    </row>
    <row r="32" ht="6" customHeight="1"/>
    <row r="33" spans="1:8" ht="12.75">
      <c r="A33" t="s">
        <v>71</v>
      </c>
      <c r="D33" s="485">
        <v>0.45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5">
        <v>0.0988</v>
      </c>
      <c r="H37" s="41"/>
    </row>
    <row r="38" ht="4.5" customHeight="1">
      <c r="H38" s="34"/>
    </row>
    <row r="39" spans="1:8" ht="12.75">
      <c r="A39" t="s">
        <v>74</v>
      </c>
      <c r="D39" s="485">
        <v>0.07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17560389.42528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4">
        <v>7853867</v>
      </c>
      <c r="E43" s="389">
        <f>D43</f>
        <v>7853867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9706522.425280001</v>
      </c>
      <c r="H45" s="40"/>
      <c r="J45" s="5"/>
      <c r="K45" s="5"/>
    </row>
    <row r="46" spans="1:11" ht="12.75">
      <c r="A46" s="2" t="s">
        <v>285</v>
      </c>
      <c r="D46" s="40"/>
      <c r="H46" s="40"/>
      <c r="J46" s="5"/>
      <c r="K46" s="5"/>
    </row>
    <row r="47" spans="1:11" ht="12.75">
      <c r="A47" t="s">
        <v>286</v>
      </c>
      <c r="D47" s="487">
        <v>3235507</v>
      </c>
      <c r="E47" s="389">
        <f aca="true" t="shared" si="0" ref="E47:E53">D47</f>
        <v>3235507</v>
      </c>
      <c r="H47" s="40"/>
      <c r="J47" s="5"/>
      <c r="K47" s="5"/>
    </row>
    <row r="48" spans="1:11" ht="12.75">
      <c r="A48" t="s">
        <v>287</v>
      </c>
      <c r="D48" s="487">
        <v>3235507</v>
      </c>
      <c r="E48" s="389">
        <f>D48</f>
        <v>3235507</v>
      </c>
      <c r="F48" s="22"/>
      <c r="H48" s="40"/>
      <c r="J48" s="5"/>
      <c r="K48" s="5"/>
    </row>
    <row r="49" spans="1:11" ht="12.75">
      <c r="A49" t="s">
        <v>288</v>
      </c>
      <c r="D49" s="488"/>
      <c r="E49" s="389">
        <v>0</v>
      </c>
      <c r="F49" s="22"/>
      <c r="H49" s="40"/>
      <c r="J49" s="5"/>
      <c r="K49" s="5"/>
    </row>
    <row r="50" spans="1:11" ht="12.75">
      <c r="A50" t="s">
        <v>289</v>
      </c>
      <c r="D50" s="425"/>
      <c r="E50" s="389">
        <f t="shared" si="0"/>
        <v>0</v>
      </c>
      <c r="H50" s="40"/>
      <c r="J50" s="5"/>
      <c r="K50" s="5"/>
    </row>
    <row r="51" spans="1:11" ht="12.75">
      <c r="A51" t="s">
        <v>436</v>
      </c>
      <c r="D51" s="425"/>
      <c r="E51" s="389">
        <f t="shared" si="0"/>
        <v>0</v>
      </c>
      <c r="H51" s="40"/>
      <c r="J51" s="5"/>
      <c r="K51" s="5"/>
    </row>
    <row r="52" spans="1:11" ht="12.75">
      <c r="A52" t="s">
        <v>459</v>
      </c>
      <c r="D52" s="425"/>
      <c r="E52" s="389">
        <f t="shared" si="0"/>
        <v>0</v>
      </c>
      <c r="H52" s="40"/>
      <c r="J52" s="5"/>
      <c r="K52" s="5"/>
    </row>
    <row r="53" spans="4:11" ht="12.75">
      <c r="D53" s="425"/>
      <c r="E53" s="389">
        <f t="shared" si="0"/>
        <v>0</v>
      </c>
      <c r="H53" s="40"/>
      <c r="J53" s="5"/>
      <c r="K53" s="5"/>
    </row>
    <row r="54" spans="1:11" ht="12.75">
      <c r="A54" s="2" t="s">
        <v>290</v>
      </c>
      <c r="E54" s="254">
        <f>SUM(E43:E53)</f>
        <v>14324881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95252835.60000001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9410980.15728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116420132.4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308</v>
      </c>
      <c r="B62" s="5"/>
      <c r="C62" s="5"/>
      <c r="D62" s="252">
        <f>D60*D39</f>
        <v>8149409.268000001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291</v>
      </c>
      <c r="B64" s="5"/>
      <c r="C64" s="5"/>
      <c r="D64" s="253">
        <f>IF(D41&gt;0,(((D43+D47)/D41)*D62),0)</f>
        <v>5146346.419961427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292</v>
      </c>
      <c r="B66" s="5"/>
      <c r="C66" s="5"/>
      <c r="D66" s="253">
        <f>IF(D41&gt;0,(((D43+D47+D48)/D41)*D62),0)</f>
        <v>6647877.5132594025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293</v>
      </c>
      <c r="B68" s="5"/>
      <c r="C68" s="5"/>
      <c r="D68" s="253">
        <f>IF(D41&gt;0,(((D43+D47+D48)/D41)*D62),0)</f>
        <v>6647877.5132594025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445</v>
      </c>
      <c r="B70" s="5"/>
      <c r="C70" s="5"/>
      <c r="D70" s="253">
        <f>D62</f>
        <v>8149409.268000001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90" zoomScaleNormal="90" workbookViewId="0" topLeftCell="A80">
      <selection activeCell="C95" sqref="C95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461</v>
      </c>
      <c r="H1" s="210"/>
    </row>
    <row r="2" spans="1:8" ht="12.75">
      <c r="A2" s="211" t="s">
        <v>460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462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Hydro One Brampton Networks Inc.</v>
      </c>
      <c r="B6" s="115"/>
      <c r="D6" s="137"/>
      <c r="E6" s="115"/>
      <c r="G6" s="115"/>
      <c r="H6" s="462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2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6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254</v>
      </c>
      <c r="B10" s="426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338</v>
      </c>
      <c r="B16" s="125">
        <v>1</v>
      </c>
      <c r="C16" s="260">
        <f>REGINFO!E54</f>
        <v>14324881</v>
      </c>
      <c r="D16" s="17"/>
      <c r="E16" s="268">
        <f>G16-C16</f>
        <v>13409302</v>
      </c>
      <c r="F16" s="3"/>
      <c r="G16" s="268">
        <f>TAXREC!E50</f>
        <v>27734183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89">
        <v>9600202</v>
      </c>
      <c r="D20" s="18"/>
      <c r="E20" s="268">
        <f>G20-C20</f>
        <v>2812246</v>
      </c>
      <c r="F20" s="6"/>
      <c r="G20" s="268">
        <f>TAXREC!E61</f>
        <v>12412448</v>
      </c>
      <c r="H20" s="151"/>
    </row>
    <row r="21" spans="1:8" ht="12.75">
      <c r="A21" s="158" t="s">
        <v>56</v>
      </c>
      <c r="B21" s="127">
        <v>3</v>
      </c>
      <c r="C21" s="262">
        <v>263000</v>
      </c>
      <c r="D21" s="18"/>
      <c r="E21" s="268">
        <f>G21-C21</f>
        <v>-200000</v>
      </c>
      <c r="F21" s="6"/>
      <c r="G21" s="268">
        <f>TAXREC!E62</f>
        <v>63000</v>
      </c>
      <c r="H21" s="151"/>
    </row>
    <row r="22" spans="1:8" ht="12.75">
      <c r="A22" s="158" t="s">
        <v>262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261</v>
      </c>
      <c r="B23" s="127">
        <v>4</v>
      </c>
      <c r="C23" s="262"/>
      <c r="D23" s="18"/>
      <c r="E23" s="268">
        <f>G23-C23</f>
        <v>353625</v>
      </c>
      <c r="F23" s="6"/>
      <c r="G23" s="268">
        <f>TAXREC!E64</f>
        <v>353625</v>
      </c>
      <c r="H23" s="151"/>
    </row>
    <row r="24" spans="1:8" ht="12.75">
      <c r="A24" s="158" t="s">
        <v>263</v>
      </c>
      <c r="B24" s="127">
        <v>5</v>
      </c>
      <c r="C24" s="489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18781</v>
      </c>
      <c r="F26" s="6"/>
      <c r="G26" s="268">
        <f>TAXREC!E92</f>
        <v>18781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.75">
      <c r="A30" s="477" t="s">
        <v>392</v>
      </c>
      <c r="B30" s="127"/>
      <c r="C30" s="260"/>
      <c r="D30" s="18"/>
      <c r="E30" s="268">
        <f>G30-C30</f>
        <v>1114646</v>
      </c>
      <c r="F30" s="6"/>
      <c r="G30" s="268">
        <f>TAXREC!E66</f>
        <v>1114646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339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89">
        <v>7215016</v>
      </c>
      <c r="D33" s="132"/>
      <c r="E33" s="268">
        <f aca="true" t="shared" si="0" ref="E33:E42">G33-C33</f>
        <v>5340690</v>
      </c>
      <c r="F33" s="6"/>
      <c r="G33" s="268">
        <f>TAXREC!E97+TAXREC!E98</f>
        <v>12555706</v>
      </c>
      <c r="H33" s="151"/>
    </row>
    <row r="34" spans="1:8" ht="12.75">
      <c r="A34" s="158" t="s">
        <v>57</v>
      </c>
      <c r="B34" s="127">
        <v>8</v>
      </c>
      <c r="C34" s="262">
        <v>90000</v>
      </c>
      <c r="D34" s="132"/>
      <c r="E34" s="268">
        <f t="shared" si="0"/>
        <v>-90000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264</v>
      </c>
      <c r="B36" s="127">
        <v>10</v>
      </c>
      <c r="C36" s="489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6647877.5132594025</v>
      </c>
      <c r="D37" s="132"/>
      <c r="E37" s="268">
        <f t="shared" si="0"/>
        <v>2999111.4867405975</v>
      </c>
      <c r="F37" s="6"/>
      <c r="G37" s="268">
        <f>TAXREC!E51</f>
        <v>9646989</v>
      </c>
      <c r="H37" s="151"/>
    </row>
    <row r="38" spans="1:8" ht="12.75">
      <c r="A38" s="155" t="s">
        <v>260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259</v>
      </c>
      <c r="B39" s="125">
        <v>4</v>
      </c>
      <c r="C39" s="262"/>
      <c r="D39" s="132"/>
      <c r="E39" s="268">
        <f t="shared" si="0"/>
        <v>144843</v>
      </c>
      <c r="F39" s="6"/>
      <c r="G39" s="268">
        <f>TAXREC!E105</f>
        <v>144843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77" t="s">
        <v>392</v>
      </c>
      <c r="B48" s="127"/>
      <c r="C48" s="260"/>
      <c r="D48" s="132"/>
      <c r="E48" s="268">
        <f>G48-C48</f>
        <v>2883170</v>
      </c>
      <c r="F48" s="6"/>
      <c r="G48" s="251">
        <f>TAXREC!E108</f>
        <v>2883170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325</v>
      </c>
      <c r="B50" s="125"/>
      <c r="C50" s="264">
        <f>C16+SUM(C20:C30)-SUM(C33:C48)</f>
        <v>10235189.486740597</v>
      </c>
      <c r="D50" s="102"/>
      <c r="E50" s="264">
        <f>E16+SUM(E20:E30)-SUM(E33:E48)</f>
        <v>6230785.513259403</v>
      </c>
      <c r="F50" s="428" t="s">
        <v>364</v>
      </c>
      <c r="G50" s="264">
        <f>G16+SUM(G20:G30)-SUM(G33:G48)</f>
        <v>16465975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333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337</v>
      </c>
      <c r="B53" s="127">
        <v>13</v>
      </c>
      <c r="C53" s="263">
        <f>IF($C$50&gt;'Tax Rates'!$E$11,'Tax Rates'!$F$16,IF($C$50&gt;'Tax Rates'!$C$11,'Tax Rates'!$E$16,'Tax Rates'!$C$16))</f>
        <v>0.3862</v>
      </c>
      <c r="D53" s="102"/>
      <c r="E53" s="269">
        <f>+G53-C53</f>
        <v>-0.01999581227349123</v>
      </c>
      <c r="F53" s="114"/>
      <c r="G53" s="470">
        <f>TAXREC!E151</f>
        <v>0.36620418772650876</v>
      </c>
      <c r="H53" s="151"/>
      <c r="I53" s="467" t="s">
        <v>472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3952830.1797792185</v>
      </c>
      <c r="D55" s="102"/>
      <c r="E55" s="268">
        <f>G55-C55</f>
        <v>2077078.8202207815</v>
      </c>
      <c r="F55" s="428" t="s">
        <v>365</v>
      </c>
      <c r="G55" s="265">
        <f>TAXREC!E144</f>
        <v>6029909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56053</v>
      </c>
      <c r="F58" s="428" t="s">
        <v>365</v>
      </c>
      <c r="G58" s="271">
        <f>TAXREC!E145</f>
        <v>56053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3952830.1797792185</v>
      </c>
      <c r="D60" s="133"/>
      <c r="E60" s="270">
        <f>+E55-E58</f>
        <v>2021025.8202207815</v>
      </c>
      <c r="F60" s="428" t="s">
        <v>365</v>
      </c>
      <c r="G60" s="270">
        <f>+G55-G58</f>
        <v>5973856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211672968</v>
      </c>
      <c r="D66" s="102"/>
      <c r="E66" s="268">
        <f>G66-C66</f>
        <v>68475638</v>
      </c>
      <c r="F66" s="6"/>
      <c r="G66" s="490">
        <v>280148606</v>
      </c>
      <c r="H66" s="151"/>
      <c r="I66" s="472" t="s">
        <v>473</v>
      </c>
    </row>
    <row r="67" spans="1:10" ht="12.75">
      <c r="A67" s="152" t="s">
        <v>357</v>
      </c>
      <c r="B67" s="125">
        <v>16</v>
      </c>
      <c r="C67" s="261">
        <f>IF(C66&gt;0,'Tax Rates'!C21,0)</f>
        <v>100000</v>
      </c>
      <c r="D67" s="102"/>
      <c r="E67" s="268">
        <f>G67-C67</f>
        <v>48875</v>
      </c>
      <c r="F67" s="6"/>
      <c r="G67" s="268">
        <f>'Tax Rates'!C57</f>
        <v>148875</v>
      </c>
      <c r="H67" s="151"/>
      <c r="I67" s="472" t="s">
        <v>473</v>
      </c>
      <c r="J67" s="473" t="s">
        <v>474</v>
      </c>
    </row>
    <row r="68" spans="1:8" ht="12.75">
      <c r="A68" s="152" t="s">
        <v>42</v>
      </c>
      <c r="B68" s="125"/>
      <c r="C68" s="265">
        <f>IF((C66-C67)&gt;0,C66-C67,0)</f>
        <v>211572968</v>
      </c>
      <c r="D68" s="102"/>
      <c r="E68" s="268">
        <f>SUM(E66:E67)</f>
        <v>68524513</v>
      </c>
      <c r="F68" s="114"/>
      <c r="G68" s="265">
        <f>G66-G67</f>
        <v>279999731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358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314</v>
      </c>
      <c r="B72" s="125"/>
      <c r="C72" s="265">
        <f>IF(C68&gt;0,C68*C70,0)*REGINFO!$B$6/REGINFO!$B$7</f>
        <v>634718.904</v>
      </c>
      <c r="D72" s="101"/>
      <c r="E72" s="268">
        <f>+G72-C72</f>
        <v>205280.289</v>
      </c>
      <c r="F72" s="474"/>
      <c r="G72" s="265">
        <f>IF(G68&gt;0,G68*G70,0)*REGINFO!$B$6/REGINFO!$B$7</f>
        <v>839999.193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211672968</v>
      </c>
      <c r="D75" s="102"/>
      <c r="E75" s="268">
        <f>+G75-C75</f>
        <v>84080096</v>
      </c>
      <c r="F75" s="6"/>
      <c r="G75" s="490">
        <v>295753064</v>
      </c>
      <c r="H75" s="151"/>
      <c r="I75" s="472" t="s">
        <v>473</v>
      </c>
    </row>
    <row r="76" spans="1:9" ht="12.75">
      <c r="A76" s="152" t="s">
        <v>357</v>
      </c>
      <c r="B76" s="125">
        <v>19</v>
      </c>
      <c r="C76" s="261">
        <f>IF(C75&gt;0,'Tax Rates'!C22,0)</f>
        <v>300000</v>
      </c>
      <c r="D76" s="18"/>
      <c r="E76" s="268">
        <f>+G76-C76</f>
        <v>-300000</v>
      </c>
      <c r="F76" s="6"/>
      <c r="G76" s="268">
        <f>'Tax Rates'!C58</f>
        <v>0</v>
      </c>
      <c r="H76" s="151"/>
      <c r="I76" s="472" t="s">
        <v>473</v>
      </c>
    </row>
    <row r="77" spans="1:8" ht="12.75">
      <c r="A77" s="152" t="s">
        <v>42</v>
      </c>
      <c r="B77" s="125"/>
      <c r="C77" s="265">
        <f>IF((C75-C76)&gt;0,C75-C76,0)</f>
        <v>211372968</v>
      </c>
      <c r="D77" s="19"/>
      <c r="E77" s="268">
        <f>SUM(E75:E76)</f>
        <v>83780096</v>
      </c>
      <c r="F77" s="114"/>
      <c r="G77" s="265">
        <f>G75-G76</f>
        <v>295753064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358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315</v>
      </c>
      <c r="B81" s="125"/>
      <c r="C81" s="265">
        <f>IF(C77&gt;0,C77*C79,0)*REGINFO!$B$6/REGINFO!$B$7</f>
        <v>475589.178</v>
      </c>
      <c r="D81" s="102"/>
      <c r="E81" s="268">
        <f>+G81-C81</f>
        <v>189855.21599999996</v>
      </c>
      <c r="F81" s="6"/>
      <c r="G81" s="265">
        <f>G77*G79*B9/B10</f>
        <v>665444.394</v>
      </c>
      <c r="H81" s="151"/>
    </row>
    <row r="82" spans="1:8" ht="12.75">
      <c r="A82" s="152" t="s">
        <v>316</v>
      </c>
      <c r="B82" s="125">
        <v>21</v>
      </c>
      <c r="C82" s="301">
        <f>IF(C77&gt;0,IF(C60&gt;0,C50*'Tax Rates'!C20,0),0)</f>
        <v>114634.12225149469</v>
      </c>
      <c r="D82" s="102"/>
      <c r="E82" s="268">
        <f>+G82-C82</f>
        <v>-114634.12225149469</v>
      </c>
      <c r="F82" s="6"/>
      <c r="G82" s="301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360955.05574850534</v>
      </c>
      <c r="D84" s="16"/>
      <c r="E84" s="268">
        <f>E81-E82</f>
        <v>304489.3382514946</v>
      </c>
      <c r="F84" s="103"/>
      <c r="G84" s="265">
        <f>G81-G82</f>
        <v>665444.394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366</v>
      </c>
      <c r="B90" s="127">
        <v>22</v>
      </c>
      <c r="C90" s="265">
        <f>C60/(1-C88)</f>
        <v>6324528.28764675</v>
      </c>
      <c r="D90" s="20"/>
      <c r="E90" s="139"/>
      <c r="F90" s="427" t="s">
        <v>480</v>
      </c>
      <c r="G90" s="271">
        <f>TAXREC!E156</f>
        <v>5973856</v>
      </c>
      <c r="H90" s="151"/>
    </row>
    <row r="91" spans="1:8" ht="12.75">
      <c r="A91" s="158" t="s">
        <v>367</v>
      </c>
      <c r="B91" s="127">
        <v>23</v>
      </c>
      <c r="C91" s="265">
        <f>C84/(1-C88)</f>
        <v>577528.0891976085</v>
      </c>
      <c r="D91" s="20"/>
      <c r="E91" s="139"/>
      <c r="F91" s="427" t="s">
        <v>480</v>
      </c>
      <c r="G91" s="271">
        <f>TAXREC!E158</f>
        <v>481025</v>
      </c>
      <c r="H91" s="151"/>
    </row>
    <row r="92" spans="1:8" ht="12.75">
      <c r="A92" s="158" t="s">
        <v>345</v>
      </c>
      <c r="B92" s="127">
        <v>24</v>
      </c>
      <c r="C92" s="265">
        <f>C72</f>
        <v>634718.904</v>
      </c>
      <c r="D92" s="20"/>
      <c r="E92" s="139"/>
      <c r="F92" s="427" t="s">
        <v>480</v>
      </c>
      <c r="G92" s="271">
        <f>TAXREC!E157</f>
        <v>839999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481</v>
      </c>
      <c r="B95" s="125">
        <v>25</v>
      </c>
      <c r="C95" s="270">
        <f>SUM(C90:C93)</f>
        <v>7536775.280844359</v>
      </c>
      <c r="D95" s="6"/>
      <c r="E95" s="139"/>
      <c r="F95" s="427" t="s">
        <v>480</v>
      </c>
      <c r="G95" s="415">
        <f>SUM(G90:G94)</f>
        <v>7294880</v>
      </c>
      <c r="H95" s="164"/>
    </row>
    <row r="96" spans="1:8" ht="12.75">
      <c r="A96" s="405" t="s">
        <v>305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343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-200000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353625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360</v>
      </c>
      <c r="B106" s="127">
        <v>6</v>
      </c>
      <c r="C106" s="112"/>
      <c r="D106" s="3"/>
      <c r="E106" s="251">
        <f>E26</f>
        <v>18781</v>
      </c>
      <c r="F106" s="37"/>
      <c r="G106" s="201"/>
      <c r="H106" s="164"/>
    </row>
    <row r="107" spans="1:8" ht="12.75">
      <c r="A107" s="158" t="s">
        <v>361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359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-90000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490</v>
      </c>
      <c r="B112" s="127">
        <v>11</v>
      </c>
      <c r="C112" s="112"/>
      <c r="D112" s="3"/>
      <c r="E112" s="469">
        <f>E206</f>
        <v>1497579.731999999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144843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362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363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-1380016.731999999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482</v>
      </c>
      <c r="B122" s="127"/>
      <c r="C122" s="112"/>
      <c r="D122" s="3" t="s">
        <v>231</v>
      </c>
      <c r="E122" s="466">
        <f>IF((E120+G50)&gt;'Tax Rates'!$E$47,'Tax Rates'!$F$52-1.12%,IF((E120+G50)&gt;'Tax Rates'!$D$47,'Tax Rates'!$E$52-1.12%,IF((E120+G50)&gt;'Tax Rates'!$C$47,'Tax Rates'!$D$52-1.12%,'Tax Rates'!$C$52-1.12%)))</f>
        <v>0.355</v>
      </c>
      <c r="F122" s="467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5">
        <f>E120*E122</f>
        <v>-489905.9398599996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56053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-545958.9398599996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3">
        <f>IF((E120+C50)&gt;'Tax Rates'!$E$47,'Tax Rates'!$F$52-1.12%,IF((E120+C50)&gt;'Tax Rates'!$D$47,'Tax Rates'!$E$52-1.12%,IF((E120+C50)&gt;'Tax Rates'!$C$47,'Tax Rates'!$D$52-1.12%,'Tax Rates'!$C$52-1.12%)))</f>
        <v>0.355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349</v>
      </c>
      <c r="B132" s="130"/>
      <c r="C132" s="112"/>
      <c r="D132" s="3"/>
      <c r="E132" s="481">
        <f>E128/(1-E130)</f>
        <v>-846447.9687751931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352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10235189.486740597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3">
        <f>IF((E120+E136)&gt;'Tax Rates'!E47,'Tax Rates'!F52,IF((E120+E136)&gt;'Tax Rates'!D47,'Tax Rates'!E52,IF((E120+E136)&gt;'Tax Rates'!C47,'Tax Rates'!D52,'Tax Rates'!C52)))</f>
        <v>0.36619999999999997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3748126.390044406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56053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3692073.390044406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3">
        <f>C60</f>
        <v>3952830.1797792185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-260756.78973481245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8" t="s">
        <v>20</v>
      </c>
      <c r="B150" s="130"/>
      <c r="C150" s="112"/>
      <c r="D150" s="119"/>
      <c r="E150" s="476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211672968</v>
      </c>
      <c r="F151" s="37"/>
      <c r="G151" s="201"/>
      <c r="H151" s="164"/>
    </row>
    <row r="152" spans="1:8" ht="12.75">
      <c r="A152" s="171" t="s">
        <v>355</v>
      </c>
      <c r="B152" s="130"/>
      <c r="C152" s="112"/>
      <c r="D152" s="118" t="s">
        <v>188</v>
      </c>
      <c r="E152" s="306">
        <f>IF(E151&gt;0,'Tax Rates'!C39,0)</f>
        <v>100000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211572968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356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634718.904</v>
      </c>
      <c r="F157" s="37"/>
      <c r="G157" s="201"/>
      <c r="H157" s="164"/>
    </row>
    <row r="158" spans="1:8" ht="25.5">
      <c r="A158" s="171" t="s">
        <v>306</v>
      </c>
      <c r="B158" s="130"/>
      <c r="C158" s="112"/>
      <c r="D158" s="118" t="s">
        <v>188</v>
      </c>
      <c r="E158" s="306">
        <f>C72</f>
        <v>634718.904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1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8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211672968</v>
      </c>
      <c r="F162" s="37"/>
      <c r="G162" s="201"/>
      <c r="H162" s="164"/>
    </row>
    <row r="163" spans="1:8" ht="12.75">
      <c r="A163" s="171" t="s">
        <v>354</v>
      </c>
      <c r="B163" s="130"/>
      <c r="C163" s="112"/>
      <c r="D163" s="118" t="s">
        <v>188</v>
      </c>
      <c r="E163" s="306">
        <f>IF(E162&gt;0,'Tax Rates'!C40,0)</f>
        <v>300000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211372968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307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475589.178</v>
      </c>
      <c r="F168" s="37"/>
      <c r="G168" s="201"/>
      <c r="H168" s="164"/>
    </row>
    <row r="169" spans="1:8" ht="12.75">
      <c r="A169" s="171" t="s">
        <v>317</v>
      </c>
      <c r="B169" s="130"/>
      <c r="C169" s="112"/>
      <c r="D169" s="118" t="s">
        <v>188</v>
      </c>
      <c r="E169" s="308">
        <f>IF(E164&gt;0,IF(E144&gt;0,E136*'Tax Rates'!C56,0),0)</f>
        <v>114634.12225149469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E168-E169</f>
        <v>360955.05574850534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6" t="s">
        <v>344</v>
      </c>
      <c r="B172" s="130"/>
      <c r="C172" s="112"/>
      <c r="D172" s="118" t="s">
        <v>188</v>
      </c>
      <c r="E172" s="306">
        <f>C84</f>
        <v>360955.05574850534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1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342</v>
      </c>
      <c r="B175" s="130"/>
      <c r="C175" s="112"/>
      <c r="D175" s="119"/>
      <c r="E175" s="466">
        <f>IF((E120+G50)&gt;'Tax Rates'!E47,'Tax Rates'!F52-1.12%,IF((E120+G50)&gt;'Tax Rates'!D47,'Tax Rates'!E52-1.12%,IF((E120+G50)&gt;'Tax Rates'!C47,'Tax Rates'!D52,'Tax Rates'!C52-1.12%)))</f>
        <v>0.355</v>
      </c>
      <c r="F175" s="467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-404274.09261211235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350</v>
      </c>
      <c r="B181" s="130"/>
      <c r="C181" s="112"/>
      <c r="D181" s="119" t="s">
        <v>189</v>
      </c>
      <c r="E181" s="480">
        <f>SUM(E177:E179)</f>
        <v>-404274.09261211235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489</v>
      </c>
      <c r="B183" s="130"/>
      <c r="C183" s="112"/>
      <c r="D183" s="119" t="s">
        <v>187</v>
      </c>
      <c r="E183" s="480">
        <f>E132</f>
        <v>-846447.9687751931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351</v>
      </c>
      <c r="B185" s="130"/>
      <c r="C185" s="112"/>
      <c r="D185" s="119" t="s">
        <v>189</v>
      </c>
      <c r="E185" s="480">
        <f>E181+E183</f>
        <v>-1250722.0613873054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8149409.268000001</v>
      </c>
      <c r="F193" s="3"/>
      <c r="G193" s="123"/>
      <c r="H193" s="164"/>
    </row>
    <row r="194" spans="1:8" ht="12.75">
      <c r="A194" s="506" t="s">
        <v>507</v>
      </c>
      <c r="B194" s="127"/>
      <c r="C194" s="112"/>
      <c r="D194" s="120"/>
      <c r="E194" s="309">
        <f>C37</f>
        <v>6647877.5132594025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340</v>
      </c>
      <c r="B196" s="127"/>
      <c r="C196" s="112"/>
      <c r="D196" s="120"/>
      <c r="E196" s="309">
        <f>E193-E194</f>
        <v>1501531.7547405986</v>
      </c>
      <c r="F196" s="3"/>
      <c r="G196" s="123"/>
      <c r="H196" s="164"/>
    </row>
    <row r="197" spans="1:8" ht="12.75">
      <c r="A197" s="155" t="s">
        <v>341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83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506" t="s">
        <v>508</v>
      </c>
      <c r="B201" s="127"/>
      <c r="C201" s="112"/>
      <c r="D201" s="120"/>
      <c r="E201" s="309">
        <f>G37+G42</f>
        <v>9646989</v>
      </c>
      <c r="F201" s="3"/>
      <c r="G201" s="483"/>
      <c r="H201" s="164"/>
    </row>
    <row r="202" spans="1:8" ht="12.75">
      <c r="A202" s="155" t="s">
        <v>496</v>
      </c>
      <c r="B202" s="127"/>
      <c r="C202" s="112"/>
      <c r="D202" s="120"/>
      <c r="E202" s="500">
        <f>REGINFO!D62</f>
        <v>8149409.268000001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1497579.731999999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491</v>
      </c>
      <c r="B206" s="127"/>
      <c r="C206" s="112"/>
      <c r="D206" s="120"/>
      <c r="E206" s="468">
        <f>IF((E201-E202)&gt;0,E201-E202,0)</f>
        <v>1497579.731999999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3952.0227405996993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47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workbookViewId="0" topLeftCell="A144">
      <selection activeCell="C96" sqref="C9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Hydro One Brampton Networks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2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v>0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282</v>
      </c>
      <c r="B17" s="20" t="s">
        <v>64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1" t="s">
        <v>323</v>
      </c>
      <c r="B23" s="402"/>
      <c r="C23" s="403"/>
      <c r="D23" s="404"/>
      <c r="E23" s="28"/>
      <c r="F23" s="11"/>
      <c r="G23" s="11"/>
      <c r="H23" s="6"/>
      <c r="I23" s="6"/>
    </row>
    <row r="24" spans="1:9" ht="12.75">
      <c r="A24" s="401" t="s">
        <v>257</v>
      </c>
      <c r="B24" s="402"/>
      <c r="C24" s="403"/>
      <c r="D24" s="404"/>
      <c r="E24" s="28"/>
      <c r="F24" s="11"/>
      <c r="G24" s="11"/>
      <c r="H24" s="6"/>
      <c r="I24" s="6"/>
    </row>
    <row r="25" spans="1:9" ht="12.75">
      <c r="A25" s="401" t="s">
        <v>223</v>
      </c>
      <c r="B25" s="402"/>
      <c r="C25" s="403"/>
      <c r="D25" s="40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1" t="s">
        <v>321</v>
      </c>
      <c r="B27" s="402"/>
      <c r="C27" s="403"/>
      <c r="D27" s="404"/>
      <c r="E27" s="28"/>
      <c r="F27" s="11"/>
      <c r="G27" s="11"/>
      <c r="H27" s="6"/>
      <c r="I27" s="6"/>
    </row>
    <row r="28" spans="1:9" ht="12.75">
      <c r="A28" s="401" t="s">
        <v>322</v>
      </c>
      <c r="B28" s="402"/>
      <c r="C28" s="403"/>
      <c r="D28" s="40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271</v>
      </c>
      <c r="B31" s="23" t="s">
        <v>187</v>
      </c>
      <c r="C31" s="491"/>
      <c r="D31" s="287"/>
      <c r="E31" s="285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91">
        <v>278229106</v>
      </c>
      <c r="D32" s="287"/>
      <c r="E32" s="285">
        <f>C32-D32</f>
        <v>278229106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1975934</v>
      </c>
      <c r="D33" s="287"/>
      <c r="E33" s="285">
        <f>C33-D33</f>
        <v>1975934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283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91">
        <v>225829689</v>
      </c>
      <c r="D39" s="287"/>
      <c r="E39" s="285">
        <f>C39-D39</f>
        <v>225829689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91">
        <v>4726208</v>
      </c>
      <c r="D40" s="287"/>
      <c r="E40" s="285">
        <f aca="true" t="shared" si="0" ref="E40:E48">C40-D40</f>
        <v>4726208</v>
      </c>
      <c r="F40" s="11"/>
      <c r="G40" s="11"/>
      <c r="H40" s="6"/>
      <c r="I40" s="6"/>
    </row>
    <row r="41" spans="1:9" ht="12.75">
      <c r="A41" s="4" t="s">
        <v>272</v>
      </c>
      <c r="B41" s="23" t="s">
        <v>188</v>
      </c>
      <c r="C41" s="286">
        <v>3122073</v>
      </c>
      <c r="D41" s="287"/>
      <c r="E41" s="285">
        <f t="shared" si="0"/>
        <v>3122073</v>
      </c>
      <c r="F41" s="11"/>
      <c r="G41" s="11"/>
      <c r="H41" s="6"/>
      <c r="I41" s="6"/>
    </row>
    <row r="42" spans="1:9" ht="12.75">
      <c r="A42" s="4" t="s">
        <v>273</v>
      </c>
      <c r="B42" s="23" t="s">
        <v>188</v>
      </c>
      <c r="C42" s="286">
        <v>5580399</v>
      </c>
      <c r="D42" s="287"/>
      <c r="E42" s="285">
        <f t="shared" si="0"/>
        <v>5580399</v>
      </c>
      <c r="F42" s="11"/>
      <c r="G42" s="11"/>
      <c r="H42" s="6"/>
      <c r="I42" s="6"/>
    </row>
    <row r="43" spans="1:9" ht="12.75">
      <c r="A43" s="4" t="s">
        <v>274</v>
      </c>
      <c r="B43" s="23" t="s">
        <v>188</v>
      </c>
      <c r="C43" s="491">
        <v>12412448</v>
      </c>
      <c r="D43" s="287"/>
      <c r="E43" s="285">
        <f t="shared" si="0"/>
        <v>12412448</v>
      </c>
      <c r="F43" s="11"/>
      <c r="G43" s="11"/>
      <c r="H43" s="6"/>
      <c r="I43" s="6"/>
    </row>
    <row r="44" spans="1:9" ht="12.75">
      <c r="A44" s="4" t="s">
        <v>275</v>
      </c>
      <c r="B44" s="23" t="s">
        <v>188</v>
      </c>
      <c r="C44" s="491">
        <v>800040</v>
      </c>
      <c r="D44" s="287"/>
      <c r="E44" s="285">
        <f t="shared" si="0"/>
        <v>800040</v>
      </c>
      <c r="F44" s="11"/>
      <c r="G44" s="11"/>
      <c r="H44" s="6"/>
      <c r="I44" s="6"/>
    </row>
    <row r="45" spans="1:11" ht="12.75">
      <c r="A45" s="417" t="s">
        <v>493</v>
      </c>
      <c r="B45" s="23" t="s">
        <v>188</v>
      </c>
      <c r="C45" s="491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27734183</v>
      </c>
      <c r="D50" s="282">
        <f>SUM(D31:D36)-SUM(D39:D49)</f>
        <v>0</v>
      </c>
      <c r="E50" s="282">
        <f>SUM(E31:E35)-SUM(E39:E48)</f>
        <v>27734183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91">
        <v>9646989</v>
      </c>
      <c r="D51" s="286"/>
      <c r="E51" s="283">
        <f>+C51-D51</f>
        <v>9646989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491">
        <v>4025418</v>
      </c>
      <c r="D52" s="286"/>
      <c r="E52" s="284">
        <f>+C52-D52</f>
        <v>4025418</v>
      </c>
      <c r="F52" s="8"/>
      <c r="G52" s="417"/>
    </row>
    <row r="53" spans="1:6" ht="12.75">
      <c r="A53" s="2" t="s">
        <v>131</v>
      </c>
      <c r="B53" s="8" t="s">
        <v>189</v>
      </c>
      <c r="C53" s="282">
        <f>C50-C51-C52</f>
        <v>14061776</v>
      </c>
      <c r="D53" s="282">
        <f>D50-D51-D52</f>
        <v>0</v>
      </c>
      <c r="E53" s="282">
        <f>E50-E51-E52</f>
        <v>14061776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8">
        <f>C52</f>
        <v>4025418</v>
      </c>
      <c r="D59" s="288">
        <f>D52</f>
        <v>0</v>
      </c>
      <c r="E59" s="273">
        <f>+C59-D59</f>
        <v>4025418</v>
      </c>
      <c r="F59" s="8"/>
      <c r="G59" s="417"/>
    </row>
    <row r="60" spans="1:6" ht="12.75">
      <c r="A60" s="4" t="s">
        <v>324</v>
      </c>
      <c r="B60" s="8" t="s">
        <v>187</v>
      </c>
      <c r="C60" s="492"/>
      <c r="D60" s="319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288">
        <f>C43</f>
        <v>12412448</v>
      </c>
      <c r="D61" s="288">
        <f>D43</f>
        <v>0</v>
      </c>
      <c r="E61" s="273">
        <f>+C61-D61</f>
        <v>12412448</v>
      </c>
      <c r="F61" s="8"/>
      <c r="G61" s="417"/>
    </row>
    <row r="62" spans="1:6" ht="12.75">
      <c r="A62" t="s">
        <v>6</v>
      </c>
      <c r="B62" s="8" t="s">
        <v>187</v>
      </c>
      <c r="C62" s="492">
        <v>63000</v>
      </c>
      <c r="D62" s="288">
        <v>0</v>
      </c>
      <c r="E62" s="273">
        <f>+C62-D62</f>
        <v>63000</v>
      </c>
      <c r="F62" s="8"/>
    </row>
    <row r="63" spans="1:6" ht="12.75">
      <c r="A63" s="31" t="s">
        <v>276</v>
      </c>
      <c r="B63" s="8" t="s">
        <v>187</v>
      </c>
      <c r="C63" s="317">
        <f>'Tax Reserves'!C22</f>
        <v>0</v>
      </c>
      <c r="D63" s="318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353625</v>
      </c>
      <c r="D64" s="318">
        <f>'Tax Reserves'!D63</f>
        <v>0</v>
      </c>
      <c r="E64" s="273">
        <f>+C64-D64</f>
        <v>353625</v>
      </c>
      <c r="F64" s="8"/>
    </row>
    <row r="65" spans="1:6" ht="12.75">
      <c r="A65" t="s">
        <v>441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4" t="s">
        <v>392</v>
      </c>
      <c r="B66" s="8"/>
      <c r="C66" s="443">
        <f>'TAXREC 3 No True-up'!C47</f>
        <v>1114646</v>
      </c>
      <c r="D66" s="443">
        <f>'TAXREC 3 No True-up'!D47</f>
        <v>0</v>
      </c>
      <c r="E66" s="273">
        <f>+C66-D66</f>
        <v>1114646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17969137</v>
      </c>
      <c r="D70" s="273">
        <f>SUM(D59:D68)</f>
        <v>0</v>
      </c>
      <c r="E70" s="273">
        <f>SUM(E59:E68)</f>
        <v>17969137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>
        <v>18781</v>
      </c>
      <c r="D74" s="295"/>
      <c r="E74" s="273">
        <f t="shared" si="1"/>
        <v>18781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8">
        <v>0</v>
      </c>
      <c r="D76" s="295"/>
      <c r="E76" s="475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18781</v>
      </c>
      <c r="D80" s="251">
        <f>SUM(D73:D79)</f>
        <v>0</v>
      </c>
      <c r="E80" s="251">
        <f>SUM(E73:E79)</f>
        <v>18781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17987918</v>
      </c>
      <c r="D82" s="251">
        <f>D70+D80</f>
        <v>0</v>
      </c>
      <c r="E82" s="251">
        <f>E70+E80</f>
        <v>17987918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Non-deductible meals and entertainment expense</v>
      </c>
      <c r="B86" s="274"/>
      <c r="C86" s="291">
        <f t="shared" si="3"/>
        <v>18781</v>
      </c>
      <c r="D86" s="291">
        <f t="shared" si="3"/>
        <v>0</v>
      </c>
      <c r="E86" s="291">
        <f t="shared" si="3"/>
        <v>18781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18781</v>
      </c>
      <c r="D92" s="280">
        <f>SUM(D85:D91)</f>
        <v>0</v>
      </c>
      <c r="E92" s="280">
        <f>SUM(E85:E91)</f>
        <v>18781</v>
      </c>
      <c r="F92" s="8"/>
      <c r="G92" s="45"/>
      <c r="H92" s="45"/>
      <c r="I92" s="45"/>
      <c r="J92" s="45"/>
      <c r="K92" s="45"/>
    </row>
    <row r="93" spans="1:11" ht="12.75">
      <c r="A93" s="274" t="s">
        <v>429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18781</v>
      </c>
      <c r="D94" s="251">
        <f>D92+D93</f>
        <v>0</v>
      </c>
      <c r="E94" s="251">
        <f>E92+E93</f>
        <v>18781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84">
        <v>9745574</v>
      </c>
      <c r="D97" s="295"/>
      <c r="E97" s="273">
        <f>+C97-D97</f>
        <v>9745574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2810132</v>
      </c>
      <c r="D98" s="295"/>
      <c r="E98" s="273">
        <f>+C98-D98</f>
        <v>2810132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84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188</v>
      </c>
      <c r="C104" s="320">
        <f>'Tax Reserves'!C35</f>
        <v>0</v>
      </c>
      <c r="D104" s="320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277</v>
      </c>
      <c r="B105" s="8" t="s">
        <v>188</v>
      </c>
      <c r="C105" s="320">
        <f>'Tax Reserves'!C50</f>
        <v>144843</v>
      </c>
      <c r="D105" s="320">
        <f>'Tax Reserves'!D50</f>
        <v>0</v>
      </c>
      <c r="E105" s="283">
        <f t="shared" si="5"/>
        <v>144843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4" t="s">
        <v>392</v>
      </c>
      <c r="B108" s="8"/>
      <c r="C108" s="254">
        <f>'TAXREC 3 No True-up'!C75</f>
        <v>2883170</v>
      </c>
      <c r="D108" s="254">
        <f>'TAXREC 3 No True-up'!D75</f>
        <v>0</v>
      </c>
      <c r="E108" s="273">
        <f t="shared" si="5"/>
        <v>2883170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15583719</v>
      </c>
      <c r="D113" s="251">
        <f>SUM(D97:D111)</f>
        <v>0</v>
      </c>
      <c r="E113" s="251">
        <f>SUM(E97:E111)</f>
        <v>15583719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15583719</v>
      </c>
      <c r="D122" s="251">
        <f>D113+D120</f>
        <v>0</v>
      </c>
      <c r="E122" s="251">
        <f>+E113+E120</f>
        <v>15583719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16465975</v>
      </c>
      <c r="D134" s="251">
        <f>D53+D82-D122</f>
        <v>0</v>
      </c>
      <c r="E134" s="251">
        <f>E53+E82-E122</f>
        <v>16465975</v>
      </c>
      <c r="F134" s="8"/>
      <c r="G134" s="45"/>
      <c r="H134" s="45"/>
      <c r="I134" s="30">
        <f>C134</f>
        <v>16465975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>
        <v>2316506</v>
      </c>
      <c r="J135" s="45"/>
      <c r="K135" s="45"/>
    </row>
    <row r="136" spans="1:11" ht="12.75">
      <c r="A136" s="12" t="s">
        <v>372</v>
      </c>
      <c r="B136" s="8" t="s">
        <v>188</v>
      </c>
      <c r="C136" s="295">
        <v>0</v>
      </c>
      <c r="D136" s="295"/>
      <c r="E136" s="265">
        <f>C136-D136</f>
        <v>0</v>
      </c>
      <c r="F136" s="8"/>
      <c r="G136" s="45"/>
      <c r="H136" s="45"/>
      <c r="I136" s="482">
        <f>I134-I135</f>
        <v>14149469</v>
      </c>
      <c r="J136" s="45"/>
      <c r="K136" s="45"/>
    </row>
    <row r="137" spans="1:11" ht="12.75">
      <c r="A137" s="46" t="s">
        <v>373</v>
      </c>
      <c r="B137" s="8" t="s">
        <v>188</v>
      </c>
      <c r="C137" s="311"/>
      <c r="D137" s="311"/>
      <c r="E137" s="39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16465975</v>
      </c>
      <c r="D139" s="252">
        <f>D134-D136-D137-D138</f>
        <v>0</v>
      </c>
      <c r="E139" s="252">
        <f>E134-E136-E137-E138</f>
        <v>16465975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1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320</v>
      </c>
      <c r="B142" s="8" t="s">
        <v>187</v>
      </c>
      <c r="C142" s="493">
        <v>3971593</v>
      </c>
      <c r="D142" s="299"/>
      <c r="E142" s="252">
        <f>C142-D142</f>
        <v>3971593</v>
      </c>
      <c r="F142" s="8"/>
      <c r="G142" s="45"/>
      <c r="H142" s="45"/>
      <c r="I142" s="45"/>
      <c r="J142" s="45"/>
      <c r="K142" s="45"/>
    </row>
    <row r="143" spans="1:11" ht="12.75">
      <c r="A143" s="46" t="s">
        <v>319</v>
      </c>
      <c r="B143" s="8" t="s">
        <v>187</v>
      </c>
      <c r="C143" s="493">
        <v>2058316</v>
      </c>
      <c r="D143" s="299"/>
      <c r="E143" s="293">
        <f>C143-D143</f>
        <v>2058316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6029909</v>
      </c>
      <c r="D144" s="252">
        <f>D142+D143</f>
        <v>0</v>
      </c>
      <c r="E144" s="252">
        <f>E142+E143</f>
        <v>6029909</v>
      </c>
      <c r="F144" s="8"/>
      <c r="G144" s="45"/>
      <c r="H144" s="45"/>
      <c r="I144" s="45"/>
      <c r="J144" s="45"/>
      <c r="K144" s="45"/>
    </row>
    <row r="145" spans="1:11" ht="12.75">
      <c r="A145" s="46" t="s">
        <v>331</v>
      </c>
      <c r="B145" s="8" t="s">
        <v>188</v>
      </c>
      <c r="C145" s="299">
        <v>56053</v>
      </c>
      <c r="D145" s="299"/>
      <c r="E145" s="294">
        <f>C145-D145</f>
        <v>56053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2">
        <f>C144-C145</f>
        <v>5973856</v>
      </c>
      <c r="D146" s="252">
        <f>D144-D145</f>
        <v>0</v>
      </c>
      <c r="E146" s="252">
        <f>E144-E145</f>
        <v>5973856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326</v>
      </c>
      <c r="B149" s="8"/>
      <c r="C149" s="406">
        <f>C142/C139</f>
        <v>0.2411999896756797</v>
      </c>
      <c r="D149" s="5"/>
      <c r="E149" s="407">
        <f>C149</f>
        <v>0.2411999896756797</v>
      </c>
      <c r="F149" s="8"/>
      <c r="G149" s="479" t="s">
        <v>466</v>
      </c>
      <c r="H149" s="45"/>
      <c r="I149" s="45"/>
      <c r="J149" s="45"/>
      <c r="K149" s="45"/>
    </row>
    <row r="150" spans="1:11" ht="12.75">
      <c r="A150" s="46" t="s">
        <v>327</v>
      </c>
      <c r="B150" s="8"/>
      <c r="C150" s="494">
        <f>C143/C139</f>
        <v>0.12500419805082905</v>
      </c>
      <c r="D150" s="5"/>
      <c r="E150" s="407">
        <f>C150</f>
        <v>0.12500419805082905</v>
      </c>
      <c r="F150" s="8"/>
      <c r="G150" s="479" t="s">
        <v>467</v>
      </c>
      <c r="H150" s="45"/>
      <c r="I150" s="45"/>
      <c r="J150" s="45"/>
      <c r="K150" s="45"/>
    </row>
    <row r="151" spans="1:11" ht="12.75">
      <c r="A151" t="s">
        <v>328</v>
      </c>
      <c r="B151" s="8"/>
      <c r="C151" s="407">
        <f>SUM(C149:C150)</f>
        <v>0.36620418772650876</v>
      </c>
      <c r="D151" s="5"/>
      <c r="E151" s="407">
        <f>SUM(E149:E150)</f>
        <v>0.36620418772650876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477</v>
      </c>
      <c r="B155" s="8"/>
    </row>
    <row r="156" spans="1:5" ht="12.75">
      <c r="A156" t="s">
        <v>219</v>
      </c>
      <c r="B156" s="86" t="s">
        <v>187</v>
      </c>
      <c r="C156" s="251">
        <f>C146</f>
        <v>5973856</v>
      </c>
      <c r="D156" s="251">
        <f>D146</f>
        <v>0</v>
      </c>
      <c r="E156" s="251">
        <f>E146</f>
        <v>5973856</v>
      </c>
    </row>
    <row r="157" spans="1:5" ht="12.75">
      <c r="A157" t="s">
        <v>20</v>
      </c>
      <c r="B157" s="86" t="s">
        <v>187</v>
      </c>
      <c r="C157" s="495">
        <v>839999</v>
      </c>
      <c r="D157" s="251"/>
      <c r="E157" s="251">
        <f>C157+D157</f>
        <v>839999</v>
      </c>
    </row>
    <row r="158" spans="1:5" ht="12.75">
      <c r="A158" t="s">
        <v>218</v>
      </c>
      <c r="B158" s="86" t="s">
        <v>187</v>
      </c>
      <c r="C158" s="495">
        <v>481025</v>
      </c>
      <c r="D158" s="251"/>
      <c r="E158" s="251">
        <f>C158+D158</f>
        <v>481025</v>
      </c>
    </row>
    <row r="159" ht="12.75">
      <c r="B159" s="8"/>
    </row>
    <row r="160" spans="1:5" ht="12.75">
      <c r="A160" s="2" t="s">
        <v>300</v>
      </c>
      <c r="B160" s="66" t="s">
        <v>189</v>
      </c>
      <c r="C160" s="251">
        <f>C156+C157+C158</f>
        <v>7294880</v>
      </c>
      <c r="D160" s="251">
        <f>D156+D157+D158</f>
        <v>0</v>
      </c>
      <c r="E160" s="251">
        <f>E156+E157+E158</f>
        <v>7294880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2" fitToWidth="1" horizontalDpi="600" verticalDpi="600" orientation="portrait" scale="65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workbookViewId="0" topLeftCell="A23">
      <selection activeCell="C56" sqref="C56"/>
    </sheetView>
  </sheetViews>
  <sheetFormatPr defaultColWidth="9.140625" defaultRowHeight="12.75"/>
  <cols>
    <col min="1" max="1" width="48.4218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298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299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Hydro One Brampton Networks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270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278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279</v>
      </c>
      <c r="B15" s="61"/>
      <c r="C15" s="295"/>
      <c r="D15" s="295"/>
      <c r="E15" s="251">
        <f t="shared" si="0"/>
        <v>0</v>
      </c>
    </row>
    <row r="16" spans="1:5" ht="12.75">
      <c r="A16" s="61" t="s">
        <v>280</v>
      </c>
      <c r="B16" s="61"/>
      <c r="C16" s="295"/>
      <c r="D16" s="295"/>
      <c r="E16" s="251">
        <f t="shared" si="0"/>
        <v>0</v>
      </c>
    </row>
    <row r="17" spans="1:5" ht="12.75">
      <c r="A17" s="61" t="s">
        <v>281</v>
      </c>
      <c r="B17" s="61"/>
      <c r="C17" s="295"/>
      <c r="D17" s="295"/>
      <c r="E17" s="251">
        <f t="shared" si="0"/>
        <v>0</v>
      </c>
    </row>
    <row r="18" spans="1:5" ht="12.75">
      <c r="A18" s="61" t="s">
        <v>446</v>
      </c>
      <c r="B18" s="61"/>
      <c r="C18" s="295"/>
      <c r="D18" s="295"/>
      <c r="E18" s="251">
        <f t="shared" si="0"/>
        <v>0</v>
      </c>
    </row>
    <row r="19" spans="1:5" ht="12.75">
      <c r="A19" s="61" t="s">
        <v>446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269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278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279</v>
      </c>
      <c r="B27" s="61"/>
      <c r="C27" s="295"/>
      <c r="D27" s="295"/>
      <c r="E27" s="251">
        <f t="shared" si="1"/>
        <v>0</v>
      </c>
    </row>
    <row r="28" spans="1:5" ht="12.75">
      <c r="A28" s="61" t="s">
        <v>280</v>
      </c>
      <c r="B28" s="61"/>
      <c r="C28" s="295"/>
      <c r="D28" s="295"/>
      <c r="E28" s="251">
        <f t="shared" si="1"/>
        <v>0</v>
      </c>
    </row>
    <row r="29" spans="1:5" ht="12.75">
      <c r="A29" s="61" t="s">
        <v>281</v>
      </c>
      <c r="B29" s="61"/>
      <c r="C29" s="295"/>
      <c r="D29" s="295"/>
      <c r="E29" s="251">
        <f t="shared" si="1"/>
        <v>0</v>
      </c>
    </row>
    <row r="30" spans="1:5" ht="12.75">
      <c r="A30" s="61" t="s">
        <v>446</v>
      </c>
      <c r="B30" s="61"/>
      <c r="C30" s="295"/>
      <c r="D30" s="295"/>
      <c r="E30" s="251">
        <f t="shared" si="1"/>
        <v>0</v>
      </c>
    </row>
    <row r="31" spans="1:5" ht="12.75">
      <c r="A31" s="61" t="s">
        <v>446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268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270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265</v>
      </c>
      <c r="B43" s="61"/>
      <c r="C43" s="295"/>
      <c r="D43" s="295"/>
      <c r="E43" s="251">
        <f t="shared" si="2"/>
        <v>0</v>
      </c>
    </row>
    <row r="44" spans="1:5" ht="12.75">
      <c r="A44" s="503" t="s">
        <v>505</v>
      </c>
      <c r="B44" s="61"/>
      <c r="C44" s="295">
        <v>144843</v>
      </c>
      <c r="D44" s="295"/>
      <c r="E44" s="251">
        <f t="shared" si="2"/>
        <v>144843</v>
      </c>
    </row>
    <row r="45" spans="1:5" ht="12.75">
      <c r="A45" s="61" t="s">
        <v>266</v>
      </c>
      <c r="B45" s="61"/>
      <c r="C45" s="295"/>
      <c r="D45" s="295"/>
      <c r="E45" s="251">
        <f t="shared" si="2"/>
        <v>0</v>
      </c>
    </row>
    <row r="46" spans="1:5" ht="12.75">
      <c r="A46" s="61" t="s">
        <v>267</v>
      </c>
      <c r="B46" s="61"/>
      <c r="C46" s="295"/>
      <c r="D46" s="295"/>
      <c r="E46" s="251">
        <f t="shared" si="2"/>
        <v>0</v>
      </c>
    </row>
    <row r="47" spans="1:5" ht="12.75">
      <c r="A47" s="61" t="s">
        <v>446</v>
      </c>
      <c r="B47" s="61"/>
      <c r="C47" s="295"/>
      <c r="D47" s="295"/>
      <c r="E47" s="251">
        <f t="shared" si="2"/>
        <v>0</v>
      </c>
    </row>
    <row r="48" spans="1:5" ht="12.75">
      <c r="A48" s="61" t="s">
        <v>446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144843</v>
      </c>
      <c r="D50" s="251">
        <f>SUM(D41:D49)</f>
        <v>0</v>
      </c>
      <c r="E50" s="251">
        <f>SUM(E41:E49)</f>
        <v>144843</v>
      </c>
    </row>
    <row r="51" spans="3:5" ht="12.75">
      <c r="C51" s="22"/>
      <c r="D51" s="22"/>
      <c r="E51" s="22"/>
    </row>
    <row r="52" spans="1:5" ht="12.75">
      <c r="A52" s="247" t="s">
        <v>269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265</v>
      </c>
      <c r="B55" s="61"/>
      <c r="C55" s="295"/>
      <c r="D55" s="295"/>
      <c r="E55" s="251">
        <f t="shared" si="3"/>
        <v>0</v>
      </c>
    </row>
    <row r="56" spans="1:5" ht="12.75">
      <c r="A56" s="503" t="s">
        <v>505</v>
      </c>
      <c r="B56" s="61"/>
      <c r="C56" s="295">
        <v>353625</v>
      </c>
      <c r="D56" s="295"/>
      <c r="E56" s="251">
        <f t="shared" si="3"/>
        <v>353625</v>
      </c>
    </row>
    <row r="57" spans="1:5" ht="12.75">
      <c r="A57" s="246" t="s">
        <v>266</v>
      </c>
      <c r="B57" s="61"/>
      <c r="C57" s="295"/>
      <c r="D57" s="295"/>
      <c r="E57" s="251">
        <f t="shared" si="3"/>
        <v>0</v>
      </c>
    </row>
    <row r="58" spans="1:5" ht="12.75">
      <c r="A58" s="246" t="s">
        <v>267</v>
      </c>
      <c r="B58" s="61"/>
      <c r="C58" s="295"/>
      <c r="D58" s="295"/>
      <c r="E58" s="251">
        <f t="shared" si="3"/>
        <v>0</v>
      </c>
    </row>
    <row r="59" spans="1:5" ht="12.75">
      <c r="A59" s="61" t="s">
        <v>446</v>
      </c>
      <c r="B59" s="61"/>
      <c r="C59" s="295"/>
      <c r="D59" s="295"/>
      <c r="E59" s="251">
        <f t="shared" si="3"/>
        <v>0</v>
      </c>
    </row>
    <row r="60" spans="1:5" ht="12.75">
      <c r="A60" s="61" t="s">
        <v>446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353625</v>
      </c>
      <c r="D63" s="251">
        <f>SUM(D53:D61)</f>
        <v>0</v>
      </c>
      <c r="E63" s="251">
        <f>SUM(E53:E61)</f>
        <v>353625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110" zoomScaleNormal="110" zoomScalePageLayoutView="0" workbookViewId="0" topLeftCell="A1">
      <pane xSplit="1" ySplit="6" topLeftCell="B86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95" sqref="A9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7" t="s">
        <v>463</v>
      </c>
      <c r="B5" s="8"/>
      <c r="C5" s="8" t="s">
        <v>2</v>
      </c>
      <c r="D5" s="8"/>
      <c r="E5" s="8"/>
      <c r="F5" s="8"/>
    </row>
    <row r="6" spans="1:6" ht="12.75">
      <c r="A6" s="417" t="s">
        <v>443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Hydro One Brampton Networks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4">
        <f>C17-D17</f>
        <v>0</v>
      </c>
    </row>
    <row r="18" spans="1:5" ht="12.75">
      <c r="A18" s="67" t="s">
        <v>251</v>
      </c>
      <c r="B18" t="s">
        <v>187</v>
      </c>
      <c r="C18" s="296"/>
      <c r="D18" s="296"/>
      <c r="E18" s="314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4">
        <f t="shared" si="0"/>
        <v>0</v>
      </c>
    </row>
    <row r="20" spans="1:5" ht="12.75">
      <c r="A20" s="67" t="s">
        <v>447</v>
      </c>
      <c r="B20" t="s">
        <v>187</v>
      </c>
      <c r="C20" s="296"/>
      <c r="D20" s="315"/>
      <c r="E20" s="314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/>
      <c r="B22" t="s">
        <v>187</v>
      </c>
      <c r="C22" s="296"/>
      <c r="D22" s="296"/>
      <c r="E22" s="314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252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4">
        <f t="shared" si="0"/>
        <v>0</v>
      </c>
    </row>
    <row r="36" spans="1:5" ht="12.75">
      <c r="A36" s="67" t="s">
        <v>475</v>
      </c>
      <c r="B36" t="s">
        <v>187</v>
      </c>
      <c r="C36" s="496"/>
      <c r="D36" s="296"/>
      <c r="E36" s="314">
        <f t="shared" si="0"/>
        <v>0</v>
      </c>
    </row>
    <row r="37" spans="1:5" ht="12.75">
      <c r="A37" s="67"/>
      <c r="B37" t="s">
        <v>187</v>
      </c>
      <c r="C37" s="296"/>
      <c r="D37" s="296"/>
      <c r="E37" s="314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67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6">
        <f>C46-C77</f>
        <v>0</v>
      </c>
      <c r="D78" s="316">
        <f>D46-D77</f>
        <v>0</v>
      </c>
      <c r="E78" s="316">
        <f>E46-E77</f>
        <v>0</v>
      </c>
    </row>
    <row r="79" spans="1:5" ht="12.75">
      <c r="A79" s="277" t="s">
        <v>170</v>
      </c>
      <c r="B79" s="278"/>
      <c r="C79" s="316">
        <f>C77+C78</f>
        <v>0</v>
      </c>
      <c r="D79" s="316">
        <f>D77+D78</f>
        <v>0</v>
      </c>
      <c r="E79" s="316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253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374</v>
      </c>
      <c r="B87" s="8" t="s">
        <v>188</v>
      </c>
      <c r="C87" s="484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2:5" ht="12.75"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476</v>
      </c>
      <c r="B96" s="8" t="s">
        <v>188</v>
      </c>
      <c r="C96" s="295">
        <v>0</v>
      </c>
      <c r="D96" s="295"/>
      <c r="E96" s="251">
        <f t="shared" si="5"/>
        <v>0</v>
      </c>
    </row>
    <row r="97" spans="1:5" ht="12.75">
      <c r="A97" s="501"/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76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4"/>
  <sheetViews>
    <sheetView zoomScale="90" zoomScaleNormal="90" zoomScalePageLayoutView="0" workbookViewId="0" topLeftCell="A1">
      <pane xSplit="1" ySplit="8" topLeftCell="B57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64" activeCellId="1" sqref="C72 C6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382</v>
      </c>
      <c r="E3" s="92"/>
    </row>
    <row r="4" spans="1:6" ht="15.75">
      <c r="A4" s="461" t="s">
        <v>443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3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Hydro One Brampton Networks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4">
        <f aca="true" t="shared" si="0" ref="E19:E45">C19-D19</f>
        <v>0</v>
      </c>
    </row>
    <row r="20" spans="1:5" ht="12.75">
      <c r="A20" t="s">
        <v>385</v>
      </c>
      <c r="B20" t="s">
        <v>187</v>
      </c>
      <c r="C20" s="296"/>
      <c r="D20" s="296"/>
      <c r="E20" s="314">
        <f t="shared" si="0"/>
        <v>0</v>
      </c>
    </row>
    <row r="21" spans="1:5" ht="12.75">
      <c r="A21" t="s">
        <v>451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 t="s">
        <v>388</v>
      </c>
      <c r="B22" t="s">
        <v>187</v>
      </c>
      <c r="C22" s="296"/>
      <c r="D22" s="315"/>
      <c r="E22" s="314">
        <f t="shared" si="0"/>
        <v>0</v>
      </c>
    </row>
    <row r="23" spans="1:5" ht="12.75">
      <c r="A23" s="67" t="s">
        <v>389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452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435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387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386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430</v>
      </c>
      <c r="B32" t="s">
        <v>187</v>
      </c>
      <c r="C32" s="496"/>
      <c r="D32" s="296"/>
      <c r="E32" s="314">
        <f t="shared" si="0"/>
        <v>0</v>
      </c>
    </row>
    <row r="33" spans="1:5" ht="12.75">
      <c r="A33" s="67" t="s">
        <v>431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448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81" t="s">
        <v>449</v>
      </c>
      <c r="C35" s="296">
        <v>0</v>
      </c>
      <c r="D35" s="296"/>
      <c r="E35" s="314">
        <f t="shared" si="0"/>
        <v>0</v>
      </c>
    </row>
    <row r="36" spans="1:5" ht="12.75">
      <c r="A36" s="67" t="s">
        <v>432</v>
      </c>
      <c r="C36" s="496"/>
      <c r="D36" s="296"/>
      <c r="E36" s="314">
        <f t="shared" si="0"/>
        <v>0</v>
      </c>
    </row>
    <row r="37" spans="1:5" ht="12.75">
      <c r="A37" s="67" t="s">
        <v>433</v>
      </c>
      <c r="C37" s="296"/>
      <c r="D37" s="296"/>
      <c r="E37" s="314">
        <f t="shared" si="0"/>
        <v>0</v>
      </c>
    </row>
    <row r="38" spans="1:5" ht="12.75">
      <c r="A38" s="67" t="s">
        <v>455</v>
      </c>
      <c r="C38" s="296"/>
      <c r="D38" s="296"/>
      <c r="E38" s="314">
        <f t="shared" si="0"/>
        <v>0</v>
      </c>
    </row>
    <row r="39" spans="2:5" ht="12.75">
      <c r="B39" t="s">
        <v>187</v>
      </c>
      <c r="C39" s="296"/>
      <c r="D39" s="296"/>
      <c r="E39" s="314">
        <f t="shared" si="0"/>
        <v>0</v>
      </c>
    </row>
    <row r="40" spans="1:5" ht="12.75">
      <c r="A40" s="81" t="s">
        <v>390</v>
      </c>
      <c r="B40" t="s">
        <v>187</v>
      </c>
      <c r="C40" s="296"/>
      <c r="D40" s="296"/>
      <c r="E40" s="314">
        <f t="shared" si="0"/>
        <v>0</v>
      </c>
    </row>
    <row r="41" spans="1:5" ht="12.75">
      <c r="A41" s="81" t="s">
        <v>384</v>
      </c>
      <c r="B41" t="s">
        <v>187</v>
      </c>
      <c r="C41" s="496"/>
      <c r="D41" s="296"/>
      <c r="E41" s="314">
        <f t="shared" si="0"/>
        <v>0</v>
      </c>
    </row>
    <row r="42" spans="2:5" ht="12.75">
      <c r="B42" t="s">
        <v>187</v>
      </c>
      <c r="C42" s="296"/>
      <c r="D42" s="296"/>
      <c r="E42" s="314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4">
        <f t="shared" si="0"/>
        <v>0</v>
      </c>
    </row>
    <row r="44" spans="1:5" ht="12.75">
      <c r="A44" s="501" t="s">
        <v>497</v>
      </c>
      <c r="B44" t="s">
        <v>187</v>
      </c>
      <c r="C44" s="484">
        <v>12085</v>
      </c>
      <c r="D44" s="295"/>
      <c r="E44" s="251">
        <f t="shared" si="0"/>
        <v>12085</v>
      </c>
    </row>
    <row r="45" spans="1:5" ht="12.75">
      <c r="A45" s="502" t="s">
        <v>498</v>
      </c>
      <c r="B45" t="s">
        <v>187</v>
      </c>
      <c r="C45" s="295">
        <v>25920</v>
      </c>
      <c r="D45" s="295"/>
      <c r="E45" s="251">
        <f t="shared" si="0"/>
        <v>25920</v>
      </c>
    </row>
    <row r="46" spans="1:5" ht="12.75">
      <c r="A46" s="502" t="s">
        <v>506</v>
      </c>
      <c r="B46" t="s">
        <v>187</v>
      </c>
      <c r="C46" s="295">
        <v>1076641</v>
      </c>
      <c r="D46" s="295"/>
      <c r="E46" s="280"/>
    </row>
    <row r="47" spans="1:5" ht="12.75">
      <c r="A47" s="446" t="s">
        <v>394</v>
      </c>
      <c r="B47" t="s">
        <v>189</v>
      </c>
      <c r="C47" s="251">
        <f>SUM(C19:C46)</f>
        <v>1114646</v>
      </c>
      <c r="D47" s="251">
        <f>SUM(D19:D46)</f>
        <v>0</v>
      </c>
      <c r="E47" s="251">
        <f>SUM(E19:E46)</f>
        <v>38005</v>
      </c>
    </row>
    <row r="48" ht="12.75">
      <c r="A48" s="67"/>
    </row>
    <row r="49" ht="12.75">
      <c r="A49" s="81" t="s">
        <v>145</v>
      </c>
    </row>
    <row r="51" spans="1:5" ht="12.75">
      <c r="A51" s="71" t="s">
        <v>385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451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386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434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67" t="s">
        <v>442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454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450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453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/>
      <c r="B59" s="8" t="s">
        <v>188</v>
      </c>
      <c r="C59" s="295"/>
      <c r="D59" s="295"/>
      <c r="E59" s="251">
        <f t="shared" si="1"/>
        <v>0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3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65" t="s">
        <v>391</v>
      </c>
      <c r="B64" s="8" t="s">
        <v>188</v>
      </c>
      <c r="C64" s="295">
        <v>39999</v>
      </c>
      <c r="D64" s="295"/>
      <c r="E64" s="251">
        <f t="shared" si="2"/>
        <v>39999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65" t="s">
        <v>384</v>
      </c>
      <c r="B66" s="8" t="s">
        <v>188</v>
      </c>
      <c r="C66" s="295"/>
      <c r="D66" s="295"/>
      <c r="E66" s="251">
        <f t="shared" si="2"/>
        <v>0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502" t="s">
        <v>499</v>
      </c>
      <c r="B69" s="8" t="s">
        <v>188</v>
      </c>
      <c r="C69" s="295">
        <v>64024</v>
      </c>
      <c r="D69" s="295"/>
      <c r="E69" s="251">
        <f t="shared" si="2"/>
        <v>64024</v>
      </c>
    </row>
    <row r="70" spans="1:5" ht="12.75">
      <c r="A70" s="502" t="s">
        <v>500</v>
      </c>
      <c r="B70" s="8" t="s">
        <v>188</v>
      </c>
      <c r="C70" s="295">
        <v>200000</v>
      </c>
      <c r="D70" s="295"/>
      <c r="E70" s="251">
        <f t="shared" si="2"/>
        <v>200000</v>
      </c>
    </row>
    <row r="71" spans="1:5" ht="12.75">
      <c r="A71" s="502" t="s">
        <v>501</v>
      </c>
      <c r="B71" s="8" t="s">
        <v>188</v>
      </c>
      <c r="C71" s="295">
        <v>94577</v>
      </c>
      <c r="D71" s="295"/>
      <c r="E71" s="251">
        <f t="shared" si="2"/>
        <v>94577</v>
      </c>
    </row>
    <row r="72" spans="1:5" ht="12.75">
      <c r="A72" s="502" t="s">
        <v>502</v>
      </c>
      <c r="B72" s="8" t="s">
        <v>188</v>
      </c>
      <c r="C72" s="295">
        <v>154606</v>
      </c>
      <c r="D72" s="295"/>
      <c r="E72" s="280">
        <f t="shared" si="2"/>
        <v>154606</v>
      </c>
    </row>
    <row r="73" spans="1:5" ht="12.75">
      <c r="A73" s="502" t="s">
        <v>503</v>
      </c>
      <c r="B73" s="8"/>
      <c r="C73" s="295">
        <v>2329964</v>
      </c>
      <c r="D73" s="295"/>
      <c r="E73" s="280">
        <f t="shared" si="2"/>
        <v>2329964</v>
      </c>
    </row>
    <row r="74" spans="1:5" ht="12.75">
      <c r="A74" s="502" t="s">
        <v>504</v>
      </c>
      <c r="B74" s="8"/>
      <c r="C74" s="295"/>
      <c r="D74" s="295"/>
      <c r="E74" s="280"/>
    </row>
    <row r="75" spans="1:5" ht="12.75">
      <c r="A75" s="445" t="s">
        <v>393</v>
      </c>
      <c r="B75" s="8" t="s">
        <v>189</v>
      </c>
      <c r="C75" s="251">
        <f>SUM(C51:C74)</f>
        <v>2883170</v>
      </c>
      <c r="D75" s="251">
        <f>SUM(D51:D74)</f>
        <v>0</v>
      </c>
      <c r="E75" s="251">
        <f>SUM(E51:E74)</f>
        <v>2883170</v>
      </c>
    </row>
    <row r="76" ht="12.75">
      <c r="A76" s="67"/>
    </row>
    <row r="77" ht="12.75">
      <c r="A77" s="4"/>
    </row>
    <row r="78" ht="12.75">
      <c r="A78" s="504"/>
    </row>
    <row r="79" ht="12.75">
      <c r="A79" s="505"/>
    </row>
    <row r="80" ht="12.75">
      <c r="A80" s="505"/>
    </row>
    <row r="81" ht="12.75">
      <c r="A81" s="505"/>
    </row>
    <row r="82" ht="12.75">
      <c r="A82" s="505"/>
    </row>
    <row r="83" ht="12.75">
      <c r="A83" s="31"/>
    </row>
    <row r="84" ht="12.75">
      <c r="A84" s="505"/>
    </row>
    <row r="85" ht="12.75">
      <c r="A85" s="505"/>
    </row>
    <row r="86" ht="12.75">
      <c r="A86" s="505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6" t="str">
        <f>REGINFO!A1</f>
        <v>PILs TAXES - EB-2010-</v>
      </c>
      <c r="B1" s="387"/>
      <c r="C1" s="344"/>
      <c r="D1" s="344"/>
      <c r="E1" s="344"/>
      <c r="F1" s="344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5" t="s">
        <v>107</v>
      </c>
      <c r="B2" s="344"/>
      <c r="C2" s="344"/>
      <c r="D2" s="344"/>
      <c r="E2" s="344"/>
      <c r="F2" s="346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5" t="s">
        <v>304</v>
      </c>
      <c r="B3" s="344"/>
      <c r="C3" s="344"/>
      <c r="D3" s="344"/>
      <c r="E3" s="344"/>
      <c r="F3" s="346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Hydro One Brampton Networks Inc.</v>
      </c>
      <c r="B4" s="344"/>
      <c r="C4" s="344"/>
      <c r="D4" s="344"/>
      <c r="E4" s="344"/>
      <c r="F4" s="344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4"/>
      <c r="C5" s="344"/>
      <c r="D5" s="344"/>
      <c r="E5" s="344"/>
      <c r="F5" s="344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5"/>
      <c r="B6" s="344"/>
      <c r="C6" s="344"/>
      <c r="D6" s="344"/>
      <c r="E6" s="344"/>
      <c r="F6" s="344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5"/>
      <c r="B7" s="344"/>
      <c r="C7" s="344"/>
      <c r="D7" s="344"/>
      <c r="E7" s="344"/>
      <c r="F7" s="412" t="s">
        <v>334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5" t="s">
        <v>483</v>
      </c>
      <c r="B8" s="516"/>
      <c r="C8" s="516"/>
      <c r="D8" s="516"/>
      <c r="E8" s="344"/>
      <c r="F8" s="384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2" t="s">
        <v>112</v>
      </c>
      <c r="B9" s="327"/>
      <c r="C9" s="375">
        <v>0</v>
      </c>
      <c r="D9" s="375"/>
      <c r="E9" s="375">
        <v>200001</v>
      </c>
      <c r="F9" s="376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3" t="s">
        <v>465</v>
      </c>
      <c r="B10" s="328"/>
      <c r="C10" s="377" t="s">
        <v>111</v>
      </c>
      <c r="D10" s="377"/>
      <c r="E10" s="377" t="s">
        <v>111</v>
      </c>
      <c r="F10" s="378" t="s">
        <v>488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3"/>
      <c r="B11" s="328" t="s">
        <v>116</v>
      </c>
      <c r="C11" s="379">
        <v>200000</v>
      </c>
      <c r="D11" s="379"/>
      <c r="E11" s="379">
        <v>700000</v>
      </c>
      <c r="F11" s="380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4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5" t="s">
        <v>297</v>
      </c>
      <c r="B13" s="411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5" t="s">
        <v>296</v>
      </c>
      <c r="B14" s="245"/>
      <c r="C14" s="329">
        <v>0.1312</v>
      </c>
      <c r="D14" s="329"/>
      <c r="E14" s="330">
        <v>0.2612</v>
      </c>
      <c r="F14" s="330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5" t="s">
        <v>301</v>
      </c>
      <c r="B15" s="245"/>
      <c r="C15" s="331">
        <v>0.06</v>
      </c>
      <c r="D15" s="331"/>
      <c r="E15" s="332">
        <v>0.06</v>
      </c>
      <c r="F15" s="332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5" t="s">
        <v>258</v>
      </c>
      <c r="B16" s="245"/>
      <c r="C16" s="333">
        <f>SUM(C14:C15)</f>
        <v>0.1912</v>
      </c>
      <c r="D16" s="333"/>
      <c r="E16" s="334">
        <v>0.3412</v>
      </c>
      <c r="F16" s="334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5"/>
      <c r="B17" s="245"/>
      <c r="C17" s="329"/>
      <c r="D17" s="329"/>
      <c r="E17" s="330"/>
      <c r="F17" s="330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4" t="s">
        <v>109</v>
      </c>
      <c r="B18" s="244"/>
      <c r="C18" s="335">
        <v>0.003</v>
      </c>
      <c r="D18" s="329"/>
      <c r="E18" s="330"/>
      <c r="F18" s="330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4" t="s">
        <v>110</v>
      </c>
      <c r="B19" s="238"/>
      <c r="C19" s="336">
        <v>0.00225</v>
      </c>
      <c r="D19" s="337"/>
      <c r="E19" s="338"/>
      <c r="F19" s="338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4" t="s">
        <v>113</v>
      </c>
      <c r="B20" s="238"/>
      <c r="C20" s="337">
        <v>0.0112</v>
      </c>
      <c r="D20" s="339"/>
      <c r="E20" s="340"/>
      <c r="F20" s="340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6" t="s">
        <v>329</v>
      </c>
      <c r="B21" s="408" t="s">
        <v>470</v>
      </c>
      <c r="C21" s="498">
        <f>5000000*REGINFO!D21</f>
        <v>100000</v>
      </c>
      <c r="D21" s="339"/>
      <c r="E21" s="340"/>
      <c r="F21" s="340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6" t="s">
        <v>330</v>
      </c>
      <c r="B22" s="409" t="s">
        <v>471</v>
      </c>
      <c r="C22" s="499">
        <f>10000000*REGINFO!D22</f>
        <v>300000</v>
      </c>
      <c r="D22" s="341"/>
      <c r="E22" s="342"/>
      <c r="F22" s="342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9" t="s">
        <v>492</v>
      </c>
      <c r="B23" s="510"/>
      <c r="C23" s="510"/>
      <c r="D23" s="510"/>
      <c r="E23" s="510"/>
      <c r="F23" s="510"/>
      <c r="G23" s="435"/>
      <c r="H23" s="422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3"/>
      <c r="B24" s="414"/>
      <c r="C24" s="414"/>
      <c r="D24" s="414"/>
      <c r="E24" s="414"/>
      <c r="F24" s="414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1"/>
      <c r="B25" s="382"/>
      <c r="C25" s="385"/>
      <c r="D25" s="344"/>
      <c r="E25" s="344"/>
      <c r="F25" s="412" t="s">
        <v>335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7" t="s">
        <v>484</v>
      </c>
      <c r="B26" s="518"/>
      <c r="C26" s="518"/>
      <c r="D26" s="518"/>
      <c r="E26" s="518"/>
      <c r="F26" s="51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2" t="s">
        <v>112</v>
      </c>
      <c r="B27" s="327"/>
      <c r="C27" s="369">
        <v>0</v>
      </c>
      <c r="D27" s="369"/>
      <c r="E27" s="369">
        <v>200001</v>
      </c>
      <c r="F27" s="370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3" t="s">
        <v>438</v>
      </c>
      <c r="B28" s="328"/>
      <c r="C28" s="371" t="s">
        <v>111</v>
      </c>
      <c r="D28" s="371"/>
      <c r="E28" s="371" t="s">
        <v>111</v>
      </c>
      <c r="F28" s="372" t="s">
        <v>488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3"/>
      <c r="B29" s="328" t="s">
        <v>116</v>
      </c>
      <c r="C29" s="373">
        <v>200000</v>
      </c>
      <c r="D29" s="373"/>
      <c r="E29" s="373">
        <v>700000</v>
      </c>
      <c r="F29" s="374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4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5" t="s">
        <v>115</v>
      </c>
      <c r="B31" s="411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5" t="s">
        <v>296</v>
      </c>
      <c r="B32" s="411">
        <v>2003</v>
      </c>
      <c r="C32" s="329">
        <v>0.1312</v>
      </c>
      <c r="D32" s="329"/>
      <c r="E32" s="330"/>
      <c r="F32" s="330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5" t="s">
        <v>29</v>
      </c>
      <c r="B33" s="411">
        <v>2003</v>
      </c>
      <c r="C33" s="331">
        <v>0.06</v>
      </c>
      <c r="D33" s="331"/>
      <c r="E33" s="332"/>
      <c r="F33" s="332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5" t="s">
        <v>258</v>
      </c>
      <c r="B34" s="411">
        <v>2003</v>
      </c>
      <c r="C34" s="333">
        <f>SUM(C32:C33)</f>
        <v>0.1912</v>
      </c>
      <c r="D34" s="333"/>
      <c r="E34" s="334">
        <v>0.3412</v>
      </c>
      <c r="F34" s="334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5"/>
      <c r="B35" s="245"/>
      <c r="C35" s="329"/>
      <c r="D35" s="329"/>
      <c r="E35" s="330"/>
      <c r="F35" s="330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4" t="s">
        <v>109</v>
      </c>
      <c r="B36" s="411">
        <v>2003</v>
      </c>
      <c r="C36" s="335">
        <v>0.003</v>
      </c>
      <c r="D36" s="329"/>
      <c r="E36" s="330"/>
      <c r="F36" s="330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4" t="s">
        <v>110</v>
      </c>
      <c r="B37" s="411">
        <v>2003</v>
      </c>
      <c r="C37" s="336">
        <v>0.00225</v>
      </c>
      <c r="D37" s="337"/>
      <c r="E37" s="338"/>
      <c r="F37" s="338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4" t="s">
        <v>113</v>
      </c>
      <c r="B38" s="411">
        <v>2003</v>
      </c>
      <c r="C38" s="337">
        <v>0.0112</v>
      </c>
      <c r="D38" s="339"/>
      <c r="E38" s="340"/>
      <c r="F38" s="340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6" t="s">
        <v>485</v>
      </c>
      <c r="B39" s="408" t="s">
        <v>470</v>
      </c>
      <c r="C39" s="363">
        <f>5000000*REGINFO!D21</f>
        <v>100000</v>
      </c>
      <c r="D39" s="339"/>
      <c r="E39" s="340"/>
      <c r="F39" s="340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6" t="s">
        <v>486</v>
      </c>
      <c r="B40" s="409" t="s">
        <v>471</v>
      </c>
      <c r="C40" s="364">
        <f>10000000*REGINFO!D22</f>
        <v>300000</v>
      </c>
      <c r="D40" s="341"/>
      <c r="E40" s="342"/>
      <c r="F40" s="342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1" t="s">
        <v>332</v>
      </c>
      <c r="B41" s="510"/>
      <c r="C41" s="510"/>
      <c r="D41" s="510"/>
      <c r="E41" s="510"/>
      <c r="F41" s="51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2"/>
      <c r="B42" s="512"/>
      <c r="C42" s="512"/>
      <c r="D42" s="512"/>
      <c r="E42" s="512"/>
      <c r="F42" s="51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1"/>
      <c r="B43" s="382"/>
      <c r="C43" s="383"/>
      <c r="D43" s="382"/>
      <c r="E43" s="382"/>
      <c r="F43" s="412" t="s">
        <v>336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10" t="s">
        <v>487</v>
      </c>
      <c r="B44" s="367"/>
      <c r="C44" s="368"/>
      <c r="D44" s="367"/>
      <c r="E44" s="344"/>
      <c r="F44" s="384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2" t="s">
        <v>112</v>
      </c>
      <c r="B45" s="327"/>
      <c r="C45" s="369">
        <v>0</v>
      </c>
      <c r="D45" s="369"/>
      <c r="E45" s="369">
        <v>200001</v>
      </c>
      <c r="F45" s="370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3"/>
      <c r="B46" s="328"/>
      <c r="C46" s="371" t="s">
        <v>111</v>
      </c>
      <c r="D46" s="371"/>
      <c r="E46" s="371" t="s">
        <v>111</v>
      </c>
      <c r="F46" s="372" t="s">
        <v>469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3"/>
      <c r="B47" s="343" t="s">
        <v>116</v>
      </c>
      <c r="C47" s="373">
        <v>200000</v>
      </c>
      <c r="D47" s="373"/>
      <c r="E47" s="373">
        <v>700000</v>
      </c>
      <c r="F47" s="374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4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5" t="s">
        <v>115</v>
      </c>
      <c r="B49" s="411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5" t="s">
        <v>296</v>
      </c>
      <c r="B50" s="245"/>
      <c r="C50" s="353">
        <v>0.1312</v>
      </c>
      <c r="D50" s="353"/>
      <c r="E50" s="354">
        <v>0</v>
      </c>
      <c r="F50" s="354">
        <v>0.2412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5" t="s">
        <v>29</v>
      </c>
      <c r="B51" s="245"/>
      <c r="C51" s="355">
        <v>0.06</v>
      </c>
      <c r="D51" s="355"/>
      <c r="E51" s="356">
        <v>0</v>
      </c>
      <c r="F51" s="356"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5" t="s">
        <v>258</v>
      </c>
      <c r="B52" s="245"/>
      <c r="C52" s="333">
        <f>SUM(C50:C51)</f>
        <v>0.1912</v>
      </c>
      <c r="D52" s="333"/>
      <c r="E52" s="334">
        <f>SUM(E50:E51)</f>
        <v>0</v>
      </c>
      <c r="F52" s="334">
        <f>SUM(F50:F51)</f>
        <v>0.36619999999999997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5"/>
      <c r="B53" s="245"/>
      <c r="C53" s="353"/>
      <c r="D53" s="353"/>
      <c r="E53" s="354"/>
      <c r="F53" s="354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4" t="s">
        <v>109</v>
      </c>
      <c r="B54" s="244"/>
      <c r="C54" s="357">
        <v>0.003</v>
      </c>
      <c r="D54" s="353"/>
      <c r="E54" s="354"/>
      <c r="F54" s="354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4" t="s">
        <v>110</v>
      </c>
      <c r="B55" s="238"/>
      <c r="C55" s="358">
        <v>0.00225</v>
      </c>
      <c r="D55" s="359"/>
      <c r="E55" s="360"/>
      <c r="F55" s="360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4" t="s">
        <v>113</v>
      </c>
      <c r="B56" s="238"/>
      <c r="C56" s="359">
        <v>0.0112</v>
      </c>
      <c r="D56" s="361"/>
      <c r="E56" s="362"/>
      <c r="F56" s="362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6" t="s">
        <v>346</v>
      </c>
      <c r="B57" s="408" t="s">
        <v>470</v>
      </c>
      <c r="C57" s="363">
        <v>148875</v>
      </c>
      <c r="D57" s="361"/>
      <c r="E57" s="362"/>
      <c r="F57" s="362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6" t="s">
        <v>347</v>
      </c>
      <c r="B58" s="409" t="s">
        <v>471</v>
      </c>
      <c r="C58" s="364">
        <v>0</v>
      </c>
      <c r="D58" s="365"/>
      <c r="E58" s="366"/>
      <c r="F58" s="366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9" t="s">
        <v>348</v>
      </c>
      <c r="B59" s="513"/>
      <c r="C59" s="513"/>
      <c r="D59" s="513"/>
      <c r="E59" s="513"/>
      <c r="F59" s="513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4"/>
      <c r="B60" s="514"/>
      <c r="C60" s="514"/>
      <c r="D60" s="514"/>
      <c r="E60" s="514"/>
      <c r="F60" s="514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5"/>
      <c r="B61" s="346"/>
      <c r="C61" s="346"/>
      <c r="D61" s="346"/>
      <c r="E61" s="346"/>
      <c r="F61" s="348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5"/>
      <c r="B62" s="346"/>
      <c r="C62" s="347"/>
      <c r="D62" s="347"/>
      <c r="E62" s="347"/>
      <c r="F62" s="349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5"/>
      <c r="B63" s="344"/>
      <c r="C63" s="344"/>
      <c r="D63" s="344"/>
      <c r="E63" s="344"/>
      <c r="F63" s="344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50"/>
      <c r="B64" s="351"/>
      <c r="C64" s="352"/>
      <c r="D64" s="352"/>
      <c r="E64" s="352"/>
      <c r="F64" s="352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zoomScalePageLayoutView="0" workbookViewId="0" topLeftCell="B12">
      <selection activeCell="M15" sqref="M15:M1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456</v>
      </c>
      <c r="B2" s="2"/>
    </row>
    <row r="3" spans="1:15" ht="12.75">
      <c r="A3" s="2" t="str">
        <f>REGINFO!A3</f>
        <v>Utility Name: Hydro One Brampton Networks Inc.</v>
      </c>
      <c r="O3" s="418" t="str">
        <f>REGINFO!E1</f>
        <v>Version 2009.1</v>
      </c>
    </row>
    <row r="4" spans="1:15" ht="12.75">
      <c r="A4" s="2" t="str">
        <f>REGINFO!A4</f>
        <v>Reporting period:  2003</v>
      </c>
      <c r="E4" s="419" t="s">
        <v>318</v>
      </c>
      <c r="F4" s="400"/>
      <c r="G4" s="400"/>
      <c r="H4" s="400"/>
      <c r="I4" s="400"/>
      <c r="O4" s="41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4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6">
        <v>0</v>
      </c>
      <c r="D11" s="392"/>
      <c r="E11" s="398">
        <f>C22</f>
        <v>0</v>
      </c>
      <c r="F11" s="421"/>
      <c r="G11" s="398">
        <f>E22</f>
        <v>0</v>
      </c>
      <c r="H11" s="421"/>
      <c r="I11" s="398">
        <f>G22</f>
        <v>0</v>
      </c>
      <c r="J11" s="392"/>
      <c r="K11" s="398">
        <f>I22</f>
        <v>0</v>
      </c>
      <c r="L11" s="392"/>
      <c r="M11" s="398">
        <f>K22</f>
        <v>0</v>
      </c>
      <c r="N11" s="392"/>
      <c r="O11" s="398">
        <f>C11</f>
        <v>0</v>
      </c>
    </row>
    <row r="12" spans="1:15" ht="27" customHeight="1">
      <c r="A12" s="81" t="s">
        <v>395</v>
      </c>
      <c r="B12" s="66" t="s">
        <v>190</v>
      </c>
      <c r="C12" s="397"/>
      <c r="D12" s="393"/>
      <c r="E12" s="397"/>
      <c r="F12" s="95"/>
      <c r="G12" s="420">
        <f>C12+E12</f>
        <v>0</v>
      </c>
      <c r="H12" s="95"/>
      <c r="I12" s="420">
        <f>(E12/12*9)+(G12/12*3)</f>
        <v>0</v>
      </c>
      <c r="J12" s="393"/>
      <c r="K12" s="420">
        <f>E12/12*3</f>
        <v>0</v>
      </c>
      <c r="L12" s="393"/>
      <c r="M12" s="420">
        <f>K13/9*12/4</f>
        <v>0</v>
      </c>
      <c r="N12" s="393"/>
      <c r="O12" s="398">
        <f aca="true" t="shared" si="0" ref="O12:O20">SUM(C12:N12)</f>
        <v>0</v>
      </c>
    </row>
    <row r="13" spans="1:15" ht="27" customHeight="1">
      <c r="A13" s="81" t="s">
        <v>437</v>
      </c>
      <c r="B13" s="66"/>
      <c r="C13" s="420"/>
      <c r="D13" s="393"/>
      <c r="E13" s="420"/>
      <c r="F13" s="95"/>
      <c r="G13" s="420"/>
      <c r="H13" s="95"/>
      <c r="I13" s="420"/>
      <c r="J13" s="393"/>
      <c r="K13" s="397"/>
      <c r="L13" s="393"/>
      <c r="M13" s="420"/>
      <c r="N13" s="393"/>
      <c r="O13" s="398">
        <f t="shared" si="0"/>
        <v>0</v>
      </c>
    </row>
    <row r="14" spans="1:15" ht="25.5">
      <c r="A14" s="81" t="s">
        <v>396</v>
      </c>
      <c r="B14" s="66" t="s">
        <v>190</v>
      </c>
      <c r="C14" s="397"/>
      <c r="D14" s="393"/>
      <c r="E14" s="397"/>
      <c r="F14" s="95"/>
      <c r="G14" s="397"/>
      <c r="H14" s="95"/>
      <c r="I14" s="397"/>
      <c r="J14" s="393"/>
      <c r="K14" s="397"/>
      <c r="L14" s="393"/>
      <c r="M14" s="397"/>
      <c r="N14" s="393"/>
      <c r="O14" s="398">
        <f t="shared" si="0"/>
        <v>0</v>
      </c>
    </row>
    <row r="15" spans="1:15" ht="27" customHeight="1">
      <c r="A15" s="81" t="s">
        <v>397</v>
      </c>
      <c r="B15" s="66" t="s">
        <v>190</v>
      </c>
      <c r="C15" s="397"/>
      <c r="D15" s="393"/>
      <c r="E15" s="397"/>
      <c r="F15" s="95"/>
      <c r="G15" s="397"/>
      <c r="H15" s="95"/>
      <c r="I15" s="397"/>
      <c r="J15" s="393"/>
      <c r="K15" s="397"/>
      <c r="L15" s="393"/>
      <c r="M15" s="420">
        <f>TAXCALC!E132</f>
        <v>-846447.9687751931</v>
      </c>
      <c r="N15" s="393"/>
      <c r="O15" s="398">
        <f t="shared" si="0"/>
        <v>-846447.9687751931</v>
      </c>
    </row>
    <row r="16" spans="1:15" ht="27" customHeight="1">
      <c r="A16" s="81" t="s">
        <v>398</v>
      </c>
      <c r="B16" s="66"/>
      <c r="C16" s="397"/>
      <c r="D16" s="393"/>
      <c r="E16" s="397"/>
      <c r="F16" s="95"/>
      <c r="G16" s="397"/>
      <c r="H16" s="95"/>
      <c r="I16" s="397"/>
      <c r="J16" s="393"/>
      <c r="K16" s="397"/>
      <c r="L16" s="393"/>
      <c r="M16" s="397"/>
      <c r="N16" s="393"/>
      <c r="O16" s="398">
        <f t="shared" si="0"/>
        <v>0</v>
      </c>
    </row>
    <row r="17" spans="1:15" ht="27.75" customHeight="1">
      <c r="A17" s="81" t="s">
        <v>399</v>
      </c>
      <c r="B17" s="66" t="s">
        <v>190</v>
      </c>
      <c r="C17" s="397"/>
      <c r="D17" s="393"/>
      <c r="E17" s="397"/>
      <c r="F17" s="95"/>
      <c r="G17" s="397"/>
      <c r="H17" s="95"/>
      <c r="I17" s="397"/>
      <c r="J17" s="393"/>
      <c r="K17" s="397"/>
      <c r="L17" s="393"/>
      <c r="M17" s="420">
        <f>TAXCALC!E181</f>
        <v>-404274.09261211235</v>
      </c>
      <c r="N17" s="393"/>
      <c r="O17" s="398">
        <f t="shared" si="0"/>
        <v>-404274.09261211235</v>
      </c>
    </row>
    <row r="18" spans="1:15" ht="25.5">
      <c r="A18" s="81" t="s">
        <v>400</v>
      </c>
      <c r="B18" s="66" t="s">
        <v>190</v>
      </c>
      <c r="C18" s="397"/>
      <c r="D18" s="393"/>
      <c r="E18" s="397"/>
      <c r="F18" s="95"/>
      <c r="G18" s="397"/>
      <c r="H18" s="95"/>
      <c r="I18" s="397"/>
      <c r="J18" s="393"/>
      <c r="K18" s="397"/>
      <c r="L18" s="393"/>
      <c r="M18" s="397"/>
      <c r="N18" s="393"/>
      <c r="O18" s="398">
        <f t="shared" si="0"/>
        <v>0</v>
      </c>
    </row>
    <row r="19" spans="1:15" ht="24" customHeight="1">
      <c r="A19" s="429" t="s">
        <v>401</v>
      </c>
      <c r="B19" s="66" t="s">
        <v>190</v>
      </c>
      <c r="C19" s="397"/>
      <c r="D19" s="393"/>
      <c r="E19" s="397"/>
      <c r="F19" s="95"/>
      <c r="G19" s="397"/>
      <c r="H19" s="95"/>
      <c r="I19" s="397"/>
      <c r="J19" s="393"/>
      <c r="K19" s="397"/>
      <c r="L19" s="393"/>
      <c r="M19" s="397"/>
      <c r="N19" s="393"/>
      <c r="O19" s="398">
        <f t="shared" si="0"/>
        <v>0</v>
      </c>
    </row>
    <row r="20" spans="1:15" ht="24.75" customHeight="1">
      <c r="A20" s="81" t="s">
        <v>468</v>
      </c>
      <c r="B20" s="66" t="s">
        <v>188</v>
      </c>
      <c r="C20" s="420">
        <v>0</v>
      </c>
      <c r="D20" s="393"/>
      <c r="E20" s="397"/>
      <c r="F20" s="95"/>
      <c r="G20" s="397"/>
      <c r="H20" s="95"/>
      <c r="I20" s="397"/>
      <c r="J20" s="393"/>
      <c r="K20" s="397"/>
      <c r="L20" s="393"/>
      <c r="M20" s="397"/>
      <c r="N20" s="393"/>
      <c r="O20" s="398">
        <f t="shared" si="0"/>
        <v>0</v>
      </c>
    </row>
    <row r="21" spans="1:15" ht="12.75">
      <c r="A21" s="65"/>
      <c r="C21" s="393"/>
      <c r="D21" s="95"/>
      <c r="E21" s="393"/>
      <c r="F21" s="95"/>
      <c r="G21" s="393"/>
      <c r="H21" s="95"/>
      <c r="I21" s="393"/>
      <c r="J21" s="393"/>
      <c r="K21" s="393"/>
      <c r="L21" s="393"/>
      <c r="M21" s="393"/>
      <c r="N21" s="393"/>
      <c r="O21" s="421"/>
    </row>
    <row r="22" spans="1:15" ht="13.5" thickBot="1">
      <c r="A22" s="81" t="s">
        <v>371</v>
      </c>
      <c r="B22" s="34"/>
      <c r="C22" s="399">
        <f>SUM(C11:C20)</f>
        <v>0</v>
      </c>
      <c r="D22" s="421"/>
      <c r="E22" s="399">
        <f>SUM(E11:E20)</f>
        <v>0</v>
      </c>
      <c r="F22" s="421"/>
      <c r="G22" s="399">
        <f>SUM(G11:G20)</f>
        <v>0</v>
      </c>
      <c r="H22" s="421"/>
      <c r="I22" s="399">
        <f>SUM(I11:I20)</f>
        <v>0</v>
      </c>
      <c r="J22" s="392"/>
      <c r="K22" s="399">
        <f>SUM(K11:K20)</f>
        <v>0</v>
      </c>
      <c r="L22" s="392"/>
      <c r="M22" s="399">
        <f>SUM(M11:M21)</f>
        <v>-1250722.0613873054</v>
      </c>
      <c r="N22" s="392"/>
      <c r="O22" s="447">
        <f>SUM(O11:O20)</f>
        <v>-1250722.0613873054</v>
      </c>
    </row>
    <row r="23" spans="1:15" ht="13.5" thickTop="1">
      <c r="A23" s="430"/>
      <c r="B23" s="431"/>
      <c r="C23" s="437"/>
      <c r="D23" s="438"/>
      <c r="E23" s="437"/>
      <c r="F23" s="438"/>
      <c r="G23" s="437"/>
      <c r="H23" s="438"/>
      <c r="I23" s="437"/>
      <c r="J23" s="431"/>
      <c r="K23" s="437"/>
      <c r="L23" s="188"/>
      <c r="M23" s="439"/>
      <c r="N23" s="188"/>
      <c r="O23" s="439"/>
    </row>
    <row r="24" spans="1:15" ht="12.75">
      <c r="A24" s="453"/>
      <c r="B24" s="454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6"/>
    </row>
    <row r="25" spans="1:15" ht="12.75">
      <c r="A25" s="430"/>
      <c r="B25" s="431"/>
      <c r="C25" s="457"/>
      <c r="D25" s="457"/>
      <c r="E25" s="457"/>
      <c r="F25" s="457"/>
      <c r="G25" s="457"/>
      <c r="H25" s="457"/>
      <c r="I25" s="457"/>
      <c r="J25" s="458"/>
      <c r="K25" s="457"/>
      <c r="L25" s="459"/>
      <c r="M25" s="460"/>
      <c r="N25" s="459"/>
      <c r="O25" s="460"/>
    </row>
    <row r="26" spans="1:15" ht="12.75">
      <c r="A26" s="430" t="s">
        <v>402</v>
      </c>
      <c r="B26" s="431"/>
      <c r="C26" s="457"/>
      <c r="D26" s="457"/>
      <c r="E26" s="457"/>
      <c r="F26" s="457"/>
      <c r="G26" s="457"/>
      <c r="H26" s="457"/>
      <c r="I26" s="457"/>
      <c r="J26" s="458"/>
      <c r="K26" s="457"/>
      <c r="L26" s="459"/>
      <c r="M26" s="460"/>
      <c r="N26" s="459"/>
      <c r="O26" s="460"/>
    </row>
    <row r="27" spans="1:15" ht="9" customHeight="1">
      <c r="A27" s="430"/>
      <c r="B27" s="431"/>
      <c r="C27" s="431"/>
      <c r="D27" s="431"/>
      <c r="E27" s="431"/>
      <c r="F27" s="431"/>
      <c r="G27" s="431"/>
      <c r="H27" s="431"/>
      <c r="I27" s="431"/>
      <c r="J27" s="431"/>
      <c r="K27" s="432"/>
      <c r="L27" s="188"/>
      <c r="M27" s="188"/>
      <c r="N27" s="188"/>
      <c r="O27" s="188"/>
    </row>
    <row r="28" spans="1:15" ht="12.75">
      <c r="A28" s="430" t="s">
        <v>403</v>
      </c>
      <c r="B28" s="431"/>
      <c r="C28" s="431"/>
      <c r="D28" s="431"/>
      <c r="E28" s="431"/>
      <c r="F28" s="431"/>
      <c r="G28" s="431"/>
      <c r="H28" s="431"/>
      <c r="I28" s="431"/>
      <c r="J28" s="431"/>
      <c r="K28" s="431"/>
      <c r="L28" s="188"/>
      <c r="M28" s="188"/>
      <c r="N28" s="188"/>
      <c r="O28" s="188"/>
    </row>
    <row r="29" spans="1:15" ht="12.75">
      <c r="A29" s="433" t="s">
        <v>404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188"/>
      <c r="M29" s="188"/>
      <c r="N29" s="188"/>
      <c r="O29" s="188"/>
    </row>
    <row r="30" spans="1:15" ht="9" customHeight="1">
      <c r="A30" s="188"/>
      <c r="B30" s="431"/>
      <c r="C30" s="431"/>
      <c r="D30" s="431"/>
      <c r="E30" s="431"/>
      <c r="F30" s="431"/>
      <c r="G30" s="431"/>
      <c r="H30" s="431"/>
      <c r="I30" s="431"/>
      <c r="J30" s="431"/>
      <c r="K30" s="431"/>
      <c r="L30" s="188"/>
      <c r="M30" s="188"/>
      <c r="N30" s="188"/>
      <c r="O30" s="188"/>
    </row>
    <row r="31" spans="1:15" ht="12.75">
      <c r="A31" s="448" t="s">
        <v>405</v>
      </c>
      <c r="B31" s="80"/>
      <c r="C31" s="80"/>
      <c r="D31" s="80"/>
      <c r="E31" s="80"/>
      <c r="F31" s="80"/>
      <c r="G31" s="80"/>
      <c r="H31" s="80"/>
      <c r="I31" s="444"/>
      <c r="J31" s="444"/>
      <c r="K31" s="444"/>
      <c r="L31" s="444"/>
      <c r="M31" s="444"/>
      <c r="N31" s="444"/>
      <c r="O31" s="444"/>
    </row>
    <row r="32" spans="1:15" ht="9" customHeight="1">
      <c r="A32" s="449"/>
      <c r="B32" s="449"/>
      <c r="C32" s="449"/>
      <c r="D32" s="449"/>
      <c r="E32" s="449"/>
      <c r="F32" s="449"/>
      <c r="G32" s="449"/>
      <c r="H32" s="449"/>
      <c r="I32" s="449"/>
      <c r="J32" s="449"/>
      <c r="K32" s="449"/>
      <c r="L32" s="449"/>
      <c r="M32" s="449"/>
      <c r="N32" s="449"/>
      <c r="O32" s="449"/>
    </row>
    <row r="33" spans="1:19" ht="12.75">
      <c r="A33" s="520" t="s">
        <v>406</v>
      </c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422"/>
      <c r="Q33" s="422"/>
      <c r="R33" s="422"/>
      <c r="S33" s="422"/>
    </row>
    <row r="34" spans="1:19" ht="12.75">
      <c r="A34" s="519" t="s">
        <v>407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422"/>
      <c r="Q34" s="422"/>
      <c r="R34" s="422"/>
      <c r="S34" s="422"/>
    </row>
    <row r="35" spans="1:19" ht="12.75">
      <c r="A35" s="519" t="s">
        <v>428</v>
      </c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422"/>
      <c r="Q35" s="422"/>
      <c r="R35" s="422"/>
      <c r="S35" s="422"/>
    </row>
    <row r="36" spans="1:19" ht="12.75">
      <c r="A36" s="519" t="s">
        <v>408</v>
      </c>
      <c r="B36" s="521"/>
      <c r="C36" s="521"/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422"/>
      <c r="Q36" s="422"/>
      <c r="R36" s="422"/>
      <c r="S36" s="422"/>
    </row>
    <row r="37" spans="1:19" ht="12.75">
      <c r="A37" s="434" t="s">
        <v>368</v>
      </c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22"/>
      <c r="Q37" s="422"/>
      <c r="R37" s="422"/>
      <c r="S37" s="422"/>
    </row>
    <row r="38" spans="1:19" ht="12.75">
      <c r="A38" s="434" t="s">
        <v>369</v>
      </c>
      <c r="B38" s="435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22"/>
      <c r="Q38" s="422"/>
      <c r="R38" s="422"/>
      <c r="S38" s="422"/>
    </row>
    <row r="39" spans="1:19" ht="12.75">
      <c r="A39" s="434" t="s">
        <v>409</v>
      </c>
      <c r="B39" s="435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22"/>
      <c r="Q39" s="422"/>
      <c r="R39" s="422"/>
      <c r="S39" s="422"/>
    </row>
    <row r="40" spans="1:19" ht="12.75">
      <c r="A40" s="434" t="s">
        <v>410</v>
      </c>
      <c r="B40" s="435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22"/>
      <c r="Q40" s="422"/>
      <c r="R40" s="422"/>
      <c r="S40" s="422"/>
    </row>
    <row r="41" spans="2:19" ht="9" customHeight="1">
      <c r="B41" s="435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22"/>
      <c r="Q41" s="422"/>
      <c r="R41" s="422"/>
      <c r="S41" s="422"/>
    </row>
    <row r="42" spans="1:15" ht="12.75">
      <c r="A42" s="436" t="s">
        <v>411</v>
      </c>
      <c r="B42" s="431"/>
      <c r="C42" s="431"/>
      <c r="D42" s="431"/>
      <c r="E42" s="431"/>
      <c r="F42" s="431"/>
      <c r="G42" s="431"/>
      <c r="H42" s="431"/>
      <c r="I42" s="431"/>
      <c r="J42" s="431"/>
      <c r="K42" s="431"/>
      <c r="L42" s="188"/>
      <c r="M42" s="188"/>
      <c r="N42" s="188"/>
      <c r="O42" s="188"/>
    </row>
    <row r="43" spans="1:15" ht="12.75">
      <c r="A43" s="431" t="s">
        <v>412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188"/>
      <c r="M43" s="188"/>
      <c r="N43" s="188"/>
      <c r="O43" s="188"/>
    </row>
    <row r="44" spans="1:15" ht="9" customHeight="1">
      <c r="A44" s="431"/>
      <c r="B44" s="431"/>
      <c r="C44" s="431"/>
      <c r="D44" s="431"/>
      <c r="E44" s="431"/>
      <c r="F44" s="431"/>
      <c r="G44" s="431"/>
      <c r="H44" s="431"/>
      <c r="I44" s="431"/>
      <c r="J44" s="431"/>
      <c r="K44" s="431"/>
      <c r="L44" s="188"/>
      <c r="M44" s="188"/>
      <c r="N44" s="188"/>
      <c r="O44" s="188"/>
    </row>
    <row r="45" spans="1:15" ht="12.75">
      <c r="A45" s="436" t="s">
        <v>413</v>
      </c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188"/>
      <c r="M45" s="188"/>
      <c r="N45" s="188"/>
      <c r="O45" s="188"/>
    </row>
    <row r="46" spans="1:15" ht="12.75">
      <c r="A46" s="431" t="s">
        <v>414</v>
      </c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188"/>
      <c r="M46" s="188"/>
      <c r="N46" s="188"/>
      <c r="O46" s="188"/>
    </row>
    <row r="47" spans="1:15" ht="9" customHeight="1">
      <c r="A47" s="431"/>
      <c r="B47" s="431"/>
      <c r="C47" s="431"/>
      <c r="D47" s="431"/>
      <c r="E47" s="431"/>
      <c r="F47" s="431"/>
      <c r="G47" s="431"/>
      <c r="H47" s="431"/>
      <c r="I47" s="431"/>
      <c r="J47" s="431"/>
      <c r="K47" s="431"/>
      <c r="L47" s="188"/>
      <c r="M47" s="188"/>
      <c r="N47" s="188"/>
      <c r="O47" s="188"/>
    </row>
    <row r="48" spans="1:15" ht="12.75">
      <c r="A48" s="436" t="s">
        <v>415</v>
      </c>
      <c r="B48" s="431"/>
      <c r="C48" s="431"/>
      <c r="D48" s="431"/>
      <c r="E48" s="431"/>
      <c r="F48" s="431"/>
      <c r="G48" s="431"/>
      <c r="H48" s="431"/>
      <c r="I48" s="431"/>
      <c r="J48" s="431"/>
      <c r="K48" s="431"/>
      <c r="L48" s="188"/>
      <c r="M48" s="188"/>
      <c r="N48" s="188"/>
      <c r="O48" s="188"/>
    </row>
    <row r="49" spans="1:15" ht="12.75">
      <c r="A49" s="431" t="s">
        <v>416</v>
      </c>
      <c r="B49" s="431"/>
      <c r="C49" s="431"/>
      <c r="D49" s="431"/>
      <c r="E49" s="431"/>
      <c r="F49" s="431"/>
      <c r="G49" s="431"/>
      <c r="H49" s="431"/>
      <c r="I49" s="431"/>
      <c r="J49" s="431"/>
      <c r="K49" s="431"/>
      <c r="L49" s="188"/>
      <c r="M49" s="188"/>
      <c r="N49" s="188"/>
      <c r="O49" s="188"/>
    </row>
    <row r="50" spans="1:15" ht="9" customHeight="1">
      <c r="A50" s="431"/>
      <c r="B50" s="431"/>
      <c r="C50" s="431"/>
      <c r="D50" s="431"/>
      <c r="E50" s="431"/>
      <c r="F50" s="431"/>
      <c r="G50" s="431"/>
      <c r="H50" s="431"/>
      <c r="I50" s="431"/>
      <c r="J50" s="431"/>
      <c r="K50" s="431"/>
      <c r="L50" s="188"/>
      <c r="M50" s="188"/>
      <c r="N50" s="188"/>
      <c r="O50" s="188"/>
    </row>
    <row r="51" spans="1:15" ht="12.75">
      <c r="A51" s="436" t="s">
        <v>417</v>
      </c>
      <c r="B51" s="431"/>
      <c r="C51" s="431"/>
      <c r="D51" s="431"/>
      <c r="E51" s="431"/>
      <c r="F51" s="431"/>
      <c r="G51" s="431"/>
      <c r="H51" s="431"/>
      <c r="I51" s="431"/>
      <c r="J51" s="431"/>
      <c r="K51" s="431"/>
      <c r="L51" s="188"/>
      <c r="M51" s="188"/>
      <c r="N51" s="188"/>
      <c r="O51" s="188"/>
    </row>
    <row r="52" spans="1:15" ht="12.75">
      <c r="A52" s="431" t="s">
        <v>414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188"/>
      <c r="M52" s="188"/>
      <c r="N52" s="188"/>
      <c r="O52" s="188"/>
    </row>
    <row r="53" spans="1:15" ht="9" customHeight="1">
      <c r="A53" s="436"/>
      <c r="B53" s="431"/>
      <c r="C53" s="431"/>
      <c r="D53" s="431"/>
      <c r="E53" s="431"/>
      <c r="F53" s="431"/>
      <c r="G53" s="431"/>
      <c r="H53" s="431"/>
      <c r="I53" s="431"/>
      <c r="J53" s="431"/>
      <c r="K53" s="431"/>
      <c r="L53" s="188"/>
      <c r="M53" s="188"/>
      <c r="N53" s="188"/>
      <c r="O53" s="188"/>
    </row>
    <row r="54" spans="1:15" ht="12.75">
      <c r="A54" s="431" t="s">
        <v>418</v>
      </c>
      <c r="B54" s="431"/>
      <c r="C54" s="431"/>
      <c r="D54" s="431"/>
      <c r="E54" s="431"/>
      <c r="F54" s="431"/>
      <c r="G54" s="431"/>
      <c r="H54" s="431"/>
      <c r="I54" s="431"/>
      <c r="J54" s="431"/>
      <c r="K54" s="431"/>
      <c r="L54" s="188"/>
      <c r="M54" s="188"/>
      <c r="N54" s="188"/>
      <c r="O54" s="188"/>
    </row>
    <row r="55" spans="1:15" ht="9" customHeight="1">
      <c r="A55" s="431"/>
      <c r="B55" s="431"/>
      <c r="C55" s="431"/>
      <c r="D55" s="431"/>
      <c r="E55" s="431"/>
      <c r="F55" s="431"/>
      <c r="G55" s="431"/>
      <c r="H55" s="431"/>
      <c r="I55" s="431"/>
      <c r="J55" s="431"/>
      <c r="K55" s="431"/>
      <c r="L55" s="188"/>
      <c r="M55" s="188"/>
      <c r="N55" s="188"/>
      <c r="O55" s="188"/>
    </row>
    <row r="56" spans="1:15" ht="12.75" customHeight="1">
      <c r="A56" s="436" t="s">
        <v>419</v>
      </c>
      <c r="B56" s="431"/>
      <c r="C56" s="431"/>
      <c r="D56" s="431"/>
      <c r="E56" s="431"/>
      <c r="F56" s="431"/>
      <c r="G56" s="431"/>
      <c r="H56" s="431"/>
      <c r="I56" s="431"/>
      <c r="J56" s="431"/>
      <c r="K56" s="431"/>
      <c r="L56" s="188"/>
      <c r="M56" s="188"/>
      <c r="N56" s="188"/>
      <c r="O56" s="188"/>
    </row>
    <row r="57" spans="1:15" ht="9" customHeight="1">
      <c r="A57" s="431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188"/>
      <c r="M57" s="188"/>
      <c r="N57" s="188"/>
      <c r="O57" s="188"/>
    </row>
    <row r="58" spans="1:15" ht="12.75">
      <c r="A58" s="431" t="s">
        <v>420</v>
      </c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188"/>
      <c r="M58" s="188"/>
      <c r="N58" s="188"/>
      <c r="O58" s="188"/>
    </row>
    <row r="59" spans="1:15" ht="12.75">
      <c r="A59" s="431" t="s">
        <v>421</v>
      </c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188"/>
      <c r="M59" s="188"/>
      <c r="N59" s="188"/>
      <c r="O59" s="188"/>
    </row>
    <row r="60" spans="1:15" ht="12.75">
      <c r="A60" s="431" t="s">
        <v>422</v>
      </c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188"/>
      <c r="M60" s="188"/>
      <c r="N60" s="188"/>
      <c r="O60" s="188"/>
    </row>
    <row r="61" spans="1:15" ht="12.75">
      <c r="A61" s="431" t="s">
        <v>378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188"/>
      <c r="M61" s="188"/>
      <c r="N61" s="188"/>
      <c r="O61" s="188"/>
    </row>
    <row r="62" spans="1:15" ht="9" customHeight="1">
      <c r="A62" s="431"/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188"/>
      <c r="M62" s="188"/>
      <c r="N62" s="188"/>
      <c r="O62" s="188"/>
    </row>
    <row r="63" spans="1:15" ht="12.75">
      <c r="A63" s="431" t="s">
        <v>423</v>
      </c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188"/>
      <c r="M63" s="188"/>
      <c r="N63" s="188"/>
      <c r="O63" s="188"/>
    </row>
    <row r="64" spans="1:15" ht="12.75">
      <c r="A64" s="431" t="s">
        <v>424</v>
      </c>
      <c r="B64" s="431"/>
      <c r="C64" s="431"/>
      <c r="D64" s="431"/>
      <c r="E64" s="431"/>
      <c r="F64" s="431"/>
      <c r="G64" s="431"/>
      <c r="H64" s="431"/>
      <c r="I64" s="431"/>
      <c r="J64" s="431"/>
      <c r="K64" s="431"/>
      <c r="L64" s="188"/>
      <c r="M64" s="188"/>
      <c r="N64" s="188"/>
      <c r="O64" s="188"/>
    </row>
    <row r="65" spans="1:15" ht="12.75">
      <c r="A65" s="431" t="s">
        <v>380</v>
      </c>
      <c r="B65" s="431"/>
      <c r="C65" s="431"/>
      <c r="D65" s="431"/>
      <c r="E65" s="431"/>
      <c r="F65" s="431"/>
      <c r="G65" s="431"/>
      <c r="H65" s="431"/>
      <c r="I65" s="431"/>
      <c r="J65" s="431"/>
      <c r="K65" s="431"/>
      <c r="L65" s="188"/>
      <c r="M65" s="188"/>
      <c r="N65" s="188"/>
      <c r="O65" s="188"/>
    </row>
    <row r="66" spans="1:15" ht="3.75" customHeight="1">
      <c r="A66" s="431"/>
      <c r="B66" s="431"/>
      <c r="C66" s="431"/>
      <c r="D66" s="431"/>
      <c r="E66" s="431"/>
      <c r="F66" s="431"/>
      <c r="G66" s="431"/>
      <c r="H66" s="431"/>
      <c r="I66" s="431"/>
      <c r="J66" s="431"/>
      <c r="K66" s="431"/>
      <c r="L66" s="188"/>
      <c r="M66" s="188"/>
      <c r="N66" s="188"/>
      <c r="O66" s="188"/>
    </row>
    <row r="67" spans="1:15" ht="12.75">
      <c r="A67" s="431" t="s">
        <v>379</v>
      </c>
      <c r="B67" s="431"/>
      <c r="C67" s="431"/>
      <c r="D67" s="431"/>
      <c r="E67" s="431"/>
      <c r="F67" s="431"/>
      <c r="G67" s="431"/>
      <c r="H67" s="431"/>
      <c r="I67" s="431"/>
      <c r="J67" s="431"/>
      <c r="K67" s="431"/>
      <c r="L67" s="188"/>
      <c r="M67" s="188"/>
      <c r="N67" s="188"/>
      <c r="O67" s="188"/>
    </row>
    <row r="68" spans="1:15" ht="12.75">
      <c r="A68" s="431" t="s">
        <v>381</v>
      </c>
      <c r="B68" s="431"/>
      <c r="C68" s="431"/>
      <c r="D68" s="431"/>
      <c r="E68" s="431"/>
      <c r="F68" s="431"/>
      <c r="G68" s="431"/>
      <c r="H68" s="431"/>
      <c r="I68" s="431"/>
      <c r="J68" s="431"/>
      <c r="K68" s="431"/>
      <c r="L68" s="188"/>
      <c r="M68" s="188"/>
      <c r="N68" s="188"/>
      <c r="O68" s="188"/>
    </row>
    <row r="69" spans="1:15" ht="3.75" customHeight="1">
      <c r="A69" s="431"/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188"/>
      <c r="M69" s="188"/>
      <c r="N69" s="188"/>
      <c r="O69" s="188"/>
    </row>
    <row r="70" spans="1:15" ht="12.75">
      <c r="A70" s="431" t="s">
        <v>425</v>
      </c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188"/>
      <c r="M70" s="188"/>
      <c r="N70" s="188"/>
      <c r="O70" s="188"/>
    </row>
    <row r="71" spans="1:15" ht="12.75">
      <c r="A71" s="431" t="s">
        <v>426</v>
      </c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188"/>
      <c r="M71" s="188"/>
      <c r="N71" s="188"/>
      <c r="O71" s="188"/>
    </row>
    <row r="72" spans="1:15" ht="12.75">
      <c r="A72" s="431" t="s">
        <v>427</v>
      </c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188"/>
      <c r="M72" s="188"/>
      <c r="N72" s="188"/>
      <c r="O72" s="188"/>
    </row>
    <row r="73" spans="1:15" ht="9" customHeight="1">
      <c r="A73" s="431"/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188"/>
      <c r="M73" s="188"/>
      <c r="N73" s="188"/>
      <c r="O73" s="188"/>
    </row>
    <row r="74" spans="1:15" ht="12.75" customHeight="1">
      <c r="A74" s="519" t="s">
        <v>457</v>
      </c>
      <c r="B74" s="519"/>
      <c r="C74" s="519"/>
      <c r="D74" s="519"/>
      <c r="E74" s="519"/>
      <c r="F74" s="519"/>
      <c r="G74" s="519"/>
      <c r="H74" s="519"/>
      <c r="I74" s="519"/>
      <c r="J74" s="519"/>
      <c r="K74" s="519"/>
      <c r="L74" s="519"/>
      <c r="M74" s="519"/>
      <c r="N74" s="519"/>
      <c r="O74" s="519"/>
    </row>
    <row r="75" spans="1:15" ht="12.75">
      <c r="A75" s="431" t="s">
        <v>370</v>
      </c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188"/>
      <c r="M75" s="188"/>
      <c r="N75" s="188"/>
      <c r="O75" s="188"/>
    </row>
    <row r="76" spans="1:15" ht="12.75">
      <c r="A76" s="188"/>
      <c r="B76" s="431"/>
      <c r="C76" s="431"/>
      <c r="D76" s="431"/>
      <c r="E76" s="431"/>
      <c r="F76" s="431"/>
      <c r="G76" s="431"/>
      <c r="H76" s="431"/>
      <c r="I76" s="431"/>
      <c r="J76" s="431"/>
      <c r="K76" s="431"/>
      <c r="L76" s="188"/>
      <c r="M76" s="188"/>
      <c r="N76" s="188"/>
      <c r="O76" s="188"/>
    </row>
    <row r="77" spans="1:15" ht="12.75">
      <c r="A77" s="188"/>
      <c r="B77" s="431"/>
      <c r="C77" s="431"/>
      <c r="D77" s="431"/>
      <c r="E77" s="431"/>
      <c r="F77" s="431"/>
      <c r="G77" s="431"/>
      <c r="H77" s="431"/>
      <c r="I77" s="431"/>
      <c r="J77" s="431"/>
      <c r="K77" s="431"/>
      <c r="L77" s="188"/>
      <c r="M77" s="188"/>
      <c r="N77" s="188"/>
      <c r="O77" s="188"/>
    </row>
    <row r="78" spans="1:17" ht="12.75">
      <c r="A78" s="188"/>
      <c r="B78" s="431"/>
      <c r="C78" s="431"/>
      <c r="D78" s="431"/>
      <c r="E78" s="431"/>
      <c r="F78" s="431"/>
      <c r="G78" s="431"/>
      <c r="H78" s="431"/>
      <c r="I78" s="431"/>
      <c r="J78" s="431"/>
      <c r="K78" s="431"/>
      <c r="L78" s="431"/>
      <c r="M78" s="431"/>
      <c r="N78" s="188"/>
      <c r="O78" s="188"/>
      <c r="P78" s="188"/>
      <c r="Q78" s="188"/>
    </row>
    <row r="79" spans="1:17" ht="12.75">
      <c r="A79" s="188"/>
      <c r="B79" s="431"/>
      <c r="C79" s="431"/>
      <c r="D79" s="431"/>
      <c r="E79" s="431"/>
      <c r="F79" s="431"/>
      <c r="G79" s="431"/>
      <c r="H79" s="431"/>
      <c r="I79" s="431"/>
      <c r="J79" s="431"/>
      <c r="K79" s="431"/>
      <c r="L79" s="431"/>
      <c r="M79" s="431"/>
      <c r="N79" s="188"/>
      <c r="O79" s="188"/>
      <c r="P79" s="188"/>
      <c r="Q79" s="188"/>
    </row>
    <row r="80" spans="1:17" ht="12.75">
      <c r="A80" s="188"/>
      <c r="B80" s="431"/>
      <c r="C80" s="431"/>
      <c r="D80" s="431"/>
      <c r="E80" s="431"/>
      <c r="F80" s="431"/>
      <c r="G80" s="431"/>
      <c r="H80" s="431"/>
      <c r="I80" s="431"/>
      <c r="J80" s="431"/>
      <c r="K80" s="431"/>
      <c r="L80" s="431"/>
      <c r="M80" s="431"/>
      <c r="N80" s="188"/>
      <c r="O80" s="188"/>
      <c r="P80" s="188"/>
      <c r="Q80" s="188"/>
    </row>
    <row r="81" spans="1:17" ht="12.75">
      <c r="A81" s="431"/>
      <c r="B81" s="431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188"/>
      <c r="O81" s="188"/>
      <c r="P81" s="188"/>
      <c r="Q81" s="188"/>
    </row>
    <row r="82" spans="1:17" ht="12.75">
      <c r="A82" s="188"/>
      <c r="B82" s="188"/>
      <c r="C82" s="431"/>
      <c r="D82" s="431"/>
      <c r="E82" s="431"/>
      <c r="F82" s="431"/>
      <c r="G82" s="431"/>
      <c r="H82" s="431"/>
      <c r="I82" s="431"/>
      <c r="J82" s="431"/>
      <c r="K82" s="431"/>
      <c r="L82" s="431"/>
      <c r="M82" s="431"/>
      <c r="N82" s="188"/>
      <c r="O82" s="188"/>
      <c r="P82" s="188"/>
      <c r="Q82" s="188"/>
    </row>
    <row r="83" spans="1:17" ht="12.75">
      <c r="A83" s="188"/>
      <c r="B83" s="188"/>
      <c r="C83" s="431"/>
      <c r="D83" s="431"/>
      <c r="E83" s="431"/>
      <c r="F83" s="431"/>
      <c r="G83" s="431"/>
      <c r="H83" s="431"/>
      <c r="I83" s="431"/>
      <c r="J83" s="431"/>
      <c r="K83" s="431"/>
      <c r="L83" s="431"/>
      <c r="M83" s="431"/>
      <c r="N83" s="188"/>
      <c r="O83" s="188"/>
      <c r="P83" s="188"/>
      <c r="Q83" s="188"/>
    </row>
    <row r="84" spans="1:17" ht="12.75">
      <c r="A84" s="431"/>
      <c r="B84" s="431"/>
      <c r="C84" s="431"/>
      <c r="D84" s="431"/>
      <c r="E84" s="431"/>
      <c r="F84" s="431"/>
      <c r="G84" s="431"/>
      <c r="H84" s="431"/>
      <c r="I84" s="431"/>
      <c r="J84" s="431"/>
      <c r="K84" s="431"/>
      <c r="L84" s="431"/>
      <c r="M84" s="431"/>
      <c r="N84" s="188"/>
      <c r="O84" s="188"/>
      <c r="P84" s="188"/>
      <c r="Q84" s="188"/>
    </row>
    <row r="85" spans="1:17" ht="12.75">
      <c r="A85" s="188"/>
      <c r="B85" s="431"/>
      <c r="C85" s="431"/>
      <c r="D85" s="431"/>
      <c r="E85" s="431"/>
      <c r="F85" s="431"/>
      <c r="G85" s="431"/>
      <c r="H85" s="431"/>
      <c r="I85" s="431"/>
      <c r="J85" s="431"/>
      <c r="K85" s="431"/>
      <c r="L85" s="431"/>
      <c r="M85" s="431"/>
      <c r="N85" s="188"/>
      <c r="O85" s="188"/>
      <c r="P85" s="188"/>
      <c r="Q85" s="188"/>
    </row>
    <row r="86" spans="1:17" ht="12.75">
      <c r="A86" s="188"/>
      <c r="B86" s="431"/>
      <c r="C86" s="431"/>
      <c r="D86" s="431"/>
      <c r="E86" s="431"/>
      <c r="F86" s="431"/>
      <c r="G86" s="431"/>
      <c r="H86" s="431"/>
      <c r="I86" s="431"/>
      <c r="J86" s="431"/>
      <c r="K86" s="431"/>
      <c r="L86" s="431"/>
      <c r="M86" s="431"/>
      <c r="N86" s="188"/>
      <c r="O86" s="188"/>
      <c r="P86" s="188"/>
      <c r="Q86" s="188"/>
    </row>
    <row r="87" spans="1:17" ht="12.75">
      <c r="A87" s="188"/>
      <c r="B87" s="188"/>
      <c r="C87" s="431"/>
      <c r="D87" s="431"/>
      <c r="E87" s="431"/>
      <c r="F87" s="431"/>
      <c r="G87" s="431"/>
      <c r="H87" s="431"/>
      <c r="I87" s="431"/>
      <c r="J87" s="431"/>
      <c r="K87" s="431"/>
      <c r="L87" s="431"/>
      <c r="M87" s="431"/>
      <c r="N87" s="188"/>
      <c r="O87" s="188"/>
      <c r="P87" s="188"/>
      <c r="Q87" s="188"/>
    </row>
    <row r="88" spans="1:17" ht="12.75">
      <c r="A88" s="188"/>
      <c r="B88" s="188"/>
      <c r="C88" s="431"/>
      <c r="D88" s="431"/>
      <c r="E88" s="431"/>
      <c r="F88" s="431"/>
      <c r="G88" s="431"/>
      <c r="H88" s="431"/>
      <c r="I88" s="431"/>
      <c r="J88" s="431"/>
      <c r="K88" s="431"/>
      <c r="L88" s="431"/>
      <c r="M88" s="431"/>
      <c r="N88" s="188"/>
      <c r="O88" s="188"/>
      <c r="P88" s="188"/>
      <c r="Q88" s="188"/>
    </row>
    <row r="89" spans="1:17" ht="12.75">
      <c r="A89" s="188"/>
      <c r="B89" s="188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  <c r="N89" s="188"/>
      <c r="O89" s="188"/>
      <c r="P89" s="188"/>
      <c r="Q89" s="188"/>
    </row>
    <row r="90" spans="1:17" ht="12.75">
      <c r="A90" s="188"/>
      <c r="B90" s="188"/>
      <c r="C90" s="431"/>
      <c r="D90" s="431"/>
      <c r="E90" s="431"/>
      <c r="F90" s="431"/>
      <c r="G90" s="431"/>
      <c r="H90" s="431"/>
      <c r="I90" s="431"/>
      <c r="J90" s="431"/>
      <c r="K90" s="431"/>
      <c r="L90" s="431"/>
      <c r="M90" s="431"/>
      <c r="N90" s="188"/>
      <c r="O90" s="188"/>
      <c r="P90" s="188"/>
      <c r="Q90" s="188"/>
    </row>
    <row r="91" spans="1:17" ht="12.75">
      <c r="A91" s="188"/>
      <c r="B91" s="188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188"/>
      <c r="O91" s="188"/>
      <c r="P91" s="188"/>
      <c r="Q91" s="188"/>
    </row>
    <row r="92" spans="1:17" ht="12.75">
      <c r="A92" s="188"/>
      <c r="B92" s="188"/>
      <c r="C92" s="519"/>
      <c r="D92" s="519"/>
      <c r="E92" s="519"/>
      <c r="F92" s="519"/>
      <c r="G92" s="519"/>
      <c r="H92" s="519"/>
      <c r="I92" s="519"/>
      <c r="J92" s="519"/>
      <c r="K92" s="519"/>
      <c r="L92" s="519"/>
      <c r="M92" s="519"/>
      <c r="N92" s="519"/>
      <c r="O92" s="519"/>
      <c r="P92" s="519"/>
      <c r="Q92" s="519"/>
    </row>
    <row r="93" spans="1:17" ht="12.75">
      <c r="A93" s="188"/>
      <c r="B93" s="188"/>
      <c r="C93" s="431"/>
      <c r="D93" s="431"/>
      <c r="E93" s="431"/>
      <c r="F93" s="431"/>
      <c r="G93" s="431"/>
      <c r="H93" s="431"/>
      <c r="I93" s="431"/>
      <c r="J93" s="431"/>
      <c r="K93" s="431"/>
      <c r="L93" s="431"/>
      <c r="M93" s="431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dsullivan</cp:lastModifiedBy>
  <cp:lastPrinted>2010-08-24T17:50:02Z</cp:lastPrinted>
  <dcterms:created xsi:type="dcterms:W3CDTF">2001-11-07T16:15:53Z</dcterms:created>
  <dcterms:modified xsi:type="dcterms:W3CDTF">2010-09-15T19:39:14Z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