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12120" windowHeight="9120" tabRatio="633" activeTab="0"/>
  </bookViews>
  <sheets>
    <sheet name="Revenue Input" sheetId="1" r:id="rId1"/>
    <sheet name="Transformer Allowance" sheetId="2" r:id="rId2"/>
    <sheet name="Forecast Data For 2011" sheetId="3" r:id="rId3"/>
    <sheet name="2010 Existing Rates" sheetId="4" r:id="rId4"/>
    <sheet name="2011 Test Yr On Existing Rates" sheetId="5" r:id="rId5"/>
    <sheet name="Cost Allocation Study" sheetId="6" r:id="rId6"/>
    <sheet name="Rates By Rate Class" sheetId="7" r:id="rId7"/>
    <sheet name="Allocation Low Voltage Costs" sheetId="8" r:id="rId8"/>
    <sheet name="Low Voltage Rates" sheetId="9" r:id="rId9"/>
    <sheet name="Distribution Rate Schedule" sheetId="10" r:id="rId10"/>
    <sheet name="LRAM and SSM Rate Rider" sheetId="11" r:id="rId11"/>
    <sheet name="2011 Rate Rider" sheetId="12" r:id="rId12"/>
    <sheet name="Other Electriciy Rates" sheetId="13" r:id="rId13"/>
    <sheet name="BILL IMPACTS" sheetId="14" r:id="rId14"/>
    <sheet name="Rate Schedule (Part 1)" sheetId="15" r:id="rId15"/>
    <sheet name="Rate Schedule (Part 2)" sheetId="16" r:id="rId16"/>
    <sheet name="Dist. Rev. Reconciliation" sheetId="17" r:id="rId17"/>
    <sheet name="Revenue Deficiency Analysis" sheetId="18" r:id="rId18"/>
  </sheets>
  <externalReferences>
    <externalReference r:id="rId21"/>
    <externalReference r:id="rId22"/>
  </externalReferences>
  <definedNames>
    <definedName name="_xlnm.Print_Area" localSheetId="5">'Cost Allocation Study'!$A$1:$M$15</definedName>
    <definedName name="_xlnm.Print_Area" localSheetId="9">'Distribution Rate Schedule'!$A$1:$E$43</definedName>
    <definedName name="_xlnm.Print_Area" localSheetId="10">'LRAM and SSM Rate Rider'!$A$1:$L$10</definedName>
    <definedName name="_xlnm.Print_Area" localSheetId="15">'Rate Schedule (Part 2)'!$B$2:$D$42</definedName>
    <definedName name="_xlnm.Print_Area" localSheetId="17">'Revenue Deficiency Analysis'!$A$1:$I$29</definedName>
  </definedNames>
  <calcPr fullCalcOnLoad="1"/>
</workbook>
</file>

<file path=xl/comments7.xml><?xml version="1.0" encoding="utf-8"?>
<comments xmlns="http://schemas.openxmlformats.org/spreadsheetml/2006/main">
  <authors>
    <author>dgapic</author>
  </authors>
  <commentList>
    <comment ref="B28" authorId="0">
      <text>
        <r>
          <rPr>
            <b/>
            <sz val="8"/>
            <rFont val="Tahoma"/>
            <family val="2"/>
          </rPr>
          <t>dgapic:</t>
        </r>
        <r>
          <rPr>
            <sz val="8"/>
            <rFont val="Tahoma"/>
            <family val="2"/>
          </rPr>
          <t xml:space="preserve">
As no current fixed service charge, the weighted average Fixed/Variable split for all other classes will be used to design a fixed connection charge for the streetlighting class.</t>
        </r>
      </text>
    </comment>
  </commentList>
</comments>
</file>

<file path=xl/sharedStrings.xml><?xml version="1.0" encoding="utf-8"?>
<sst xmlns="http://schemas.openxmlformats.org/spreadsheetml/2006/main" count="1226" uniqueCount="277">
  <si>
    <t>Customer Class</t>
  </si>
  <si>
    <t>TOTAL</t>
  </si>
  <si>
    <t>Proposed Fixed Rate</t>
  </si>
  <si>
    <t>Resulting Variable Rate</t>
  </si>
  <si>
    <t>Total Fixed Revenue</t>
  </si>
  <si>
    <t>Total Variable Revenue</t>
  </si>
  <si>
    <t>Transformer Allowance</t>
  </si>
  <si>
    <t>Annual kWh</t>
  </si>
  <si>
    <t>Annual kW For Dx</t>
  </si>
  <si>
    <t>Annual kW For Tx</t>
  </si>
  <si>
    <t>Annualized Customers</t>
  </si>
  <si>
    <t>Fixed Distribution Revenue</t>
  </si>
  <si>
    <t>Variable Distribution Revenue</t>
  </si>
  <si>
    <t>Calculated kWh</t>
  </si>
  <si>
    <t>Calculated kW</t>
  </si>
  <si>
    <t>Volumetric Rate Type</t>
  </si>
  <si>
    <t>kWh</t>
  </si>
  <si>
    <t>kW</t>
  </si>
  <si>
    <t>TOTALS</t>
  </si>
  <si>
    <t>Retail Transmission Connection Rate ($)</t>
  </si>
  <si>
    <t>Allocation Percentages</t>
  </si>
  <si>
    <t>Allocated $</t>
  </si>
  <si>
    <t>per KWh</t>
  </si>
  <si>
    <t>per kW</t>
  </si>
  <si>
    <t>Class</t>
  </si>
  <si>
    <t>Connection</t>
  </si>
  <si>
    <t>Customer</t>
  </si>
  <si>
    <t>Annualized Connections</t>
  </si>
  <si>
    <t>Revenue At Existing Rates</t>
  </si>
  <si>
    <t>Total Distribution Revenue</t>
  </si>
  <si>
    <t>Sum of Quantity</t>
  </si>
  <si>
    <t>Year Type</t>
  </si>
  <si>
    <t>Transformer Allowance Credit</t>
  </si>
  <si>
    <t xml:space="preserve">   Total</t>
  </si>
  <si>
    <t>Expected</t>
  </si>
  <si>
    <t xml:space="preserve">     kW</t>
  </si>
  <si>
    <t>General Service:</t>
  </si>
  <si>
    <t xml:space="preserve">    Total</t>
  </si>
  <si>
    <t>Transformer Ownership Allowance</t>
  </si>
  <si>
    <t>Service Revenue Requirement</t>
  </si>
  <si>
    <t>Rate Determination Constants/Options For Test Year</t>
  </si>
  <si>
    <t>Total</t>
  </si>
  <si>
    <t>LV &amp; Wheeling Charges</t>
  </si>
  <si>
    <t>Less: Revenue Offsets</t>
  </si>
  <si>
    <t>Addback Transformer Allowances</t>
  </si>
  <si>
    <t xml:space="preserve">      Gross Revenues For Rates</t>
  </si>
  <si>
    <t>Regulatory Assets Rate Riders ($)
per kWh</t>
  </si>
  <si>
    <t>Regulatory Assets Rate Riders ($)
per kW</t>
  </si>
  <si>
    <t>RESIDENTIAL</t>
  </si>
  <si>
    <t>Other Charges
per kWh ($)</t>
  </si>
  <si>
    <t>Other Charges
per kW ($)</t>
  </si>
  <si>
    <t>Cost of Power Commodity
per kWh ($)</t>
  </si>
  <si>
    <t>Loss Adjustment Factor</t>
  </si>
  <si>
    <t>Retail Transmission Rate
(from 8-6)</t>
  </si>
  <si>
    <t>Wholesale Market Service Rate</t>
  </si>
  <si>
    <t>Total with Adjusted RTR</t>
  </si>
  <si>
    <t>per KW</t>
  </si>
  <si>
    <t>per kWh</t>
  </si>
  <si>
    <t>Supply Facilities Loss Factor</t>
  </si>
  <si>
    <t>Distribution Loss Factor - Secondary Metered Customer &lt; 5,000 kW</t>
  </si>
  <si>
    <t>Distribution Loss Factor - Secondary Metered Customer &gt; 5,000 kW</t>
  </si>
  <si>
    <t>Distribution Loss Factor - Primary Metered Customer &lt; 5,000 kW</t>
  </si>
  <si>
    <t>Distribution Loss Factor - Primary Metered Customer &gt; 5,000 kW</t>
  </si>
  <si>
    <t>Total Loss Factor - Secondary Metered Customer &lt; 5,000 kW</t>
  </si>
  <si>
    <t>Total Loss Factor - Secondary Metered Customer &gt; 5,000 kW</t>
  </si>
  <si>
    <t>Total Loss Factor - Primary Metered Customer &lt; 5,000 kW</t>
  </si>
  <si>
    <t>Total Loss Factor - Primary Metered Customer &gt; 5,000 kW</t>
  </si>
  <si>
    <t>OTHER ELECTRICITY CHARGES</t>
  </si>
  <si>
    <t>Volume</t>
  </si>
  <si>
    <t>RATE                             $</t>
  </si>
  <si>
    <t>CHARGE
$</t>
  </si>
  <si>
    <t>Consumption</t>
  </si>
  <si>
    <t>Monthly Service Charge</t>
  </si>
  <si>
    <t>Distribution (kWh)</t>
  </si>
  <si>
    <t>IMPACT</t>
  </si>
  <si>
    <t>Change
$</t>
  </si>
  <si>
    <t>Change
%</t>
  </si>
  <si>
    <t>% of Total Bill</t>
  </si>
  <si>
    <t>Sub-Total</t>
  </si>
  <si>
    <t>Other Charges (kWh)</t>
  </si>
  <si>
    <t>Cost of Power Commodity (kWh)</t>
  </si>
  <si>
    <t>Total Bill</t>
  </si>
  <si>
    <t xml:space="preserve">
$</t>
  </si>
  <si>
    <t xml:space="preserve">
%</t>
  </si>
  <si>
    <t>Distribution (kW)</t>
  </si>
  <si>
    <t>Regulatory Assets (kW)</t>
  </si>
  <si>
    <t>Other Charges (kW)</t>
  </si>
  <si>
    <t xml:space="preserve"> Sentinel Lighting</t>
  </si>
  <si>
    <t xml:space="preserve"> Street Lighting</t>
  </si>
  <si>
    <t>LARGE USER (&gt; 5000 kW)</t>
  </si>
  <si>
    <t>Item Description</t>
  </si>
  <si>
    <t>Unit</t>
  </si>
  <si>
    <t>per month</t>
  </si>
  <si>
    <t>Distribution Volumetric Rate</t>
  </si>
  <si>
    <t>Schedule of Distribution Rates and Charges</t>
  </si>
  <si>
    <t>RATES SCHEDULE (Part 1)</t>
  </si>
  <si>
    <t>GENERAL SERVICE &gt; 50 kW</t>
  </si>
  <si>
    <t>Item Description (Rate Code)</t>
  </si>
  <si>
    <t>Calculation Basis</t>
  </si>
  <si>
    <t>Standard</t>
  </si>
  <si>
    <t>Administrative Billing Charge (31)</t>
  </si>
  <si>
    <t>Loss Factors</t>
  </si>
  <si>
    <t>RATES SCHEDULE (Part 2)</t>
  </si>
  <si>
    <t>Dist. Rev. Before TX Allow.</t>
  </si>
  <si>
    <t>Dist Rev At Existing Rates %</t>
  </si>
  <si>
    <t>Rev Requirement %</t>
  </si>
  <si>
    <t>LV/ Adj.
Rates/kWh</t>
  </si>
  <si>
    <t>LV Adj.
Rates/ kW</t>
  </si>
  <si>
    <t xml:space="preserve">LV Adj.
Allocated </t>
  </si>
  <si>
    <t>RATES - Low Voltage Adjustment</t>
  </si>
  <si>
    <t>Low Voltage Costs Allocated by Customer Class</t>
  </si>
  <si>
    <t>Retail Transmission Rate</t>
  </si>
  <si>
    <t>GENERAL SERVICE &lt; 50 kW</t>
  </si>
  <si>
    <t>Connections</t>
  </si>
  <si>
    <t>Billing Determinants</t>
  </si>
  <si>
    <t>Forecast Fixed/Variable Ratios</t>
  </si>
  <si>
    <t>Revenue Requirement</t>
  </si>
  <si>
    <t>Revenue Deficiency</t>
  </si>
  <si>
    <t>Budgeted Revenue Offsets</t>
  </si>
  <si>
    <t>Total Revenue</t>
  </si>
  <si>
    <t>Less Transformer Allowances:</t>
  </si>
  <si>
    <t>Net Revenue At Existing Rates</t>
  </si>
  <si>
    <t>First Block</t>
  </si>
  <si>
    <t>Balance Block</t>
  </si>
  <si>
    <t>Total Net Rev. Requirement</t>
  </si>
  <si>
    <t>Gross Distribution Revenue</t>
  </si>
  <si>
    <t>Minimum System with PLCC Adustment (Ceiling Fixed Charge From Cost Allocation Model)</t>
  </si>
  <si>
    <t>Regulatory Assets Rate Rider</t>
  </si>
  <si>
    <t>Transformer Ownership Credit</t>
  </si>
  <si>
    <t>Rate Class</t>
  </si>
  <si>
    <t>Rate Riders</t>
  </si>
  <si>
    <t>Two Year Rate Rider</t>
  </si>
  <si>
    <t>Three Year Rate Rider</t>
  </si>
  <si>
    <t>LRAM</t>
  </si>
  <si>
    <t>SSM</t>
  </si>
  <si>
    <t>$</t>
  </si>
  <si>
    <t>$/unit (kWh or kW)</t>
  </si>
  <si>
    <t>LRAM &amp; SSM Rider (kWh)</t>
  </si>
  <si>
    <t>LRAM and SSM Rate Rider</t>
  </si>
  <si>
    <t>Number of Years to Use</t>
  </si>
  <si>
    <t>Rate Rider to Use</t>
  </si>
  <si>
    <t>(2 or 3)</t>
  </si>
  <si>
    <t>Smart Meter Rate Rider ($)
per Metered Cust./Month</t>
  </si>
  <si>
    <t>Smart Meter Rate Rider</t>
  </si>
  <si>
    <t>Smart Meter Rider (per month)</t>
  </si>
  <si>
    <t>Difference Due to Rate Rounding</t>
  </si>
  <si>
    <r>
      <t>Loss Factors</t>
    </r>
    <r>
      <rPr>
        <b/>
        <sz val="10"/>
        <rFont val="Arial"/>
        <family val="2"/>
      </rPr>
      <t xml:space="preserve"> (enter in columns N and O)</t>
    </r>
  </si>
  <si>
    <t>Debt Retirement Charge</t>
  </si>
  <si>
    <t>Additional Charge</t>
  </si>
  <si>
    <t>Low Voltage Cost Rate Component ($)
per kWh</t>
  </si>
  <si>
    <t>Low Voltage Cost Rate Component ($)
per kW</t>
  </si>
  <si>
    <t>Unit of Measure</t>
  </si>
  <si>
    <t># of Customers</t>
  </si>
  <si>
    <t># of Connections</t>
  </si>
  <si>
    <t xml:space="preserve">Description </t>
  </si>
  <si>
    <t>Transformer Allowance rate</t>
  </si>
  <si>
    <t>Basis for Allocation ($)</t>
  </si>
  <si>
    <t>Metrics</t>
  </si>
  <si>
    <t>Rate ($)</t>
  </si>
  <si>
    <t>Contracted kW per Month</t>
  </si>
  <si>
    <t>Addback LV Charges</t>
  </si>
  <si>
    <t xml:space="preserve">      Total Base Revenue Requirement</t>
  </si>
  <si>
    <t>Cost Allocation Based Calculations</t>
  </si>
  <si>
    <t>Fixed Charge Analysis</t>
  </si>
  <si>
    <t>Current Volumetric Split</t>
  </si>
  <si>
    <t>Current Fixed Charge Spilt</t>
  </si>
  <si>
    <t>Fixed Rate Based on Current Fixed/Variable Revenue Proportions</t>
  </si>
  <si>
    <t>Adder per Month</t>
  </si>
  <si>
    <t>Transformer Credit</t>
  </si>
  <si>
    <t xml:space="preserve">Dist. Rev. Including Transformer </t>
  </si>
  <si>
    <t>Dist. Rev. Excluding Transformer</t>
  </si>
  <si>
    <t xml:space="preserve"> Unmetered Scattered</t>
  </si>
  <si>
    <t>Total Bill Before Taxes</t>
  </si>
  <si>
    <t>GST</t>
  </si>
  <si>
    <t>2010 BILL</t>
  </si>
  <si>
    <t>Miscellaneous Revenue Allocated from Cost Allocation</t>
  </si>
  <si>
    <t xml:space="preserve">Total Revenue </t>
  </si>
  <si>
    <t>Revenue Cost Ratio</t>
  </si>
  <si>
    <t>Proposed Revenue to Cost Ratio</t>
  </si>
  <si>
    <t>Proposed Revenue</t>
  </si>
  <si>
    <t xml:space="preserve">Miscellaneous Revenue </t>
  </si>
  <si>
    <t>Proposed Base Revenue</t>
  </si>
  <si>
    <t>Amounts (Up to 2009)</t>
  </si>
  <si>
    <t>Billing Units (2010)</t>
  </si>
  <si>
    <t>Residential</t>
  </si>
  <si>
    <t>GS &lt; 50 kW</t>
  </si>
  <si>
    <t>Large Use</t>
  </si>
  <si>
    <t>Street Lighting</t>
  </si>
  <si>
    <t>Distribution Rate Allocation Between Fixed &amp; Variable Rates For 2011 Test Year</t>
  </si>
  <si>
    <t>2010 Rates From OEB Approved Tariff</t>
  </si>
  <si>
    <t>Rate Schedule - 2011 Test Year Filing</t>
  </si>
  <si>
    <t>2011 TEST YEAR - BASE REVENUE DISTRIBUTION RATES</t>
  </si>
  <si>
    <t>2011 TEST YEAR - Low Voltage Distribution Rates</t>
  </si>
  <si>
    <t>2011 TEST YEAR - Distribution Rates</t>
  </si>
  <si>
    <t>2011Test Year - LRAM and SSM Rider</t>
  </si>
  <si>
    <t>2011 Updated</t>
  </si>
  <si>
    <t>2011 BILL</t>
  </si>
  <si>
    <r>
      <t>BILL IMPACTS</t>
    </r>
    <r>
      <rPr>
        <b/>
        <i/>
        <sz val="16"/>
        <color indexed="9"/>
        <rFont val="Arial"/>
        <family val="2"/>
      </rPr>
      <t xml:space="preserve">  (Monthly Consumptions)</t>
    </r>
  </si>
  <si>
    <t>2011 Test Year Distribution Revenue Reconciliation</t>
  </si>
  <si>
    <t>EXISTING 2010 RATE YEAR - DISTRIBUTION REVENUE RATES EXCLUDING SMART METER RATE RIDER</t>
  </si>
  <si>
    <t>2005 Actual</t>
  </si>
  <si>
    <t>2006 Actual</t>
  </si>
  <si>
    <t>2007 Actual</t>
  </si>
  <si>
    <t>2008 Actual</t>
  </si>
  <si>
    <t>2009 Actual</t>
  </si>
  <si>
    <t>2010 Bridge Year Normalized</t>
  </si>
  <si>
    <t>2011 Test Year Normalized</t>
  </si>
  <si>
    <t>Forecast Data For 2011 Test Year Projection</t>
  </si>
  <si>
    <r>
      <t xml:space="preserve">     </t>
    </r>
    <r>
      <rPr>
        <b/>
        <sz val="12"/>
        <color indexed="9"/>
        <rFont val="Arial"/>
        <family val="2"/>
      </rPr>
      <t>$</t>
    </r>
  </si>
  <si>
    <t>2011 Test</t>
  </si>
  <si>
    <t>Forecast Revenue For 2011 Test Year Based on Existing Rates (Less Low Voltage Rate Component)</t>
  </si>
  <si>
    <t>Forecast Class Billing Determinants for 2011 Test Year Based on Existing Class Revenue Proportions</t>
  </si>
  <si>
    <t>Unmetered Scattered Load</t>
  </si>
  <si>
    <t>Low Voltage Rate Component For 2010</t>
  </si>
  <si>
    <t>Smart Meter Adder - 2010</t>
  </si>
  <si>
    <t>EXISTING 2010 DISTRIBUTION VOLUMETRIC EXCLUDING  LV</t>
  </si>
  <si>
    <t>Check Revenue/ Cost Ratios from Cost Allocation</t>
  </si>
  <si>
    <t>2011 Base Revenue Allocated based on Proportion of Revenue at Existing Rates</t>
  </si>
  <si>
    <t>GS &gt;50 kW - Regular</t>
  </si>
  <si>
    <t>GS &gt; 50 kW - Intermediate</t>
  </si>
  <si>
    <t>85% - 115%</t>
  </si>
  <si>
    <t>80% - 120%</t>
  </si>
  <si>
    <t>80% - 180%</t>
  </si>
  <si>
    <t>OEB Required Range</t>
  </si>
  <si>
    <t>70% - 120%</t>
  </si>
  <si>
    <t>This must be zero</t>
  </si>
  <si>
    <t>Check total - must be zero</t>
  </si>
  <si>
    <t>Fixed/Variable Split %</t>
  </si>
  <si>
    <t>Fixed/Variable Split excluding SL</t>
  </si>
  <si>
    <t>GA Rate Rider For 2010</t>
  </si>
  <si>
    <t>GA Rate Riders 
($) per kWh</t>
  </si>
  <si>
    <t>GA Rate Riders 
($) per kW</t>
  </si>
  <si>
    <t>2011 Test Year - Rate Riders</t>
  </si>
  <si>
    <t>Deferral/Variance 
Account Rate Rider #1 
($) per kWh</t>
  </si>
  <si>
    <t>Deferral/Variance 
Account Rate Rider #1
($) per kW</t>
  </si>
  <si>
    <t>Deferral/Variance 
Account Rate Rider #2 
($) per kWh</t>
  </si>
  <si>
    <t>Deferral/Variance 
Account Rate Rider #2
($) per kW</t>
  </si>
  <si>
    <t>Deferral/Variance Account Rate Rider #1 For 2010</t>
  </si>
  <si>
    <t>Regulatory Assets Rider #1 (kW)</t>
  </si>
  <si>
    <t>Regulatory Assets Rider #2 (kW)</t>
  </si>
  <si>
    <t>Global Adjustment Disposition Rider (kW)</t>
  </si>
  <si>
    <t>Regulatory Assets Rider #1 (kWh)</t>
  </si>
  <si>
    <t>Regulatory Assets Rider #2 (kWh)</t>
  </si>
  <si>
    <t xml:space="preserve">GENERAL SERVICE &lt; 50 kW </t>
  </si>
  <si>
    <t xml:space="preserve">GENERAL SERVICE &gt; 50 kW - INTERMEDIATE </t>
  </si>
  <si>
    <t>LRAM &amp; SSM Rider (kW)</t>
  </si>
  <si>
    <t>GENERAL SERVICE &gt; 50 kW - INTERMEDIATE</t>
  </si>
  <si>
    <t>Effective January 1, 2011</t>
  </si>
  <si>
    <t>Regulatory Assets Rate Rider #1</t>
  </si>
  <si>
    <t>Regulatory Assets Rate Rider #2</t>
  </si>
  <si>
    <t>Global Adjustment Disposition Rider</t>
  </si>
  <si>
    <t>Costs Allocated from Cost Allocation</t>
  </si>
  <si>
    <t>HST</t>
  </si>
  <si>
    <t xml:space="preserve">Arrears certificate </t>
  </si>
  <si>
    <t>Pulling post dated cheques</t>
  </si>
  <si>
    <t>Duplicate invoices for previous billing</t>
  </si>
  <si>
    <t xml:space="preserve">Request for other billing information </t>
  </si>
  <si>
    <t>Easement letter</t>
  </si>
  <si>
    <t xml:space="preserve">Income tax letter </t>
  </si>
  <si>
    <t>Account history</t>
  </si>
  <si>
    <t>Credit reference/credit check (plus credit agency costs)</t>
  </si>
  <si>
    <t>Returned cheque charge (plus bank charges)</t>
  </si>
  <si>
    <t xml:space="preserve">Account set up charge/change of occupancy charge (plus credit agency costs if applicable) </t>
  </si>
  <si>
    <t xml:space="preserve">Special meter reads </t>
  </si>
  <si>
    <t>Special Billing Service (aggregation)</t>
  </si>
  <si>
    <t>Special Billing Service (sub-metering charge per meter)</t>
  </si>
  <si>
    <t xml:space="preserve">Late Payment per Month </t>
  </si>
  <si>
    <t>Late Payment per Annum</t>
  </si>
  <si>
    <t>Collection of Account Charge - no diconnection</t>
  </si>
  <si>
    <t>Disconnect/Reconnect at Meter - during regular hours</t>
  </si>
  <si>
    <t>Disconnect/Reconnect at Meter - after regular hours</t>
  </si>
  <si>
    <t xml:space="preserve">Disconnect/Reconnect at pole - during regular hours </t>
  </si>
  <si>
    <t xml:space="preserve">Disconnect/Reconnect at pole - after regular hours  </t>
  </si>
  <si>
    <t>Disconnect/Reconnection for &gt; 300 volts - during regular hours</t>
  </si>
  <si>
    <t>Disconnect/Reconnection for &gt; 300 volts - after regular hours</t>
  </si>
  <si>
    <t>Owner Requested Disconnection/Reconnection - During Regular Hours</t>
  </si>
  <si>
    <t>Owner Requested Disconnection/Reconnection - After Regular Hourd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</si>
</sst>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* #,##0_-;\-* #,##0_-;_-* &quot;-&quot;??_-;_-@_-"/>
    <numFmt numFmtId="167" formatCode="&quot;$&quot;#,##0.00"/>
    <numFmt numFmtId="168" formatCode="_-&quot;$&quot;* #,##0_-;\-&quot;$&quot;* #,##0_-;_-&quot;$&quot;* &quot;-&quot;??_-;_-@_-"/>
    <numFmt numFmtId="169" formatCode="&quot;$&quot;#,##0.0000"/>
    <numFmt numFmtId="170" formatCode="0.0000"/>
    <numFmt numFmtId="171" formatCode="0.000%"/>
    <numFmt numFmtId="172" formatCode="_-&quot;$&quot;* #,##0.0000_-;\-&quot;$&quot;* #,##0.0000_-;_-&quot;$&quot;* &quot;-&quot;??_-;_-@_-"/>
    <numFmt numFmtId="173" formatCode="#,##0.0000_);\(#,##0.0000\)"/>
    <numFmt numFmtId="174" formatCode="#,##0.0000"/>
    <numFmt numFmtId="175" formatCode="0.0%"/>
    <numFmt numFmtId="176" formatCode="0.00000"/>
    <numFmt numFmtId="177" formatCode="0_ ;\-0\ "/>
    <numFmt numFmtId="178" formatCode="#,##0.00;[Red]\(#,##0.00\)"/>
    <numFmt numFmtId="179" formatCode="#,##0.00_ ;\-#,##0.00\ "/>
    <numFmt numFmtId="180" formatCode="&quot;$&quot;#,##0.0000_);[Red]\(#,##0.0000\)"/>
    <numFmt numFmtId="181" formatCode="#,##0.00%;[Red]\(#,##0.00%\)"/>
    <numFmt numFmtId="182" formatCode="&quot;$&quot;#,##0.00;\(&quot;$&quot;###0.00\)"/>
    <numFmt numFmtId="183" formatCode="&quot;$&quot;#,##0;\(&quot;$&quot;#,##0\)"/>
    <numFmt numFmtId="184" formatCode="#,##0.000_);\(#,##0.000\)"/>
    <numFmt numFmtId="185" formatCode="_-* #,##0.0000_-;\-* #,##0.0000_-;_-* &quot;-&quot;??_-;_-@_-"/>
    <numFmt numFmtId="186" formatCode="#,##0.0000;[Red]\(#,##0.0000\)"/>
  </numFmts>
  <fonts count="73">
    <font>
      <sz val="10"/>
      <name val="Arial"/>
      <family val="0"/>
    </font>
    <font>
      <sz val="11"/>
      <color indexed="8"/>
      <name val="Calibri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2"/>
      <color indexed="56"/>
      <name val="Arial"/>
      <family val="2"/>
    </font>
    <font>
      <b/>
      <sz val="12"/>
      <color indexed="56"/>
      <name val="Arial"/>
      <family val="2"/>
    </font>
    <font>
      <b/>
      <u val="single"/>
      <sz val="18"/>
      <name val="Arial"/>
      <family val="2"/>
    </font>
    <font>
      <b/>
      <u val="single"/>
      <sz val="14"/>
      <name val="Arial"/>
      <family val="2"/>
    </font>
    <font>
      <sz val="11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b/>
      <sz val="10"/>
      <color indexed="60"/>
      <name val="Arial"/>
      <family val="2"/>
    </font>
    <font>
      <b/>
      <sz val="9"/>
      <name val="Arial"/>
      <family val="2"/>
    </font>
    <font>
      <b/>
      <u val="single"/>
      <sz val="10"/>
      <name val="Arial"/>
      <family val="2"/>
    </font>
    <font>
      <b/>
      <sz val="20"/>
      <name val="Arial"/>
      <family val="2"/>
    </font>
    <font>
      <b/>
      <sz val="14"/>
      <color indexed="9"/>
      <name val="Arial"/>
      <family val="2"/>
    </font>
    <font>
      <b/>
      <sz val="10"/>
      <color indexed="9"/>
      <name val="Arial"/>
      <family val="2"/>
    </font>
    <font>
      <b/>
      <sz val="16"/>
      <color indexed="9"/>
      <name val="Arial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i/>
      <sz val="16"/>
      <color indexed="9"/>
      <name val="Arial"/>
      <family val="2"/>
    </font>
    <font>
      <b/>
      <sz val="13"/>
      <color indexed="9"/>
      <name val="Arial"/>
      <family val="2"/>
    </font>
    <font>
      <b/>
      <sz val="18"/>
      <color indexed="9"/>
      <name val="Arial"/>
      <family val="2"/>
    </font>
    <font>
      <i/>
      <sz val="10"/>
      <name val="Arial"/>
      <family val="2"/>
    </font>
    <font>
      <b/>
      <i/>
      <sz val="10"/>
      <color indexed="12"/>
      <name val="Arial"/>
      <family val="2"/>
    </font>
    <font>
      <u val="single"/>
      <sz val="10"/>
      <name val="Arial"/>
      <family val="2"/>
    </font>
    <font>
      <i/>
      <sz val="12"/>
      <color indexed="9"/>
      <name val="Arial"/>
      <family val="2"/>
    </font>
    <font>
      <b/>
      <i/>
      <sz val="12"/>
      <color indexed="9"/>
      <name val="Arial"/>
      <family val="2"/>
    </font>
    <font>
      <sz val="12"/>
      <color indexed="9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8"/>
      <color indexed="56"/>
      <name val="Cambria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3"/>
      <color theme="0"/>
      <name val="Arial"/>
      <family val="2"/>
    </font>
    <font>
      <b/>
      <sz val="12"/>
      <color theme="0"/>
      <name val="Arial"/>
      <family val="2"/>
    </font>
    <font>
      <i/>
      <sz val="12"/>
      <color theme="0"/>
      <name val="Arial"/>
      <family val="2"/>
    </font>
    <font>
      <sz val="12"/>
      <color theme="0"/>
      <name val="Arial"/>
      <family val="2"/>
    </font>
    <font>
      <b/>
      <sz val="16"/>
      <color theme="0"/>
      <name val="Arial"/>
      <family val="2"/>
    </font>
    <font>
      <b/>
      <sz val="14"/>
      <color theme="0"/>
      <name val="Arial"/>
      <family val="2"/>
    </font>
    <font>
      <b/>
      <sz val="18"/>
      <color theme="0"/>
      <name val="Arial"/>
      <family val="2"/>
    </font>
    <font>
      <b/>
      <i/>
      <sz val="12"/>
      <color theme="0"/>
      <name val="Arial"/>
      <family val="2"/>
    </font>
    <font>
      <b/>
      <sz val="8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1"/>
        <bgColor indexed="64"/>
      </patternFill>
    </fill>
    <fill>
      <patternFill patternType="lightUp"/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gray125">
        <fgColor theme="0"/>
      </patternFill>
    </fill>
    <fill>
      <patternFill patternType="solid">
        <fgColor indexed="47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double">
        <color indexed="63"/>
      </top>
      <bottom/>
    </border>
    <border>
      <left/>
      <right style="medium"/>
      <top/>
      <bottom/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thin"/>
      <bottom style="thin"/>
    </border>
    <border>
      <left/>
      <right/>
      <top style="thin"/>
      <bottom style="double"/>
    </border>
    <border>
      <left style="thin">
        <color indexed="8"/>
      </left>
      <right/>
      <top/>
      <bottom/>
    </border>
    <border>
      <left style="thin">
        <color indexed="8"/>
      </left>
      <right/>
      <top style="medium"/>
      <bottom/>
    </border>
    <border>
      <left style="medium"/>
      <right/>
      <top style="thin"/>
      <bottom/>
    </border>
    <border>
      <left style="medium"/>
      <right/>
      <top style="thin"/>
      <bottom style="medium"/>
    </border>
    <border>
      <left style="thin">
        <color indexed="8"/>
      </left>
      <right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/>
      <top/>
      <bottom/>
    </border>
    <border>
      <left/>
      <right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/>
    </border>
    <border>
      <left style="medium"/>
      <right/>
      <top/>
      <bottom style="double"/>
    </border>
    <border>
      <left/>
      <right/>
      <top/>
      <bottom style="double"/>
    </border>
    <border>
      <left/>
      <right/>
      <top style="medium"/>
      <bottom style="double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 style="medium"/>
    </border>
    <border>
      <left/>
      <right/>
      <top style="thin"/>
      <bottom style="medium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medium"/>
      <bottom/>
    </border>
    <border>
      <left style="thin">
        <color indexed="8"/>
      </left>
      <right style="thin">
        <color indexed="8"/>
      </right>
      <top/>
      <bottom style="medium"/>
    </border>
    <border>
      <left style="thin">
        <color indexed="8"/>
      </left>
      <right style="thin">
        <color indexed="8"/>
      </right>
      <top/>
      <bottom/>
    </border>
    <border>
      <left style="thin"/>
      <right/>
      <top style="medium"/>
      <bottom/>
    </border>
    <border>
      <left style="thin"/>
      <right/>
      <top/>
      <bottom style="medium"/>
    </border>
    <border>
      <left style="thin"/>
      <right/>
      <top/>
      <bottom/>
    </border>
    <border>
      <left/>
      <right/>
      <top style="double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54" fillId="29" borderId="0" applyNumberFormat="0" applyBorder="0" applyAlignment="0" applyProtection="0"/>
    <xf numFmtId="0" fontId="2" fillId="0" borderId="0" applyNumberFormat="0" applyFont="0" applyFill="0" applyAlignment="0" applyProtection="0"/>
    <xf numFmtId="0" fontId="3" fillId="0" borderId="0" applyNumberFormat="0" applyFont="0" applyFill="0" applyAlignment="0" applyProtection="0"/>
    <xf numFmtId="0" fontId="55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4" applyNumberFormat="0" applyFill="0" applyAlignment="0" applyProtection="0"/>
    <xf numFmtId="0" fontId="58" fillId="31" borderId="0" applyNumberFormat="0" applyBorder="0" applyAlignment="0" applyProtection="0"/>
    <xf numFmtId="0" fontId="0" fillId="32" borderId="5" applyNumberFormat="0" applyFont="0" applyAlignment="0" applyProtection="0"/>
    <xf numFmtId="0" fontId="59" fillId="27" borderId="6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0" fillId="0" borderId="7" applyNumberFormat="0" applyFont="0" applyBorder="0" applyAlignment="0" applyProtection="0"/>
    <xf numFmtId="0" fontId="61" fillId="0" borderId="0" applyNumberFormat="0" applyFill="0" applyBorder="0" applyAlignment="0" applyProtection="0"/>
  </cellStyleXfs>
  <cellXfs count="664">
    <xf numFmtId="0" fontId="0" fillId="0" borderId="0" xfId="0" applyAlignment="1">
      <alignment/>
    </xf>
    <xf numFmtId="166" fontId="0" fillId="0" borderId="0" xfId="42" applyNumberFormat="1" applyFont="1" applyAlignment="1">
      <alignment/>
    </xf>
    <xf numFmtId="0" fontId="4" fillId="0" borderId="0" xfId="0" applyFont="1" applyAlignment="1">
      <alignment/>
    </xf>
    <xf numFmtId="165" fontId="0" fillId="0" borderId="0" xfId="42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168" fontId="3" fillId="0" borderId="0" xfId="45" applyNumberFormat="1" applyFont="1" applyFill="1" applyAlignment="1">
      <alignment/>
    </xf>
    <xf numFmtId="0" fontId="0" fillId="0" borderId="0" xfId="0" applyFill="1" applyAlignment="1">
      <alignment/>
    </xf>
    <xf numFmtId="168" fontId="0" fillId="0" borderId="0" xfId="0" applyNumberFormat="1" applyAlignment="1">
      <alignment/>
    </xf>
    <xf numFmtId="0" fontId="0" fillId="0" borderId="0" xfId="0" applyAlignment="1" quotePrefix="1">
      <alignment/>
    </xf>
    <xf numFmtId="37" fontId="4" fillId="0" borderId="0" xfId="0" applyNumberFormat="1" applyFont="1" applyFill="1" applyBorder="1" applyAlignment="1">
      <alignment horizontal="left" vertical="center" wrapText="1"/>
    </xf>
    <xf numFmtId="168" fontId="0" fillId="0" borderId="0" xfId="45" applyNumberFormat="1" applyFont="1" applyFill="1" applyBorder="1" applyAlignment="1">
      <alignment/>
    </xf>
    <xf numFmtId="172" fontId="0" fillId="0" borderId="0" xfId="45" applyNumberFormat="1" applyFont="1" applyFill="1" applyBorder="1" applyAlignment="1">
      <alignment/>
    </xf>
    <xf numFmtId="166" fontId="0" fillId="0" borderId="0" xfId="42" applyNumberFormat="1" applyFont="1" applyFill="1" applyBorder="1" applyAlignment="1">
      <alignment/>
    </xf>
    <xf numFmtId="168" fontId="4" fillId="0" borderId="0" xfId="45" applyNumberFormat="1" applyFont="1" applyFill="1" applyBorder="1" applyAlignment="1">
      <alignment horizontal="left" indent="1"/>
    </xf>
    <xf numFmtId="0" fontId="0" fillId="0" borderId="0" xfId="0" applyFill="1" applyBorder="1" applyAlignment="1">
      <alignment/>
    </xf>
    <xf numFmtId="171" fontId="0" fillId="0" borderId="0" xfId="0" applyNumberFormat="1" applyAlignment="1">
      <alignment/>
    </xf>
    <xf numFmtId="166" fontId="0" fillId="0" borderId="0" xfId="42" applyNumberFormat="1" applyFont="1" applyFill="1" applyBorder="1" applyAlignment="1">
      <alignment/>
    </xf>
    <xf numFmtId="166" fontId="4" fillId="0" borderId="0" xfId="42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168" fontId="3" fillId="0" borderId="0" xfId="45" applyNumberFormat="1" applyFont="1" applyFill="1" applyBorder="1" applyAlignment="1">
      <alignment/>
    </xf>
    <xf numFmtId="37" fontId="0" fillId="0" borderId="0" xfId="0" applyNumberFormat="1" applyAlignment="1">
      <alignment/>
    </xf>
    <xf numFmtId="0" fontId="0" fillId="0" borderId="0" xfId="0" applyBorder="1" applyAlignment="1">
      <alignment/>
    </xf>
    <xf numFmtId="0" fontId="8" fillId="0" borderId="0" xfId="0" applyFont="1" applyFill="1" applyBorder="1" applyAlignment="1">
      <alignment/>
    </xf>
    <xf numFmtId="173" fontId="0" fillId="0" borderId="0" xfId="0" applyNumberFormat="1" applyFill="1" applyAlignment="1" applyProtection="1">
      <alignment/>
      <protection/>
    </xf>
    <xf numFmtId="170" fontId="0" fillId="0" borderId="0" xfId="0" applyNumberFormat="1" applyAlignment="1">
      <alignment/>
    </xf>
    <xf numFmtId="173" fontId="0" fillId="0" borderId="0" xfId="0" applyNumberFormat="1" applyAlignment="1">
      <alignment/>
    </xf>
    <xf numFmtId="0" fontId="10" fillId="0" borderId="0" xfId="0" applyFont="1" applyFill="1" applyAlignment="1">
      <alignment horizontal="left"/>
    </xf>
    <xf numFmtId="0" fontId="0" fillId="0" borderId="0" xfId="0" applyFill="1" applyBorder="1" applyAlignment="1">
      <alignment vertical="center"/>
    </xf>
    <xf numFmtId="0" fontId="7" fillId="0" borderId="8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vertical="center"/>
    </xf>
    <xf numFmtId="0" fontId="0" fillId="0" borderId="9" xfId="0" applyFont="1" applyFill="1" applyBorder="1" applyAlignment="1">
      <alignment horizontal="center" vertical="center" wrapText="1"/>
    </xf>
    <xf numFmtId="0" fontId="0" fillId="0" borderId="8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7" fillId="0" borderId="0" xfId="0" applyFont="1" applyFill="1" applyBorder="1" applyAlignment="1">
      <alignment horizontal="centerContinuous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/>
    </xf>
    <xf numFmtId="0" fontId="0" fillId="0" borderId="0" xfId="0" applyFont="1" applyFill="1" applyBorder="1" applyAlignment="1">
      <alignment/>
    </xf>
    <xf numFmtId="168" fontId="3" fillId="0" borderId="12" xfId="45" applyNumberFormat="1" applyFont="1" applyFill="1" applyBorder="1" applyAlignment="1">
      <alignment/>
    </xf>
    <xf numFmtId="168" fontId="3" fillId="0" borderId="13" xfId="45" applyNumberFormat="1" applyFont="1" applyFill="1" applyBorder="1" applyAlignment="1">
      <alignment/>
    </xf>
    <xf numFmtId="0" fontId="14" fillId="0" borderId="0" xfId="0" applyFont="1" applyFill="1" applyBorder="1" applyAlignment="1">
      <alignment horizontal="left" vertical="center" indent="5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39" fontId="14" fillId="0" borderId="0" xfId="47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horizontal="left" vertical="center"/>
    </xf>
    <xf numFmtId="39" fontId="14" fillId="0" borderId="0" xfId="47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0" fillId="0" borderId="0" xfId="0" applyAlignment="1">
      <alignment horizontal="left"/>
    </xf>
    <xf numFmtId="0" fontId="0" fillId="33" borderId="0" xfId="0" applyFill="1" applyAlignment="1">
      <alignment/>
    </xf>
    <xf numFmtId="165" fontId="0" fillId="0" borderId="0" xfId="0" applyNumberFormat="1" applyAlignment="1">
      <alignment/>
    </xf>
    <xf numFmtId="3" fontId="13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165" fontId="0" fillId="0" borderId="0" xfId="0" applyNumberFormat="1" applyFill="1" applyAlignment="1">
      <alignment/>
    </xf>
    <xf numFmtId="0" fontId="4" fillId="0" borderId="14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9" fillId="0" borderId="11" xfId="0" applyFont="1" applyFill="1" applyBorder="1" applyAlignment="1">
      <alignment/>
    </xf>
    <xf numFmtId="173" fontId="4" fillId="0" borderId="19" xfId="0" applyNumberFormat="1" applyFont="1" applyFill="1" applyBorder="1" applyAlignment="1">
      <alignment/>
    </xf>
    <xf numFmtId="0" fontId="0" fillId="0" borderId="19" xfId="0" applyFont="1" applyFill="1" applyBorder="1" applyAlignment="1">
      <alignment/>
    </xf>
    <xf numFmtId="170" fontId="0" fillId="0" borderId="19" xfId="0" applyNumberFormat="1" applyFont="1" applyFill="1" applyBorder="1" applyAlignment="1">
      <alignment/>
    </xf>
    <xf numFmtId="173" fontId="0" fillId="0" borderId="19" xfId="0" applyNumberFormat="1" applyFill="1" applyBorder="1" applyAlignment="1">
      <alignment/>
    </xf>
    <xf numFmtId="0" fontId="0" fillId="0" borderId="19" xfId="0" applyFill="1" applyBorder="1" applyAlignment="1">
      <alignment/>
    </xf>
    <xf numFmtId="170" fontId="0" fillId="0" borderId="19" xfId="0" applyNumberFormat="1" applyFill="1" applyBorder="1" applyAlignment="1">
      <alignment/>
    </xf>
    <xf numFmtId="170" fontId="4" fillId="0" borderId="19" xfId="0" applyNumberFormat="1" applyFont="1" applyFill="1" applyBorder="1" applyAlignment="1">
      <alignment/>
    </xf>
    <xf numFmtId="0" fontId="0" fillId="0" borderId="20" xfId="0" applyBorder="1" applyAlignment="1">
      <alignment/>
    </xf>
    <xf numFmtId="0" fontId="0" fillId="0" borderId="8" xfId="0" applyBorder="1" applyAlignment="1">
      <alignment/>
    </xf>
    <xf numFmtId="0" fontId="0" fillId="0" borderId="21" xfId="0" applyBorder="1" applyAlignment="1">
      <alignment/>
    </xf>
    <xf numFmtId="0" fontId="0" fillId="0" borderId="10" xfId="0" applyBorder="1" applyAlignment="1">
      <alignment/>
    </xf>
    <xf numFmtId="0" fontId="4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0" fillId="0" borderId="9" xfId="0" applyBorder="1" applyAlignment="1">
      <alignment/>
    </xf>
    <xf numFmtId="0" fontId="0" fillId="0" borderId="22" xfId="0" applyBorder="1" applyAlignment="1">
      <alignment/>
    </xf>
    <xf numFmtId="0" fontId="10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vertical="center"/>
    </xf>
    <xf numFmtId="0" fontId="10" fillId="0" borderId="10" xfId="0" applyFont="1" applyFill="1" applyBorder="1" applyAlignment="1">
      <alignment horizontal="left"/>
    </xf>
    <xf numFmtId="0" fontId="0" fillId="0" borderId="11" xfId="0" applyBorder="1" applyAlignment="1">
      <alignment/>
    </xf>
    <xf numFmtId="0" fontId="10" fillId="0" borderId="19" xfId="0" applyFont="1" applyFill="1" applyBorder="1" applyAlignment="1">
      <alignment horizontal="left"/>
    </xf>
    <xf numFmtId="10" fontId="15" fillId="0" borderId="0" xfId="62" applyNumberFormat="1" applyFont="1" applyFill="1" applyBorder="1" applyAlignment="1">
      <alignment horizontal="center" vertical="center"/>
    </xf>
    <xf numFmtId="10" fontId="14" fillId="0" borderId="0" xfId="62" applyNumberFormat="1" applyFont="1" applyFill="1" applyBorder="1" applyAlignment="1">
      <alignment horizontal="center" vertical="center"/>
    </xf>
    <xf numFmtId="39" fontId="4" fillId="0" borderId="0" xfId="47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14" fillId="0" borderId="10" xfId="0" applyFont="1" applyFill="1" applyBorder="1" applyAlignment="1">
      <alignment horizontal="left" vertical="center" indent="5"/>
    </xf>
    <xf numFmtId="0" fontId="14" fillId="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vertical="center"/>
    </xf>
    <xf numFmtId="39" fontId="14" fillId="0" borderId="10" xfId="47" applyNumberFormat="1" applyFont="1" applyFill="1" applyBorder="1" applyAlignment="1">
      <alignment vertical="center"/>
    </xf>
    <xf numFmtId="0" fontId="14" fillId="0" borderId="10" xfId="0" applyFont="1" applyFill="1" applyBorder="1" applyAlignment="1">
      <alignment horizontal="left" vertical="center"/>
    </xf>
    <xf numFmtId="39" fontId="14" fillId="0" borderId="10" xfId="47" applyNumberFormat="1" applyFont="1" applyFill="1" applyBorder="1" applyAlignment="1">
      <alignment horizontal="center" vertical="center"/>
    </xf>
    <xf numFmtId="10" fontId="15" fillId="0" borderId="10" xfId="62" applyNumberFormat="1" applyFont="1" applyFill="1" applyBorder="1" applyAlignment="1">
      <alignment horizontal="center" vertical="center"/>
    </xf>
    <xf numFmtId="10" fontId="14" fillId="0" borderId="10" xfId="62" applyNumberFormat="1" applyFont="1" applyFill="1" applyBorder="1" applyAlignment="1">
      <alignment horizontal="center" vertical="center"/>
    </xf>
    <xf numFmtId="39" fontId="4" fillId="0" borderId="10" xfId="47" applyNumberFormat="1" applyFont="1" applyFill="1" applyBorder="1" applyAlignment="1">
      <alignment horizontal="center" vertical="center"/>
    </xf>
    <xf numFmtId="0" fontId="0" fillId="0" borderId="23" xfId="0" applyFill="1" applyBorder="1" applyAlignment="1">
      <alignment vertical="center"/>
    </xf>
    <xf numFmtId="0" fontId="14" fillId="0" borderId="23" xfId="0" applyFont="1" applyFill="1" applyBorder="1" applyAlignment="1">
      <alignment horizontal="left" vertical="center" indent="5"/>
    </xf>
    <xf numFmtId="0" fontId="14" fillId="0" borderId="23" xfId="0" applyFont="1" applyFill="1" applyBorder="1" applyAlignment="1">
      <alignment horizontal="center" vertical="center"/>
    </xf>
    <xf numFmtId="0" fontId="14" fillId="0" borderId="23" xfId="0" applyFont="1" applyFill="1" applyBorder="1" applyAlignment="1">
      <alignment vertical="center"/>
    </xf>
    <xf numFmtId="39" fontId="14" fillId="0" borderId="23" xfId="47" applyNumberFormat="1" applyFont="1" applyFill="1" applyBorder="1" applyAlignment="1">
      <alignment vertical="center"/>
    </xf>
    <xf numFmtId="0" fontId="14" fillId="0" borderId="23" xfId="0" applyFont="1" applyFill="1" applyBorder="1" applyAlignment="1">
      <alignment horizontal="left" vertical="center"/>
    </xf>
    <xf numFmtId="39" fontId="4" fillId="0" borderId="23" xfId="47" applyNumberFormat="1" applyFont="1" applyFill="1" applyBorder="1" applyAlignment="1">
      <alignment horizontal="center" vertical="center"/>
    </xf>
    <xf numFmtId="10" fontId="15" fillId="0" borderId="23" xfId="62" applyNumberFormat="1" applyFont="1" applyFill="1" applyBorder="1" applyAlignment="1">
      <alignment horizontal="center" vertical="center"/>
    </xf>
    <xf numFmtId="10" fontId="14" fillId="0" borderId="23" xfId="62" applyNumberFormat="1" applyFont="1" applyFill="1" applyBorder="1" applyAlignment="1">
      <alignment horizontal="center" vertical="center"/>
    </xf>
    <xf numFmtId="0" fontId="18" fillId="0" borderId="0" xfId="0" applyFont="1" applyAlignment="1">
      <alignment/>
    </xf>
    <xf numFmtId="0" fontId="0" fillId="0" borderId="22" xfId="0" applyFont="1" applyFill="1" applyBorder="1" applyAlignment="1">
      <alignment vertical="center" wrapText="1"/>
    </xf>
    <xf numFmtId="171" fontId="4" fillId="0" borderId="0" xfId="62" applyNumberFormat="1" applyFont="1" applyFill="1" applyBorder="1" applyAlignment="1">
      <alignment/>
    </xf>
    <xf numFmtId="3" fontId="0" fillId="0" borderId="0" xfId="0" applyNumberFormat="1" applyAlignment="1">
      <alignment horizontal="center"/>
    </xf>
    <xf numFmtId="3" fontId="0" fillId="0" borderId="0" xfId="0" applyNumberFormat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37" fontId="0" fillId="0" borderId="0" xfId="0" applyNumberFormat="1" applyFont="1" applyAlignment="1">
      <alignment/>
    </xf>
    <xf numFmtId="10" fontId="0" fillId="0" borderId="0" xfId="62" applyNumberFormat="1" applyFont="1" applyAlignment="1">
      <alignment/>
    </xf>
    <xf numFmtId="165" fontId="0" fillId="0" borderId="0" xfId="42" applyFont="1" applyAlignment="1">
      <alignment/>
    </xf>
    <xf numFmtId="166" fontId="0" fillId="0" borderId="0" xfId="42" applyNumberFormat="1" applyFont="1" applyAlignment="1">
      <alignment/>
    </xf>
    <xf numFmtId="0" fontId="62" fillId="34" borderId="24" xfId="0" applyFont="1" applyFill="1" applyBorder="1" applyAlignment="1">
      <alignment horizontal="center"/>
    </xf>
    <xf numFmtId="3" fontId="62" fillId="34" borderId="25" xfId="0" applyNumberFormat="1" applyFont="1" applyFill="1" applyBorder="1" applyAlignment="1">
      <alignment horizontal="center" wrapText="1"/>
    </xf>
    <xf numFmtId="0" fontId="62" fillId="34" borderId="25" xfId="0" applyFont="1" applyFill="1" applyBorder="1" applyAlignment="1">
      <alignment horizontal="center" wrapText="1"/>
    </xf>
    <xf numFmtId="0" fontId="62" fillId="34" borderId="26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/>
    </xf>
    <xf numFmtId="0" fontId="4" fillId="0" borderId="22" xfId="0" applyFont="1" applyFill="1" applyBorder="1" applyAlignment="1">
      <alignment/>
    </xf>
    <xf numFmtId="0" fontId="4" fillId="0" borderId="21" xfId="0" applyFont="1" applyFill="1" applyBorder="1" applyAlignment="1">
      <alignment horizontal="center"/>
    </xf>
    <xf numFmtId="0" fontId="62" fillId="34" borderId="27" xfId="0" applyFont="1" applyFill="1" applyBorder="1" applyAlignment="1">
      <alignment horizontal="center" wrapText="1"/>
    </xf>
    <xf numFmtId="0" fontId="4" fillId="0" borderId="21" xfId="0" applyFont="1" applyFill="1" applyBorder="1" applyAlignment="1">
      <alignment/>
    </xf>
    <xf numFmtId="0" fontId="4" fillId="0" borderId="0" xfId="0" applyFont="1" applyBorder="1" applyAlignment="1">
      <alignment horizontal="center"/>
    </xf>
    <xf numFmtId="0" fontId="63" fillId="0" borderId="0" xfId="0" applyFont="1" applyAlignment="1">
      <alignment/>
    </xf>
    <xf numFmtId="0" fontId="6" fillId="0" borderId="0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left" indent="1"/>
    </xf>
    <xf numFmtId="0" fontId="62" fillId="34" borderId="11" xfId="0" applyFont="1" applyFill="1" applyBorder="1" applyAlignment="1">
      <alignment horizontal="center" wrapText="1"/>
    </xf>
    <xf numFmtId="3" fontId="62" fillId="34" borderId="19" xfId="0" applyNumberFormat="1" applyFont="1" applyFill="1" applyBorder="1" applyAlignment="1">
      <alignment horizontal="center" wrapText="1"/>
    </xf>
    <xf numFmtId="0" fontId="62" fillId="34" borderId="19" xfId="0" applyFont="1" applyFill="1" applyBorder="1" applyAlignment="1">
      <alignment horizontal="center" wrapText="1"/>
    </xf>
    <xf numFmtId="0" fontId="62" fillId="34" borderId="20" xfId="0" applyFont="1" applyFill="1" applyBorder="1" applyAlignment="1">
      <alignment horizontal="center" wrapText="1"/>
    </xf>
    <xf numFmtId="37" fontId="4" fillId="0" borderId="22" xfId="0" applyNumberFormat="1" applyFont="1" applyFill="1" applyBorder="1" applyAlignment="1">
      <alignment/>
    </xf>
    <xf numFmtId="4" fontId="0" fillId="0" borderId="0" xfId="42" applyNumberFormat="1" applyFont="1" applyFill="1" applyBorder="1" applyAlignment="1">
      <alignment horizontal="center"/>
    </xf>
    <xf numFmtId="3" fontId="0" fillId="0" borderId="0" xfId="42" applyNumberFormat="1" applyFont="1" applyFill="1" applyBorder="1" applyAlignment="1">
      <alignment horizontal="right"/>
    </xf>
    <xf numFmtId="168" fontId="0" fillId="0" borderId="10" xfId="45" applyNumberFormat="1" applyFont="1" applyFill="1" applyBorder="1" applyAlignment="1">
      <alignment/>
    </xf>
    <xf numFmtId="3" fontId="0" fillId="0" borderId="10" xfId="42" applyNumberFormat="1" applyFont="1" applyFill="1" applyBorder="1" applyAlignment="1">
      <alignment horizontal="right"/>
    </xf>
    <xf numFmtId="3" fontId="62" fillId="34" borderId="27" xfId="0" applyNumberFormat="1" applyFont="1" applyFill="1" applyBorder="1" applyAlignment="1">
      <alignment horizontal="center" wrapText="1"/>
    </xf>
    <xf numFmtId="37" fontId="4" fillId="0" borderId="11" xfId="0" applyNumberFormat="1" applyFont="1" applyFill="1" applyBorder="1" applyAlignment="1">
      <alignment/>
    </xf>
    <xf numFmtId="179" fontId="0" fillId="16" borderId="20" xfId="42" applyNumberFormat="1" applyFont="1" applyFill="1" applyBorder="1" applyAlignment="1">
      <alignment horizontal="center"/>
    </xf>
    <xf numFmtId="10" fontId="0" fillId="0" borderId="0" xfId="62" applyNumberFormat="1" applyFont="1" applyFill="1" applyBorder="1" applyAlignment="1">
      <alignment horizontal="center"/>
    </xf>
    <xf numFmtId="179" fontId="0" fillId="0" borderId="0" xfId="42" applyNumberFormat="1" applyFont="1" applyFill="1" applyBorder="1" applyAlignment="1">
      <alignment horizontal="center"/>
    </xf>
    <xf numFmtId="179" fontId="0" fillId="16" borderId="8" xfId="42" applyNumberFormat="1" applyFont="1" applyFill="1" applyBorder="1" applyAlignment="1">
      <alignment horizontal="center"/>
    </xf>
    <xf numFmtId="3" fontId="4" fillId="0" borderId="10" xfId="0" applyNumberFormat="1" applyFont="1" applyFill="1" applyBorder="1" applyAlignment="1">
      <alignment horizontal="left" indent="1"/>
    </xf>
    <xf numFmtId="0" fontId="4" fillId="0" borderId="10" xfId="0" applyFont="1" applyFill="1" applyBorder="1" applyAlignment="1">
      <alignment horizontal="left" indent="1"/>
    </xf>
    <xf numFmtId="0" fontId="4" fillId="0" borderId="9" xfId="0" applyFont="1" applyFill="1" applyBorder="1" applyAlignment="1">
      <alignment horizontal="left" indent="1"/>
    </xf>
    <xf numFmtId="0" fontId="4" fillId="0" borderId="29" xfId="0" applyFont="1" applyFill="1" applyBorder="1" applyAlignment="1">
      <alignment horizontal="center"/>
    </xf>
    <xf numFmtId="166" fontId="4" fillId="0" borderId="29" xfId="0" applyNumberFormat="1" applyFont="1" applyFill="1" applyBorder="1" applyAlignment="1">
      <alignment horizontal="left" indent="1"/>
    </xf>
    <xf numFmtId="0" fontId="4" fillId="0" borderId="29" xfId="0" applyFont="1" applyFill="1" applyBorder="1" applyAlignment="1">
      <alignment horizontal="left" indent="1"/>
    </xf>
    <xf numFmtId="166" fontId="62" fillId="34" borderId="10" xfId="42" applyNumberFormat="1" applyFont="1" applyFill="1" applyBorder="1" applyAlignment="1">
      <alignment horizontal="center"/>
    </xf>
    <xf numFmtId="10" fontId="62" fillId="34" borderId="10" xfId="62" applyNumberFormat="1" applyFont="1" applyFill="1" applyBorder="1" applyAlignment="1">
      <alignment horizontal="center"/>
    </xf>
    <xf numFmtId="0" fontId="62" fillId="34" borderId="11" xfId="0" applyFont="1" applyFill="1" applyBorder="1" applyAlignment="1">
      <alignment horizontal="center"/>
    </xf>
    <xf numFmtId="4" fontId="4" fillId="0" borderId="30" xfId="0" applyNumberFormat="1" applyFont="1" applyFill="1" applyBorder="1" applyAlignment="1">
      <alignment horizontal="center"/>
    </xf>
    <xf numFmtId="0" fontId="4" fillId="0" borderId="19" xfId="0" applyFont="1" applyFill="1" applyBorder="1" applyAlignment="1">
      <alignment horizontal="left" indent="1"/>
    </xf>
    <xf numFmtId="0" fontId="62" fillId="34" borderId="22" xfId="0" applyFont="1" applyFill="1" applyBorder="1" applyAlignment="1">
      <alignment horizontal="center"/>
    </xf>
    <xf numFmtId="173" fontId="62" fillId="34" borderId="0" xfId="0" applyNumberFormat="1" applyFont="1" applyFill="1" applyBorder="1" applyAlignment="1">
      <alignment horizontal="center"/>
    </xf>
    <xf numFmtId="173" fontId="62" fillId="34" borderId="8" xfId="0" applyNumberFormat="1" applyFont="1" applyFill="1" applyBorder="1" applyAlignment="1">
      <alignment horizontal="center"/>
    </xf>
    <xf numFmtId="0" fontId="62" fillId="34" borderId="0" xfId="0" applyFont="1" applyFill="1" applyBorder="1" applyAlignment="1">
      <alignment horizontal="center" wrapText="1"/>
    </xf>
    <xf numFmtId="0" fontId="62" fillId="34" borderId="8" xfId="0" applyFont="1" applyFill="1" applyBorder="1" applyAlignment="1">
      <alignment horizontal="center" wrapText="1"/>
    </xf>
    <xf numFmtId="164" fontId="62" fillId="34" borderId="0" xfId="45" applyFont="1" applyFill="1" applyBorder="1" applyAlignment="1">
      <alignment horizontal="center" wrapText="1"/>
    </xf>
    <xf numFmtId="176" fontId="62" fillId="34" borderId="0" xfId="0" applyNumberFormat="1" applyFont="1" applyFill="1" applyBorder="1" applyAlignment="1">
      <alignment horizontal="center" wrapText="1"/>
    </xf>
    <xf numFmtId="177" fontId="62" fillId="34" borderId="0" xfId="0" applyNumberFormat="1" applyFont="1" applyFill="1" applyBorder="1" applyAlignment="1">
      <alignment horizontal="center" wrapText="1"/>
    </xf>
    <xf numFmtId="176" fontId="62" fillId="34" borderId="8" xfId="0" applyNumberFormat="1" applyFont="1" applyFill="1" applyBorder="1" applyAlignment="1">
      <alignment horizontal="center" wrapText="1"/>
    </xf>
    <xf numFmtId="37" fontId="4" fillId="0" borderId="22" xfId="0" applyNumberFormat="1" applyFont="1" applyFill="1" applyBorder="1" applyAlignment="1">
      <alignment wrapText="1"/>
    </xf>
    <xf numFmtId="0" fontId="4" fillId="0" borderId="19" xfId="0" applyFont="1" applyFill="1" applyBorder="1" applyAlignment="1">
      <alignment horizontal="center" wrapText="1"/>
    </xf>
    <xf numFmtId="37" fontId="4" fillId="0" borderId="22" xfId="0" applyNumberFormat="1" applyFont="1" applyFill="1" applyBorder="1" applyAlignment="1">
      <alignment/>
    </xf>
    <xf numFmtId="173" fontId="63" fillId="34" borderId="0" xfId="0" applyNumberFormat="1" applyFont="1" applyFill="1" applyBorder="1" applyAlignment="1">
      <alignment horizontal="center" vertical="center" wrapText="1"/>
    </xf>
    <xf numFmtId="0" fontId="63" fillId="34" borderId="0" xfId="0" applyFont="1" applyFill="1" applyBorder="1" applyAlignment="1">
      <alignment horizontal="center" vertical="center" wrapText="1"/>
    </xf>
    <xf numFmtId="170" fontId="63" fillId="34" borderId="0" xfId="0" applyNumberFormat="1" applyFont="1" applyFill="1" applyBorder="1" applyAlignment="1">
      <alignment horizontal="center" vertical="center" wrapText="1"/>
    </xf>
    <xf numFmtId="0" fontId="63" fillId="34" borderId="0" xfId="0" applyFont="1" applyFill="1" applyBorder="1" applyAlignment="1" quotePrefix="1">
      <alignment horizontal="center" vertical="center" wrapText="1"/>
    </xf>
    <xf numFmtId="0" fontId="63" fillId="34" borderId="8" xfId="0" applyFont="1" applyFill="1" applyBorder="1" applyAlignment="1">
      <alignment horizontal="center" vertical="center" wrapText="1"/>
    </xf>
    <xf numFmtId="37" fontId="3" fillId="0" borderId="22" xfId="0" applyNumberFormat="1" applyFont="1" applyFill="1" applyBorder="1" applyAlignment="1">
      <alignment/>
    </xf>
    <xf numFmtId="173" fontId="0" fillId="16" borderId="0" xfId="0" applyNumberFormat="1" applyFont="1" applyFill="1" applyBorder="1" applyAlignment="1" applyProtection="1">
      <alignment horizontal="center"/>
      <protection/>
    </xf>
    <xf numFmtId="170" fontId="0" fillId="16" borderId="0" xfId="0" applyNumberFormat="1" applyFont="1" applyFill="1" applyBorder="1" applyAlignment="1" applyProtection="1">
      <alignment horizontal="center"/>
      <protection locked="0"/>
    </xf>
    <xf numFmtId="170" fontId="0" fillId="0" borderId="0" xfId="0" applyNumberFormat="1" applyFill="1" applyBorder="1" applyAlignment="1">
      <alignment horizontal="center"/>
    </xf>
    <xf numFmtId="173" fontId="0" fillId="0" borderId="0" xfId="0" applyNumberFormat="1" applyFill="1" applyBorder="1" applyAlignment="1">
      <alignment horizontal="center"/>
    </xf>
    <xf numFmtId="170" fontId="0" fillId="16" borderId="8" xfId="0" applyNumberFormat="1" applyFont="1" applyFill="1" applyBorder="1" applyAlignment="1" applyProtection="1">
      <alignment horizontal="center"/>
      <protection locked="0"/>
    </xf>
    <xf numFmtId="173" fontId="0" fillId="16" borderId="0" xfId="0" applyNumberFormat="1" applyFill="1" applyBorder="1" applyAlignment="1" applyProtection="1">
      <alignment horizontal="center"/>
      <protection/>
    </xf>
    <xf numFmtId="170" fontId="0" fillId="16" borderId="0" xfId="0" applyNumberFormat="1" applyFill="1" applyBorder="1" applyAlignment="1" applyProtection="1">
      <alignment horizontal="center"/>
      <protection/>
    </xf>
    <xf numFmtId="170" fontId="0" fillId="16" borderId="8" xfId="0" applyNumberFormat="1" applyFill="1" applyBorder="1" applyAlignment="1" applyProtection="1">
      <alignment horizontal="center"/>
      <protection locked="0"/>
    </xf>
    <xf numFmtId="170" fontId="0" fillId="16" borderId="0" xfId="0" applyNumberFormat="1" applyFill="1" applyBorder="1" applyAlignment="1" applyProtection="1">
      <alignment horizontal="center"/>
      <protection locked="0"/>
    </xf>
    <xf numFmtId="170" fontId="0" fillId="0" borderId="10" xfId="0" applyNumberFormat="1" applyFill="1" applyBorder="1" applyAlignment="1">
      <alignment horizontal="center"/>
    </xf>
    <xf numFmtId="173" fontId="0" fillId="0" borderId="10" xfId="0" applyNumberFormat="1" applyFill="1" applyBorder="1" applyAlignment="1">
      <alignment horizontal="center"/>
    </xf>
    <xf numFmtId="170" fontId="5" fillId="16" borderId="0" xfId="0" applyNumberFormat="1" applyFont="1" applyFill="1" applyBorder="1" applyAlignment="1" applyProtection="1">
      <alignment horizontal="center"/>
      <protection locked="0"/>
    </xf>
    <xf numFmtId="170" fontId="5" fillId="16" borderId="8" xfId="0" applyNumberFormat="1" applyFont="1" applyFill="1" applyBorder="1" applyAlignment="1" applyProtection="1">
      <alignment horizontal="center"/>
      <protection locked="0"/>
    </xf>
    <xf numFmtId="170" fontId="5" fillId="0" borderId="0" xfId="0" applyNumberFormat="1" applyFont="1" applyFill="1" applyBorder="1" applyAlignment="1" applyProtection="1">
      <alignment horizontal="center"/>
      <protection/>
    </xf>
    <xf numFmtId="170" fontId="5" fillId="0" borderId="8" xfId="0" applyNumberFormat="1" applyFont="1" applyFill="1" applyBorder="1" applyAlignment="1" applyProtection="1">
      <alignment horizontal="center"/>
      <protection/>
    </xf>
    <xf numFmtId="170" fontId="5" fillId="0" borderId="10" xfId="0" applyNumberFormat="1" applyFont="1" applyFill="1" applyBorder="1" applyAlignment="1" applyProtection="1">
      <alignment horizontal="center"/>
      <protection/>
    </xf>
    <xf numFmtId="170" fontId="5" fillId="0" borderId="9" xfId="0" applyNumberFormat="1" applyFont="1" applyFill="1" applyBorder="1" applyAlignment="1" applyProtection="1">
      <alignment horizontal="center"/>
      <protection/>
    </xf>
    <xf numFmtId="170" fontId="0" fillId="35" borderId="0" xfId="0" applyNumberFormat="1" applyFill="1" applyBorder="1" applyAlignment="1" applyProtection="1">
      <alignment horizontal="center"/>
      <protection/>
    </xf>
    <xf numFmtId="170" fontId="0" fillId="35" borderId="10" xfId="0" applyNumberFormat="1" applyFill="1" applyBorder="1" applyAlignment="1" applyProtection="1">
      <alignment horizontal="center"/>
      <protection/>
    </xf>
    <xf numFmtId="170" fontId="0" fillId="35" borderId="0" xfId="0" applyNumberFormat="1" applyFont="1" applyFill="1" applyBorder="1" applyAlignment="1" applyProtection="1">
      <alignment horizontal="center"/>
      <protection/>
    </xf>
    <xf numFmtId="170" fontId="4" fillId="35" borderId="0" xfId="0" applyNumberFormat="1" applyFont="1" applyFill="1" applyBorder="1" applyAlignment="1" applyProtection="1">
      <alignment horizontal="center"/>
      <protection/>
    </xf>
    <xf numFmtId="173" fontId="0" fillId="35" borderId="0" xfId="0" applyNumberFormat="1" applyFont="1" applyFill="1" applyBorder="1" applyAlignment="1" applyProtection="1">
      <alignment horizontal="center"/>
      <protection/>
    </xf>
    <xf numFmtId="173" fontId="0" fillId="35" borderId="0" xfId="0" applyNumberFormat="1" applyFill="1" applyBorder="1" applyAlignment="1">
      <alignment horizontal="center"/>
    </xf>
    <xf numFmtId="173" fontId="63" fillId="34" borderId="10" xfId="0" applyNumberFormat="1" applyFont="1" applyFill="1" applyBorder="1" applyAlignment="1">
      <alignment horizontal="center" vertical="center"/>
    </xf>
    <xf numFmtId="0" fontId="63" fillId="34" borderId="10" xfId="0" applyFont="1" applyFill="1" applyBorder="1" applyAlignment="1">
      <alignment horizontal="center" vertical="center"/>
    </xf>
    <xf numFmtId="170" fontId="63" fillId="34" borderId="10" xfId="0" applyNumberFormat="1" applyFont="1" applyFill="1" applyBorder="1" applyAlignment="1">
      <alignment horizontal="center" vertical="center"/>
    </xf>
    <xf numFmtId="0" fontId="63" fillId="34" borderId="10" xfId="0" applyFont="1" applyFill="1" applyBorder="1" applyAlignment="1">
      <alignment vertical="center"/>
    </xf>
    <xf numFmtId="0" fontId="63" fillId="34" borderId="9" xfId="0" applyFont="1" applyFill="1" applyBorder="1" applyAlignment="1">
      <alignment/>
    </xf>
    <xf numFmtId="0" fontId="62" fillId="34" borderId="31" xfId="0" applyFont="1" applyFill="1" applyBorder="1" applyAlignment="1">
      <alignment horizontal="center" vertical="center"/>
    </xf>
    <xf numFmtId="0" fontId="62" fillId="34" borderId="32" xfId="0" applyFont="1" applyFill="1" applyBorder="1" applyAlignment="1">
      <alignment horizontal="center" vertical="center" wrapText="1"/>
    </xf>
    <xf numFmtId="2" fontId="62" fillId="34" borderId="33" xfId="0" applyNumberFormat="1" applyFont="1" applyFill="1" applyBorder="1" applyAlignment="1">
      <alignment horizontal="center" vertical="center" wrapText="1"/>
    </xf>
    <xf numFmtId="0" fontId="62" fillId="34" borderId="11" xfId="0" applyFont="1" applyFill="1" applyBorder="1" applyAlignment="1">
      <alignment horizontal="center" vertical="center" wrapText="1"/>
    </xf>
    <xf numFmtId="2" fontId="62" fillId="34" borderId="25" xfId="0" applyNumberFormat="1" applyFont="1" applyFill="1" applyBorder="1" applyAlignment="1">
      <alignment horizontal="center" vertical="center" wrapText="1"/>
    </xf>
    <xf numFmtId="2" fontId="62" fillId="34" borderId="20" xfId="0" applyNumberFormat="1" applyFont="1" applyFill="1" applyBorder="1" applyAlignment="1">
      <alignment horizontal="center" vertical="center" wrapText="1"/>
    </xf>
    <xf numFmtId="3" fontId="64" fillId="34" borderId="21" xfId="0" applyNumberFormat="1" applyFont="1" applyFill="1" applyBorder="1" applyAlignment="1">
      <alignment horizontal="right" vertical="center"/>
    </xf>
    <xf numFmtId="3" fontId="64" fillId="34" borderId="9" xfId="0" applyNumberFormat="1" applyFont="1" applyFill="1" applyBorder="1" applyAlignment="1">
      <alignment horizontal="left" vertical="center"/>
    </xf>
    <xf numFmtId="0" fontId="0" fillId="0" borderId="22" xfId="0" applyFill="1" applyBorder="1" applyAlignment="1">
      <alignment/>
    </xf>
    <xf numFmtId="0" fontId="0" fillId="0" borderId="8" xfId="0" applyFill="1" applyBorder="1" applyAlignment="1">
      <alignment/>
    </xf>
    <xf numFmtId="10" fontId="0" fillId="0" borderId="8" xfId="0" applyNumberFormat="1" applyFill="1" applyBorder="1" applyAlignment="1">
      <alignment/>
    </xf>
    <xf numFmtId="174" fontId="4" fillId="36" borderId="34" xfId="0" applyNumberFormat="1" applyFont="1" applyFill="1" applyBorder="1" applyAlignment="1">
      <alignment horizontal="center" vertical="center"/>
    </xf>
    <xf numFmtId="0" fontId="14" fillId="36" borderId="34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 wrapText="1"/>
    </xf>
    <xf numFmtId="0" fontId="65" fillId="34" borderId="9" xfId="0" applyFont="1" applyFill="1" applyBorder="1" applyAlignment="1">
      <alignment vertical="center"/>
    </xf>
    <xf numFmtId="0" fontId="62" fillId="34" borderId="35" xfId="0" applyFont="1" applyFill="1" applyBorder="1" applyAlignment="1">
      <alignment horizontal="center" vertical="center"/>
    </xf>
    <xf numFmtId="0" fontId="62" fillId="34" borderId="36" xfId="0" applyFont="1" applyFill="1" applyBorder="1" applyAlignment="1">
      <alignment horizontal="center" vertical="center"/>
    </xf>
    <xf numFmtId="0" fontId="62" fillId="34" borderId="34" xfId="0" applyFont="1" applyFill="1" applyBorder="1" applyAlignment="1">
      <alignment horizontal="center" vertical="center" wrapText="1"/>
    </xf>
    <xf numFmtId="2" fontId="62" fillId="34" borderId="37" xfId="0" applyNumberFormat="1" applyFont="1" applyFill="1" applyBorder="1" applyAlignment="1">
      <alignment horizontal="center" vertical="center" wrapText="1"/>
    </xf>
    <xf numFmtId="2" fontId="62" fillId="34" borderId="38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0" fillId="0" borderId="22" xfId="0" applyFont="1" applyFill="1" applyBorder="1" applyAlignment="1">
      <alignment horizontal="left" vertical="center" wrapText="1"/>
    </xf>
    <xf numFmtId="0" fontId="62" fillId="34" borderId="32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62" fillId="34" borderId="36" xfId="0" applyFont="1" applyFill="1" applyBorder="1" applyAlignment="1">
      <alignment horizontal="center" vertical="center" wrapText="1"/>
    </xf>
    <xf numFmtId="2" fontId="62" fillId="34" borderId="39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4" fontId="64" fillId="34" borderId="21" xfId="0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 vertical="center"/>
    </xf>
    <xf numFmtId="0" fontId="29" fillId="0" borderId="22" xfId="0" applyFont="1" applyFill="1" applyBorder="1" applyAlignment="1">
      <alignment wrapText="1"/>
    </xf>
    <xf numFmtId="167" fontId="0" fillId="0" borderId="0" xfId="0" applyNumberFormat="1" applyFont="1" applyFill="1" applyBorder="1" applyAlignment="1">
      <alignment/>
    </xf>
    <xf numFmtId="169" fontId="0" fillId="0" borderId="0" xfId="0" applyNumberFormat="1" applyFont="1" applyFill="1" applyBorder="1" applyAlignment="1">
      <alignment horizontal="center"/>
    </xf>
    <xf numFmtId="39" fontId="0" fillId="0" borderId="8" xfId="0" applyNumberFormat="1" applyFont="1" applyBorder="1" applyAlignment="1">
      <alignment horizontal="center"/>
    </xf>
    <xf numFmtId="173" fontId="0" fillId="0" borderId="8" xfId="0" applyNumberFormat="1" applyFont="1" applyBorder="1" applyAlignment="1">
      <alignment horizontal="center"/>
    </xf>
    <xf numFmtId="0" fontId="29" fillId="0" borderId="21" xfId="0" applyFont="1" applyFill="1" applyBorder="1" applyAlignment="1">
      <alignment wrapText="1"/>
    </xf>
    <xf numFmtId="167" fontId="0" fillId="0" borderId="10" xfId="0" applyNumberFormat="1" applyFont="1" applyFill="1" applyBorder="1" applyAlignment="1">
      <alignment/>
    </xf>
    <xf numFmtId="169" fontId="0" fillId="0" borderId="10" xfId="0" applyNumberFormat="1" applyFont="1" applyFill="1" applyBorder="1" applyAlignment="1">
      <alignment horizontal="center"/>
    </xf>
    <xf numFmtId="173" fontId="0" fillId="0" borderId="9" xfId="0" applyNumberFormat="1" applyFont="1" applyBorder="1" applyAlignment="1">
      <alignment horizontal="center"/>
    </xf>
    <xf numFmtId="0" fontId="29" fillId="0" borderId="0" xfId="0" applyFont="1" applyFill="1" applyBorder="1" applyAlignment="1">
      <alignment wrapText="1"/>
    </xf>
    <xf numFmtId="173" fontId="0" fillId="0" borderId="0" xfId="0" applyNumberFormat="1" applyFont="1" applyBorder="1" applyAlignment="1">
      <alignment horizontal="center"/>
    </xf>
    <xf numFmtId="0" fontId="65" fillId="34" borderId="0" xfId="0" applyFont="1" applyFill="1" applyBorder="1" applyAlignment="1">
      <alignment horizontal="center"/>
    </xf>
    <xf numFmtId="0" fontId="65" fillId="0" borderId="0" xfId="0" applyFont="1" applyFill="1" applyBorder="1" applyAlignment="1">
      <alignment horizontal="center"/>
    </xf>
    <xf numFmtId="0" fontId="66" fillId="0" borderId="0" xfId="0" applyFont="1" applyFill="1" applyBorder="1" applyAlignment="1">
      <alignment horizontal="center"/>
    </xf>
    <xf numFmtId="0" fontId="62" fillId="34" borderId="40" xfId="0" applyFont="1" applyFill="1" applyBorder="1" applyAlignment="1">
      <alignment horizontal="center" vertical="center" wrapText="1"/>
    </xf>
    <xf numFmtId="0" fontId="28" fillId="37" borderId="0" xfId="0" applyFont="1" applyFill="1" applyAlignment="1">
      <alignment vertical="center"/>
    </xf>
    <xf numFmtId="0" fontId="0" fillId="37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169" fontId="27" fillId="0" borderId="0" xfId="0" applyNumberFormat="1" applyFont="1" applyFill="1" applyBorder="1" applyAlignment="1">
      <alignment horizontal="left" vertical="center"/>
    </xf>
    <xf numFmtId="39" fontId="0" fillId="0" borderId="0" xfId="0" applyNumberFormat="1" applyFont="1" applyFill="1" applyBorder="1" applyAlignment="1">
      <alignment horizontal="left" vertical="center"/>
    </xf>
    <xf numFmtId="170" fontId="4" fillId="0" borderId="8" xfId="0" applyNumberFormat="1" applyFont="1" applyBorder="1" applyAlignment="1">
      <alignment horizontal="center"/>
    </xf>
    <xf numFmtId="170" fontId="4" fillId="0" borderId="9" xfId="0" applyNumberFormat="1" applyFont="1" applyBorder="1" applyAlignment="1">
      <alignment horizontal="center"/>
    </xf>
    <xf numFmtId="0" fontId="4" fillId="37" borderId="22" xfId="0" applyFont="1" applyFill="1" applyBorder="1" applyAlignment="1">
      <alignment horizontal="left" vertical="center" wrapText="1"/>
    </xf>
    <xf numFmtId="0" fontId="4" fillId="36" borderId="34" xfId="0" applyFont="1" applyFill="1" applyBorder="1" applyAlignment="1">
      <alignment horizontal="left" vertical="center" wrapText="1"/>
    </xf>
    <xf numFmtId="169" fontId="27" fillId="36" borderId="23" xfId="0" applyNumberFormat="1" applyFont="1" applyFill="1" applyBorder="1" applyAlignment="1">
      <alignment horizontal="left" vertical="center"/>
    </xf>
    <xf numFmtId="0" fontId="62" fillId="34" borderId="23" xfId="0" applyFont="1" applyFill="1" applyBorder="1" applyAlignment="1">
      <alignment horizontal="center" vertical="center" wrapText="1"/>
    </xf>
    <xf numFmtId="0" fontId="62" fillId="34" borderId="38" xfId="0" applyFont="1" applyFill="1" applyBorder="1" applyAlignment="1">
      <alignment horizontal="center" vertical="center" wrapText="1"/>
    </xf>
    <xf numFmtId="168" fontId="0" fillId="0" borderId="0" xfId="0" applyNumberFormat="1" applyFill="1" applyAlignment="1">
      <alignment/>
    </xf>
    <xf numFmtId="168" fontId="0" fillId="0" borderId="41" xfId="0" applyNumberFormat="1" applyFill="1" applyBorder="1" applyAlignment="1">
      <alignment/>
    </xf>
    <xf numFmtId="168" fontId="4" fillId="0" borderId="29" xfId="45" applyNumberFormat="1" applyFont="1" applyFill="1" applyBorder="1" applyAlignment="1">
      <alignment/>
    </xf>
    <xf numFmtId="183" fontId="4" fillId="0" borderId="29" xfId="45" applyNumberFormat="1" applyFont="1" applyFill="1" applyBorder="1" applyAlignment="1">
      <alignment/>
    </xf>
    <xf numFmtId="0" fontId="62" fillId="34" borderId="20" xfId="0" applyFont="1" applyFill="1" applyBorder="1" applyAlignment="1">
      <alignment horizontal="center"/>
    </xf>
    <xf numFmtId="37" fontId="0" fillId="0" borderId="22" xfId="0" applyNumberFormat="1" applyFont="1" applyFill="1" applyBorder="1" applyAlignment="1">
      <alignment/>
    </xf>
    <xf numFmtId="183" fontId="0" fillId="0" borderId="0" xfId="45" applyNumberFormat="1" applyFont="1" applyFill="1" applyBorder="1" applyAlignment="1">
      <alignment/>
    </xf>
    <xf numFmtId="168" fontId="0" fillId="0" borderId="8" xfId="45" applyNumberFormat="1" applyFont="1" applyFill="1" applyBorder="1" applyAlignment="1">
      <alignment/>
    </xf>
    <xf numFmtId="183" fontId="0" fillId="0" borderId="10" xfId="45" applyNumberFormat="1" applyFont="1" applyFill="1" applyBorder="1" applyAlignment="1">
      <alignment/>
    </xf>
    <xf numFmtId="168" fontId="0" fillId="0" borderId="9" xfId="45" applyNumberFormat="1" applyFont="1" applyFill="1" applyBorder="1" applyAlignment="1">
      <alignment/>
    </xf>
    <xf numFmtId="0" fontId="62" fillId="34" borderId="27" xfId="0" applyFont="1" applyFill="1" applyBorder="1" applyAlignment="1">
      <alignment horizontal="center"/>
    </xf>
    <xf numFmtId="37" fontId="0" fillId="0" borderId="11" xfId="0" applyNumberFormat="1" applyFill="1" applyBorder="1" applyAlignment="1">
      <alignment/>
    </xf>
    <xf numFmtId="37" fontId="0" fillId="0" borderId="22" xfId="0" applyNumberFormat="1" applyFill="1" applyBorder="1" applyAlignment="1">
      <alignment/>
    </xf>
    <xf numFmtId="0" fontId="62" fillId="34" borderId="34" xfId="0" applyFont="1" applyFill="1" applyBorder="1" applyAlignment="1">
      <alignment horizontal="center"/>
    </xf>
    <xf numFmtId="173" fontId="62" fillId="34" borderId="23" xfId="0" applyNumberFormat="1" applyFont="1" applyFill="1" applyBorder="1" applyAlignment="1">
      <alignment horizontal="center"/>
    </xf>
    <xf numFmtId="173" fontId="62" fillId="34" borderId="38" xfId="0" applyNumberFormat="1" applyFont="1" applyFill="1" applyBorder="1" applyAlignment="1">
      <alignment horizontal="center"/>
    </xf>
    <xf numFmtId="0" fontId="62" fillId="34" borderId="21" xfId="0" applyFont="1" applyFill="1" applyBorder="1" applyAlignment="1">
      <alignment horizontal="center"/>
    </xf>
    <xf numFmtId="0" fontId="62" fillId="34" borderId="38" xfId="0" applyFont="1" applyFill="1" applyBorder="1" applyAlignment="1">
      <alignment/>
    </xf>
    <xf numFmtId="0" fontId="62" fillId="34" borderId="42" xfId="0" applyFont="1" applyFill="1" applyBorder="1" applyAlignment="1">
      <alignment horizontal="center"/>
    </xf>
    <xf numFmtId="0" fontId="62" fillId="34" borderId="43" xfId="0" applyFont="1" applyFill="1" applyBorder="1" applyAlignment="1">
      <alignment horizontal="center" vertical="center" wrapText="1"/>
    </xf>
    <xf numFmtId="0" fontId="62" fillId="34" borderId="27" xfId="0" applyFont="1" applyFill="1" applyBorder="1" applyAlignment="1">
      <alignment horizontal="center" vertical="center" wrapText="1"/>
    </xf>
    <xf numFmtId="0" fontId="62" fillId="34" borderId="44" xfId="0" applyFont="1" applyFill="1" applyBorder="1" applyAlignment="1">
      <alignment horizontal="center" vertical="center" wrapText="1"/>
    </xf>
    <xf numFmtId="3" fontId="5" fillId="16" borderId="0" xfId="0" applyNumberFormat="1" applyFont="1" applyFill="1" applyBorder="1" applyAlignment="1">
      <alignment/>
    </xf>
    <xf numFmtId="0" fontId="67" fillId="34" borderId="8" xfId="0" applyFont="1" applyFill="1" applyBorder="1" applyAlignment="1">
      <alignment horizontal="center"/>
    </xf>
    <xf numFmtId="0" fontId="3" fillId="0" borderId="22" xfId="0" applyFont="1" applyFill="1" applyBorder="1" applyAlignment="1">
      <alignment/>
    </xf>
    <xf numFmtId="0" fontId="5" fillId="0" borderId="22" xfId="0" applyFont="1" applyFill="1" applyBorder="1" applyAlignment="1">
      <alignment/>
    </xf>
    <xf numFmtId="6" fontId="3" fillId="0" borderId="8" xfId="0" applyNumberFormat="1" applyFont="1" applyFill="1" applyBorder="1" applyAlignment="1">
      <alignment/>
    </xf>
    <xf numFmtId="0" fontId="3" fillId="0" borderId="21" xfId="0" applyFont="1" applyFill="1" applyBorder="1" applyAlignment="1">
      <alignment horizontal="center"/>
    </xf>
    <xf numFmtId="3" fontId="3" fillId="0" borderId="10" xfId="0" applyNumberFormat="1" applyFont="1" applyFill="1" applyBorder="1" applyAlignment="1">
      <alignment/>
    </xf>
    <xf numFmtId="6" fontId="3" fillId="0" borderId="9" xfId="0" applyNumberFormat="1" applyFont="1" applyFill="1" applyBorder="1" applyAlignment="1">
      <alignment/>
    </xf>
    <xf numFmtId="168" fontId="3" fillId="16" borderId="0" xfId="45" applyNumberFormat="1" applyFont="1" applyFill="1" applyAlignment="1">
      <alignment/>
    </xf>
    <xf numFmtId="4" fontId="0" fillId="38" borderId="11" xfId="0" applyNumberFormat="1" applyFont="1" applyFill="1" applyBorder="1" applyAlignment="1">
      <alignment horizontal="center"/>
    </xf>
    <xf numFmtId="4" fontId="0" fillId="38" borderId="22" xfId="0" applyNumberFormat="1" applyFont="1" applyFill="1" applyBorder="1" applyAlignment="1">
      <alignment horizontal="center"/>
    </xf>
    <xf numFmtId="4" fontId="0" fillId="38" borderId="21" xfId="0" applyNumberFormat="1" applyFont="1" applyFill="1" applyBorder="1" applyAlignment="1">
      <alignment horizontal="center"/>
    </xf>
    <xf numFmtId="173" fontId="0" fillId="38" borderId="0" xfId="0" applyNumberFormat="1" applyFont="1" applyFill="1" applyBorder="1" applyAlignment="1">
      <alignment horizontal="right"/>
    </xf>
    <xf numFmtId="39" fontId="0" fillId="38" borderId="0" xfId="0" applyNumberFormat="1" applyFont="1" applyFill="1" applyBorder="1" applyAlignment="1">
      <alignment horizontal="right"/>
    </xf>
    <xf numFmtId="173" fontId="0" fillId="38" borderId="8" xfId="0" applyNumberFormat="1" applyFont="1" applyFill="1" applyBorder="1" applyAlignment="1">
      <alignment horizontal="right"/>
    </xf>
    <xf numFmtId="173" fontId="0" fillId="38" borderId="10" xfId="0" applyNumberFormat="1" applyFont="1" applyFill="1" applyBorder="1" applyAlignment="1">
      <alignment horizontal="right"/>
    </xf>
    <xf numFmtId="173" fontId="0" fillId="38" borderId="9" xfId="0" applyNumberFormat="1" applyFont="1" applyFill="1" applyBorder="1" applyAlignment="1">
      <alignment horizontal="right"/>
    </xf>
    <xf numFmtId="184" fontId="0" fillId="38" borderId="0" xfId="0" applyNumberFormat="1" applyFont="1" applyFill="1" applyBorder="1" applyAlignment="1">
      <alignment horizontal="right"/>
    </xf>
    <xf numFmtId="184" fontId="0" fillId="38" borderId="10" xfId="0" applyNumberFormat="1" applyFont="1" applyFill="1" applyBorder="1" applyAlignment="1">
      <alignment horizontal="right"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45" xfId="0" applyFont="1" applyFill="1" applyBorder="1" applyAlignment="1">
      <alignment/>
    </xf>
    <xf numFmtId="0" fontId="4" fillId="0" borderId="46" xfId="0" applyFont="1" applyFill="1" applyBorder="1" applyAlignment="1">
      <alignment/>
    </xf>
    <xf numFmtId="0" fontId="4" fillId="0" borderId="47" xfId="0" applyFont="1" applyFill="1" applyBorder="1" applyAlignment="1">
      <alignment/>
    </xf>
    <xf numFmtId="3" fontId="0" fillId="0" borderId="0" xfId="0" applyNumberFormat="1" applyFont="1" applyAlignment="1">
      <alignment/>
    </xf>
    <xf numFmtId="185" fontId="0" fillId="0" borderId="0" xfId="42" applyNumberFormat="1" applyFont="1" applyFill="1" applyBorder="1" applyAlignment="1">
      <alignment horizontal="center"/>
    </xf>
    <xf numFmtId="10" fontId="0" fillId="0" borderId="0" xfId="62" applyNumberFormat="1" applyFont="1" applyFill="1" applyBorder="1" applyAlignment="1">
      <alignment horizontal="right"/>
    </xf>
    <xf numFmtId="4" fontId="0" fillId="0" borderId="8" xfId="42" applyNumberFormat="1" applyFont="1" applyFill="1" applyBorder="1" applyAlignment="1">
      <alignment horizontal="right"/>
    </xf>
    <xf numFmtId="10" fontId="0" fillId="0" borderId="10" xfId="62" applyNumberFormat="1" applyFont="1" applyFill="1" applyBorder="1" applyAlignment="1">
      <alignment horizontal="right"/>
    </xf>
    <xf numFmtId="4" fontId="0" fillId="0" borderId="9" xfId="42" applyNumberFormat="1" applyFont="1" applyFill="1" applyBorder="1" applyAlignment="1">
      <alignment horizontal="right"/>
    </xf>
    <xf numFmtId="38" fontId="0" fillId="0" borderId="19" xfId="0" applyNumberFormat="1" applyFill="1" applyBorder="1" applyAlignment="1">
      <alignment horizontal="right"/>
    </xf>
    <xf numFmtId="6" fontId="0" fillId="0" borderId="19" xfId="45" applyNumberFormat="1" applyFont="1" applyFill="1" applyBorder="1" applyAlignment="1">
      <alignment horizontal="right"/>
    </xf>
    <xf numFmtId="6" fontId="0" fillId="0" borderId="20" xfId="45" applyNumberFormat="1" applyFont="1" applyFill="1" applyBorder="1" applyAlignment="1">
      <alignment horizontal="right"/>
    </xf>
    <xf numFmtId="38" fontId="0" fillId="0" borderId="0" xfId="0" applyNumberFormat="1" applyFill="1" applyBorder="1" applyAlignment="1">
      <alignment horizontal="right"/>
    </xf>
    <xf numFmtId="6" fontId="0" fillId="0" borderId="0" xfId="45" applyNumberFormat="1" applyFont="1" applyFill="1" applyBorder="1" applyAlignment="1">
      <alignment horizontal="right"/>
    </xf>
    <xf numFmtId="6" fontId="0" fillId="0" borderId="8" xfId="45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38" fontId="0" fillId="0" borderId="10" xfId="0" applyNumberFormat="1" applyFill="1" applyBorder="1" applyAlignment="1">
      <alignment horizontal="right"/>
    </xf>
    <xf numFmtId="6" fontId="0" fillId="0" borderId="10" xfId="45" applyNumberFormat="1" applyFont="1" applyFill="1" applyBorder="1" applyAlignment="1">
      <alignment horizontal="right"/>
    </xf>
    <xf numFmtId="6" fontId="0" fillId="0" borderId="9" xfId="45" applyNumberFormat="1" applyFont="1" applyFill="1" applyBorder="1" applyAlignment="1">
      <alignment horizontal="right"/>
    </xf>
    <xf numFmtId="38" fontId="4" fillId="0" borderId="29" xfId="0" applyNumberFormat="1" applyFont="1" applyFill="1" applyBorder="1" applyAlignment="1">
      <alignment horizontal="right"/>
    </xf>
    <xf numFmtId="8" fontId="4" fillId="0" borderId="29" xfId="45" applyNumberFormat="1" applyFont="1" applyFill="1" applyBorder="1" applyAlignment="1">
      <alignment horizontal="right"/>
    </xf>
    <xf numFmtId="0" fontId="0" fillId="0" borderId="0" xfId="0" applyFill="1" applyAlignment="1">
      <alignment horizontal="right"/>
    </xf>
    <xf numFmtId="8" fontId="0" fillId="0" borderId="0" xfId="45" applyNumberFormat="1" applyFont="1" applyFill="1" applyBorder="1" applyAlignment="1">
      <alignment horizontal="right"/>
    </xf>
    <xf numFmtId="168" fontId="4" fillId="0" borderId="29" xfId="45" applyNumberFormat="1" applyFont="1" applyFill="1" applyBorder="1" applyAlignment="1">
      <alignment horizontal="right"/>
    </xf>
    <xf numFmtId="168" fontId="0" fillId="0" borderId="0" xfId="45" applyNumberFormat="1" applyFont="1" applyFill="1" applyBorder="1" applyAlignment="1">
      <alignment horizontal="right"/>
    </xf>
    <xf numFmtId="168" fontId="4" fillId="0" borderId="41" xfId="45" applyNumberFormat="1" applyFont="1" applyFill="1" applyBorder="1" applyAlignment="1">
      <alignment horizontal="right"/>
    </xf>
    <xf numFmtId="168" fontId="0" fillId="0" borderId="0" xfId="45" applyNumberFormat="1" applyFont="1" applyFill="1" applyAlignment="1">
      <alignment horizontal="right"/>
    </xf>
    <xf numFmtId="168" fontId="4" fillId="0" borderId="13" xfId="45" applyNumberFormat="1" applyFont="1" applyFill="1" applyBorder="1" applyAlignment="1">
      <alignment horizontal="right"/>
    </xf>
    <xf numFmtId="3" fontId="0" fillId="16" borderId="19" xfId="45" applyNumberFormat="1" applyFont="1" applyFill="1" applyBorder="1" applyAlignment="1">
      <alignment horizontal="right"/>
    </xf>
    <xf numFmtId="37" fontId="0" fillId="16" borderId="19" xfId="0" applyNumberFormat="1" applyFont="1" applyFill="1" applyBorder="1" applyAlignment="1">
      <alignment horizontal="right"/>
    </xf>
    <xf numFmtId="3" fontId="0" fillId="0" borderId="19" xfId="62" applyNumberFormat="1" applyFont="1" applyFill="1" applyBorder="1" applyAlignment="1">
      <alignment horizontal="right"/>
    </xf>
    <xf numFmtId="3" fontId="0" fillId="0" borderId="19" xfId="42" applyNumberFormat="1" applyFont="1" applyFill="1" applyBorder="1" applyAlignment="1">
      <alignment horizontal="right"/>
    </xf>
    <xf numFmtId="3" fontId="0" fillId="0" borderId="20" xfId="62" applyNumberFormat="1" applyFont="1" applyFill="1" applyBorder="1" applyAlignment="1">
      <alignment horizontal="right"/>
    </xf>
    <xf numFmtId="3" fontId="0" fillId="16" borderId="0" xfId="0" applyNumberFormat="1" applyFont="1" applyFill="1" applyBorder="1" applyAlignment="1">
      <alignment horizontal="right"/>
    </xf>
    <xf numFmtId="37" fontId="0" fillId="0" borderId="0" xfId="0" applyNumberFormat="1" applyFont="1" applyFill="1" applyBorder="1" applyAlignment="1">
      <alignment horizontal="right"/>
    </xf>
    <xf numFmtId="37" fontId="0" fillId="16" borderId="0" xfId="0" applyNumberFormat="1" applyFont="1" applyFill="1" applyBorder="1" applyAlignment="1">
      <alignment horizontal="right"/>
    </xf>
    <xf numFmtId="3" fontId="0" fillId="0" borderId="0" xfId="62" applyNumberFormat="1" applyFont="1" applyFill="1" applyBorder="1" applyAlignment="1">
      <alignment horizontal="right"/>
    </xf>
    <xf numFmtId="175" fontId="0" fillId="16" borderId="0" xfId="45" applyNumberFormat="1" applyFont="1" applyFill="1" applyBorder="1" applyAlignment="1">
      <alignment horizontal="right"/>
    </xf>
    <xf numFmtId="3" fontId="0" fillId="0" borderId="8" xfId="62" applyNumberFormat="1" applyFont="1" applyFill="1" applyBorder="1" applyAlignment="1">
      <alignment horizontal="right"/>
    </xf>
    <xf numFmtId="3" fontId="4" fillId="0" borderId="10" xfId="0" applyNumberFormat="1" applyFont="1" applyFill="1" applyBorder="1" applyAlignment="1">
      <alignment horizontal="right"/>
    </xf>
    <xf numFmtId="37" fontId="4" fillId="0" borderId="10" xfId="0" applyNumberFormat="1" applyFont="1" applyFill="1" applyBorder="1" applyAlignment="1">
      <alignment horizontal="right"/>
    </xf>
    <xf numFmtId="175" fontId="4" fillId="16" borderId="10" xfId="0" applyNumberFormat="1" applyFont="1" applyFill="1" applyBorder="1" applyAlignment="1">
      <alignment horizontal="right"/>
    </xf>
    <xf numFmtId="37" fontId="4" fillId="0" borderId="9" xfId="0" applyNumberFormat="1" applyFont="1" applyFill="1" applyBorder="1" applyAlignment="1">
      <alignment horizontal="right"/>
    </xf>
    <xf numFmtId="3" fontId="4" fillId="0" borderId="29" xfId="45" applyNumberFormat="1" applyFont="1" applyFill="1" applyBorder="1" applyAlignment="1">
      <alignment horizontal="right"/>
    </xf>
    <xf numFmtId="182" fontId="0" fillId="16" borderId="40" xfId="0" applyNumberFormat="1" applyFill="1" applyBorder="1" applyAlignment="1">
      <alignment horizontal="right"/>
    </xf>
    <xf numFmtId="37" fontId="0" fillId="38" borderId="25" xfId="0" applyNumberFormat="1" applyFont="1" applyFill="1" applyBorder="1" applyAlignment="1">
      <alignment horizontal="right"/>
    </xf>
    <xf numFmtId="37" fontId="0" fillId="38" borderId="48" xfId="0" applyNumberFormat="1" applyFont="1" applyFill="1" applyBorder="1" applyAlignment="1">
      <alignment horizontal="right"/>
    </xf>
    <xf numFmtId="37" fontId="0" fillId="38" borderId="26" xfId="0" applyNumberFormat="1" applyFont="1" applyFill="1" applyBorder="1" applyAlignment="1">
      <alignment horizontal="right"/>
    </xf>
    <xf numFmtId="37" fontId="0" fillId="38" borderId="36" xfId="0" applyNumberFormat="1" applyFont="1" applyFill="1" applyBorder="1" applyAlignment="1">
      <alignment horizontal="right"/>
    </xf>
    <xf numFmtId="37" fontId="0" fillId="38" borderId="49" xfId="0" applyNumberFormat="1" applyFont="1" applyFill="1" applyBorder="1" applyAlignment="1">
      <alignment horizontal="right"/>
    </xf>
    <xf numFmtId="37" fontId="0" fillId="38" borderId="39" xfId="0" applyNumberFormat="1" applyFont="1" applyFill="1" applyBorder="1" applyAlignment="1">
      <alignment horizontal="right"/>
    </xf>
    <xf numFmtId="37" fontId="0" fillId="38" borderId="32" xfId="0" applyNumberFormat="1" applyFont="1" applyFill="1" applyBorder="1" applyAlignment="1">
      <alignment horizontal="right"/>
    </xf>
    <xf numFmtId="37" fontId="0" fillId="38" borderId="33" xfId="0" applyNumberFormat="1" applyFont="1" applyFill="1" applyBorder="1" applyAlignment="1">
      <alignment horizontal="right"/>
    </xf>
    <xf numFmtId="37" fontId="0" fillId="38" borderId="50" xfId="0" applyNumberFormat="1" applyFont="1" applyFill="1" applyBorder="1" applyAlignment="1">
      <alignment horizontal="right"/>
    </xf>
    <xf numFmtId="0" fontId="0" fillId="16" borderId="8" xfId="0" applyFill="1" applyBorder="1" applyAlignment="1">
      <alignment horizontal="right"/>
    </xf>
    <xf numFmtId="0" fontId="0" fillId="16" borderId="9" xfId="0" applyFill="1" applyBorder="1" applyAlignment="1">
      <alignment horizontal="right"/>
    </xf>
    <xf numFmtId="3" fontId="0" fillId="0" borderId="19" xfId="0" applyNumberFormat="1" applyFont="1" applyFill="1" applyBorder="1" applyAlignment="1">
      <alignment horizontal="right"/>
    </xf>
    <xf numFmtId="10" fontId="0" fillId="0" borderId="20" xfId="62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10" fontId="0" fillId="0" borderId="8" xfId="62" applyNumberFormat="1" applyFont="1" applyFill="1" applyBorder="1" applyAlignment="1">
      <alignment horizontal="right"/>
    </xf>
    <xf numFmtId="3" fontId="0" fillId="0" borderId="10" xfId="0" applyNumberFormat="1" applyFont="1" applyFill="1" applyBorder="1" applyAlignment="1">
      <alignment horizontal="right"/>
    </xf>
    <xf numFmtId="10" fontId="0" fillId="0" borderId="9" xfId="62" applyNumberFormat="1" applyFont="1" applyFill="1" applyBorder="1" applyAlignment="1">
      <alignment horizontal="right"/>
    </xf>
    <xf numFmtId="3" fontId="4" fillId="0" borderId="29" xfId="0" applyNumberFormat="1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62" fillId="34" borderId="0" xfId="0" applyFont="1" applyFill="1" applyBorder="1" applyAlignment="1">
      <alignment horizontal="center" wrapText="1"/>
    </xf>
    <xf numFmtId="168" fontId="0" fillId="0" borderId="0" xfId="0" applyNumberFormat="1" applyFill="1" applyBorder="1" applyAlignment="1">
      <alignment/>
    </xf>
    <xf numFmtId="10" fontId="0" fillId="16" borderId="19" xfId="45" applyNumberFormat="1" applyFont="1" applyFill="1" applyBorder="1" applyAlignment="1">
      <alignment horizontal="right"/>
    </xf>
    <xf numFmtId="10" fontId="0" fillId="16" borderId="0" xfId="45" applyNumberFormat="1" applyFont="1" applyFill="1" applyBorder="1" applyAlignment="1">
      <alignment horizontal="right"/>
    </xf>
    <xf numFmtId="10" fontId="4" fillId="16" borderId="10" xfId="0" applyNumberFormat="1" applyFont="1" applyFill="1" applyBorder="1" applyAlignment="1">
      <alignment horizontal="right"/>
    </xf>
    <xf numFmtId="10" fontId="0" fillId="0" borderId="0" xfId="62" applyNumberFormat="1" applyFont="1" applyAlignment="1">
      <alignment/>
    </xf>
    <xf numFmtId="0" fontId="4" fillId="0" borderId="0" xfId="0" applyFont="1" applyFill="1" applyAlignment="1">
      <alignment/>
    </xf>
    <xf numFmtId="0" fontId="62" fillId="34" borderId="0" xfId="0" applyFont="1" applyFill="1" applyBorder="1" applyAlignment="1">
      <alignment horizontal="center" wrapText="1"/>
    </xf>
    <xf numFmtId="0" fontId="62" fillId="34" borderId="22" xfId="0" applyFont="1" applyFill="1" applyBorder="1" applyAlignment="1">
      <alignment horizontal="center" wrapText="1"/>
    </xf>
    <xf numFmtId="166" fontId="0" fillId="0" borderId="0" xfId="42" applyNumberFormat="1" applyFont="1" applyFill="1" applyBorder="1" applyAlignment="1">
      <alignment horizontal="right"/>
    </xf>
    <xf numFmtId="174" fontId="0" fillId="0" borderId="0" xfId="42" applyNumberFormat="1" applyFont="1" applyFill="1" applyBorder="1" applyAlignment="1">
      <alignment horizontal="right"/>
    </xf>
    <xf numFmtId="174" fontId="0" fillId="0" borderId="8" xfId="42" applyNumberFormat="1" applyFont="1" applyFill="1" applyBorder="1" applyAlignment="1">
      <alignment horizontal="right"/>
    </xf>
    <xf numFmtId="174" fontId="0" fillId="0" borderId="10" xfId="42" applyNumberFormat="1" applyFont="1" applyFill="1" applyBorder="1" applyAlignment="1">
      <alignment horizontal="right"/>
    </xf>
    <xf numFmtId="3" fontId="4" fillId="0" borderId="30" xfId="0" applyNumberFormat="1" applyFont="1" applyFill="1" applyBorder="1" applyAlignment="1">
      <alignment horizontal="right"/>
    </xf>
    <xf numFmtId="3" fontId="4" fillId="0" borderId="30" xfId="42" applyNumberFormat="1" applyFont="1" applyFill="1" applyBorder="1" applyAlignment="1">
      <alignment horizontal="right"/>
    </xf>
    <xf numFmtId="174" fontId="0" fillId="16" borderId="0" xfId="42" applyNumberFormat="1" applyFont="1" applyFill="1" applyBorder="1" applyAlignment="1">
      <alignment horizontal="right"/>
    </xf>
    <xf numFmtId="174" fontId="0" fillId="16" borderId="10" xfId="42" applyNumberFormat="1" applyFont="1" applyFill="1" applyBorder="1" applyAlignment="1">
      <alignment horizontal="right"/>
    </xf>
    <xf numFmtId="10" fontId="0" fillId="0" borderId="0" xfId="62" applyNumberFormat="1" applyFont="1" applyFill="1" applyBorder="1" applyAlignment="1">
      <alignment/>
    </xf>
    <xf numFmtId="167" fontId="0" fillId="0" borderId="0" xfId="45" applyNumberFormat="1" applyFont="1" applyFill="1" applyBorder="1" applyAlignment="1">
      <alignment/>
    </xf>
    <xf numFmtId="169" fontId="0" fillId="0" borderId="0" xfId="45" applyNumberFormat="1" applyFont="1" applyFill="1" applyBorder="1" applyAlignment="1">
      <alignment/>
    </xf>
    <xf numFmtId="168" fontId="0" fillId="0" borderId="0" xfId="45" applyNumberFormat="1" applyFont="1" applyFill="1" applyBorder="1" applyAlignment="1">
      <alignment/>
    </xf>
    <xf numFmtId="172" fontId="0" fillId="0" borderId="0" xfId="45" applyNumberFormat="1" applyFont="1" applyFill="1" applyBorder="1" applyAlignment="1">
      <alignment/>
    </xf>
    <xf numFmtId="3" fontId="0" fillId="0" borderId="0" xfId="42" applyNumberFormat="1" applyFont="1" applyFill="1" applyBorder="1" applyAlignment="1">
      <alignment/>
    </xf>
    <xf numFmtId="3" fontId="0" fillId="0" borderId="8" xfId="42" applyNumberFormat="1" applyFont="1" applyFill="1" applyBorder="1" applyAlignment="1">
      <alignment/>
    </xf>
    <xf numFmtId="0" fontId="0" fillId="0" borderId="0" xfId="0" applyAlignment="1">
      <alignment/>
    </xf>
    <xf numFmtId="10" fontId="0" fillId="0" borderId="10" xfId="62" applyNumberFormat="1" applyFont="1" applyFill="1" applyBorder="1" applyAlignment="1">
      <alignment/>
    </xf>
    <xf numFmtId="167" fontId="0" fillId="0" borderId="10" xfId="45" applyNumberFormat="1" applyFont="1" applyFill="1" applyBorder="1" applyAlignment="1">
      <alignment/>
    </xf>
    <xf numFmtId="169" fontId="0" fillId="0" borderId="10" xfId="45" applyNumberFormat="1" applyFont="1" applyFill="1" applyBorder="1" applyAlignment="1">
      <alignment/>
    </xf>
    <xf numFmtId="168" fontId="0" fillId="0" borderId="10" xfId="45" applyNumberFormat="1" applyFont="1" applyFill="1" applyBorder="1" applyAlignment="1">
      <alignment/>
    </xf>
    <xf numFmtId="172" fontId="0" fillId="0" borderId="10" xfId="45" applyNumberFormat="1" applyFont="1" applyFill="1" applyBorder="1" applyAlignment="1">
      <alignment/>
    </xf>
    <xf numFmtId="3" fontId="0" fillId="0" borderId="10" xfId="42" applyNumberFormat="1" applyFont="1" applyFill="1" applyBorder="1" applyAlignment="1">
      <alignment/>
    </xf>
    <xf numFmtId="3" fontId="0" fillId="0" borderId="9" xfId="42" applyNumberFormat="1" applyFont="1" applyFill="1" applyBorder="1" applyAlignment="1">
      <alignment/>
    </xf>
    <xf numFmtId="10" fontId="4" fillId="0" borderId="29" xfId="62" applyNumberFormat="1" applyFont="1" applyFill="1" applyBorder="1" applyAlignment="1">
      <alignment/>
    </xf>
    <xf numFmtId="4" fontId="4" fillId="0" borderId="29" xfId="0" applyNumberFormat="1" applyFont="1" applyFill="1" applyBorder="1" applyAlignment="1">
      <alignment/>
    </xf>
    <xf numFmtId="169" fontId="4" fillId="0" borderId="29" xfId="0" applyNumberFormat="1" applyFont="1" applyFill="1" applyBorder="1" applyAlignment="1">
      <alignment/>
    </xf>
    <xf numFmtId="168" fontId="4" fillId="0" borderId="29" xfId="45" applyNumberFormat="1" applyFont="1" applyFill="1" applyBorder="1" applyAlignment="1">
      <alignment/>
    </xf>
    <xf numFmtId="0" fontId="0" fillId="0" borderId="51" xfId="0" applyFill="1" applyBorder="1" applyAlignment="1">
      <alignment/>
    </xf>
    <xf numFmtId="171" fontId="4" fillId="0" borderId="51" xfId="62" applyNumberFormat="1" applyFont="1" applyFill="1" applyBorder="1" applyAlignment="1">
      <alignment/>
    </xf>
    <xf numFmtId="10" fontId="0" fillId="0" borderId="19" xfId="62" applyNumberFormat="1" applyFont="1" applyFill="1" applyBorder="1" applyAlignment="1">
      <alignment horizontal="right"/>
    </xf>
    <xf numFmtId="179" fontId="0" fillId="0" borderId="0" xfId="42" applyNumberFormat="1" applyFont="1" applyFill="1" applyBorder="1" applyAlignment="1">
      <alignment horizontal="right"/>
    </xf>
    <xf numFmtId="10" fontId="0" fillId="0" borderId="0" xfId="62" applyNumberFormat="1" applyFont="1" applyFill="1" applyBorder="1" applyAlignment="1">
      <alignment horizontal="right"/>
    </xf>
    <xf numFmtId="3" fontId="0" fillId="0" borderId="0" xfId="0" applyNumberFormat="1" applyAlignment="1">
      <alignment horizontal="right"/>
    </xf>
    <xf numFmtId="3" fontId="0" fillId="0" borderId="40" xfId="0" applyNumberFormat="1" applyFill="1" applyBorder="1" applyAlignment="1">
      <alignment horizontal="right"/>
    </xf>
    <xf numFmtId="174" fontId="0" fillId="38" borderId="19" xfId="0" applyNumberFormat="1" applyFont="1" applyFill="1" applyBorder="1" applyAlignment="1">
      <alignment horizontal="right"/>
    </xf>
    <xf numFmtId="174" fontId="0" fillId="38" borderId="0" xfId="0" applyNumberFormat="1" applyFont="1" applyFill="1" applyBorder="1" applyAlignment="1">
      <alignment horizontal="right"/>
    </xf>
    <xf numFmtId="4" fontId="0" fillId="38" borderId="10" xfId="0" applyNumberFormat="1" applyFont="1" applyFill="1" applyBorder="1" applyAlignment="1">
      <alignment horizontal="right"/>
    </xf>
    <xf numFmtId="174" fontId="0" fillId="38" borderId="10" xfId="0" applyNumberFormat="1" applyFont="1" applyFill="1" applyBorder="1" applyAlignment="1">
      <alignment horizontal="right"/>
    </xf>
    <xf numFmtId="174" fontId="0" fillId="38" borderId="9" xfId="0" applyNumberFormat="1" applyFont="1" applyFill="1" applyBorder="1" applyAlignment="1">
      <alignment horizontal="right"/>
    </xf>
    <xf numFmtId="4" fontId="0" fillId="38" borderId="19" xfId="0" applyNumberFormat="1" applyFont="1" applyFill="1" applyBorder="1" applyAlignment="1">
      <alignment horizontal="right"/>
    </xf>
    <xf numFmtId="4" fontId="0" fillId="38" borderId="0" xfId="0" applyNumberFormat="1" applyFont="1" applyFill="1" applyBorder="1" applyAlignment="1">
      <alignment horizontal="right"/>
    </xf>
    <xf numFmtId="173" fontId="0" fillId="38" borderId="8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horizontal="right"/>
    </xf>
    <xf numFmtId="174" fontId="0" fillId="0" borderId="0" xfId="0" applyNumberFormat="1" applyFont="1" applyFill="1" applyBorder="1" applyAlignment="1">
      <alignment horizontal="right"/>
    </xf>
    <xf numFmtId="174" fontId="0" fillId="0" borderId="8" xfId="0" applyNumberFormat="1" applyFont="1" applyFill="1" applyBorder="1" applyAlignment="1">
      <alignment horizontal="right"/>
    </xf>
    <xf numFmtId="4" fontId="0" fillId="0" borderId="10" xfId="0" applyNumberFormat="1" applyFont="1" applyFill="1" applyBorder="1" applyAlignment="1">
      <alignment horizontal="right"/>
    </xf>
    <xf numFmtId="174" fontId="0" fillId="0" borderId="10" xfId="0" applyNumberFormat="1" applyFont="1" applyFill="1" applyBorder="1" applyAlignment="1">
      <alignment horizontal="right"/>
    </xf>
    <xf numFmtId="174" fontId="0" fillId="0" borderId="9" xfId="0" applyNumberFormat="1" applyFont="1" applyFill="1" applyBorder="1" applyAlignment="1">
      <alignment horizontal="right"/>
    </xf>
    <xf numFmtId="180" fontId="0" fillId="0" borderId="40" xfId="0" applyNumberFormat="1" applyFont="1" applyFill="1" applyBorder="1" applyAlignment="1">
      <alignment horizontal="right"/>
    </xf>
    <xf numFmtId="174" fontId="0" fillId="10" borderId="11" xfId="0" applyNumberFormat="1" applyFont="1" applyFill="1" applyBorder="1" applyAlignment="1">
      <alignment horizontal="right"/>
    </xf>
    <xf numFmtId="174" fontId="0" fillId="10" borderId="19" xfId="0" applyNumberFormat="1" applyFont="1" applyFill="1" applyBorder="1" applyAlignment="1">
      <alignment horizontal="right"/>
    </xf>
    <xf numFmtId="174" fontId="0" fillId="10" borderId="20" xfId="0" applyNumberFormat="1" applyFont="1" applyFill="1" applyBorder="1" applyAlignment="1">
      <alignment horizontal="right"/>
    </xf>
    <xf numFmtId="174" fontId="0" fillId="10" borderId="22" xfId="0" applyNumberFormat="1" applyFont="1" applyFill="1" applyBorder="1" applyAlignment="1">
      <alignment horizontal="right"/>
    </xf>
    <xf numFmtId="174" fontId="0" fillId="10" borderId="0" xfId="0" applyNumberFormat="1" applyFont="1" applyFill="1" applyBorder="1" applyAlignment="1">
      <alignment horizontal="right"/>
    </xf>
    <xf numFmtId="174" fontId="0" fillId="10" borderId="8" xfId="0" applyNumberFormat="1" applyFont="1" applyFill="1" applyBorder="1" applyAlignment="1">
      <alignment horizontal="right"/>
    </xf>
    <xf numFmtId="174" fontId="0" fillId="10" borderId="21" xfId="0" applyNumberFormat="1" applyFont="1" applyFill="1" applyBorder="1" applyAlignment="1">
      <alignment horizontal="right"/>
    </xf>
    <xf numFmtId="174" fontId="0" fillId="10" borderId="10" xfId="0" applyNumberFormat="1" applyFont="1" applyFill="1" applyBorder="1" applyAlignment="1">
      <alignment horizontal="right"/>
    </xf>
    <xf numFmtId="174" fontId="0" fillId="10" borderId="9" xfId="0" applyNumberFormat="1" applyFont="1" applyFill="1" applyBorder="1" applyAlignment="1">
      <alignment horizontal="right"/>
    </xf>
    <xf numFmtId="173" fontId="0" fillId="16" borderId="0" xfId="45" applyNumberFormat="1" applyFont="1" applyFill="1" applyBorder="1" applyAlignment="1" applyProtection="1">
      <alignment horizontal="right"/>
      <protection locked="0"/>
    </xf>
    <xf numFmtId="39" fontId="0" fillId="16" borderId="8" xfId="45" applyNumberFormat="1" applyFont="1" applyFill="1" applyBorder="1" applyAlignment="1" applyProtection="1">
      <alignment horizontal="right"/>
      <protection locked="0"/>
    </xf>
    <xf numFmtId="173" fontId="0" fillId="16" borderId="10" xfId="45" applyNumberFormat="1" applyFont="1" applyFill="1" applyBorder="1" applyAlignment="1" applyProtection="1">
      <alignment horizontal="right"/>
      <protection locked="0"/>
    </xf>
    <xf numFmtId="39" fontId="0" fillId="16" borderId="9" xfId="45" applyNumberFormat="1" applyFont="1" applyFill="1" applyBorder="1" applyAlignment="1" applyProtection="1">
      <alignment horizontal="right"/>
      <protection locked="0"/>
    </xf>
    <xf numFmtId="0" fontId="4" fillId="0" borderId="22" xfId="0" applyFont="1" applyFill="1" applyBorder="1" applyAlignment="1">
      <alignment horizontal="right"/>
    </xf>
    <xf numFmtId="0" fontId="0" fillId="0" borderId="0" xfId="0" applyFont="1" applyAlignment="1">
      <alignment/>
    </xf>
    <xf numFmtId="166" fontId="0" fillId="0" borderId="44" xfId="42" applyNumberFormat="1" applyFont="1" applyBorder="1" applyAlignment="1">
      <alignment/>
    </xf>
    <xf numFmtId="171" fontId="0" fillId="0" borderId="13" xfId="0" applyNumberFormat="1" applyBorder="1" applyAlignment="1">
      <alignment/>
    </xf>
    <xf numFmtId="166" fontId="0" fillId="0" borderId="12" xfId="42" applyNumberFormat="1" applyFont="1" applyBorder="1" applyAlignment="1">
      <alignment/>
    </xf>
    <xf numFmtId="165" fontId="0" fillId="0" borderId="19" xfId="42" applyNumberFormat="1" applyFont="1" applyFill="1" applyBorder="1" applyAlignment="1">
      <alignment horizontal="right"/>
    </xf>
    <xf numFmtId="165" fontId="0" fillId="0" borderId="0" xfId="42" applyNumberFormat="1" applyFont="1" applyFill="1" applyBorder="1" applyAlignment="1">
      <alignment horizontal="right"/>
    </xf>
    <xf numFmtId="170" fontId="0" fillId="16" borderId="0" xfId="0" applyNumberFormat="1" applyFont="1" applyFill="1" applyBorder="1" applyAlignment="1" applyProtection="1">
      <alignment horizontal="center"/>
      <protection locked="0"/>
    </xf>
    <xf numFmtId="173" fontId="0" fillId="35" borderId="10" xfId="0" applyNumberFormat="1" applyFill="1" applyBorder="1" applyAlignment="1">
      <alignment horizontal="center"/>
    </xf>
    <xf numFmtId="170" fontId="0" fillId="35" borderId="8" xfId="0" applyNumberFormat="1" applyFill="1" applyBorder="1" applyAlignment="1" applyProtection="1">
      <alignment horizontal="center"/>
      <protection/>
    </xf>
    <xf numFmtId="170" fontId="0" fillId="35" borderId="9" xfId="0" applyNumberFormat="1" applyFill="1" applyBorder="1" applyAlignment="1" applyProtection="1">
      <alignment horizontal="center"/>
      <protection/>
    </xf>
    <xf numFmtId="0" fontId="0" fillId="1" borderId="19" xfId="0" applyFont="1" applyFill="1" applyBorder="1" applyAlignment="1">
      <alignment horizontal="right" vertical="center"/>
    </xf>
    <xf numFmtId="39" fontId="0" fillId="0" borderId="19" xfId="47" applyNumberFormat="1" applyFont="1" applyFill="1" applyBorder="1" applyAlignment="1">
      <alignment horizontal="right" vertical="center"/>
    </xf>
    <xf numFmtId="178" fontId="0" fillId="0" borderId="19" xfId="47" applyNumberFormat="1" applyFont="1" applyFill="1" applyBorder="1" applyAlignment="1">
      <alignment horizontal="right" vertical="center"/>
    </xf>
    <xf numFmtId="181" fontId="0" fillId="0" borderId="19" xfId="62" applyNumberFormat="1" applyFont="1" applyFill="1" applyBorder="1" applyAlignment="1">
      <alignment horizontal="right" vertical="center"/>
    </xf>
    <xf numFmtId="181" fontId="0" fillId="0" borderId="20" xfId="62" applyNumberFormat="1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horizontal="right" vertical="center"/>
    </xf>
    <xf numFmtId="173" fontId="0" fillId="0" borderId="0" xfId="0" applyNumberFormat="1" applyFont="1" applyFill="1" applyBorder="1" applyAlignment="1">
      <alignment horizontal="right" vertical="center"/>
    </xf>
    <xf numFmtId="39" fontId="0" fillId="0" borderId="0" xfId="47" applyNumberFormat="1" applyFont="1" applyFill="1" applyBorder="1" applyAlignment="1">
      <alignment horizontal="right" vertical="center"/>
    </xf>
    <xf numFmtId="173" fontId="0" fillId="0" borderId="0" xfId="47" applyNumberFormat="1" applyFont="1" applyFill="1" applyBorder="1" applyAlignment="1">
      <alignment horizontal="right" vertical="center"/>
    </xf>
    <xf numFmtId="178" fontId="0" fillId="0" borderId="0" xfId="47" applyNumberFormat="1" applyFont="1" applyFill="1" applyBorder="1" applyAlignment="1">
      <alignment horizontal="right" vertical="center"/>
    </xf>
    <xf numFmtId="181" fontId="0" fillId="0" borderId="0" xfId="62" applyNumberFormat="1" applyFont="1" applyFill="1" applyBorder="1" applyAlignment="1">
      <alignment horizontal="right" vertical="center"/>
    </xf>
    <xf numFmtId="181" fontId="0" fillId="0" borderId="8" xfId="62" applyNumberFormat="1" applyFont="1" applyFill="1" applyBorder="1" applyAlignment="1">
      <alignment horizontal="right" vertical="center"/>
    </xf>
    <xf numFmtId="0" fontId="0" fillId="1" borderId="0" xfId="0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horizontal="right" vertical="center" wrapText="1"/>
    </xf>
    <xf numFmtId="39" fontId="4" fillId="36" borderId="23" xfId="47" applyNumberFormat="1" applyFont="1" applyFill="1" applyBorder="1" applyAlignment="1">
      <alignment horizontal="right" vertical="center"/>
    </xf>
    <xf numFmtId="178" fontId="4" fillId="36" borderId="23" xfId="47" applyNumberFormat="1" applyFont="1" applyFill="1" applyBorder="1" applyAlignment="1">
      <alignment horizontal="right" vertical="center"/>
    </xf>
    <xf numFmtId="181" fontId="4" fillId="36" borderId="23" xfId="62" applyNumberFormat="1" applyFont="1" applyFill="1" applyBorder="1" applyAlignment="1">
      <alignment horizontal="right" vertical="center"/>
    </xf>
    <xf numFmtId="181" fontId="4" fillId="36" borderId="38" xfId="62" applyNumberFormat="1" applyFont="1" applyFill="1" applyBorder="1" applyAlignment="1">
      <alignment horizontal="right" vertical="center"/>
    </xf>
    <xf numFmtId="174" fontId="0" fillId="0" borderId="0" xfId="0" applyNumberFormat="1" applyFont="1" applyFill="1" applyBorder="1" applyAlignment="1">
      <alignment horizontal="right" vertical="center"/>
    </xf>
    <xf numFmtId="10" fontId="0" fillId="0" borderId="0" xfId="0" applyNumberFormat="1" applyFont="1" applyFill="1" applyBorder="1" applyAlignment="1">
      <alignment horizontal="right" vertical="center"/>
    </xf>
    <xf numFmtId="39" fontId="14" fillId="36" borderId="23" xfId="47" applyNumberFormat="1" applyFont="1" applyFill="1" applyBorder="1" applyAlignment="1">
      <alignment horizontal="right" vertical="center"/>
    </xf>
    <xf numFmtId="3" fontId="0" fillId="0" borderId="19" xfId="0" applyNumberFormat="1" applyFont="1" applyFill="1" applyBorder="1" applyAlignment="1">
      <alignment horizontal="right" vertical="center"/>
    </xf>
    <xf numFmtId="173" fontId="0" fillId="0" borderId="19" xfId="0" applyNumberFormat="1" applyFont="1" applyFill="1" applyBorder="1" applyAlignment="1">
      <alignment horizontal="right" vertical="center"/>
    </xf>
    <xf numFmtId="173" fontId="0" fillId="0" borderId="19" xfId="47" applyNumberFormat="1" applyFont="1" applyFill="1" applyBorder="1" applyAlignment="1">
      <alignment horizontal="right" vertical="center"/>
    </xf>
    <xf numFmtId="0" fontId="62" fillId="34" borderId="35" xfId="0" applyFont="1" applyFill="1" applyBorder="1" applyAlignment="1">
      <alignment horizontal="right" vertical="center"/>
    </xf>
    <xf numFmtId="0" fontId="62" fillId="34" borderId="32" xfId="0" applyFont="1" applyFill="1" applyBorder="1" applyAlignment="1">
      <alignment horizontal="right" vertical="center" wrapText="1"/>
    </xf>
    <xf numFmtId="2" fontId="62" fillId="34" borderId="33" xfId="0" applyNumberFormat="1" applyFont="1" applyFill="1" applyBorder="1" applyAlignment="1">
      <alignment horizontal="right" vertical="center" wrapText="1"/>
    </xf>
    <xf numFmtId="0" fontId="62" fillId="34" borderId="36" xfId="0" applyFont="1" applyFill="1" applyBorder="1" applyAlignment="1">
      <alignment horizontal="right" vertical="center"/>
    </xf>
    <xf numFmtId="0" fontId="62" fillId="34" borderId="34" xfId="0" applyFont="1" applyFill="1" applyBorder="1" applyAlignment="1">
      <alignment horizontal="right" vertical="center" wrapText="1"/>
    </xf>
    <xf numFmtId="2" fontId="62" fillId="34" borderId="37" xfId="0" applyNumberFormat="1" applyFont="1" applyFill="1" applyBorder="1" applyAlignment="1">
      <alignment horizontal="right" vertical="center" wrapText="1"/>
    </xf>
    <xf numFmtId="2" fontId="62" fillId="34" borderId="38" xfId="0" applyNumberFormat="1" applyFont="1" applyFill="1" applyBorder="1" applyAlignment="1">
      <alignment horizontal="right" vertical="center" wrapText="1"/>
    </xf>
    <xf numFmtId="0" fontId="62" fillId="34" borderId="31" xfId="0" applyFont="1" applyFill="1" applyBorder="1" applyAlignment="1">
      <alignment horizontal="right" vertical="center"/>
    </xf>
    <xf numFmtId="0" fontId="62" fillId="34" borderId="11" xfId="0" applyFont="1" applyFill="1" applyBorder="1" applyAlignment="1">
      <alignment horizontal="right" vertical="center" wrapText="1"/>
    </xf>
    <xf numFmtId="2" fontId="62" fillId="34" borderId="25" xfId="0" applyNumberFormat="1" applyFont="1" applyFill="1" applyBorder="1" applyAlignment="1">
      <alignment horizontal="right" vertical="center" wrapText="1"/>
    </xf>
    <xf numFmtId="2" fontId="62" fillId="34" borderId="20" xfId="0" applyNumberFormat="1" applyFont="1" applyFill="1" applyBorder="1" applyAlignment="1">
      <alignment horizontal="right" vertical="center" wrapText="1"/>
    </xf>
    <xf numFmtId="4" fontId="0" fillId="0" borderId="0" xfId="0" applyNumberFormat="1" applyFont="1" applyFill="1" applyBorder="1" applyAlignment="1">
      <alignment horizontal="right" vertical="center"/>
    </xf>
    <xf numFmtId="173" fontId="0" fillId="0" borderId="0" xfId="0" applyNumberFormat="1" applyFont="1" applyFill="1" applyBorder="1" applyAlignment="1">
      <alignment horizontal="right" vertical="center"/>
    </xf>
    <xf numFmtId="0" fontId="0" fillId="0" borderId="22" xfId="0" applyFont="1" applyFill="1" applyBorder="1" applyAlignment="1">
      <alignment vertical="center" wrapText="1"/>
    </xf>
    <xf numFmtId="0" fontId="0" fillId="0" borderId="22" xfId="0" applyFont="1" applyFill="1" applyBorder="1" applyAlignment="1">
      <alignment horizontal="left" vertical="center" wrapText="1"/>
    </xf>
    <xf numFmtId="173" fontId="0" fillId="39" borderId="0" xfId="0" applyNumberFormat="1" applyFont="1" applyFill="1" applyBorder="1" applyAlignment="1">
      <alignment horizontal="right" vertical="center"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0" fontId="62" fillId="34" borderId="0" xfId="0" applyFont="1" applyFill="1" applyBorder="1" applyAlignment="1">
      <alignment horizontal="center" wrapText="1"/>
    </xf>
    <xf numFmtId="0" fontId="62" fillId="34" borderId="22" xfId="0" applyFont="1" applyFill="1" applyBorder="1" applyAlignment="1">
      <alignment horizontal="center" wrapText="1"/>
    </xf>
    <xf numFmtId="10" fontId="4" fillId="0" borderId="29" xfId="62" applyNumberFormat="1" applyFont="1" applyFill="1" applyBorder="1" applyAlignment="1">
      <alignment horizontal="right"/>
    </xf>
    <xf numFmtId="4" fontId="4" fillId="0" borderId="29" xfId="0" applyNumberFormat="1" applyFont="1" applyFill="1" applyBorder="1" applyAlignment="1">
      <alignment horizontal="right"/>
    </xf>
    <xf numFmtId="4" fontId="4" fillId="0" borderId="30" xfId="0" applyNumberFormat="1" applyFont="1" applyFill="1" applyBorder="1" applyAlignment="1">
      <alignment horizontal="right" wrapText="1"/>
    </xf>
    <xf numFmtId="4" fontId="0" fillId="16" borderId="0" xfId="0" applyNumberFormat="1" applyFont="1" applyFill="1" applyBorder="1" applyAlignment="1">
      <alignment horizontal="right" wrapText="1"/>
    </xf>
    <xf numFmtId="3" fontId="0" fillId="16" borderId="0" xfId="0" applyNumberFormat="1" applyFont="1" applyFill="1" applyBorder="1" applyAlignment="1">
      <alignment horizontal="right" wrapText="1"/>
    </xf>
    <xf numFmtId="3" fontId="4" fillId="16" borderId="0" xfId="0" applyNumberFormat="1" applyFont="1" applyFill="1" applyBorder="1" applyAlignment="1">
      <alignment horizontal="right" wrapText="1"/>
    </xf>
    <xf numFmtId="170" fontId="0" fillId="16" borderId="0" xfId="0" applyNumberFormat="1" applyFont="1" applyFill="1" applyBorder="1" applyAlignment="1">
      <alignment horizontal="right" wrapText="1"/>
    </xf>
    <xf numFmtId="170" fontId="0" fillId="16" borderId="8" xfId="0" applyNumberFormat="1" applyFont="1" applyFill="1" applyBorder="1" applyAlignment="1">
      <alignment horizontal="right" wrapText="1"/>
    </xf>
    <xf numFmtId="4" fontId="0" fillId="16" borderId="10" xfId="0" applyNumberFormat="1" applyFont="1" applyFill="1" applyBorder="1" applyAlignment="1">
      <alignment horizontal="right" wrapText="1"/>
    </xf>
    <xf numFmtId="3" fontId="0" fillId="16" borderId="10" xfId="0" applyNumberFormat="1" applyFont="1" applyFill="1" applyBorder="1" applyAlignment="1">
      <alignment horizontal="right" wrapText="1"/>
    </xf>
    <xf numFmtId="3" fontId="4" fillId="16" borderId="10" xfId="0" applyNumberFormat="1" applyFont="1" applyFill="1" applyBorder="1" applyAlignment="1">
      <alignment horizontal="right" wrapText="1"/>
    </xf>
    <xf numFmtId="170" fontId="0" fillId="16" borderId="10" xfId="0" applyNumberFormat="1" applyFont="1" applyFill="1" applyBorder="1" applyAlignment="1">
      <alignment horizontal="right" wrapText="1"/>
    </xf>
    <xf numFmtId="170" fontId="0" fillId="16" borderId="9" xfId="0" applyNumberFormat="1" applyFont="1" applyFill="1" applyBorder="1" applyAlignment="1">
      <alignment horizontal="right" wrapText="1"/>
    </xf>
    <xf numFmtId="0" fontId="7" fillId="0" borderId="0" xfId="0" applyFont="1" applyFill="1" applyBorder="1" applyAlignment="1">
      <alignment horizontal="center" vertical="center"/>
    </xf>
    <xf numFmtId="186" fontId="0" fillId="0" borderId="0" xfId="47" applyNumberFormat="1" applyFont="1" applyFill="1" applyBorder="1" applyAlignment="1">
      <alignment horizontal="right" vertical="center"/>
    </xf>
    <xf numFmtId="0" fontId="62" fillId="34" borderId="52" xfId="0" applyFont="1" applyFill="1" applyBorder="1" applyAlignment="1">
      <alignment horizontal="center" vertical="center"/>
    </xf>
    <xf numFmtId="0" fontId="62" fillId="34" borderId="37" xfId="0" applyFont="1" applyFill="1" applyBorder="1" applyAlignment="1">
      <alignment horizontal="center" vertical="center" wrapText="1"/>
    </xf>
    <xf numFmtId="2" fontId="62" fillId="34" borderId="53" xfId="0" applyNumberFormat="1" applyFont="1" applyFill="1" applyBorder="1" applyAlignment="1">
      <alignment horizontal="center" vertical="center" wrapText="1"/>
    </xf>
    <xf numFmtId="0" fontId="62" fillId="34" borderId="37" xfId="0" applyFont="1" applyFill="1" applyBorder="1" applyAlignment="1">
      <alignment horizontal="center" vertical="center"/>
    </xf>
    <xf numFmtId="4" fontId="64" fillId="0" borderId="0" xfId="0" applyNumberFormat="1" applyFont="1" applyFill="1" applyBorder="1" applyAlignment="1">
      <alignment horizontal="right" vertical="center"/>
    </xf>
    <xf numFmtId="0" fontId="65" fillId="0" borderId="0" xfId="0" applyFont="1" applyFill="1" applyBorder="1" applyAlignment="1">
      <alignment vertical="center"/>
    </xf>
    <xf numFmtId="3" fontId="64" fillId="0" borderId="0" xfId="0" applyNumberFormat="1" applyFont="1" applyFill="1" applyBorder="1" applyAlignment="1">
      <alignment horizontal="right" vertical="center"/>
    </xf>
    <xf numFmtId="3" fontId="64" fillId="34" borderId="22" xfId="0" applyNumberFormat="1" applyFont="1" applyFill="1" applyBorder="1" applyAlignment="1">
      <alignment horizontal="right" vertical="center"/>
    </xf>
    <xf numFmtId="0" fontId="65" fillId="34" borderId="8" xfId="0" applyFont="1" applyFill="1" applyBorder="1" applyAlignment="1">
      <alignment vertical="center"/>
    </xf>
    <xf numFmtId="39" fontId="0" fillId="0" borderId="19" xfId="47" applyNumberFormat="1" applyFont="1" applyFill="1" applyBorder="1" applyAlignment="1">
      <alignment horizontal="right" vertical="center"/>
    </xf>
    <xf numFmtId="39" fontId="0" fillId="0" borderId="19" xfId="0" applyNumberFormat="1" applyFont="1" applyFill="1" applyBorder="1" applyAlignment="1">
      <alignment horizontal="right" vertical="center"/>
    </xf>
    <xf numFmtId="39" fontId="0" fillId="0" borderId="0" xfId="0" applyNumberFormat="1" applyFont="1" applyFill="1" applyBorder="1" applyAlignment="1">
      <alignment horizontal="right" vertical="center"/>
    </xf>
    <xf numFmtId="169" fontId="0" fillId="0" borderId="0" xfId="0" applyNumberFormat="1" applyFont="1" applyFill="1" applyBorder="1" applyAlignment="1">
      <alignment horizontal="center"/>
    </xf>
    <xf numFmtId="167" fontId="0" fillId="0" borderId="10" xfId="0" applyNumberFormat="1" applyFont="1" applyFill="1" applyBorder="1" applyAlignment="1">
      <alignment/>
    </xf>
    <xf numFmtId="167" fontId="0" fillId="0" borderId="0" xfId="0" applyNumberFormat="1" applyFont="1" applyFill="1" applyBorder="1" applyAlignment="1">
      <alignment/>
    </xf>
    <xf numFmtId="169" fontId="0" fillId="0" borderId="10" xfId="0" applyNumberFormat="1" applyFont="1" applyFill="1" applyBorder="1" applyAlignment="1">
      <alignment horizontal="center"/>
    </xf>
    <xf numFmtId="10" fontId="4" fillId="0" borderId="10" xfId="62" applyNumberFormat="1" applyFont="1" applyFill="1" applyBorder="1" applyAlignment="1">
      <alignment horizontal="right"/>
    </xf>
    <xf numFmtId="166" fontId="0" fillId="0" borderId="40" xfId="42" applyNumberFormat="1" applyFont="1" applyFill="1" applyBorder="1" applyAlignment="1">
      <alignment horizontal="right"/>
    </xf>
    <xf numFmtId="0" fontId="0" fillId="0" borderId="8" xfId="0" applyBorder="1" applyAlignment="1">
      <alignment/>
    </xf>
    <xf numFmtId="0" fontId="0" fillId="37" borderId="0" xfId="0" applyFont="1" applyFill="1" applyAlignment="1">
      <alignment vertical="center"/>
    </xf>
    <xf numFmtId="169" fontId="0" fillId="0" borderId="0" xfId="0" applyNumberFormat="1" applyFont="1" applyFill="1" applyBorder="1" applyAlignment="1">
      <alignment horizontal="center" vertical="center"/>
    </xf>
    <xf numFmtId="39" fontId="0" fillId="38" borderId="8" xfId="0" applyNumberFormat="1" applyFont="1" applyFill="1" applyBorder="1" applyAlignment="1">
      <alignment horizontal="center" vertical="center"/>
    </xf>
    <xf numFmtId="175" fontId="0" fillId="38" borderId="8" xfId="62" applyNumberFormat="1" applyFont="1" applyFill="1" applyBorder="1" applyAlignment="1">
      <alignment horizontal="center" vertical="center"/>
    </xf>
    <xf numFmtId="10" fontId="0" fillId="38" borderId="8" xfId="62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39" fontId="0" fillId="38" borderId="38" xfId="0" applyNumberFormat="1" applyFont="1" applyFill="1" applyBorder="1" applyAlignment="1">
      <alignment horizontal="left" vertical="center"/>
    </xf>
    <xf numFmtId="2" fontId="0" fillId="16" borderId="8" xfId="0" applyNumberFormat="1" applyFill="1" applyBorder="1" applyAlignment="1">
      <alignment horizontal="right"/>
    </xf>
    <xf numFmtId="0" fontId="68" fillId="34" borderId="0" xfId="0" applyFont="1" applyFill="1" applyAlignment="1">
      <alignment horizontal="center"/>
    </xf>
    <xf numFmtId="0" fontId="16" fillId="0" borderId="0" xfId="0" applyFont="1" applyFill="1" applyAlignment="1">
      <alignment/>
    </xf>
    <xf numFmtId="0" fontId="65" fillId="34" borderId="19" xfId="0" applyFont="1" applyFill="1" applyBorder="1" applyAlignment="1">
      <alignment horizontal="center"/>
    </xf>
    <xf numFmtId="0" fontId="65" fillId="34" borderId="20" xfId="0" applyFont="1" applyFill="1" applyBorder="1" applyAlignment="1">
      <alignment horizontal="center"/>
    </xf>
    <xf numFmtId="0" fontId="65" fillId="34" borderId="11" xfId="0" applyFont="1" applyFill="1" applyBorder="1" applyAlignment="1">
      <alignment horizontal="center"/>
    </xf>
    <xf numFmtId="0" fontId="65" fillId="34" borderId="22" xfId="0" applyFont="1" applyFill="1" applyBorder="1" applyAlignment="1">
      <alignment horizontal="center"/>
    </xf>
    <xf numFmtId="0" fontId="62" fillId="34" borderId="0" xfId="0" applyFont="1" applyFill="1" applyAlignment="1">
      <alignment horizontal="center"/>
    </xf>
    <xf numFmtId="0" fontId="4" fillId="0" borderId="0" xfId="0" applyFont="1" applyBorder="1" applyAlignment="1">
      <alignment horizontal="center"/>
    </xf>
    <xf numFmtId="0" fontId="62" fillId="34" borderId="54" xfId="0" applyFont="1" applyFill="1" applyBorder="1" applyAlignment="1">
      <alignment horizontal="center"/>
    </xf>
    <xf numFmtId="0" fontId="62" fillId="34" borderId="12" xfId="0" applyFont="1" applyFill="1" applyBorder="1" applyAlignment="1">
      <alignment horizontal="center"/>
    </xf>
    <xf numFmtId="0" fontId="62" fillId="34" borderId="55" xfId="0" applyFont="1" applyFill="1" applyBorder="1" applyAlignment="1">
      <alignment horizontal="center"/>
    </xf>
    <xf numFmtId="173" fontId="0" fillId="0" borderId="10" xfId="0" applyNumberFormat="1" applyFont="1" applyFill="1" applyBorder="1" applyAlignment="1">
      <alignment horizontal="right"/>
    </xf>
    <xf numFmtId="173" fontId="0" fillId="0" borderId="9" xfId="0" applyNumberFormat="1" applyFont="1" applyFill="1" applyBorder="1" applyAlignment="1">
      <alignment horizontal="right"/>
    </xf>
    <xf numFmtId="173" fontId="0" fillId="0" borderId="0" xfId="0" applyNumberFormat="1" applyFont="1" applyFill="1" applyBorder="1" applyAlignment="1">
      <alignment horizontal="right"/>
    </xf>
    <xf numFmtId="173" fontId="0" fillId="0" borderId="8" xfId="0" applyNumberFormat="1" applyFont="1" applyFill="1" applyBorder="1" applyAlignment="1">
      <alignment horizontal="right"/>
    </xf>
    <xf numFmtId="173" fontId="0" fillId="16" borderId="0" xfId="0" applyNumberFormat="1" applyFont="1" applyFill="1" applyBorder="1" applyAlignment="1">
      <alignment horizontal="right"/>
    </xf>
    <xf numFmtId="173" fontId="0" fillId="16" borderId="8" xfId="0" applyNumberFormat="1" applyFont="1" applyFill="1" applyBorder="1" applyAlignment="1">
      <alignment horizontal="right"/>
    </xf>
    <xf numFmtId="0" fontId="0" fillId="0" borderId="8" xfId="0" applyBorder="1" applyAlignment="1">
      <alignment/>
    </xf>
    <xf numFmtId="173" fontId="0" fillId="0" borderId="19" xfId="0" applyNumberFormat="1" applyFont="1" applyFill="1" applyBorder="1" applyAlignment="1">
      <alignment horizontal="right"/>
    </xf>
    <xf numFmtId="173" fontId="0" fillId="0" borderId="20" xfId="0" applyNumberFormat="1" applyFont="1" applyFill="1" applyBorder="1" applyAlignment="1">
      <alignment horizontal="right"/>
    </xf>
    <xf numFmtId="0" fontId="4" fillId="0" borderId="0" xfId="0" applyFont="1" applyFill="1" applyAlignment="1">
      <alignment/>
    </xf>
    <xf numFmtId="0" fontId="69" fillId="34" borderId="0" xfId="0" applyFont="1" applyFill="1" applyAlignment="1">
      <alignment horizontal="center"/>
    </xf>
    <xf numFmtId="173" fontId="62" fillId="34" borderId="23" xfId="0" applyNumberFormat="1" applyFont="1" applyFill="1" applyBorder="1" applyAlignment="1">
      <alignment horizontal="center" wrapText="1"/>
    </xf>
    <xf numFmtId="0" fontId="63" fillId="34" borderId="23" xfId="0" applyFont="1" applyFill="1" applyBorder="1" applyAlignment="1">
      <alignment/>
    </xf>
    <xf numFmtId="0" fontId="63" fillId="34" borderId="38" xfId="0" applyFont="1" applyFill="1" applyBorder="1" applyAlignment="1">
      <alignment/>
    </xf>
    <xf numFmtId="173" fontId="62" fillId="34" borderId="10" xfId="0" applyNumberFormat="1" applyFont="1" applyFill="1" applyBorder="1" applyAlignment="1">
      <alignment horizontal="center" wrapText="1"/>
    </xf>
    <xf numFmtId="0" fontId="63" fillId="34" borderId="9" xfId="0" applyFont="1" applyFill="1" applyBorder="1" applyAlignment="1">
      <alignment/>
    </xf>
    <xf numFmtId="0" fontId="0" fillId="16" borderId="0" xfId="0" applyFill="1" applyBorder="1" applyAlignment="1">
      <alignment horizontal="right"/>
    </xf>
    <xf numFmtId="0" fontId="69" fillId="34" borderId="0" xfId="0" applyFont="1" applyFill="1" applyAlignment="1">
      <alignment horizontal="center" wrapText="1"/>
    </xf>
    <xf numFmtId="173" fontId="62" fillId="34" borderId="38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 wrapText="1"/>
    </xf>
    <xf numFmtId="0" fontId="0" fillId="0" borderId="0" xfId="0" applyFill="1" applyAlignment="1">
      <alignment/>
    </xf>
    <xf numFmtId="0" fontId="62" fillId="34" borderId="22" xfId="0" applyFont="1" applyFill="1" applyBorder="1" applyAlignment="1">
      <alignment/>
    </xf>
    <xf numFmtId="0" fontId="62" fillId="34" borderId="0" xfId="0" applyFont="1" applyFill="1" applyBorder="1" applyAlignment="1">
      <alignment/>
    </xf>
    <xf numFmtId="0" fontId="62" fillId="34" borderId="8" xfId="0" applyFont="1" applyFill="1" applyBorder="1" applyAlignment="1">
      <alignment/>
    </xf>
    <xf numFmtId="0" fontId="0" fillId="16" borderId="10" xfId="0" applyFill="1" applyBorder="1" applyAlignment="1">
      <alignment horizontal="right"/>
    </xf>
    <xf numFmtId="0" fontId="0" fillId="16" borderId="9" xfId="0" applyFill="1" applyBorder="1" applyAlignment="1">
      <alignment horizontal="right"/>
    </xf>
    <xf numFmtId="0" fontId="69" fillId="34" borderId="11" xfId="0" applyFont="1" applyFill="1" applyBorder="1" applyAlignment="1">
      <alignment horizontal="center"/>
    </xf>
    <xf numFmtId="0" fontId="69" fillId="34" borderId="19" xfId="0" applyFont="1" applyFill="1" applyBorder="1" applyAlignment="1">
      <alignment horizontal="center"/>
    </xf>
    <xf numFmtId="0" fontId="69" fillId="34" borderId="20" xfId="0" applyFont="1" applyFill="1" applyBorder="1" applyAlignment="1">
      <alignment horizontal="center"/>
    </xf>
    <xf numFmtId="0" fontId="63" fillId="34" borderId="10" xfId="0" applyFont="1" applyFill="1" applyBorder="1" applyAlignment="1">
      <alignment/>
    </xf>
    <xf numFmtId="0" fontId="6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68" fillId="34" borderId="0" xfId="0" applyFont="1" applyFill="1" applyBorder="1" applyAlignment="1">
      <alignment horizontal="center"/>
    </xf>
    <xf numFmtId="0" fontId="0" fillId="0" borderId="0" xfId="0" applyAlignment="1">
      <alignment horizontal="right" wrapText="1"/>
    </xf>
    <xf numFmtId="0" fontId="0" fillId="0" borderId="8" xfId="0" applyBorder="1" applyAlignment="1">
      <alignment horizontal="right" wrapText="1"/>
    </xf>
    <xf numFmtId="0" fontId="65" fillId="34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69" fillId="34" borderId="56" xfId="0" applyFont="1" applyFill="1" applyBorder="1" applyAlignment="1">
      <alignment horizontal="center"/>
    </xf>
    <xf numFmtId="37" fontId="62" fillId="34" borderId="0" xfId="0" applyNumberFormat="1" applyFont="1" applyFill="1" applyBorder="1" applyAlignment="1">
      <alignment horizontal="center" vertical="center" wrapText="1"/>
    </xf>
    <xf numFmtId="37" fontId="68" fillId="34" borderId="11" xfId="0" applyNumberFormat="1" applyFont="1" applyFill="1" applyBorder="1" applyAlignment="1">
      <alignment horizontal="center" vertical="center" wrapText="1"/>
    </xf>
    <xf numFmtId="37" fontId="68" fillId="34" borderId="19" xfId="0" applyNumberFormat="1" applyFont="1" applyFill="1" applyBorder="1" applyAlignment="1">
      <alignment horizontal="center" vertical="center" wrapText="1"/>
    </xf>
    <xf numFmtId="37" fontId="68" fillId="34" borderId="20" xfId="0" applyNumberFormat="1" applyFont="1" applyFill="1" applyBorder="1" applyAlignment="1">
      <alignment horizontal="center" vertical="center" wrapText="1"/>
    </xf>
    <xf numFmtId="37" fontId="62" fillId="34" borderId="22" xfId="0" applyNumberFormat="1" applyFont="1" applyFill="1" applyBorder="1" applyAlignment="1">
      <alignment horizontal="center" vertical="center" wrapText="1"/>
    </xf>
    <xf numFmtId="37" fontId="62" fillId="34" borderId="21" xfId="0" applyNumberFormat="1" applyFont="1" applyFill="1" applyBorder="1" applyAlignment="1">
      <alignment horizontal="center" vertical="center" wrapText="1"/>
    </xf>
    <xf numFmtId="37" fontId="62" fillId="34" borderId="0" xfId="0" applyNumberFormat="1" applyFont="1" applyFill="1" applyBorder="1" applyAlignment="1">
      <alignment horizontal="center" wrapText="1"/>
    </xf>
    <xf numFmtId="37" fontId="62" fillId="34" borderId="10" xfId="0" applyNumberFormat="1" applyFont="1" applyFill="1" applyBorder="1" applyAlignment="1">
      <alignment horizontal="center" wrapText="1"/>
    </xf>
    <xf numFmtId="37" fontId="62" fillId="34" borderId="8" xfId="0" applyNumberFormat="1" applyFont="1" applyFill="1" applyBorder="1" applyAlignment="1">
      <alignment horizontal="center" wrapText="1"/>
    </xf>
    <xf numFmtId="37" fontId="62" fillId="34" borderId="9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62" fillId="34" borderId="0" xfId="0" applyFont="1" applyFill="1" applyBorder="1" applyAlignment="1">
      <alignment horizontal="center" wrapText="1"/>
    </xf>
    <xf numFmtId="0" fontId="68" fillId="34" borderId="11" xfId="0" applyFont="1" applyFill="1" applyBorder="1" applyAlignment="1">
      <alignment horizontal="center"/>
    </xf>
    <xf numFmtId="0" fontId="68" fillId="34" borderId="19" xfId="0" applyFont="1" applyFill="1" applyBorder="1" applyAlignment="1">
      <alignment horizontal="center"/>
    </xf>
    <xf numFmtId="0" fontId="68" fillId="34" borderId="20" xfId="0" applyFont="1" applyFill="1" applyBorder="1" applyAlignment="1">
      <alignment horizontal="center"/>
    </xf>
    <xf numFmtId="0" fontId="62" fillId="34" borderId="22" xfId="0" applyFont="1" applyFill="1" applyBorder="1" applyAlignment="1">
      <alignment horizontal="center" wrapText="1"/>
    </xf>
    <xf numFmtId="0" fontId="3" fillId="0" borderId="22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40" borderId="11" xfId="0" applyFont="1" applyFill="1" applyBorder="1" applyAlignment="1">
      <alignment horizontal="center"/>
    </xf>
    <xf numFmtId="0" fontId="3" fillId="40" borderId="19" xfId="0" applyFont="1" applyFill="1" applyBorder="1" applyAlignment="1">
      <alignment horizontal="center"/>
    </xf>
    <xf numFmtId="0" fontId="3" fillId="40" borderId="20" xfId="0" applyFont="1" applyFill="1" applyBorder="1" applyAlignment="1">
      <alignment horizontal="center"/>
    </xf>
    <xf numFmtId="0" fontId="68" fillId="34" borderId="22" xfId="0" applyFont="1" applyFill="1" applyBorder="1" applyAlignment="1">
      <alignment horizontal="center"/>
    </xf>
    <xf numFmtId="0" fontId="68" fillId="34" borderId="21" xfId="0" applyFont="1" applyFill="1" applyBorder="1" applyAlignment="1">
      <alignment horizontal="center"/>
    </xf>
    <xf numFmtId="173" fontId="69" fillId="34" borderId="19" xfId="0" applyNumberFormat="1" applyFont="1" applyFill="1" applyBorder="1" applyAlignment="1">
      <alignment horizontal="center" vertical="center" wrapText="1"/>
    </xf>
    <xf numFmtId="0" fontId="69" fillId="34" borderId="19" xfId="0" applyFont="1" applyFill="1" applyBorder="1" applyAlignment="1">
      <alignment horizontal="center" vertical="center" wrapText="1"/>
    </xf>
    <xf numFmtId="170" fontId="69" fillId="34" borderId="19" xfId="0" applyNumberFormat="1" applyFont="1" applyFill="1" applyBorder="1" applyAlignment="1">
      <alignment horizontal="center" vertical="center" wrapText="1"/>
    </xf>
    <xf numFmtId="170" fontId="69" fillId="34" borderId="20" xfId="0" applyNumberFormat="1" applyFont="1" applyFill="1" applyBorder="1" applyAlignment="1">
      <alignment horizontal="center" vertical="center" wrapText="1"/>
    </xf>
    <xf numFmtId="0" fontId="65" fillId="34" borderId="34" xfId="0" applyFont="1" applyFill="1" applyBorder="1" applyAlignment="1">
      <alignment horizontal="center" vertical="center" wrapText="1"/>
    </xf>
    <xf numFmtId="0" fontId="65" fillId="34" borderId="38" xfId="0" applyFont="1" applyFill="1" applyBorder="1" applyAlignment="1">
      <alignment horizontal="center" vertical="center" wrapText="1"/>
    </xf>
    <xf numFmtId="0" fontId="70" fillId="34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0" fontId="10" fillId="0" borderId="19" xfId="0" applyFont="1" applyFill="1" applyBorder="1" applyAlignment="1">
      <alignment horizontal="left"/>
    </xf>
    <xf numFmtId="0" fontId="11" fillId="0" borderId="0" xfId="0" applyFont="1" applyFill="1" applyBorder="1" applyAlignment="1">
      <alignment/>
    </xf>
    <xf numFmtId="0" fontId="0" fillId="0" borderId="19" xfId="0" applyFill="1" applyBorder="1" applyAlignment="1">
      <alignment/>
    </xf>
    <xf numFmtId="0" fontId="65" fillId="34" borderId="11" xfId="0" applyFont="1" applyFill="1" applyBorder="1" applyAlignment="1">
      <alignment horizontal="center" vertical="center" wrapText="1"/>
    </xf>
    <xf numFmtId="0" fontId="65" fillId="34" borderId="20" xfId="0" applyFont="1" applyFill="1" applyBorder="1" applyAlignment="1">
      <alignment horizontal="center" vertical="center" wrapText="1"/>
    </xf>
    <xf numFmtId="0" fontId="68" fillId="34" borderId="34" xfId="0" applyFont="1" applyFill="1" applyBorder="1" applyAlignment="1">
      <alignment horizontal="center" vertical="center"/>
    </xf>
    <xf numFmtId="0" fontId="68" fillId="34" borderId="23" xfId="0" applyFont="1" applyFill="1" applyBorder="1" applyAlignment="1">
      <alignment horizontal="center" vertical="center"/>
    </xf>
    <xf numFmtId="0" fontId="68" fillId="34" borderId="38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left"/>
    </xf>
    <xf numFmtId="0" fontId="4" fillId="36" borderId="23" xfId="0" applyFont="1" applyFill="1" applyBorder="1" applyAlignment="1">
      <alignment horizontal="right" vertical="center" wrapText="1"/>
    </xf>
    <xf numFmtId="0" fontId="14" fillId="36" borderId="23" xfId="0" applyFont="1" applyFill="1" applyBorder="1" applyAlignment="1">
      <alignment horizontal="right" vertical="center"/>
    </xf>
    <xf numFmtId="0" fontId="4" fillId="36" borderId="23" xfId="0" applyFont="1" applyFill="1" applyBorder="1" applyAlignment="1">
      <alignment horizontal="right" vertical="center"/>
    </xf>
    <xf numFmtId="0" fontId="10" fillId="0" borderId="23" xfId="0" applyFont="1" applyFill="1" applyBorder="1" applyAlignment="1">
      <alignment horizontal="left"/>
    </xf>
    <xf numFmtId="0" fontId="70" fillId="34" borderId="34" xfId="0" applyFont="1" applyFill="1" applyBorder="1" applyAlignment="1">
      <alignment horizontal="center"/>
    </xf>
    <xf numFmtId="0" fontId="70" fillId="34" borderId="23" xfId="0" applyFont="1" applyFill="1" applyBorder="1" applyAlignment="1">
      <alignment horizontal="center"/>
    </xf>
    <xf numFmtId="0" fontId="70" fillId="34" borderId="38" xfId="0" applyFont="1" applyFill="1" applyBorder="1" applyAlignment="1">
      <alignment horizontal="center"/>
    </xf>
    <xf numFmtId="0" fontId="14" fillId="36" borderId="23" xfId="0" applyFont="1" applyFill="1" applyBorder="1" applyAlignment="1">
      <alignment horizontal="right" vertical="center" wrapText="1"/>
    </xf>
    <xf numFmtId="0" fontId="65" fillId="34" borderId="0" xfId="0" applyFont="1" applyFill="1" applyBorder="1" applyAlignment="1">
      <alignment horizontal="center"/>
    </xf>
    <xf numFmtId="0" fontId="66" fillId="34" borderId="0" xfId="0" applyFont="1" applyFill="1" applyBorder="1" applyAlignment="1">
      <alignment horizontal="center"/>
    </xf>
    <xf numFmtId="37" fontId="4" fillId="0" borderId="11" xfId="0" applyNumberFormat="1" applyFont="1" applyFill="1" applyBorder="1" applyAlignment="1">
      <alignment horizontal="left" wrapText="1"/>
    </xf>
    <xf numFmtId="0" fontId="4" fillId="0" borderId="19" xfId="0" applyFont="1" applyFill="1" applyBorder="1" applyAlignment="1">
      <alignment horizontal="left" wrapText="1"/>
    </xf>
    <xf numFmtId="0" fontId="4" fillId="0" borderId="20" xfId="0" applyFont="1" applyFill="1" applyBorder="1" applyAlignment="1">
      <alignment horizontal="left" wrapText="1"/>
    </xf>
    <xf numFmtId="0" fontId="4" fillId="0" borderId="22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Fill="1" applyAlignment="1">
      <alignment horizontal="center"/>
    </xf>
    <xf numFmtId="0" fontId="71" fillId="34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62" fillId="34" borderId="11" xfId="0" applyFont="1" applyFill="1" applyBorder="1" applyAlignment="1">
      <alignment horizontal="center" vertical="center" wrapText="1"/>
    </xf>
    <xf numFmtId="0" fontId="62" fillId="34" borderId="19" xfId="0" applyFont="1" applyFill="1" applyBorder="1" applyAlignment="1">
      <alignment horizontal="center" vertical="center" wrapText="1"/>
    </xf>
    <xf numFmtId="0" fontId="62" fillId="34" borderId="20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/>
    </xf>
    <xf numFmtId="0" fontId="4" fillId="0" borderId="10" xfId="0" applyFont="1" applyBorder="1" applyAlignment="1">
      <alignment/>
    </xf>
    <xf numFmtId="168" fontId="0" fillId="0" borderId="0" xfId="0" applyNumberFormat="1" applyFill="1" applyAlignment="1">
      <alignment/>
    </xf>
    <xf numFmtId="0" fontId="3" fillId="0" borderId="0" xfId="0" applyFont="1" applyFill="1" applyAlignment="1">
      <alignment horizontal="center"/>
    </xf>
    <xf numFmtId="0" fontId="17" fillId="0" borderId="0" xfId="0" applyFont="1" applyFill="1" applyAlignment="1">
      <alignment/>
    </xf>
    <xf numFmtId="37" fontId="0" fillId="0" borderId="0" xfId="0" applyNumberFormat="1" applyFill="1" applyAlignment="1">
      <alignment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_Final - 2004 RAM for rate schedule - milton" xfId="47"/>
    <cellStyle name="Currency0" xfId="48"/>
    <cellStyle name="Date" xfId="49"/>
    <cellStyle name="Explanatory Text" xfId="50"/>
    <cellStyle name="Fixed" xfId="51"/>
    <cellStyle name="Good" xfId="52"/>
    <cellStyle name="Heading 1" xfId="53"/>
    <cellStyle name="Heading 2" xfId="54"/>
    <cellStyle name="Heading 3" xfId="55"/>
    <cellStyle name="Heading 4" xfId="56"/>
    <cellStyle name="Input" xfId="57"/>
    <cellStyle name="Linked Cell" xfId="58"/>
    <cellStyle name="Neutral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externalLink" Target="externalLinks/externalLink2.xml" /><Relationship Id="rId2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ata%20for%20Linking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OBNI%20Cost%20Allocation%20Study%202011%20No%20Tx%20Correctio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rial Balance"/>
      <sheetName val="Cost Allocation TB Data"/>
      <sheetName val="Return on Rate Base"/>
      <sheetName val="Charges"/>
      <sheetName val="kWh"/>
      <sheetName val="KW"/>
      <sheetName val="Purchased kWh"/>
      <sheetName val="USL Customers"/>
      <sheetName val="Customers"/>
      <sheetName val="Rates Schedule"/>
      <sheetName val="Other Revenues"/>
    </sheetNames>
    <sheetDataSet>
      <sheetData sheetId="3">
        <row r="13">
          <cell r="H13">
            <v>0.0107</v>
          </cell>
        </row>
        <row r="14">
          <cell r="H14">
            <v>0.0124</v>
          </cell>
        </row>
        <row r="15">
          <cell r="H15">
            <v>0.0149</v>
          </cell>
        </row>
        <row r="16">
          <cell r="H16">
            <v>0.009199999999999998</v>
          </cell>
        </row>
      </sheetData>
      <sheetData sheetId="4">
        <row r="79">
          <cell r="V79">
            <v>1066310557</v>
          </cell>
          <cell r="W79">
            <v>5528171.108536116</v>
          </cell>
          <cell r="X79">
            <v>288084105.89146394</v>
          </cell>
          <cell r="Y79">
            <v>1083191856</v>
          </cell>
          <cell r="Z79">
            <v>954061083</v>
          </cell>
          <cell r="AA79">
            <v>304422360</v>
          </cell>
          <cell r="AB79">
            <v>21908421</v>
          </cell>
          <cell r="AE79">
            <v>1041609066.9531491</v>
          </cell>
          <cell r="AF79">
            <v>5294846.640991666</v>
          </cell>
          <cell r="AG79">
            <v>282703765.9841937</v>
          </cell>
          <cell r="AH79">
            <v>1080817873.5867229</v>
          </cell>
          <cell r="AI79">
            <v>950418593.1900728</v>
          </cell>
          <cell r="AJ79">
            <v>334087721.73003125</v>
          </cell>
          <cell r="AK79">
            <v>23791244.91483907</v>
          </cell>
          <cell r="AN79">
            <v>1102238845.1530476</v>
          </cell>
          <cell r="AO79">
            <v>5047284.347783278</v>
          </cell>
          <cell r="AP79">
            <v>298781693.0369566</v>
          </cell>
          <cell r="AQ79">
            <v>1109791373.6344707</v>
          </cell>
          <cell r="AR79">
            <v>942048351.1472753</v>
          </cell>
          <cell r="AS79">
            <v>355306259.56106627</v>
          </cell>
          <cell r="AT79">
            <v>25786193.119400337</v>
          </cell>
          <cell r="AW79">
            <v>1093569511.9108763</v>
          </cell>
          <cell r="AX79">
            <v>5109078.339598986</v>
          </cell>
          <cell r="AY79">
            <v>288052193.27834255</v>
          </cell>
          <cell r="AZ79">
            <v>1116951693.2864387</v>
          </cell>
          <cell r="BA79">
            <v>872587042.1161599</v>
          </cell>
          <cell r="BB79">
            <v>388700963.20286673</v>
          </cell>
          <cell r="BC79">
            <v>26793083.865717456</v>
          </cell>
          <cell r="BF79">
            <v>1088557819</v>
          </cell>
          <cell r="BG79">
            <v>5104984.550019313</v>
          </cell>
          <cell r="BH79">
            <v>278899780.4499807</v>
          </cell>
          <cell r="BI79">
            <v>1081007720</v>
          </cell>
          <cell r="BJ79">
            <v>788185444</v>
          </cell>
          <cell r="BK79">
            <v>342523390</v>
          </cell>
          <cell r="BL79">
            <v>27343426</v>
          </cell>
          <cell r="BO79">
            <v>1099386750.7095263</v>
          </cell>
          <cell r="BP79">
            <v>5013040.354278895</v>
          </cell>
          <cell r="BQ79">
            <v>285620803.02129936</v>
          </cell>
          <cell r="BR79">
            <v>1097553563.9581668</v>
          </cell>
          <cell r="BS79">
            <v>816592993.5144728</v>
          </cell>
          <cell r="BT79">
            <v>365387028.7308235</v>
          </cell>
          <cell r="BU79">
            <v>28517119.953197297</v>
          </cell>
          <cell r="BX79">
            <v>1107769581</v>
          </cell>
          <cell r="BY79">
            <v>4899876</v>
          </cell>
          <cell r="BZ79">
            <v>290725436</v>
          </cell>
          <cell r="CA79">
            <v>1123789074</v>
          </cell>
          <cell r="CB79">
            <v>832077628</v>
          </cell>
          <cell r="CC79">
            <v>383275616</v>
          </cell>
          <cell r="CD79">
            <v>29780031</v>
          </cell>
        </row>
      </sheetData>
      <sheetData sheetId="5">
        <row r="16">
          <cell r="O16">
            <v>2901457</v>
          </cell>
          <cell r="P16">
            <v>2167872</v>
          </cell>
          <cell r="Q16">
            <v>515785</v>
          </cell>
          <cell r="R16">
            <v>65522</v>
          </cell>
          <cell r="U16">
            <v>2962866</v>
          </cell>
          <cell r="V16">
            <v>2137488</v>
          </cell>
          <cell r="W16">
            <v>589471</v>
          </cell>
          <cell r="X16">
            <v>70150</v>
          </cell>
          <cell r="AA16">
            <v>3039974</v>
          </cell>
          <cell r="AB16">
            <v>2106615</v>
          </cell>
          <cell r="AC16">
            <v>639861</v>
          </cell>
          <cell r="AD16">
            <v>76385</v>
          </cell>
          <cell r="AG16">
            <v>3064109</v>
          </cell>
          <cell r="AH16">
            <v>1976551</v>
          </cell>
          <cell r="AI16">
            <v>712935</v>
          </cell>
          <cell r="AJ16">
            <v>79929</v>
          </cell>
          <cell r="AM16">
            <v>3049119</v>
          </cell>
          <cell r="AN16">
            <v>1839970</v>
          </cell>
          <cell r="AO16">
            <v>696851</v>
          </cell>
          <cell r="AP16">
            <v>81921</v>
          </cell>
          <cell r="AS16">
            <v>3008017.2379130363</v>
          </cell>
          <cell r="AT16">
            <v>1844198.136368158</v>
          </cell>
          <cell r="AU16">
            <v>664898.687305483</v>
          </cell>
          <cell r="AV16">
            <v>84877.64649331334</v>
          </cell>
          <cell r="AY16">
            <v>3079920</v>
          </cell>
          <cell r="AZ16">
            <v>1879169</v>
          </cell>
          <cell r="BA16">
            <v>697451</v>
          </cell>
          <cell r="BB16">
            <v>88637</v>
          </cell>
        </row>
        <row r="20">
          <cell r="AY20">
            <v>263555.3279784785</v>
          </cell>
          <cell r="AZ20">
            <v>1546129.759479628</v>
          </cell>
          <cell r="BA20">
            <v>697451</v>
          </cell>
        </row>
      </sheetData>
      <sheetData sheetId="7">
        <row r="16">
          <cell r="B16">
            <v>72.25</v>
          </cell>
          <cell r="C16">
            <v>71.91666666666667</v>
          </cell>
          <cell r="D16">
            <v>69.66666666666667</v>
          </cell>
          <cell r="E16">
            <v>67</v>
          </cell>
          <cell r="F16">
            <v>66.16666666666667</v>
          </cell>
          <cell r="G16">
            <v>62.5</v>
          </cell>
          <cell r="H16">
            <v>62</v>
          </cell>
        </row>
      </sheetData>
      <sheetData sheetId="8">
        <row r="15">
          <cell r="V15">
            <v>104821.5</v>
          </cell>
          <cell r="W15">
            <v>1159</v>
          </cell>
          <cell r="X15">
            <v>6891.666666666667</v>
          </cell>
          <cell r="Y15">
            <v>1363.75</v>
          </cell>
          <cell r="Z15">
            <v>120.5</v>
          </cell>
          <cell r="AA15">
            <v>3</v>
          </cell>
          <cell r="AB15">
            <v>32938.02151158248</v>
          </cell>
          <cell r="AE15">
            <v>109778.16666666667</v>
          </cell>
          <cell r="AF15">
            <v>1207</v>
          </cell>
          <cell r="AG15">
            <v>7075.333333333333</v>
          </cell>
          <cell r="AH15">
            <v>1402.0833333333333</v>
          </cell>
          <cell r="AI15">
            <v>118.66666666666667</v>
          </cell>
          <cell r="AJ15">
            <v>3.9166666666666665</v>
          </cell>
          <cell r="AK15">
            <v>34321.07884283633</v>
          </cell>
          <cell r="AN15">
            <v>114118.83333333333</v>
          </cell>
          <cell r="AO15">
            <v>1250</v>
          </cell>
          <cell r="AP15">
            <v>7294.333333333333</v>
          </cell>
          <cell r="AQ15">
            <v>1416.8333333333333</v>
          </cell>
          <cell r="AR15">
            <v>116.83333333333333</v>
          </cell>
          <cell r="AS15">
            <v>4.916666666666667</v>
          </cell>
          <cell r="AT15">
            <v>35762.47657845333</v>
          </cell>
          <cell r="AW15">
            <v>119060</v>
          </cell>
          <cell r="AX15">
            <v>1267</v>
          </cell>
          <cell r="AY15">
            <v>7436.75</v>
          </cell>
          <cell r="AZ15">
            <v>1491.1666666666667</v>
          </cell>
          <cell r="BA15">
            <v>115.66666666666667</v>
          </cell>
          <cell r="BB15">
            <v>6</v>
          </cell>
          <cell r="BC15">
            <v>37264.5405222961</v>
          </cell>
          <cell r="BF15">
            <v>121040.83333333333</v>
          </cell>
          <cell r="BG15">
            <v>1280</v>
          </cell>
          <cell r="BH15">
            <v>7528.75</v>
          </cell>
          <cell r="BI15">
            <v>1553.6666666666667</v>
          </cell>
          <cell r="BJ15">
            <v>113.91666666666667</v>
          </cell>
          <cell r="BK15">
            <v>6</v>
          </cell>
          <cell r="BL15">
            <v>38829.21003807814</v>
          </cell>
        </row>
        <row r="47">
          <cell r="D47">
            <v>122376.57063286903</v>
          </cell>
          <cell r="E47">
            <v>1287.1362723368832</v>
          </cell>
          <cell r="F47">
            <v>7727.996361147564</v>
          </cell>
          <cell r="G47">
            <v>1543.6910838752199</v>
          </cell>
          <cell r="H47">
            <v>110.29141195348073</v>
          </cell>
          <cell r="I47">
            <v>6</v>
          </cell>
          <cell r="J47">
            <v>40459.427703839814</v>
          </cell>
          <cell r="M47">
            <v>123659.97314975421</v>
          </cell>
          <cell r="N47">
            <v>1300.4051714878062</v>
          </cell>
          <cell r="O47">
            <v>7892.95355666639</v>
          </cell>
          <cell r="P47">
            <v>1552.2130766767457</v>
          </cell>
          <cell r="Q47">
            <v>105.9532852783358</v>
          </cell>
          <cell r="R47">
            <v>6</v>
          </cell>
          <cell r="S47">
            <v>42158.23199435812</v>
          </cell>
        </row>
      </sheetData>
      <sheetData sheetId="9">
        <row r="5">
          <cell r="G5">
            <v>0.0154</v>
          </cell>
        </row>
        <row r="6">
          <cell r="G6">
            <v>10.48</v>
          </cell>
        </row>
        <row r="8">
          <cell r="G8">
            <v>0.0178</v>
          </cell>
        </row>
        <row r="9">
          <cell r="G9">
            <v>20.15</v>
          </cell>
        </row>
        <row r="11">
          <cell r="G11">
            <v>2.2935</v>
          </cell>
        </row>
        <row r="13">
          <cell r="G13">
            <v>101.56</v>
          </cell>
        </row>
        <row r="15">
          <cell r="G15">
            <v>3.7355</v>
          </cell>
        </row>
        <row r="17">
          <cell r="G17">
            <v>1410.3300000000002</v>
          </cell>
        </row>
        <row r="19">
          <cell r="G19">
            <v>2.9023</v>
          </cell>
        </row>
        <row r="21">
          <cell r="G21">
            <v>4722.21</v>
          </cell>
        </row>
        <row r="23">
          <cell r="G23">
            <v>0.0178</v>
          </cell>
        </row>
        <row r="24">
          <cell r="G24">
            <v>20.15</v>
          </cell>
        </row>
        <row r="30">
          <cell r="G30">
            <v>2.2046</v>
          </cell>
        </row>
        <row r="32">
          <cell r="G32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1 Intro"/>
      <sheetName val="I2 LDC class"/>
      <sheetName val="I3 TB Data"/>
      <sheetName val="I4 BO ASSETS"/>
      <sheetName val="I5 Misc Data"/>
      <sheetName val="I6 Customer Data"/>
      <sheetName val="I7.1 Meter Capital"/>
      <sheetName val="I7.2 Meter Reading"/>
      <sheetName val="I8 Demand Data"/>
      <sheetName val="I9 Direct Allocation"/>
      <sheetName val="O1 Revenue to cost|RR"/>
      <sheetName val="O2 Fixed Charge|Floor|Ceiling"/>
      <sheetName val="O2.1 Line Tran PLCC Adj"/>
      <sheetName val="O2.2 Primary Cost PLCC Adj"/>
      <sheetName val="O2.3 Secondary Cost PLCC Adj"/>
      <sheetName val="O3.1 Line Tran Unit Cost"/>
      <sheetName val="O3.2 Substat Tran Unit Cost "/>
      <sheetName val="O3.3 Primary Cost Pool"/>
      <sheetName val="O3.4 Secondary Cost Pool"/>
      <sheetName val="O3.5 USL Metering Credit"/>
      <sheetName val="O4 Summary by Class &amp; Accounts"/>
      <sheetName val="O5 Details by Class &amp; Accounts"/>
      <sheetName val="O6 Source Data for E2"/>
      <sheetName val="O7 Amortization"/>
      <sheetName val="E1 Categorization"/>
      <sheetName val="E2 Allocators"/>
      <sheetName val="E3 PLCC"/>
      <sheetName val="E4 TB Allocation Details"/>
      <sheetName val="E5 Reconciliation"/>
      <sheetName val="Click here if completed"/>
    </sheetNames>
    <sheetDataSet>
      <sheetData sheetId="10">
        <row r="19">
          <cell r="D19">
            <v>2763163.6614645272</v>
          </cell>
          <cell r="E19">
            <v>410554.3539818328</v>
          </cell>
          <cell r="F19">
            <v>515925.8543700191</v>
          </cell>
          <cell r="H19">
            <v>174314.8621011544</v>
          </cell>
          <cell r="I19">
            <v>88377.97314463924</v>
          </cell>
          <cell r="J19">
            <v>26230.006509829742</v>
          </cell>
          <cell r="L19">
            <v>7845.111011973909</v>
          </cell>
        </row>
        <row r="35">
          <cell r="D35">
            <v>35666185.28190811</v>
          </cell>
          <cell r="E35">
            <v>5958974.103283079</v>
          </cell>
          <cell r="F35">
            <v>13492427.55594072</v>
          </cell>
          <cell r="H35">
            <v>5420037.966696994</v>
          </cell>
          <cell r="I35">
            <v>2019074.6215698202</v>
          </cell>
          <cell r="J35">
            <v>1869017.2283115564</v>
          </cell>
          <cell r="L35">
            <v>147421.8747645769</v>
          </cell>
        </row>
        <row r="70">
          <cell r="D70">
            <v>1.0020932081487257</v>
          </cell>
          <cell r="E70">
            <v>1.2663473892564054</v>
          </cell>
          <cell r="F70">
            <v>0.7034396013460144</v>
          </cell>
          <cell r="H70">
            <v>1.662191798086456</v>
          </cell>
          <cell r="I70">
            <v>1.2150767022481868</v>
          </cell>
          <cell r="J70">
            <v>0.11874809523943455</v>
          </cell>
          <cell r="L70">
            <v>0.7505129209535798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showGridLines="0" tabSelected="1" view="pageBreakPreview" zoomScale="60" zoomScaleNormal="80" zoomScalePageLayoutView="0" workbookViewId="0" topLeftCell="A1">
      <selection activeCell="K11" sqref="K11"/>
    </sheetView>
  </sheetViews>
  <sheetFormatPr defaultColWidth="9.140625" defaultRowHeight="12.75"/>
  <cols>
    <col min="1" max="1" width="80.7109375" style="0" bestFit="1" customWidth="1"/>
    <col min="2" max="2" width="25.57421875" style="0" customWidth="1"/>
    <col min="4" max="10" width="9.421875" style="0" customWidth="1"/>
  </cols>
  <sheetData>
    <row r="1" spans="1:2" ht="12.75">
      <c r="A1" s="546"/>
      <c r="B1" s="546"/>
    </row>
    <row r="2" spans="1:2" ht="30.75" customHeight="1">
      <c r="A2" s="545" t="s">
        <v>40</v>
      </c>
      <c r="B2" s="545"/>
    </row>
    <row r="3" ht="7.5" customHeight="1">
      <c r="A3" s="6"/>
    </row>
    <row r="4" spans="1:12" ht="18">
      <c r="A4" s="6"/>
      <c r="D4" s="47"/>
      <c r="E4" s="8"/>
      <c r="F4" s="8"/>
      <c r="G4" s="8"/>
      <c r="H4" s="8"/>
      <c r="I4" s="8"/>
      <c r="J4" s="8"/>
      <c r="K4" s="8"/>
      <c r="L4" s="8"/>
    </row>
    <row r="5" spans="1:12" ht="15.75">
      <c r="A5" s="5" t="s">
        <v>39</v>
      </c>
      <c r="B5" s="298">
        <v>63068856.98</v>
      </c>
      <c r="E5" s="8"/>
      <c r="F5" s="8"/>
      <c r="G5" s="8"/>
      <c r="H5" s="8"/>
      <c r="I5" s="8"/>
      <c r="J5" s="8"/>
      <c r="K5" s="8"/>
      <c r="L5" s="8"/>
    </row>
    <row r="6" spans="1:12" ht="15.75">
      <c r="A6" s="5" t="s">
        <v>43</v>
      </c>
      <c r="B6" s="298">
        <v>3986411.82</v>
      </c>
      <c r="E6" s="8"/>
      <c r="F6" s="8"/>
      <c r="G6" s="8"/>
      <c r="H6" s="8"/>
      <c r="I6" s="8"/>
      <c r="J6" s="8"/>
      <c r="K6" s="8"/>
      <c r="L6" s="8"/>
    </row>
    <row r="7" spans="1:12" ht="15.75">
      <c r="A7" s="5" t="s">
        <v>161</v>
      </c>
      <c r="B7" s="39">
        <f>+B5-B6</f>
        <v>59082445.16</v>
      </c>
      <c r="E7" s="8"/>
      <c r="F7" s="8"/>
      <c r="G7" s="8"/>
      <c r="H7" s="8"/>
      <c r="I7" s="8"/>
      <c r="J7" s="8"/>
      <c r="K7" s="8"/>
      <c r="L7" s="8"/>
    </row>
    <row r="8" spans="5:12" ht="12.75">
      <c r="E8" s="8"/>
      <c r="F8" s="8"/>
      <c r="G8" s="8"/>
      <c r="H8" s="8"/>
      <c r="I8" s="8"/>
      <c r="J8" s="8"/>
      <c r="K8" s="8"/>
      <c r="L8" s="8"/>
    </row>
    <row r="9" spans="1:12" ht="15.75">
      <c r="A9" s="5" t="s">
        <v>160</v>
      </c>
      <c r="B9" s="298">
        <v>0</v>
      </c>
      <c r="E9" s="8"/>
      <c r="F9" s="8"/>
      <c r="G9" s="8"/>
      <c r="H9" s="8"/>
      <c r="I9" s="8"/>
      <c r="J9" s="8"/>
      <c r="K9" s="8"/>
      <c r="L9" s="8"/>
    </row>
    <row r="10" spans="1:2" ht="15.75">
      <c r="A10" s="5" t="s">
        <v>44</v>
      </c>
      <c r="B10" s="7">
        <f>-'Transformer Allowance'!C10</f>
        <v>1504281.652474864</v>
      </c>
    </row>
    <row r="11" spans="1:2" ht="16.5" thickBot="1">
      <c r="A11" s="5" t="s">
        <v>45</v>
      </c>
      <c r="B11" s="40">
        <f>+B7+B9+B10</f>
        <v>60586726.81247486</v>
      </c>
    </row>
    <row r="12" ht="13.5" thickTop="1"/>
    <row r="13" spans="1:4" s="16" customFormat="1" ht="15.75">
      <c r="A13" s="20"/>
      <c r="B13" s="378"/>
      <c r="D13"/>
    </row>
    <row r="14" spans="1:4" s="16" customFormat="1" ht="15.75">
      <c r="A14" s="20"/>
      <c r="B14" s="21"/>
      <c r="D14"/>
    </row>
    <row r="15" spans="1:2" s="16" customFormat="1" ht="15.75">
      <c r="A15" s="20"/>
      <c r="B15" s="21"/>
    </row>
    <row r="16" spans="1:2" s="16" customFormat="1" ht="15.75">
      <c r="A16" s="20"/>
      <c r="B16" s="21"/>
    </row>
    <row r="17" spans="1:2" ht="15.75">
      <c r="A17" s="5"/>
      <c r="B17" s="7"/>
    </row>
    <row r="19" spans="1:2" ht="15.75">
      <c r="A19" s="5"/>
      <c r="B19" s="7"/>
    </row>
    <row r="20" spans="1:2" ht="15.75">
      <c r="A20" s="5"/>
      <c r="B20" s="7"/>
    </row>
    <row r="21" spans="1:2" ht="15.75">
      <c r="A21" s="5"/>
      <c r="B21" s="7"/>
    </row>
    <row r="22" ht="12.75">
      <c r="B22" s="8"/>
    </row>
  </sheetData>
  <sheetProtection/>
  <mergeCells count="2">
    <mergeCell ref="A2:B2"/>
    <mergeCell ref="A1:B1"/>
  </mergeCells>
  <printOptions/>
  <pageMargins left="0.75" right="0.75" top="1" bottom="1" header="0.5" footer="0.5"/>
  <pageSetup fitToHeight="1" fitToWidth="1" horizontalDpi="355" verticalDpi="355" orientation="portrait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3"/>
  <sheetViews>
    <sheetView showGridLines="0" zoomScalePageLayoutView="0" workbookViewId="0" topLeftCell="A25">
      <selection activeCell="H47" sqref="H47"/>
    </sheetView>
  </sheetViews>
  <sheetFormatPr defaultColWidth="9.140625" defaultRowHeight="12.75"/>
  <cols>
    <col min="1" max="1" width="32.7109375" style="0" bestFit="1" customWidth="1"/>
    <col min="2" max="2" width="13.421875" style="0" customWidth="1"/>
    <col min="3" max="3" width="13.57421875" style="0" customWidth="1"/>
    <col min="4" max="4" width="12.421875" style="0" customWidth="1"/>
    <col min="5" max="5" width="14.00390625" style="0" customWidth="1"/>
    <col min="6" max="6" width="2.7109375" style="0" customWidth="1"/>
    <col min="7" max="7" width="10.28125" style="1" bestFit="1" customWidth="1"/>
  </cols>
  <sheetData>
    <row r="1" spans="1:5" ht="12.75">
      <c r="A1" s="576"/>
      <c r="B1" s="576"/>
      <c r="C1" s="576"/>
      <c r="D1" s="576"/>
      <c r="E1" s="576"/>
    </row>
    <row r="2" spans="1:5" ht="20.25">
      <c r="A2" s="545" t="s">
        <v>190</v>
      </c>
      <c r="B2" s="545"/>
      <c r="C2" s="545"/>
      <c r="D2" s="545"/>
      <c r="E2" s="545"/>
    </row>
    <row r="3" spans="1:5" ht="16.5" thickBot="1">
      <c r="A3" s="605"/>
      <c r="B3" s="605"/>
      <c r="C3" s="605"/>
      <c r="D3" s="605"/>
      <c r="E3" s="605"/>
    </row>
    <row r="4" spans="1:7" s="8" customFormat="1" ht="18">
      <c r="A4" s="582" t="s">
        <v>191</v>
      </c>
      <c r="B4" s="583"/>
      <c r="C4" s="583"/>
      <c r="D4" s="583"/>
      <c r="E4" s="584"/>
      <c r="G4" s="18"/>
    </row>
    <row r="5" spans="1:7" s="8" customFormat="1" ht="13.5" thickBot="1">
      <c r="A5" s="162" t="s">
        <v>0</v>
      </c>
      <c r="B5" s="163" t="s">
        <v>25</v>
      </c>
      <c r="C5" s="163" t="s">
        <v>26</v>
      </c>
      <c r="D5" s="163" t="s">
        <v>17</v>
      </c>
      <c r="E5" s="164" t="s">
        <v>16</v>
      </c>
      <c r="G5" s="19"/>
    </row>
    <row r="6" spans="1:7" s="8" customFormat="1" ht="17.25" customHeight="1">
      <c r="A6" s="140" t="str">
        <f>'Low Voltage Rates'!A5</f>
        <v>Residential</v>
      </c>
      <c r="B6" s="299"/>
      <c r="C6" s="425">
        <f>+'Rates By Rate Class'!D4</f>
        <v>10.66</v>
      </c>
      <c r="D6" s="420"/>
      <c r="E6" s="427">
        <f>+'Rates By Rate Class'!E4</f>
        <v>0.0155</v>
      </c>
      <c r="G6" s="18"/>
    </row>
    <row r="7" spans="1:7" s="8" customFormat="1" ht="17.25" customHeight="1">
      <c r="A7" s="140" t="str">
        <f>'Low Voltage Rates'!A6</f>
        <v>GS &lt; 50 kW</v>
      </c>
      <c r="B7" s="300"/>
      <c r="C7" s="426">
        <f>+'Rates By Rate Class'!D5</f>
        <v>20.39</v>
      </c>
      <c r="D7" s="421"/>
      <c r="E7" s="427">
        <f>+'Rates By Rate Class'!E5</f>
        <v>0.0179</v>
      </c>
      <c r="G7" s="18"/>
    </row>
    <row r="8" spans="1:7" s="8" customFormat="1" ht="17.25" customHeight="1">
      <c r="A8" s="140" t="str">
        <f>'Low Voltage Rates'!A7</f>
        <v>GS &gt;50 kW - Regular</v>
      </c>
      <c r="B8" s="300"/>
      <c r="C8" s="426">
        <f>+'Rates By Rate Class'!D6</f>
        <v>102.26</v>
      </c>
      <c r="D8" s="421">
        <f>+'Rates By Rate Class'!E6</f>
        <v>2.2957</v>
      </c>
      <c r="E8" s="304"/>
      <c r="G8" s="18"/>
    </row>
    <row r="9" spans="1:7" s="8" customFormat="1" ht="17.25" customHeight="1">
      <c r="A9" s="140" t="str">
        <f>'Low Voltage Rates'!A8</f>
        <v>GS &gt; 50 kW - Intermediate</v>
      </c>
      <c r="B9" s="300"/>
      <c r="C9" s="426">
        <f>+'Rates By Rate Class'!D7</f>
        <v>1418.56</v>
      </c>
      <c r="D9" s="421">
        <f>+'Rates By Rate Class'!E7</f>
        <v>3.7417</v>
      </c>
      <c r="E9" s="304"/>
      <c r="G9" s="18"/>
    </row>
    <row r="10" spans="1:7" s="8" customFormat="1" ht="17.25" customHeight="1">
      <c r="A10" s="140" t="str">
        <f>'Low Voltage Rates'!A9</f>
        <v>Large Use</v>
      </c>
      <c r="B10" s="300"/>
      <c r="C10" s="426">
        <f>+'Rates By Rate Class'!D8</f>
        <v>4749.47</v>
      </c>
      <c r="D10" s="421">
        <f>+'Rates By Rate Class'!E8</f>
        <v>2.9005</v>
      </c>
      <c r="E10" s="304"/>
      <c r="G10" s="18"/>
    </row>
    <row r="11" spans="1:7" s="8" customFormat="1" ht="17.25" customHeight="1">
      <c r="A11" s="140" t="str">
        <f>'Low Voltage Rates'!A10</f>
        <v>Street Lighting</v>
      </c>
      <c r="B11" s="300">
        <f>+'Rates By Rate Class'!D9</f>
        <v>0.07</v>
      </c>
      <c r="C11" s="426"/>
      <c r="D11" s="421">
        <f>+'Rates By Rate Class'!E9</f>
        <v>1.8085</v>
      </c>
      <c r="E11" s="304"/>
      <c r="G11" s="18"/>
    </row>
    <row r="12" spans="1:7" s="8" customFormat="1" ht="17.25" customHeight="1">
      <c r="A12" s="140" t="str">
        <f>'Low Voltage Rates'!A11</f>
        <v>Unmetered Scattered Load</v>
      </c>
      <c r="B12" s="300">
        <f>+'Rates By Rate Class'!D10</f>
        <v>0.97</v>
      </c>
      <c r="C12" s="426"/>
      <c r="D12" s="307"/>
      <c r="E12" s="304">
        <f>+'Rates By Rate Class'!E10</f>
        <v>0.0179</v>
      </c>
      <c r="G12" s="18"/>
    </row>
    <row r="13" spans="1:7" s="8" customFormat="1" ht="17.25" customHeight="1">
      <c r="A13" s="448" t="str">
        <f>IF(+'Forecast Data For 2011'!$A$23=0," ",+'Forecast Data For 2011'!$A$23)</f>
        <v> </v>
      </c>
      <c r="B13" s="300"/>
      <c r="C13" s="307"/>
      <c r="D13" s="307"/>
      <c r="E13" s="304"/>
      <c r="G13" s="18"/>
    </row>
    <row r="14" spans="1:5" ht="17.25" customHeight="1">
      <c r="A14" s="448" t="str">
        <f>IF(+'Forecast Data For 2011'!$A$25=0," ",+'Forecast Data For 2011'!$A$25)</f>
        <v> </v>
      </c>
      <c r="B14" s="300"/>
      <c r="C14" s="307"/>
      <c r="D14" s="307"/>
      <c r="E14" s="304"/>
    </row>
    <row r="15" spans="1:7" s="8" customFormat="1" ht="17.25" customHeight="1" thickBot="1">
      <c r="A15" s="131" t="str">
        <f>IF(+'Forecast Data For 2011'!$A$27=0," ",+'Forecast Data For 2011'!$A$27)</f>
        <v> </v>
      </c>
      <c r="B15" s="301"/>
      <c r="C15" s="422"/>
      <c r="D15" s="423"/>
      <c r="E15" s="424"/>
      <c r="G15" s="18"/>
    </row>
    <row r="16" spans="1:7" ht="18.75" customHeight="1" thickBot="1">
      <c r="A16" s="605"/>
      <c r="B16" s="605"/>
      <c r="C16" s="605"/>
      <c r="D16" s="605"/>
      <c r="E16" s="605"/>
      <c r="G16" s="18"/>
    </row>
    <row r="17" spans="1:7" s="8" customFormat="1" ht="18">
      <c r="A17" s="582" t="s">
        <v>192</v>
      </c>
      <c r="B17" s="583"/>
      <c r="C17" s="583"/>
      <c r="D17" s="583"/>
      <c r="E17" s="584"/>
      <c r="G17" s="18"/>
    </row>
    <row r="18" spans="1:7" s="8" customFormat="1" ht="13.5" thickBot="1">
      <c r="A18" s="162" t="s">
        <v>0</v>
      </c>
      <c r="B18" s="163" t="s">
        <v>25</v>
      </c>
      <c r="C18" s="163" t="s">
        <v>26</v>
      </c>
      <c r="D18" s="163" t="s">
        <v>17</v>
      </c>
      <c r="E18" s="164" t="s">
        <v>16</v>
      </c>
      <c r="G18" s="18"/>
    </row>
    <row r="19" spans="1:7" s="8" customFormat="1" ht="18" customHeight="1">
      <c r="A19" s="140" t="str">
        <f>A6</f>
        <v>Residential</v>
      </c>
      <c r="B19" s="435">
        <f>+'Low Voltage Rates'!F5</f>
        <v>0</v>
      </c>
      <c r="C19" s="436"/>
      <c r="D19" s="436"/>
      <c r="E19" s="437"/>
      <c r="G19" s="18"/>
    </row>
    <row r="20" spans="1:7" s="8" customFormat="1" ht="18" customHeight="1">
      <c r="A20" s="140" t="str">
        <f>A7</f>
        <v>GS &lt; 50 kW</v>
      </c>
      <c r="B20" s="438">
        <f>+'Low Voltage Rates'!F6</f>
        <v>0</v>
      </c>
      <c r="C20" s="439"/>
      <c r="D20" s="439"/>
      <c r="E20" s="440"/>
      <c r="G20" s="18"/>
    </row>
    <row r="21" spans="1:7" s="8" customFormat="1" ht="18" customHeight="1">
      <c r="A21" s="140" t="str">
        <f>A8</f>
        <v>GS &gt;50 kW - Regular</v>
      </c>
      <c r="B21" s="438"/>
      <c r="C21" s="439">
        <f>+'Low Voltage Rates'!F7</f>
        <v>0</v>
      </c>
      <c r="D21" s="439"/>
      <c r="E21" s="440"/>
      <c r="G21" s="18"/>
    </row>
    <row r="22" spans="1:7" s="8" customFormat="1" ht="18" customHeight="1">
      <c r="A22" s="140" t="str">
        <f>A9</f>
        <v>GS &gt; 50 kW - Intermediate</v>
      </c>
      <c r="B22" s="438"/>
      <c r="C22" s="439">
        <f>+'Low Voltage Rates'!F8</f>
        <v>0</v>
      </c>
      <c r="D22" s="439"/>
      <c r="E22" s="440"/>
      <c r="G22" s="18"/>
    </row>
    <row r="23" spans="1:7" s="8" customFormat="1" ht="18" customHeight="1">
      <c r="A23" s="140" t="str">
        <f>A10</f>
        <v>Large Use</v>
      </c>
      <c r="B23" s="438"/>
      <c r="C23" s="439">
        <f>+'Low Voltage Rates'!F9</f>
        <v>0</v>
      </c>
      <c r="D23" s="439"/>
      <c r="E23" s="440"/>
      <c r="G23" s="18"/>
    </row>
    <row r="24" spans="1:7" s="8" customFormat="1" ht="18" customHeight="1">
      <c r="A24" s="140" t="str">
        <f>A11</f>
        <v>Street Lighting</v>
      </c>
      <c r="B24" s="438"/>
      <c r="C24" s="439">
        <f>+'Low Voltage Rates'!F10</f>
        <v>0</v>
      </c>
      <c r="D24" s="439"/>
      <c r="E24" s="440"/>
      <c r="G24" s="18"/>
    </row>
    <row r="25" spans="1:7" s="8" customFormat="1" ht="18" customHeight="1">
      <c r="A25" s="140" t="str">
        <f>A12</f>
        <v>Unmetered Scattered Load</v>
      </c>
      <c r="B25" s="438">
        <f>+'Low Voltage Rates'!F11</f>
        <v>0</v>
      </c>
      <c r="C25" s="439"/>
      <c r="D25" s="439"/>
      <c r="E25" s="440"/>
      <c r="G25" s="18"/>
    </row>
    <row r="26" spans="1:7" s="375" customFormat="1" ht="18" customHeight="1">
      <c r="A26" s="448" t="str">
        <f>IF(+'Forecast Data For 2011'!$A$23=0," ",+'Forecast Data For 2011'!$A$23)</f>
        <v> </v>
      </c>
      <c r="B26" s="438"/>
      <c r="C26" s="439"/>
      <c r="D26" s="439"/>
      <c r="E26" s="440"/>
      <c r="G26" s="18"/>
    </row>
    <row r="27" spans="1:7" s="8" customFormat="1" ht="18" customHeight="1">
      <c r="A27" s="448" t="str">
        <f>IF(+'Forecast Data For 2011'!$A$25=0," ",+'Forecast Data For 2011'!$A$25)</f>
        <v> </v>
      </c>
      <c r="B27" s="438"/>
      <c r="C27" s="439"/>
      <c r="D27" s="439"/>
      <c r="E27" s="440"/>
      <c r="G27" s="18"/>
    </row>
    <row r="28" spans="1:7" s="8" customFormat="1" ht="18" customHeight="1" thickBot="1">
      <c r="A28" s="131" t="str">
        <f>IF(+'Forecast Data For 2011'!$A$27=0," ",+'Forecast Data For 2011'!$A$27)</f>
        <v> </v>
      </c>
      <c r="B28" s="441"/>
      <c r="C28" s="442"/>
      <c r="D28" s="442"/>
      <c r="E28" s="443"/>
      <c r="G28" s="18"/>
    </row>
    <row r="29" spans="1:7" s="8" customFormat="1" ht="16.5" thickBot="1">
      <c r="A29" s="605"/>
      <c r="B29" s="605"/>
      <c r="C29" s="605"/>
      <c r="D29" s="605"/>
      <c r="E29" s="605"/>
      <c r="G29" s="18"/>
    </row>
    <row r="30" spans="1:7" s="8" customFormat="1" ht="18">
      <c r="A30" s="582" t="s">
        <v>193</v>
      </c>
      <c r="B30" s="583"/>
      <c r="C30" s="583"/>
      <c r="D30" s="583"/>
      <c r="E30" s="584"/>
      <c r="G30" s="18"/>
    </row>
    <row r="31" spans="1:7" s="8" customFormat="1" ht="12.75">
      <c r="A31" s="162" t="s">
        <v>0</v>
      </c>
      <c r="B31" s="163" t="s">
        <v>25</v>
      </c>
      <c r="C31" s="163" t="s">
        <v>26</v>
      </c>
      <c r="D31" s="163" t="s">
        <v>17</v>
      </c>
      <c r="E31" s="164" t="s">
        <v>16</v>
      </c>
      <c r="G31" s="19"/>
    </row>
    <row r="32" spans="1:7" s="8" customFormat="1" ht="18" customHeight="1">
      <c r="A32" s="140" t="str">
        <f aca="true" t="shared" si="0" ref="A32:A38">A19</f>
        <v>Residential</v>
      </c>
      <c r="B32" s="428">
        <f aca="true" t="shared" si="1" ref="B32:E40">+B6+B19</f>
        <v>0</v>
      </c>
      <c r="C32" s="428">
        <f t="shared" si="1"/>
        <v>10.66</v>
      </c>
      <c r="D32" s="429">
        <f t="shared" si="1"/>
        <v>0</v>
      </c>
      <c r="E32" s="430">
        <f t="shared" si="1"/>
        <v>0.0155</v>
      </c>
      <c r="G32" s="18"/>
    </row>
    <row r="33" spans="1:7" s="8" customFormat="1" ht="18" customHeight="1">
      <c r="A33" s="140" t="str">
        <f t="shared" si="0"/>
        <v>GS &lt; 50 kW</v>
      </c>
      <c r="B33" s="428">
        <f t="shared" si="1"/>
        <v>0</v>
      </c>
      <c r="C33" s="428">
        <f t="shared" si="1"/>
        <v>20.39</v>
      </c>
      <c r="D33" s="429">
        <f t="shared" si="1"/>
        <v>0</v>
      </c>
      <c r="E33" s="430">
        <f t="shared" si="1"/>
        <v>0.0179</v>
      </c>
      <c r="G33" s="18"/>
    </row>
    <row r="34" spans="1:7" s="8" customFormat="1" ht="18" customHeight="1">
      <c r="A34" s="140" t="str">
        <f t="shared" si="0"/>
        <v>GS &gt;50 kW - Regular</v>
      </c>
      <c r="B34" s="428">
        <f t="shared" si="1"/>
        <v>0</v>
      </c>
      <c r="C34" s="428">
        <f t="shared" si="1"/>
        <v>102.26</v>
      </c>
      <c r="D34" s="429">
        <f t="shared" si="1"/>
        <v>2.2957</v>
      </c>
      <c r="E34" s="430">
        <f t="shared" si="1"/>
        <v>0</v>
      </c>
      <c r="G34" s="18"/>
    </row>
    <row r="35" spans="1:7" s="8" customFormat="1" ht="18" customHeight="1">
      <c r="A35" s="140" t="str">
        <f t="shared" si="0"/>
        <v>GS &gt; 50 kW - Intermediate</v>
      </c>
      <c r="B35" s="428">
        <f t="shared" si="1"/>
        <v>0</v>
      </c>
      <c r="C35" s="428">
        <f t="shared" si="1"/>
        <v>1418.56</v>
      </c>
      <c r="D35" s="429">
        <f t="shared" si="1"/>
        <v>3.7417</v>
      </c>
      <c r="E35" s="430">
        <f t="shared" si="1"/>
        <v>0</v>
      </c>
      <c r="G35" s="18"/>
    </row>
    <row r="36" spans="1:7" s="8" customFormat="1" ht="18" customHeight="1">
      <c r="A36" s="140" t="str">
        <f t="shared" si="0"/>
        <v>Large Use</v>
      </c>
      <c r="B36" s="428">
        <f t="shared" si="1"/>
        <v>0</v>
      </c>
      <c r="C36" s="428">
        <f t="shared" si="1"/>
        <v>4749.47</v>
      </c>
      <c r="D36" s="429">
        <f t="shared" si="1"/>
        <v>2.9005</v>
      </c>
      <c r="E36" s="430">
        <f t="shared" si="1"/>
        <v>0</v>
      </c>
      <c r="G36" s="18"/>
    </row>
    <row r="37" spans="1:7" s="8" customFormat="1" ht="18" customHeight="1">
      <c r="A37" s="140" t="str">
        <f t="shared" si="0"/>
        <v>Street Lighting</v>
      </c>
      <c r="B37" s="428">
        <f t="shared" si="1"/>
        <v>0.07</v>
      </c>
      <c r="C37" s="428">
        <f t="shared" si="1"/>
        <v>0</v>
      </c>
      <c r="D37" s="429">
        <f t="shared" si="1"/>
        <v>1.8085</v>
      </c>
      <c r="E37" s="430">
        <f t="shared" si="1"/>
        <v>0</v>
      </c>
      <c r="G37" s="18"/>
    </row>
    <row r="38" spans="1:7" s="8" customFormat="1" ht="18" customHeight="1">
      <c r="A38" s="140" t="str">
        <f t="shared" si="0"/>
        <v>Unmetered Scattered Load</v>
      </c>
      <c r="B38" s="428">
        <f t="shared" si="1"/>
        <v>0.97</v>
      </c>
      <c r="C38" s="428">
        <f t="shared" si="1"/>
        <v>0</v>
      </c>
      <c r="D38" s="429">
        <f t="shared" si="1"/>
        <v>0</v>
      </c>
      <c r="E38" s="430">
        <f t="shared" si="1"/>
        <v>0.0179</v>
      </c>
      <c r="G38" s="18"/>
    </row>
    <row r="39" spans="1:7" s="375" customFormat="1" ht="18" customHeight="1">
      <c r="A39" s="448" t="str">
        <f>IF(+'Forecast Data For 2011'!$A$23=0," ",+'Forecast Data For 2011'!$A$23)</f>
        <v> </v>
      </c>
      <c r="B39" s="428">
        <f t="shared" si="1"/>
        <v>0</v>
      </c>
      <c r="C39" s="428">
        <f t="shared" si="1"/>
        <v>0</v>
      </c>
      <c r="D39" s="429">
        <f t="shared" si="1"/>
        <v>0</v>
      </c>
      <c r="E39" s="430">
        <f t="shared" si="1"/>
        <v>0</v>
      </c>
      <c r="G39" s="18"/>
    </row>
    <row r="40" spans="1:7" s="8" customFormat="1" ht="18" customHeight="1">
      <c r="A40" s="448" t="str">
        <f>IF(+'Forecast Data For 2011'!$A$25=0," ",+'Forecast Data For 2011'!$A$25)</f>
        <v> </v>
      </c>
      <c r="B40" s="428">
        <f t="shared" si="1"/>
        <v>0</v>
      </c>
      <c r="C40" s="428">
        <f t="shared" si="1"/>
        <v>0</v>
      </c>
      <c r="D40" s="429">
        <f t="shared" si="1"/>
        <v>0</v>
      </c>
      <c r="E40" s="430">
        <f t="shared" si="1"/>
        <v>0</v>
      </c>
      <c r="G40" s="18"/>
    </row>
    <row r="41" spans="1:7" s="8" customFormat="1" ht="18" customHeight="1" thickBot="1">
      <c r="A41" s="131" t="str">
        <f>IF(+'Forecast Data For 2011'!$A$27=0," ",+'Forecast Data For 2011'!$A$27)</f>
        <v> </v>
      </c>
      <c r="B41" s="431">
        <f>+B15+B28</f>
        <v>0</v>
      </c>
      <c r="C41" s="431">
        <f>+C15+C28</f>
        <v>0</v>
      </c>
      <c r="D41" s="432">
        <f>+D15+D28</f>
        <v>0</v>
      </c>
      <c r="E41" s="433">
        <f>+E15+E28</f>
        <v>0</v>
      </c>
      <c r="G41" s="18"/>
    </row>
    <row r="42" spans="1:7" s="8" customFormat="1" ht="16.5" thickBot="1">
      <c r="A42" s="605"/>
      <c r="B42" s="605"/>
      <c r="C42" s="605"/>
      <c r="D42" s="605"/>
      <c r="E42" s="605"/>
      <c r="G42" s="18"/>
    </row>
    <row r="43" spans="1:7" s="8" customFormat="1" ht="18" customHeight="1" thickBot="1">
      <c r="A43" s="47" t="s">
        <v>128</v>
      </c>
      <c r="B43" s="55"/>
      <c r="C43" s="55"/>
      <c r="D43" s="434">
        <f>'Transformer Allowance'!B12</f>
        <v>-0.6</v>
      </c>
      <c r="E43" s="55"/>
      <c r="G43" s="18"/>
    </row>
  </sheetData>
  <sheetProtection/>
  <mergeCells count="9">
    <mergeCell ref="A42:E42"/>
    <mergeCell ref="A1:E1"/>
    <mergeCell ref="A4:E4"/>
    <mergeCell ref="A2:E2"/>
    <mergeCell ref="A17:E17"/>
    <mergeCell ref="A30:E30"/>
    <mergeCell ref="A3:E3"/>
    <mergeCell ref="A16:E16"/>
    <mergeCell ref="A29:E29"/>
  </mergeCells>
  <printOptions headings="1"/>
  <pageMargins left="0.7480314960629921" right="0.7480314960629921" top="0.984251968503937" bottom="0.984251968503937" header="0.5118110236220472" footer="0.5118110236220472"/>
  <pageSetup fitToHeight="1" fitToWidth="1" horizontalDpi="355" verticalDpi="355" orientation="portrait" scale="8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"/>
  <sheetViews>
    <sheetView showGridLines="0" zoomScalePageLayoutView="0" workbookViewId="0" topLeftCell="A1">
      <selection activeCell="I38" sqref="I37:I38"/>
    </sheetView>
  </sheetViews>
  <sheetFormatPr defaultColWidth="9.140625" defaultRowHeight="12.75"/>
  <cols>
    <col min="1" max="1" width="27.7109375" style="118" customWidth="1"/>
    <col min="2" max="3" width="11.57421875" style="118" bestFit="1" customWidth="1"/>
    <col min="4" max="4" width="15.140625" style="118" customWidth="1"/>
    <col min="5" max="5" width="8.28125" style="118" customWidth="1"/>
    <col min="6" max="6" width="11.7109375" style="118" customWidth="1"/>
    <col min="7" max="7" width="13.57421875" style="118" customWidth="1"/>
    <col min="8" max="8" width="12.421875" style="118" customWidth="1"/>
    <col min="9" max="9" width="13.7109375" style="118" customWidth="1"/>
    <col min="10" max="10" width="13.00390625" style="118" customWidth="1"/>
    <col min="11" max="11" width="15.00390625" style="118" customWidth="1"/>
    <col min="12" max="12" width="13.00390625" style="118" customWidth="1"/>
    <col min="13" max="13" width="2.28125" style="118" customWidth="1"/>
    <col min="14" max="16384" width="9.140625" style="118" customWidth="1"/>
  </cols>
  <sheetData>
    <row r="1" spans="1:12" ht="13.5" thickBot="1">
      <c r="A1" s="587"/>
      <c r="B1" s="587"/>
      <c r="C1" s="587"/>
      <c r="D1" s="587"/>
      <c r="E1" s="587"/>
      <c r="F1" s="587"/>
      <c r="G1" s="587"/>
      <c r="H1" s="587"/>
      <c r="I1" s="587"/>
      <c r="J1" s="587"/>
      <c r="K1" s="587"/>
      <c r="L1" s="587"/>
    </row>
    <row r="2" spans="1:12" ht="20.25">
      <c r="A2" s="607" t="s">
        <v>194</v>
      </c>
      <c r="B2" s="608"/>
      <c r="C2" s="608"/>
      <c r="D2" s="608"/>
      <c r="E2" s="608"/>
      <c r="F2" s="608"/>
      <c r="G2" s="608"/>
      <c r="H2" s="608"/>
      <c r="I2" s="608"/>
      <c r="J2" s="608"/>
      <c r="K2" s="608"/>
      <c r="L2" s="609"/>
    </row>
    <row r="3" spans="1:12" ht="25.5">
      <c r="A3" s="610" t="s">
        <v>129</v>
      </c>
      <c r="B3" s="606" t="s">
        <v>182</v>
      </c>
      <c r="C3" s="606"/>
      <c r="D3" s="165" t="s">
        <v>183</v>
      </c>
      <c r="E3" s="165"/>
      <c r="F3" s="606" t="s">
        <v>130</v>
      </c>
      <c r="G3" s="606"/>
      <c r="H3" s="606"/>
      <c r="I3" s="165" t="s">
        <v>131</v>
      </c>
      <c r="J3" s="165" t="s">
        <v>132</v>
      </c>
      <c r="K3" s="165" t="s">
        <v>139</v>
      </c>
      <c r="L3" s="166" t="s">
        <v>140</v>
      </c>
    </row>
    <row r="4" spans="1:12" ht="12.75">
      <c r="A4" s="610"/>
      <c r="B4" s="165" t="s">
        <v>133</v>
      </c>
      <c r="C4" s="165" t="s">
        <v>134</v>
      </c>
      <c r="D4" s="165"/>
      <c r="E4" s="165"/>
      <c r="F4" s="165" t="s">
        <v>133</v>
      </c>
      <c r="G4" s="165" t="s">
        <v>134</v>
      </c>
      <c r="H4" s="165" t="s">
        <v>41</v>
      </c>
      <c r="I4" s="165" t="s">
        <v>41</v>
      </c>
      <c r="J4" s="165" t="s">
        <v>41</v>
      </c>
      <c r="K4" s="165" t="s">
        <v>141</v>
      </c>
      <c r="L4" s="166" t="s">
        <v>41</v>
      </c>
    </row>
    <row r="5" spans="1:12" ht="24.75" customHeight="1">
      <c r="A5" s="610"/>
      <c r="B5" s="167" t="s">
        <v>135</v>
      </c>
      <c r="C5" s="167" t="s">
        <v>135</v>
      </c>
      <c r="D5" s="167"/>
      <c r="E5" s="167" t="s">
        <v>157</v>
      </c>
      <c r="F5" s="165" t="s">
        <v>136</v>
      </c>
      <c r="G5" s="165" t="s">
        <v>136</v>
      </c>
      <c r="H5" s="168" t="s">
        <v>136</v>
      </c>
      <c r="I5" s="168" t="s">
        <v>136</v>
      </c>
      <c r="J5" s="168" t="s">
        <v>136</v>
      </c>
      <c r="K5" s="169">
        <v>3</v>
      </c>
      <c r="L5" s="170" t="s">
        <v>136</v>
      </c>
    </row>
    <row r="6" spans="1:12" ht="19.5" customHeight="1">
      <c r="A6" s="171" t="str">
        <f>'Distribution Rate Schedule'!A6</f>
        <v>Residential</v>
      </c>
      <c r="B6" s="506"/>
      <c r="C6" s="506"/>
      <c r="D6" s="507"/>
      <c r="E6" s="508"/>
      <c r="F6" s="509"/>
      <c r="G6" s="509"/>
      <c r="H6" s="509"/>
      <c r="I6" s="509"/>
      <c r="J6" s="509"/>
      <c r="K6" s="509"/>
      <c r="L6" s="510"/>
    </row>
    <row r="7" spans="1:13" ht="19.5" customHeight="1">
      <c r="A7" s="171" t="str">
        <f>'Distribution Rate Schedule'!A7</f>
        <v>GS &lt; 50 kW</v>
      </c>
      <c r="B7" s="506"/>
      <c r="C7" s="506"/>
      <c r="D7" s="507"/>
      <c r="E7" s="508"/>
      <c r="F7" s="509"/>
      <c r="G7" s="509"/>
      <c r="H7" s="509"/>
      <c r="I7" s="509"/>
      <c r="J7" s="509"/>
      <c r="K7" s="509"/>
      <c r="L7" s="510"/>
      <c r="M7" s="113"/>
    </row>
    <row r="8" spans="1:12" ht="19.5" customHeight="1">
      <c r="A8" s="171" t="str">
        <f>'Distribution Rate Schedule'!A8</f>
        <v>GS &gt;50 kW - Regular</v>
      </c>
      <c r="B8" s="506"/>
      <c r="C8" s="506"/>
      <c r="D8" s="507"/>
      <c r="E8" s="508"/>
      <c r="F8" s="509"/>
      <c r="G8" s="509"/>
      <c r="H8" s="509"/>
      <c r="I8" s="509"/>
      <c r="J8" s="509"/>
      <c r="K8" s="509"/>
      <c r="L8" s="510"/>
    </row>
    <row r="9" spans="1:12" ht="19.5" customHeight="1" thickBot="1">
      <c r="A9" s="171" t="str">
        <f>'Distribution Rate Schedule'!A9</f>
        <v>GS &gt; 50 kW - Intermediate</v>
      </c>
      <c r="B9" s="511"/>
      <c r="C9" s="511"/>
      <c r="D9" s="512"/>
      <c r="E9" s="513"/>
      <c r="F9" s="514"/>
      <c r="G9" s="514"/>
      <c r="H9" s="514"/>
      <c r="I9" s="514"/>
      <c r="J9" s="514"/>
      <c r="K9" s="514"/>
      <c r="L9" s="515"/>
    </row>
    <row r="10" spans="1:12" ht="19.5" customHeight="1" thickBot="1">
      <c r="A10" s="172" t="s">
        <v>41</v>
      </c>
      <c r="B10" s="505">
        <f>SUM(B6:B9)</f>
        <v>0</v>
      </c>
      <c r="C10" s="505">
        <f>SUM(C6:C9)</f>
        <v>0</v>
      </c>
      <c r="D10" s="505"/>
      <c r="E10" s="505"/>
      <c r="F10" s="505"/>
      <c r="G10" s="505"/>
      <c r="H10" s="505"/>
      <c r="I10" s="505"/>
      <c r="J10" s="505"/>
      <c r="K10" s="505"/>
      <c r="L10" s="505"/>
    </row>
    <row r="11" ht="13.5" thickTop="1"/>
  </sheetData>
  <sheetProtection/>
  <mergeCells count="5">
    <mergeCell ref="B3:C3"/>
    <mergeCell ref="F3:H3"/>
    <mergeCell ref="A1:L1"/>
    <mergeCell ref="A2:L2"/>
    <mergeCell ref="A3:A5"/>
  </mergeCells>
  <printOptions headings="1"/>
  <pageMargins left="0.7480314960629921" right="0.7480314960629921" top="0.984251968503937" bottom="0.984251968503937" header="0.5118110236220472" footer="0.5118110236220472"/>
  <pageSetup fitToHeight="1" fitToWidth="1" horizontalDpi="355" verticalDpi="355" orientation="landscape" scale="7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6"/>
  <sheetViews>
    <sheetView zoomScalePageLayoutView="0" workbookViewId="0" topLeftCell="A1">
      <selection activeCell="D28" sqref="D28"/>
    </sheetView>
  </sheetViews>
  <sheetFormatPr defaultColWidth="9.140625" defaultRowHeight="12.75"/>
  <cols>
    <col min="1" max="1" width="39.57421875" style="0" bestFit="1" customWidth="1"/>
    <col min="2" max="2" width="38.421875" style="0" customWidth="1"/>
    <col min="3" max="3" width="35.57421875" style="0" customWidth="1"/>
    <col min="4" max="4" width="30.140625" style="0" customWidth="1"/>
    <col min="5" max="7" width="10.00390625" style="0" customWidth="1"/>
  </cols>
  <sheetData>
    <row r="1" spans="1:4" ht="20.25">
      <c r="A1" s="607" t="s">
        <v>232</v>
      </c>
      <c r="B1" s="608"/>
      <c r="C1" s="608"/>
      <c r="D1" s="609"/>
    </row>
    <row r="2" spans="1:4" s="118" customFormat="1" ht="38.25">
      <c r="A2" s="502" t="s">
        <v>0</v>
      </c>
      <c r="B2" s="501" t="s">
        <v>233</v>
      </c>
      <c r="C2" s="501" t="s">
        <v>234</v>
      </c>
      <c r="D2" s="166" t="s">
        <v>142</v>
      </c>
    </row>
    <row r="3" spans="1:7" s="118" customFormat="1" ht="12.75">
      <c r="A3" s="173" t="str">
        <f>'Distribution Rate Schedule'!A6</f>
        <v>Residential</v>
      </c>
      <c r="B3" s="444">
        <v>-0.002</v>
      </c>
      <c r="C3" s="444"/>
      <c r="D3" s="445">
        <v>1.18</v>
      </c>
      <c r="E3" s="113"/>
      <c r="F3" s="113"/>
      <c r="G3" s="113"/>
    </row>
    <row r="4" spans="1:4" s="118" customFormat="1" ht="12.75">
      <c r="A4" s="173" t="str">
        <f>'Distribution Rate Schedule'!A7</f>
        <v>GS &lt; 50 kW</v>
      </c>
      <c r="B4" s="444">
        <v>-0.002</v>
      </c>
      <c r="C4" s="444"/>
      <c r="D4" s="445">
        <v>1.18</v>
      </c>
    </row>
    <row r="5" spans="1:4" s="118" customFormat="1" ht="12.75">
      <c r="A5" s="173" t="str">
        <f>'Distribution Rate Schedule'!A8</f>
        <v>GS &gt;50 kW - Regular</v>
      </c>
      <c r="B5" s="444"/>
      <c r="C5" s="444">
        <v>-0.7321</v>
      </c>
      <c r="D5" s="445">
        <v>1.18</v>
      </c>
    </row>
    <row r="6" spans="1:4" s="118" customFormat="1" ht="12.75">
      <c r="A6" s="173" t="str">
        <f>'Distribution Rate Schedule'!A9</f>
        <v>GS &gt; 50 kW - Intermediate</v>
      </c>
      <c r="B6" s="444"/>
      <c r="C6" s="444">
        <v>-0.8881</v>
      </c>
      <c r="D6" s="445">
        <v>1.18</v>
      </c>
    </row>
    <row r="7" spans="1:4" s="118" customFormat="1" ht="12.75">
      <c r="A7" s="173" t="str">
        <f>'Distribution Rate Schedule'!A10</f>
        <v>Large Use</v>
      </c>
      <c r="B7" s="444"/>
      <c r="C7" s="444">
        <v>-1.0611</v>
      </c>
      <c r="D7" s="445">
        <v>1.18</v>
      </c>
    </row>
    <row r="8" spans="1:4" s="118" customFormat="1" ht="12.75">
      <c r="A8" s="173" t="str">
        <f>'Distribution Rate Schedule'!A11</f>
        <v>Street Lighting</v>
      </c>
      <c r="B8" s="444"/>
      <c r="C8" s="444">
        <v>-0.6678</v>
      </c>
      <c r="D8" s="445"/>
    </row>
    <row r="9" spans="1:4" s="118" customFormat="1" ht="12.75">
      <c r="A9" s="173" t="str">
        <f>'Distribution Rate Schedule'!A12</f>
        <v>Unmetered Scattered Load</v>
      </c>
      <c r="B9" s="444">
        <v>-0.002</v>
      </c>
      <c r="C9" s="444"/>
      <c r="D9" s="445"/>
    </row>
    <row r="10" spans="1:4" s="118" customFormat="1" ht="12.75">
      <c r="A10" s="448" t="str">
        <f>IF(+'Forecast Data For 2011'!$A$23=0," ",+'Forecast Data For 2011'!$A$23)</f>
        <v> </v>
      </c>
      <c r="B10" s="444"/>
      <c r="C10" s="444"/>
      <c r="D10" s="445"/>
    </row>
    <row r="11" spans="1:4" ht="12.75">
      <c r="A11" s="448" t="str">
        <f>IF(+'Forecast Data For 2011'!$A$25=0," ",+'Forecast Data For 2011'!$A$25)</f>
        <v> </v>
      </c>
      <c r="B11" s="444"/>
      <c r="C11" s="444"/>
      <c r="D11" s="445"/>
    </row>
    <row r="12" spans="1:4" ht="13.5" thickBot="1">
      <c r="A12" s="131" t="str">
        <f>IF(+'Forecast Data For 2011'!$A$27=0," ",+'Forecast Data For 2011'!$A$27)</f>
        <v> </v>
      </c>
      <c r="B12" s="446"/>
      <c r="C12" s="446"/>
      <c r="D12" s="447"/>
    </row>
    <row r="14" spans="1:3" ht="25.5">
      <c r="A14" s="385" t="s">
        <v>0</v>
      </c>
      <c r="B14" s="384" t="s">
        <v>230</v>
      </c>
      <c r="C14" s="384" t="s">
        <v>231</v>
      </c>
    </row>
    <row r="15" spans="1:3" ht="12.75">
      <c r="A15" s="173" t="str">
        <f>A3</f>
        <v>Residential</v>
      </c>
      <c r="B15" s="444">
        <v>0.0013</v>
      </c>
      <c r="C15" s="444"/>
    </row>
    <row r="16" spans="1:3" ht="12.75">
      <c r="A16" s="173" t="str">
        <f>A4</f>
        <v>GS &lt; 50 kW</v>
      </c>
      <c r="B16" s="444">
        <v>0.0013</v>
      </c>
      <c r="C16" s="444"/>
    </row>
    <row r="17" spans="1:3" ht="12.75">
      <c r="A17" s="173" t="str">
        <f>A5</f>
        <v>GS &gt;50 kW - Regular</v>
      </c>
      <c r="B17" s="444"/>
      <c r="C17" s="444">
        <v>0.4861</v>
      </c>
    </row>
    <row r="18" spans="1:3" ht="12.75">
      <c r="A18" s="173" t="str">
        <f>A6</f>
        <v>GS &gt; 50 kW - Intermediate</v>
      </c>
      <c r="B18" s="444"/>
      <c r="C18" s="444">
        <v>0.5881</v>
      </c>
    </row>
    <row r="19" spans="1:3" ht="12.75">
      <c r="A19" s="173" t="str">
        <f>A7</f>
        <v>Large Use</v>
      </c>
      <c r="B19" s="444"/>
      <c r="C19" s="444">
        <v>0.7109</v>
      </c>
    </row>
    <row r="20" spans="1:3" ht="12.75">
      <c r="A20" s="173" t="str">
        <f>A8</f>
        <v>Street Lighting</v>
      </c>
      <c r="B20" s="444"/>
      <c r="C20" s="444">
        <v>0.4461</v>
      </c>
    </row>
    <row r="21" spans="1:3" ht="12.75">
      <c r="A21" s="173" t="str">
        <f>A9</f>
        <v>Unmetered Scattered Load</v>
      </c>
      <c r="B21" s="444">
        <v>0.0013</v>
      </c>
      <c r="C21" s="444"/>
    </row>
    <row r="22" spans="1:3" ht="12.75">
      <c r="A22" s="448" t="str">
        <f>IF(+'Forecast Data For 2011'!$A$23=0," ",+'Forecast Data For 2011'!$A$23)</f>
        <v> </v>
      </c>
      <c r="B22" s="444"/>
      <c r="C22" s="444"/>
    </row>
    <row r="23" spans="1:3" ht="12.75">
      <c r="A23" s="448" t="str">
        <f>IF(+'Forecast Data For 2011'!$A$25=0," ",+'Forecast Data For 2011'!$A$25)</f>
        <v> </v>
      </c>
      <c r="B23" s="444"/>
      <c r="C23" s="444"/>
    </row>
    <row r="24" spans="1:3" ht="13.5" thickBot="1">
      <c r="A24" s="131" t="str">
        <f>IF(+'Forecast Data For 2011'!$A$27=0," ",+'Forecast Data For 2011'!$A$27)</f>
        <v> </v>
      </c>
      <c r="B24" s="446"/>
      <c r="C24" s="446"/>
    </row>
    <row r="26" spans="1:3" ht="38.25">
      <c r="A26" s="385" t="s">
        <v>0</v>
      </c>
      <c r="B26" s="384" t="s">
        <v>235</v>
      </c>
      <c r="C26" s="384" t="s">
        <v>236</v>
      </c>
    </row>
    <row r="27" spans="1:3" ht="12.75">
      <c r="A27" s="173" t="str">
        <f>A15</f>
        <v>Residential</v>
      </c>
      <c r="B27" s="444"/>
      <c r="C27" s="444"/>
    </row>
    <row r="28" spans="1:3" ht="12.75">
      <c r="A28" s="173" t="str">
        <f aca="true" t="shared" si="0" ref="A28:A33">A16</f>
        <v>GS &lt; 50 kW</v>
      </c>
      <c r="B28" s="444"/>
      <c r="C28" s="444"/>
    </row>
    <row r="29" spans="1:3" ht="12.75">
      <c r="A29" s="173" t="str">
        <f t="shared" si="0"/>
        <v>GS &gt;50 kW - Regular</v>
      </c>
      <c r="B29" s="444"/>
      <c r="C29" s="444"/>
    </row>
    <row r="30" spans="1:3" ht="12.75">
      <c r="A30" s="173" t="str">
        <f t="shared" si="0"/>
        <v>GS &gt; 50 kW - Intermediate</v>
      </c>
      <c r="B30" s="444"/>
      <c r="C30" s="444"/>
    </row>
    <row r="31" spans="1:3" ht="12.75">
      <c r="A31" s="173" t="str">
        <f t="shared" si="0"/>
        <v>Large Use</v>
      </c>
      <c r="B31" s="444"/>
      <c r="C31" s="444"/>
    </row>
    <row r="32" spans="1:3" ht="12.75">
      <c r="A32" s="173" t="str">
        <f t="shared" si="0"/>
        <v>Street Lighting</v>
      </c>
      <c r="B32" s="444"/>
      <c r="C32" s="444"/>
    </row>
    <row r="33" spans="1:3" ht="12.75">
      <c r="A33" s="173" t="str">
        <f t="shared" si="0"/>
        <v>Unmetered Scattered Load</v>
      </c>
      <c r="B33" s="444"/>
      <c r="C33" s="444"/>
    </row>
    <row r="34" spans="1:3" ht="12.75">
      <c r="A34" s="448" t="str">
        <f>IF(+'Forecast Data For 2011'!$A$23=0," ",+'Forecast Data For 2011'!$A$23)</f>
        <v> </v>
      </c>
      <c r="B34" s="444"/>
      <c r="C34" s="444"/>
    </row>
    <row r="35" spans="1:3" ht="12.75">
      <c r="A35" s="448" t="str">
        <f>IF(+'Forecast Data For 2011'!$A$25=0," ",+'Forecast Data For 2011'!$A$25)</f>
        <v> </v>
      </c>
      <c r="B35" s="444"/>
      <c r="C35" s="444"/>
    </row>
    <row r="36" spans="1:3" ht="13.5" thickBot="1">
      <c r="A36" s="131" t="str">
        <f>IF(+'Forecast Data For 2011'!$A$27=0," ",+'Forecast Data For 2011'!$A$27)</f>
        <v> </v>
      </c>
      <c r="B36" s="446"/>
      <c r="C36" s="446"/>
    </row>
  </sheetData>
  <sheetProtection/>
  <mergeCells count="1">
    <mergeCell ref="A1:D1"/>
  </mergeCells>
  <printOptions headings="1"/>
  <pageMargins left="0.7480314960629921" right="0.7480314960629921" top="0.984251968503937" bottom="0.984251968503937" header="0.5118110236220472" footer="0.5118110236220472"/>
  <pageSetup fitToHeight="1" fitToWidth="1" horizontalDpi="355" verticalDpi="355" orientation="landscape" scale="83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showGridLines="0" zoomScale="90" zoomScaleNormal="90" zoomScalePageLayoutView="0" workbookViewId="0" topLeftCell="D1">
      <selection activeCell="L5" sqref="L5:M11"/>
    </sheetView>
  </sheetViews>
  <sheetFormatPr defaultColWidth="9.140625" defaultRowHeight="12.75"/>
  <cols>
    <col min="1" max="1" width="33.140625" style="0" customWidth="1"/>
    <col min="2" max="2" width="13.8515625" style="0" customWidth="1"/>
    <col min="3" max="5" width="11.7109375" style="0" customWidth="1"/>
    <col min="6" max="7" width="13.7109375" style="0" customWidth="1"/>
    <col min="8" max="8" width="13.421875" style="0" bestFit="1" customWidth="1"/>
    <col min="9" max="9" width="10.8515625" style="0" customWidth="1"/>
    <col min="10" max="10" width="7.28125" style="0" bestFit="1" customWidth="1"/>
    <col min="11" max="11" width="13.7109375" style="0" customWidth="1"/>
    <col min="12" max="15" width="13.00390625" style="0" customWidth="1"/>
    <col min="16" max="16" width="1.57421875" style="0" customWidth="1"/>
  </cols>
  <sheetData>
    <row r="1" spans="1:15" ht="21" thickBot="1">
      <c r="A1" s="588" t="s">
        <v>67</v>
      </c>
      <c r="B1" s="588"/>
      <c r="C1" s="588"/>
      <c r="D1" s="588"/>
      <c r="E1" s="588"/>
      <c r="F1" s="588"/>
      <c r="G1" s="588"/>
      <c r="H1" s="588"/>
      <c r="I1" s="588"/>
      <c r="J1" s="588"/>
      <c r="K1" s="588"/>
      <c r="L1" s="588"/>
      <c r="M1" s="588"/>
      <c r="N1" s="588"/>
      <c r="O1" s="588"/>
    </row>
    <row r="2" spans="1:15" ht="90" customHeight="1">
      <c r="A2" s="607" t="s">
        <v>0</v>
      </c>
      <c r="B2" s="620" t="s">
        <v>49</v>
      </c>
      <c r="C2" s="620"/>
      <c r="D2" s="620"/>
      <c r="E2" s="620"/>
      <c r="F2" s="620"/>
      <c r="G2" s="621" t="s">
        <v>50</v>
      </c>
      <c r="H2" s="621"/>
      <c r="I2" s="621"/>
      <c r="J2" s="621"/>
      <c r="K2" s="621"/>
      <c r="L2" s="622" t="s">
        <v>51</v>
      </c>
      <c r="M2" s="622"/>
      <c r="N2" s="622" t="s">
        <v>52</v>
      </c>
      <c r="O2" s="623"/>
    </row>
    <row r="3" spans="1:15" ht="51.75" customHeight="1">
      <c r="A3" s="618"/>
      <c r="B3" s="174" t="s">
        <v>111</v>
      </c>
      <c r="C3" s="175" t="s">
        <v>54</v>
      </c>
      <c r="D3" s="175" t="s">
        <v>147</v>
      </c>
      <c r="E3" s="176" t="s">
        <v>41</v>
      </c>
      <c r="F3" s="174" t="s">
        <v>55</v>
      </c>
      <c r="G3" s="175" t="s">
        <v>53</v>
      </c>
      <c r="H3" s="175" t="s">
        <v>54</v>
      </c>
      <c r="I3" s="175" t="s">
        <v>147</v>
      </c>
      <c r="J3" s="176" t="s">
        <v>41</v>
      </c>
      <c r="K3" s="174" t="s">
        <v>55</v>
      </c>
      <c r="L3" s="176" t="s">
        <v>122</v>
      </c>
      <c r="M3" s="176" t="s">
        <v>123</v>
      </c>
      <c r="N3" s="177">
        <v>2010</v>
      </c>
      <c r="O3" s="178" t="s">
        <v>195</v>
      </c>
    </row>
    <row r="4" spans="1:15" ht="13.5" thickBot="1">
      <c r="A4" s="619"/>
      <c r="B4" s="203" t="s">
        <v>22</v>
      </c>
      <c r="C4" s="204" t="s">
        <v>22</v>
      </c>
      <c r="D4" s="204" t="s">
        <v>22</v>
      </c>
      <c r="E4" s="205" t="s">
        <v>22</v>
      </c>
      <c r="F4" s="203" t="s">
        <v>22</v>
      </c>
      <c r="G4" s="204" t="s">
        <v>56</v>
      </c>
      <c r="H4" s="204" t="s">
        <v>56</v>
      </c>
      <c r="I4" s="204" t="s">
        <v>56</v>
      </c>
      <c r="J4" s="205" t="s">
        <v>56</v>
      </c>
      <c r="K4" s="203" t="s">
        <v>56</v>
      </c>
      <c r="L4" s="205" t="s">
        <v>57</v>
      </c>
      <c r="M4" s="205" t="s">
        <v>57</v>
      </c>
      <c r="N4" s="206"/>
      <c r="O4" s="207"/>
    </row>
    <row r="5" spans="1:15" ht="18.75" customHeight="1">
      <c r="A5" s="179" t="str">
        <f>'2011 Rate Rider'!A3</f>
        <v>Residential</v>
      </c>
      <c r="B5" s="180">
        <f>0.0061+0.0051</f>
        <v>0.011200000000000002</v>
      </c>
      <c r="C5" s="181">
        <f aca="true" t="shared" si="0" ref="C5:C11">0.0052+0.0013+0.0003725</f>
        <v>0.0068725</v>
      </c>
      <c r="D5" s="181">
        <v>0.007</v>
      </c>
      <c r="E5" s="182">
        <f>SUM(B5:D5)</f>
        <v>0.0250725</v>
      </c>
      <c r="F5" s="183">
        <f aca="true" t="shared" si="1" ref="F5:F11">+E5</f>
        <v>0.0250725</v>
      </c>
      <c r="G5" s="199"/>
      <c r="H5" s="200"/>
      <c r="I5" s="200"/>
      <c r="J5" s="197"/>
      <c r="K5" s="201"/>
      <c r="L5" s="455">
        <v>0.065</v>
      </c>
      <c r="M5" s="455">
        <v>0.075</v>
      </c>
      <c r="N5" s="181">
        <v>1.0356</v>
      </c>
      <c r="O5" s="184">
        <v>1.0349</v>
      </c>
    </row>
    <row r="6" spans="1:15" ht="18.75" customHeight="1">
      <c r="A6" s="179" t="str">
        <f>'2011 Rate Rider'!A4</f>
        <v>GS &lt; 50 kW</v>
      </c>
      <c r="B6" s="185">
        <f>0.0055+0.0044</f>
        <v>0.009899999999999999</v>
      </c>
      <c r="C6" s="181">
        <f t="shared" si="0"/>
        <v>0.0068725</v>
      </c>
      <c r="D6" s="181">
        <v>0.007</v>
      </c>
      <c r="E6" s="182">
        <f aca="true" t="shared" si="2" ref="E6:E14">SUM(B6:D6)</f>
        <v>0.0237725</v>
      </c>
      <c r="F6" s="183">
        <f t="shared" si="1"/>
        <v>0.0237725</v>
      </c>
      <c r="G6" s="197"/>
      <c r="H6" s="197"/>
      <c r="I6" s="197"/>
      <c r="J6" s="197"/>
      <c r="K6" s="202"/>
      <c r="L6" s="455">
        <v>0.065</v>
      </c>
      <c r="M6" s="455">
        <v>0.075</v>
      </c>
      <c r="N6" s="181">
        <v>1.0356</v>
      </c>
      <c r="O6" s="184">
        <v>1.0349</v>
      </c>
    </row>
    <row r="7" spans="1:15" ht="18.75" customHeight="1">
      <c r="A7" s="179" t="str">
        <f>'2011 Rate Rider'!A5</f>
        <v>GS &gt;50 kW - Regular</v>
      </c>
      <c r="B7" s="197"/>
      <c r="C7" s="181">
        <f t="shared" si="0"/>
        <v>0.0068725</v>
      </c>
      <c r="D7" s="181">
        <f>0.007</f>
        <v>0.007</v>
      </c>
      <c r="E7" s="182">
        <f t="shared" si="2"/>
        <v>0.0138725</v>
      </c>
      <c r="F7" s="183">
        <f t="shared" si="1"/>
        <v>0.0138725</v>
      </c>
      <c r="G7" s="186">
        <f>2.1307+1.6973</f>
        <v>3.8280000000000003</v>
      </c>
      <c r="H7" s="197"/>
      <c r="I7" s="197"/>
      <c r="J7" s="182">
        <f>SUM(G7:I7)</f>
        <v>3.8280000000000003</v>
      </c>
      <c r="K7" s="183">
        <f>+J7</f>
        <v>3.8280000000000003</v>
      </c>
      <c r="L7" s="455">
        <v>0.06938</v>
      </c>
      <c r="M7" s="455">
        <v>0.06938</v>
      </c>
      <c r="N7" s="181">
        <v>1.0356</v>
      </c>
      <c r="O7" s="187">
        <v>1.0349</v>
      </c>
    </row>
    <row r="8" spans="1:15" ht="18.75" customHeight="1">
      <c r="A8" s="179" t="str">
        <f>'2011 Rate Rider'!A6</f>
        <v>GS &gt; 50 kW - Intermediate</v>
      </c>
      <c r="B8" s="197"/>
      <c r="C8" s="188">
        <f t="shared" si="0"/>
        <v>0.0068725</v>
      </c>
      <c r="D8" s="188">
        <v>0.007</v>
      </c>
      <c r="E8" s="182">
        <f>SUM(B8:D8)</f>
        <v>0.0138725</v>
      </c>
      <c r="F8" s="183">
        <f>+E8</f>
        <v>0.0138725</v>
      </c>
      <c r="G8" s="186">
        <f>2.1307+1.6973</f>
        <v>3.8280000000000003</v>
      </c>
      <c r="H8" s="197"/>
      <c r="I8" s="197"/>
      <c r="J8" s="182">
        <f>SUM(G8:I8)</f>
        <v>3.8280000000000003</v>
      </c>
      <c r="K8" s="183">
        <f>+J8</f>
        <v>3.8280000000000003</v>
      </c>
      <c r="L8" s="188">
        <v>0.06938</v>
      </c>
      <c r="M8" s="188">
        <v>0.06938</v>
      </c>
      <c r="N8" s="188">
        <v>1.0356</v>
      </c>
      <c r="O8" s="187">
        <v>1.0349</v>
      </c>
    </row>
    <row r="9" spans="1:15" ht="18.75" customHeight="1">
      <c r="A9" s="179" t="str">
        <f>'2011 Rate Rider'!A7</f>
        <v>Large Use</v>
      </c>
      <c r="B9" s="197"/>
      <c r="C9" s="181">
        <f t="shared" si="0"/>
        <v>0.0068725</v>
      </c>
      <c r="D9" s="181">
        <v>0.007</v>
      </c>
      <c r="E9" s="182">
        <f>SUM(B9:D9)</f>
        <v>0.0138725</v>
      </c>
      <c r="F9" s="183">
        <f t="shared" si="1"/>
        <v>0.0138725</v>
      </c>
      <c r="G9" s="186">
        <f>2.3896+1.8245</f>
        <v>4.2141</v>
      </c>
      <c r="H9" s="197"/>
      <c r="I9" s="197"/>
      <c r="J9" s="182">
        <f>SUM(G9:I9)</f>
        <v>4.2141</v>
      </c>
      <c r="K9" s="183">
        <f>+J9</f>
        <v>4.2141</v>
      </c>
      <c r="L9" s="188">
        <v>0.06938</v>
      </c>
      <c r="M9" s="188">
        <v>0.06938</v>
      </c>
      <c r="N9" s="188">
        <v>1.0045</v>
      </c>
      <c r="O9" s="187">
        <v>1.0025</v>
      </c>
    </row>
    <row r="10" spans="1:15" ht="18.75" customHeight="1">
      <c r="A10" s="179" t="str">
        <f>'2011 Rate Rider'!A8</f>
        <v>Street Lighting</v>
      </c>
      <c r="B10" s="197"/>
      <c r="C10" s="181">
        <f t="shared" si="0"/>
        <v>0.0068725</v>
      </c>
      <c r="D10" s="188">
        <v>0.007</v>
      </c>
      <c r="E10" s="182">
        <f>SUM(B10:D10)</f>
        <v>0.0138725</v>
      </c>
      <c r="F10" s="183">
        <f>+E10</f>
        <v>0.0138725</v>
      </c>
      <c r="G10" s="186">
        <f>1.7741+1.413</f>
        <v>3.1871</v>
      </c>
      <c r="H10" s="197"/>
      <c r="I10" s="197"/>
      <c r="J10" s="182">
        <f>SUM(G10:I10)</f>
        <v>3.1871</v>
      </c>
      <c r="K10" s="183">
        <f>+J10</f>
        <v>3.1871</v>
      </c>
      <c r="L10" s="455">
        <v>0.06938</v>
      </c>
      <c r="M10" s="455">
        <v>0.06938</v>
      </c>
      <c r="N10" s="181">
        <v>1.0356</v>
      </c>
      <c r="O10" s="187">
        <v>1.0349</v>
      </c>
    </row>
    <row r="11" spans="1:15" ht="18.75" customHeight="1">
      <c r="A11" s="179" t="str">
        <f>'2011 Rate Rider'!A9</f>
        <v>Unmetered Scattered Load</v>
      </c>
      <c r="B11" s="185">
        <f>0.0055+0.0044</f>
        <v>0.009899999999999999</v>
      </c>
      <c r="C11" s="455">
        <f t="shared" si="0"/>
        <v>0.0068725</v>
      </c>
      <c r="D11" s="188">
        <v>0.007</v>
      </c>
      <c r="E11" s="182">
        <f t="shared" si="2"/>
        <v>0.0237725</v>
      </c>
      <c r="F11" s="183">
        <f t="shared" si="1"/>
        <v>0.0237725</v>
      </c>
      <c r="G11" s="197"/>
      <c r="H11" s="197"/>
      <c r="I11" s="197"/>
      <c r="J11" s="197"/>
      <c r="K11" s="197"/>
      <c r="L11" s="188">
        <v>0.065</v>
      </c>
      <c r="M11" s="188">
        <v>0.075</v>
      </c>
      <c r="N11" s="188">
        <v>1.0356</v>
      </c>
      <c r="O11" s="187">
        <v>1.0349</v>
      </c>
    </row>
    <row r="12" spans="1:15" ht="18.75" customHeight="1">
      <c r="A12" s="448" t="str">
        <f>IF(+'Forecast Data For 2011'!$A$23=0," ",+'Forecast Data For 2011'!$A$23)</f>
        <v> </v>
      </c>
      <c r="B12" s="197"/>
      <c r="C12" s="197"/>
      <c r="D12" s="197"/>
      <c r="E12" s="182">
        <f>SUM(B12:D12)</f>
        <v>0</v>
      </c>
      <c r="F12" s="183">
        <f>+E12</f>
        <v>0</v>
      </c>
      <c r="G12" s="197"/>
      <c r="H12" s="197"/>
      <c r="I12" s="197"/>
      <c r="J12" s="197"/>
      <c r="K12" s="202"/>
      <c r="L12" s="197"/>
      <c r="M12" s="197"/>
      <c r="N12" s="197"/>
      <c r="O12" s="457"/>
    </row>
    <row r="13" spans="1:15" ht="18.75" customHeight="1">
      <c r="A13" s="448" t="str">
        <f>IF(+'Forecast Data For 2011'!$A$25=0," ",+'Forecast Data For 2011'!$A$25)</f>
        <v> </v>
      </c>
      <c r="B13" s="197"/>
      <c r="C13" s="197"/>
      <c r="D13" s="197"/>
      <c r="E13" s="182">
        <f>SUM(B13:D13)</f>
        <v>0</v>
      </c>
      <c r="F13" s="183">
        <f>+E13</f>
        <v>0</v>
      </c>
      <c r="G13" s="197"/>
      <c r="H13" s="197"/>
      <c r="I13" s="197"/>
      <c r="J13" s="197"/>
      <c r="K13" s="202"/>
      <c r="L13" s="197"/>
      <c r="M13" s="197"/>
      <c r="N13" s="197"/>
      <c r="O13" s="457"/>
    </row>
    <row r="14" spans="1:15" ht="18.75" customHeight="1" thickBot="1">
      <c r="A14" s="131" t="str">
        <f>IF(+'Forecast Data For 2011'!$A$27=0," ",+'Forecast Data For 2011'!$A$27)</f>
        <v> </v>
      </c>
      <c r="B14" s="198"/>
      <c r="C14" s="198"/>
      <c r="D14" s="198"/>
      <c r="E14" s="189">
        <f t="shared" si="2"/>
        <v>0</v>
      </c>
      <c r="F14" s="190">
        <v>0</v>
      </c>
      <c r="G14" s="198"/>
      <c r="H14" s="198"/>
      <c r="I14" s="198"/>
      <c r="J14" s="198"/>
      <c r="K14" s="456"/>
      <c r="L14" s="198"/>
      <c r="M14" s="198"/>
      <c r="N14" s="198"/>
      <c r="O14" s="458"/>
    </row>
    <row r="15" spans="1:14" ht="15">
      <c r="A15" s="24"/>
      <c r="B15" s="25"/>
      <c r="E15" s="26"/>
      <c r="F15" s="27"/>
      <c r="J15" s="26"/>
      <c r="K15" s="27"/>
      <c r="L15" s="26"/>
      <c r="M15" s="26"/>
      <c r="N15" s="23"/>
    </row>
    <row r="16" spans="1:14" ht="15.75" thickBot="1">
      <c r="A16" s="24"/>
      <c r="B16" s="25"/>
      <c r="E16" s="26"/>
      <c r="F16" s="27"/>
      <c r="J16" s="26"/>
      <c r="K16" s="27"/>
      <c r="L16" s="26"/>
      <c r="M16" s="26"/>
      <c r="N16" s="23"/>
    </row>
    <row r="17" spans="1:16" ht="16.5" thickBot="1">
      <c r="A17" s="62"/>
      <c r="B17" s="63"/>
      <c r="C17" s="64"/>
      <c r="D17" s="64"/>
      <c r="E17" s="65"/>
      <c r="F17" s="66"/>
      <c r="G17" s="63"/>
      <c r="H17" s="67"/>
      <c r="I17" s="67"/>
      <c r="J17" s="68"/>
      <c r="K17" s="66"/>
      <c r="L17" s="69"/>
      <c r="M17" s="68"/>
      <c r="N17" s="67"/>
      <c r="O17" s="67"/>
      <c r="P17" s="70"/>
    </row>
    <row r="18" spans="1:16" ht="15.75">
      <c r="A18" s="615" t="s">
        <v>146</v>
      </c>
      <c r="B18" s="616"/>
      <c r="C18" s="616"/>
      <c r="D18" s="616"/>
      <c r="E18" s="616"/>
      <c r="F18" s="616"/>
      <c r="G18" s="616"/>
      <c r="H18" s="616"/>
      <c r="I18" s="616"/>
      <c r="J18" s="616"/>
      <c r="K18" s="616"/>
      <c r="L18" s="616"/>
      <c r="M18" s="616"/>
      <c r="N18" s="616"/>
      <c r="O18" s="617"/>
      <c r="P18" s="71"/>
    </row>
    <row r="19" spans="1:16" ht="15.75">
      <c r="A19" s="611" t="s">
        <v>58</v>
      </c>
      <c r="B19" s="612"/>
      <c r="C19" s="612"/>
      <c r="D19" s="612"/>
      <c r="E19" s="612"/>
      <c r="F19" s="612"/>
      <c r="G19" s="612"/>
      <c r="H19" s="612"/>
      <c r="I19" s="612"/>
      <c r="J19" s="612"/>
      <c r="K19" s="612"/>
      <c r="L19" s="612"/>
      <c r="M19" s="612"/>
      <c r="N19" s="191">
        <v>1.0045</v>
      </c>
      <c r="O19" s="192">
        <v>1.0025</v>
      </c>
      <c r="P19" s="71"/>
    </row>
    <row r="20" spans="1:16" ht="15.75">
      <c r="A20" s="611" t="s">
        <v>59</v>
      </c>
      <c r="B20" s="612"/>
      <c r="C20" s="612"/>
      <c r="D20" s="612"/>
      <c r="E20" s="612"/>
      <c r="F20" s="612"/>
      <c r="G20" s="612"/>
      <c r="H20" s="612"/>
      <c r="I20" s="612"/>
      <c r="J20" s="612"/>
      <c r="K20" s="612"/>
      <c r="L20" s="612"/>
      <c r="M20" s="612"/>
      <c r="N20" s="191">
        <v>1.031</v>
      </c>
      <c r="O20" s="192">
        <v>1.03236</v>
      </c>
      <c r="P20" s="71"/>
    </row>
    <row r="21" spans="1:16" ht="15.75">
      <c r="A21" s="611" t="s">
        <v>60</v>
      </c>
      <c r="B21" s="612"/>
      <c r="C21" s="612"/>
      <c r="D21" s="612"/>
      <c r="E21" s="612"/>
      <c r="F21" s="612"/>
      <c r="G21" s="612"/>
      <c r="H21" s="612"/>
      <c r="I21" s="612"/>
      <c r="J21" s="612"/>
      <c r="K21" s="612"/>
      <c r="L21" s="612"/>
      <c r="M21" s="612"/>
      <c r="N21" s="191">
        <v>1.01</v>
      </c>
      <c r="O21" s="192">
        <v>1.01</v>
      </c>
      <c r="P21" s="71"/>
    </row>
    <row r="22" spans="1:16" ht="15.75">
      <c r="A22" s="611" t="s">
        <v>61</v>
      </c>
      <c r="B22" s="612"/>
      <c r="C22" s="612"/>
      <c r="D22" s="612"/>
      <c r="E22" s="612"/>
      <c r="F22" s="612"/>
      <c r="G22" s="612"/>
      <c r="H22" s="612"/>
      <c r="I22" s="612"/>
      <c r="J22" s="612"/>
      <c r="K22" s="612"/>
      <c r="L22" s="612"/>
      <c r="M22" s="612"/>
      <c r="N22" s="193">
        <f>+N20*0.99</f>
        <v>1.0206899999999999</v>
      </c>
      <c r="O22" s="194">
        <f>+O20*0.99</f>
        <v>1.0220364</v>
      </c>
      <c r="P22" s="71"/>
    </row>
    <row r="23" spans="1:16" ht="15.75">
      <c r="A23" s="611" t="s">
        <v>62</v>
      </c>
      <c r="B23" s="612"/>
      <c r="C23" s="612"/>
      <c r="D23" s="612"/>
      <c r="E23" s="612"/>
      <c r="F23" s="612"/>
      <c r="G23" s="612"/>
      <c r="H23" s="612"/>
      <c r="I23" s="612"/>
      <c r="J23" s="612"/>
      <c r="K23" s="612"/>
      <c r="L23" s="612"/>
      <c r="M23" s="612"/>
      <c r="N23" s="193">
        <v>1</v>
      </c>
      <c r="O23" s="194">
        <v>1</v>
      </c>
      <c r="P23" s="71"/>
    </row>
    <row r="24" spans="1:16" ht="15.75">
      <c r="A24" s="611" t="s">
        <v>63</v>
      </c>
      <c r="B24" s="612"/>
      <c r="C24" s="612"/>
      <c r="D24" s="612"/>
      <c r="E24" s="612"/>
      <c r="F24" s="612"/>
      <c r="G24" s="612"/>
      <c r="H24" s="612"/>
      <c r="I24" s="612"/>
      <c r="J24" s="612"/>
      <c r="K24" s="612"/>
      <c r="L24" s="612"/>
      <c r="M24" s="612"/>
      <c r="N24" s="193">
        <f>+N20*N19</f>
        <v>1.0356394999999998</v>
      </c>
      <c r="O24" s="194">
        <f>+O20*O19</f>
        <v>1.0349408999999998</v>
      </c>
      <c r="P24" s="71"/>
    </row>
    <row r="25" spans="1:16" ht="15.75">
      <c r="A25" s="611" t="s">
        <v>64</v>
      </c>
      <c r="B25" s="612"/>
      <c r="C25" s="612"/>
      <c r="D25" s="612"/>
      <c r="E25" s="612"/>
      <c r="F25" s="612"/>
      <c r="G25" s="612"/>
      <c r="H25" s="612"/>
      <c r="I25" s="612"/>
      <c r="J25" s="612"/>
      <c r="K25" s="612"/>
      <c r="L25" s="612"/>
      <c r="M25" s="612"/>
      <c r="N25" s="193">
        <f>+N21*N19</f>
        <v>1.014545</v>
      </c>
      <c r="O25" s="194">
        <f>+O21*O19</f>
        <v>1.012525</v>
      </c>
      <c r="P25" s="71"/>
    </row>
    <row r="26" spans="1:16" ht="15.75">
      <c r="A26" s="611" t="s">
        <v>65</v>
      </c>
      <c r="B26" s="612"/>
      <c r="C26" s="612"/>
      <c r="D26" s="612"/>
      <c r="E26" s="612"/>
      <c r="F26" s="612"/>
      <c r="G26" s="612"/>
      <c r="H26" s="612"/>
      <c r="I26" s="612"/>
      <c r="J26" s="612"/>
      <c r="K26" s="612"/>
      <c r="L26" s="612"/>
      <c r="M26" s="612"/>
      <c r="N26" s="193">
        <f>+N24*0.99</f>
        <v>1.0252831049999998</v>
      </c>
      <c r="O26" s="194">
        <f>+O24*0.99</f>
        <v>1.0245914909999998</v>
      </c>
      <c r="P26" s="71"/>
    </row>
    <row r="27" spans="1:16" ht="16.5" thickBot="1">
      <c r="A27" s="613" t="s">
        <v>66</v>
      </c>
      <c r="B27" s="614"/>
      <c r="C27" s="614"/>
      <c r="D27" s="614"/>
      <c r="E27" s="614"/>
      <c r="F27" s="614"/>
      <c r="G27" s="614"/>
      <c r="H27" s="614"/>
      <c r="I27" s="614"/>
      <c r="J27" s="614"/>
      <c r="K27" s="614"/>
      <c r="L27" s="614"/>
      <c r="M27" s="614"/>
      <c r="N27" s="195">
        <f>+N19</f>
        <v>1.0045</v>
      </c>
      <c r="O27" s="196">
        <f>+O19</f>
        <v>1.0025</v>
      </c>
      <c r="P27" s="71"/>
    </row>
    <row r="28" spans="1:16" ht="16.5" thickBot="1">
      <c r="A28" s="72"/>
      <c r="B28" s="73"/>
      <c r="C28" s="73"/>
      <c r="D28" s="73"/>
      <c r="E28" s="73"/>
      <c r="F28" s="73"/>
      <c r="G28" s="74"/>
      <c r="H28" s="74"/>
      <c r="I28" s="74"/>
      <c r="J28" s="74"/>
      <c r="K28" s="74"/>
      <c r="L28" s="74"/>
      <c r="M28" s="74"/>
      <c r="N28" s="75"/>
      <c r="O28" s="76"/>
      <c r="P28" s="77"/>
    </row>
    <row r="30" spans="13:15" ht="12.75">
      <c r="M30" s="47"/>
      <c r="N30" s="8"/>
      <c r="O30" s="8"/>
    </row>
    <row r="32" spans="7:11" ht="12.75">
      <c r="G32" s="47"/>
      <c r="H32" s="8"/>
      <c r="I32" s="8"/>
      <c r="J32" s="8"/>
      <c r="K32" s="8"/>
    </row>
  </sheetData>
  <sheetProtection/>
  <mergeCells count="16">
    <mergeCell ref="A1:O1"/>
    <mergeCell ref="A26:M26"/>
    <mergeCell ref="A27:M27"/>
    <mergeCell ref="A18:O18"/>
    <mergeCell ref="A19:M19"/>
    <mergeCell ref="A20:M20"/>
    <mergeCell ref="A21:M21"/>
    <mergeCell ref="A22:M22"/>
    <mergeCell ref="A23:M23"/>
    <mergeCell ref="A24:M24"/>
    <mergeCell ref="A25:M25"/>
    <mergeCell ref="A2:A4"/>
    <mergeCell ref="B2:F2"/>
    <mergeCell ref="G2:K2"/>
    <mergeCell ref="L2:M2"/>
    <mergeCell ref="N2:O2"/>
  </mergeCells>
  <printOptions headings="1"/>
  <pageMargins left="0.7480314960629921" right="0.7480314960629921" top="0.984251968503937" bottom="0.984251968503937" header="0.5118110236220472" footer="0.5118110236220472"/>
  <pageSetup fitToHeight="1" fitToWidth="1" horizontalDpi="355" verticalDpi="355" orientation="landscape" scale="58" r:id="rId1"/>
  <ignoredErrors>
    <ignoredError sqref="D7" unlocked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dimension ref="A1:R578"/>
  <sheetViews>
    <sheetView showGridLines="0" zoomScale="85" zoomScaleNormal="85" zoomScalePageLayoutView="0" workbookViewId="0" topLeftCell="E558">
      <selection activeCell="L597" sqref="L597"/>
    </sheetView>
  </sheetViews>
  <sheetFormatPr defaultColWidth="9.140625" defaultRowHeight="12.75"/>
  <cols>
    <col min="1" max="1" width="0" style="0" hidden="1" customWidth="1"/>
    <col min="2" max="2" width="1.57421875" style="0" customWidth="1"/>
    <col min="3" max="3" width="18.57421875" style="0" customWidth="1"/>
    <col min="4" max="4" width="15.8515625" style="0" customWidth="1"/>
    <col min="5" max="5" width="1.28515625" style="0" customWidth="1"/>
    <col min="6" max="6" width="34.00390625" style="0" customWidth="1"/>
    <col min="7" max="7" width="10.8515625" style="0" bestFit="1" customWidth="1"/>
    <col min="8" max="8" width="9.57421875" style="0" bestFit="1" customWidth="1"/>
    <col min="9" max="9" width="13.7109375" style="0" bestFit="1" customWidth="1"/>
    <col min="10" max="10" width="10.8515625" style="0" bestFit="1" customWidth="1"/>
    <col min="11" max="11" width="9.57421875" style="0" bestFit="1" customWidth="1"/>
    <col min="12" max="12" width="14.7109375" style="0" bestFit="1" customWidth="1"/>
    <col min="13" max="13" width="13.421875" style="0" bestFit="1" customWidth="1"/>
    <col min="14" max="14" width="10.8515625" style="0" bestFit="1" customWidth="1"/>
    <col min="15" max="15" width="13.8515625" style="0" bestFit="1" customWidth="1"/>
    <col min="16" max="16" width="1.57421875" style="0" customWidth="1"/>
    <col min="18" max="18" width="9.421875" style="0" bestFit="1" customWidth="1"/>
  </cols>
  <sheetData>
    <row r="1" spans="1:15" ht="12.75">
      <c r="A1" s="50"/>
      <c r="B1" s="8"/>
      <c r="C1" s="576"/>
      <c r="D1" s="576"/>
      <c r="E1" s="576"/>
      <c r="F1" s="576"/>
      <c r="G1" s="576"/>
      <c r="H1" s="576"/>
      <c r="I1" s="576"/>
      <c r="J1" s="576"/>
      <c r="K1" s="576"/>
      <c r="L1" s="576"/>
      <c r="M1" s="576"/>
      <c r="N1" s="576"/>
      <c r="O1" s="576"/>
    </row>
    <row r="2" spans="1:15" ht="20.25">
      <c r="A2" s="50"/>
      <c r="B2" s="8"/>
      <c r="C2" s="588" t="s">
        <v>197</v>
      </c>
      <c r="D2" s="588"/>
      <c r="E2" s="588"/>
      <c r="F2" s="588"/>
      <c r="G2" s="588"/>
      <c r="H2" s="588"/>
      <c r="I2" s="588"/>
      <c r="J2" s="588"/>
      <c r="K2" s="588"/>
      <c r="L2" s="588"/>
      <c r="M2" s="588"/>
      <c r="N2" s="588"/>
      <c r="O2" s="588"/>
    </row>
    <row r="3" spans="1:15" ht="18">
      <c r="A3" s="50"/>
      <c r="B3" s="8"/>
      <c r="C3" s="586"/>
      <c r="D3" s="586"/>
      <c r="E3" s="586"/>
      <c r="F3" s="586"/>
      <c r="G3" s="586"/>
      <c r="H3" s="586"/>
      <c r="I3" s="586"/>
      <c r="J3" s="586"/>
      <c r="K3" s="586"/>
      <c r="L3" s="586"/>
      <c r="M3" s="586"/>
      <c r="N3" s="586"/>
      <c r="O3" s="586"/>
    </row>
    <row r="4" spans="1:15" ht="18" customHeight="1" thickBot="1">
      <c r="A4" s="50"/>
      <c r="B4" s="576"/>
      <c r="C4" s="576"/>
      <c r="D4" s="576"/>
      <c r="E4" s="576"/>
      <c r="F4" s="576"/>
      <c r="G4" s="576"/>
      <c r="H4" s="576"/>
      <c r="I4" s="576"/>
      <c r="J4" s="576"/>
      <c r="K4" s="576"/>
      <c r="L4" s="576"/>
      <c r="M4" s="576"/>
      <c r="N4" s="576"/>
      <c r="O4" s="576"/>
    </row>
    <row r="5" spans="1:16" ht="8.25" customHeight="1">
      <c r="A5" s="16"/>
      <c r="B5" s="37"/>
      <c r="C5" s="630"/>
      <c r="D5" s="630"/>
      <c r="E5" s="630"/>
      <c r="F5" s="630"/>
      <c r="G5" s="630"/>
      <c r="H5" s="630"/>
      <c r="I5" s="630"/>
      <c r="J5" s="630"/>
      <c r="K5" s="630"/>
      <c r="L5" s="630"/>
      <c r="M5" s="630"/>
      <c r="N5" s="630"/>
      <c r="O5" s="630"/>
      <c r="P5" s="70"/>
    </row>
    <row r="6" spans="2:16" ht="23.25">
      <c r="B6" s="78"/>
      <c r="C6" s="626" t="s">
        <v>48</v>
      </c>
      <c r="D6" s="626"/>
      <c r="E6" s="626"/>
      <c r="F6" s="626"/>
      <c r="G6" s="626"/>
      <c r="H6" s="626"/>
      <c r="I6" s="626"/>
      <c r="J6" s="626"/>
      <c r="K6" s="626"/>
      <c r="L6" s="626"/>
      <c r="M6" s="626"/>
      <c r="N6" s="626"/>
      <c r="O6" s="626"/>
      <c r="P6" s="71"/>
    </row>
    <row r="7" spans="2:16" ht="18.75" thickBot="1">
      <c r="B7" s="78"/>
      <c r="C7" s="629"/>
      <c r="D7" s="629"/>
      <c r="E7" s="629"/>
      <c r="F7" s="629"/>
      <c r="G7" s="629"/>
      <c r="H7" s="629"/>
      <c r="I7" s="629"/>
      <c r="J7" s="629"/>
      <c r="K7" s="629"/>
      <c r="L7" s="629"/>
      <c r="M7" s="629"/>
      <c r="N7" s="629"/>
      <c r="O7" s="629"/>
      <c r="P7" s="71"/>
    </row>
    <row r="8" spans="2:16" ht="21" thickBot="1">
      <c r="B8" s="78"/>
      <c r="C8" s="80"/>
      <c r="D8" s="80"/>
      <c r="E8" s="29"/>
      <c r="F8" s="35"/>
      <c r="G8" s="633" t="s">
        <v>174</v>
      </c>
      <c r="H8" s="634"/>
      <c r="I8" s="635"/>
      <c r="J8" s="633" t="s">
        <v>196</v>
      </c>
      <c r="K8" s="634"/>
      <c r="L8" s="635"/>
      <c r="M8" s="633" t="s">
        <v>74</v>
      </c>
      <c r="N8" s="634"/>
      <c r="O8" s="635"/>
      <c r="P8" s="71"/>
    </row>
    <row r="9" spans="2:16" ht="26.25" thickBot="1">
      <c r="B9" s="78"/>
      <c r="C9" s="29"/>
      <c r="D9" s="29"/>
      <c r="E9" s="31"/>
      <c r="F9" s="36"/>
      <c r="G9" s="490" t="s">
        <v>68</v>
      </c>
      <c r="H9" s="484" t="s">
        <v>69</v>
      </c>
      <c r="I9" s="485" t="s">
        <v>70</v>
      </c>
      <c r="J9" s="490" t="s">
        <v>68</v>
      </c>
      <c r="K9" s="484" t="s">
        <v>69</v>
      </c>
      <c r="L9" s="485" t="s">
        <v>70</v>
      </c>
      <c r="M9" s="491" t="s">
        <v>75</v>
      </c>
      <c r="N9" s="492" t="s">
        <v>76</v>
      </c>
      <c r="O9" s="493" t="s">
        <v>77</v>
      </c>
      <c r="P9" s="71"/>
    </row>
    <row r="10" spans="2:16" ht="18" customHeight="1">
      <c r="B10" s="78"/>
      <c r="C10" s="631" t="s">
        <v>71</v>
      </c>
      <c r="D10" s="632"/>
      <c r="E10" s="29"/>
      <c r="F10" s="221" t="s">
        <v>72</v>
      </c>
      <c r="G10" s="459"/>
      <c r="H10" s="459"/>
      <c r="I10" s="460">
        <f>+'2010 Existing Rates'!$C$5</f>
        <v>10.6</v>
      </c>
      <c r="J10" s="459"/>
      <c r="K10" s="459"/>
      <c r="L10" s="461">
        <f>+'Distribution Rate Schedule'!$C$32</f>
        <v>10.66</v>
      </c>
      <c r="M10" s="461">
        <f aca="true" t="shared" si="0" ref="M10:M15">+L10-I10</f>
        <v>0.0600000000000005</v>
      </c>
      <c r="N10" s="462">
        <f>+M10/I10</f>
        <v>0.005660377358490613</v>
      </c>
      <c r="O10" s="463">
        <f aca="true" t="shared" si="1" ref="O10:O15">L10/$L$21</f>
        <v>0.41905626658873046</v>
      </c>
      <c r="P10" s="71"/>
    </row>
    <row r="11" spans="2:16" ht="18" customHeight="1" thickBot="1">
      <c r="B11" s="78"/>
      <c r="C11" s="214">
        <v>100</v>
      </c>
      <c r="D11" s="215" t="s">
        <v>16</v>
      </c>
      <c r="E11" s="29"/>
      <c r="F11" s="107" t="s">
        <v>73</v>
      </c>
      <c r="G11" s="464">
        <f>+C11</f>
        <v>100</v>
      </c>
      <c r="H11" s="465">
        <f>+'2010 Existing Rates'!$E$5</f>
        <v>0.0154</v>
      </c>
      <c r="I11" s="466">
        <f>+G11*H11</f>
        <v>1.54</v>
      </c>
      <c r="J11" s="464">
        <f>+C11</f>
        <v>100</v>
      </c>
      <c r="K11" s="467">
        <f>+'Distribution Rate Schedule'!$E$32</f>
        <v>0.0155</v>
      </c>
      <c r="L11" s="468">
        <f>+J11*K11</f>
        <v>1.55</v>
      </c>
      <c r="M11" s="468">
        <f t="shared" si="0"/>
        <v>0.010000000000000009</v>
      </c>
      <c r="N11" s="469">
        <f>+M11/I11</f>
        <v>0.006493506493506499</v>
      </c>
      <c r="O11" s="470">
        <f t="shared" si="1"/>
        <v>0.06093219636140077</v>
      </c>
      <c r="P11" s="71"/>
    </row>
    <row r="12" spans="2:16" ht="18" customHeight="1">
      <c r="B12" s="78"/>
      <c r="C12" s="52"/>
      <c r="D12" s="53"/>
      <c r="E12" s="29"/>
      <c r="F12" s="107" t="s">
        <v>144</v>
      </c>
      <c r="G12" s="471"/>
      <c r="H12" s="471"/>
      <c r="I12" s="466">
        <f>'2010 Existing Rates'!B$62</f>
        <v>1</v>
      </c>
      <c r="J12" s="471"/>
      <c r="K12" s="471"/>
      <c r="L12" s="468">
        <f>'2011 Rate Rider'!D$3</f>
        <v>1.18</v>
      </c>
      <c r="M12" s="468">
        <f t="shared" si="0"/>
        <v>0.17999999999999994</v>
      </c>
      <c r="N12" s="469">
        <f>+M12/I12</f>
        <v>0.17999999999999994</v>
      </c>
      <c r="O12" s="470">
        <f t="shared" si="1"/>
        <v>0.046387091423518004</v>
      </c>
      <c r="P12" s="71"/>
    </row>
    <row r="13" spans="2:16" ht="18" customHeight="1">
      <c r="B13" s="78"/>
      <c r="C13" s="52"/>
      <c r="D13" s="53"/>
      <c r="E13" s="29"/>
      <c r="F13" s="107" t="s">
        <v>137</v>
      </c>
      <c r="G13" s="464">
        <f>C11</f>
        <v>100</v>
      </c>
      <c r="H13" s="465">
        <v>0</v>
      </c>
      <c r="I13" s="466">
        <f>G13*H13</f>
        <v>0</v>
      </c>
      <c r="J13" s="464">
        <f>C11</f>
        <v>100</v>
      </c>
      <c r="K13" s="467">
        <f>'LRAM and SSM Rate Rider'!L$6</f>
        <v>0</v>
      </c>
      <c r="L13" s="468">
        <f>J13*K13</f>
        <v>0</v>
      </c>
      <c r="M13" s="468">
        <f t="shared" si="0"/>
        <v>0</v>
      </c>
      <c r="N13" s="469">
        <f>IF(I13=0,0,M13/I13)</f>
        <v>0</v>
      </c>
      <c r="O13" s="470">
        <f t="shared" si="1"/>
        <v>0</v>
      </c>
      <c r="P13" s="71"/>
    </row>
    <row r="14" spans="2:16" ht="18" customHeight="1">
      <c r="B14" s="78"/>
      <c r="C14" s="29"/>
      <c r="D14" s="29"/>
      <c r="E14" s="29"/>
      <c r="F14" s="496" t="s">
        <v>241</v>
      </c>
      <c r="G14" s="472">
        <f>+C11</f>
        <v>100</v>
      </c>
      <c r="H14" s="517">
        <f>+'2010 Existing Rates'!$B$20</f>
        <v>-0.002</v>
      </c>
      <c r="I14" s="468">
        <f>+G14*H14</f>
        <v>-0.2</v>
      </c>
      <c r="J14" s="472">
        <f>C11</f>
        <v>100</v>
      </c>
      <c r="K14" s="517">
        <f>+'2011 Rate Rider'!$B$3</f>
        <v>-0.002</v>
      </c>
      <c r="L14" s="468">
        <f>+J14*K14</f>
        <v>-0.2</v>
      </c>
      <c r="M14" s="468">
        <f t="shared" si="0"/>
        <v>0</v>
      </c>
      <c r="N14" s="469">
        <f>+M14/I14</f>
        <v>0</v>
      </c>
      <c r="O14" s="470">
        <f t="shared" si="1"/>
        <v>-0.007862218885342035</v>
      </c>
      <c r="P14" s="71"/>
    </row>
    <row r="15" spans="2:16" ht="18" customHeight="1" thickBot="1">
      <c r="B15" s="78"/>
      <c r="C15" s="29"/>
      <c r="D15" s="29"/>
      <c r="E15" s="29"/>
      <c r="F15" s="496" t="s">
        <v>242</v>
      </c>
      <c r="G15" s="472">
        <f>G14</f>
        <v>100</v>
      </c>
      <c r="H15" s="498">
        <v>0</v>
      </c>
      <c r="I15" s="466">
        <f>G15*H15</f>
        <v>0</v>
      </c>
      <c r="J15" s="472">
        <f>C11</f>
        <v>100</v>
      </c>
      <c r="K15" s="465">
        <f>'2011 Rate Rider'!B$27</f>
        <v>0</v>
      </c>
      <c r="L15" s="468">
        <f>+J15*K15</f>
        <v>0</v>
      </c>
      <c r="M15" s="468">
        <f t="shared" si="0"/>
        <v>0</v>
      </c>
      <c r="N15" s="469">
        <f>IF(I15=0,0,M15/I15)</f>
        <v>0</v>
      </c>
      <c r="O15" s="470">
        <f t="shared" si="1"/>
        <v>0</v>
      </c>
      <c r="P15" s="71"/>
    </row>
    <row r="16" spans="2:16" s="111" customFormat="1" ht="18" customHeight="1" thickBot="1">
      <c r="B16" s="216"/>
      <c r="C16" s="29"/>
      <c r="D16" s="29"/>
      <c r="E16" s="29"/>
      <c r="F16" s="219" t="s">
        <v>78</v>
      </c>
      <c r="G16" s="637"/>
      <c r="H16" s="637"/>
      <c r="I16" s="473">
        <f>SUM(I10:I15)</f>
        <v>12.940000000000001</v>
      </c>
      <c r="J16" s="637"/>
      <c r="K16" s="637"/>
      <c r="L16" s="473">
        <f>SUM(L10:L15)</f>
        <v>13.190000000000001</v>
      </c>
      <c r="M16" s="474">
        <f>SUM(M10:M15)</f>
        <v>0.25000000000000044</v>
      </c>
      <c r="N16" s="475">
        <f>+M16/I16</f>
        <v>0.019319938176197867</v>
      </c>
      <c r="O16" s="476">
        <f>L16/L21</f>
        <v>0.5185133354883072</v>
      </c>
      <c r="P16" s="217"/>
    </row>
    <row r="17" spans="2:16" ht="18" customHeight="1">
      <c r="B17" s="78"/>
      <c r="C17" s="29"/>
      <c r="D17" s="29"/>
      <c r="E17" s="29"/>
      <c r="F17" s="107" t="s">
        <v>79</v>
      </c>
      <c r="G17" s="464">
        <f>C$11*'Other Electriciy Rates'!N$5</f>
        <v>103.56</v>
      </c>
      <c r="H17" s="477">
        <f>+'Other Electriciy Rates'!$E$5</f>
        <v>0.0250725</v>
      </c>
      <c r="I17" s="466">
        <f>+G17*H17</f>
        <v>2.5965081000000003</v>
      </c>
      <c r="J17" s="464">
        <f>+C11*'Other Electriciy Rates'!$O$5</f>
        <v>103.49</v>
      </c>
      <c r="K17" s="477">
        <f>+'Other Electriciy Rates'!$F$5</f>
        <v>0.0250725</v>
      </c>
      <c r="L17" s="468">
        <f>+J17*K17</f>
        <v>2.594753025</v>
      </c>
      <c r="M17" s="468">
        <f>+L17-I17</f>
        <v>-0.0017550750000001614</v>
      </c>
      <c r="N17" s="469">
        <f>+M17/I17</f>
        <v>-0.0006759366550792433</v>
      </c>
      <c r="O17" s="470">
        <f>L17/$L$21</f>
        <v>0.10200258117976688</v>
      </c>
      <c r="P17" s="71"/>
    </row>
    <row r="18" spans="2:16" ht="18" customHeight="1" thickBot="1">
      <c r="B18" s="78"/>
      <c r="C18" s="29"/>
      <c r="D18" s="29"/>
      <c r="E18" s="29"/>
      <c r="F18" s="107" t="s">
        <v>80</v>
      </c>
      <c r="G18" s="464">
        <f>C$11*'Other Electriciy Rates'!N$5</f>
        <v>103.56</v>
      </c>
      <c r="H18" s="477">
        <f>+'Other Electriciy Rates'!$L$5</f>
        <v>0.065</v>
      </c>
      <c r="I18" s="466">
        <f>+G18*H18</f>
        <v>6.731400000000001</v>
      </c>
      <c r="J18" s="464">
        <f>+C11*'Other Electriciy Rates'!$O$5</f>
        <v>103.49</v>
      </c>
      <c r="K18" s="477">
        <f>'Other Electriciy Rates'!L$5</f>
        <v>0.065</v>
      </c>
      <c r="L18" s="468">
        <f>+J18*K18</f>
        <v>6.72685</v>
      </c>
      <c r="M18" s="468">
        <f>+L18-I18</f>
        <v>-0.004550000000000942</v>
      </c>
      <c r="N18" s="469">
        <f>+M18/I18</f>
        <v>-0.000675936655079321</v>
      </c>
      <c r="O18" s="470">
        <f>L18/$L$21</f>
        <v>0.2644398355443153</v>
      </c>
      <c r="P18" s="71"/>
    </row>
    <row r="19" spans="2:16" s="111" customFormat="1" ht="18" customHeight="1" thickBot="1">
      <c r="B19" s="216"/>
      <c r="C19" s="29"/>
      <c r="D19" s="29"/>
      <c r="E19" s="29"/>
      <c r="F19" s="219" t="s">
        <v>172</v>
      </c>
      <c r="G19" s="637"/>
      <c r="H19" s="637"/>
      <c r="I19" s="473">
        <f>SUM(I16:I18)</f>
        <v>22.267908100000003</v>
      </c>
      <c r="J19" s="637"/>
      <c r="K19" s="637"/>
      <c r="L19" s="473">
        <f>SUM(L16:L18)</f>
        <v>22.511603025</v>
      </c>
      <c r="M19" s="474">
        <f>SUM(M16:M18)</f>
        <v>0.24369492499999934</v>
      </c>
      <c r="N19" s="475">
        <f>+M19/I19</f>
        <v>0.010943772711186971</v>
      </c>
      <c r="O19" s="476">
        <f>L19/L21</f>
        <v>0.8849557522123894</v>
      </c>
      <c r="P19" s="218"/>
    </row>
    <row r="20" spans="2:18" s="111" customFormat="1" ht="18" customHeight="1" thickBot="1">
      <c r="B20" s="216"/>
      <c r="C20" s="29"/>
      <c r="D20" s="29"/>
      <c r="E20" s="29"/>
      <c r="F20" s="496" t="s">
        <v>252</v>
      </c>
      <c r="G20" s="464"/>
      <c r="H20" s="478">
        <v>0.13</v>
      </c>
      <c r="I20" s="466">
        <f>I19*H20</f>
        <v>2.8948280530000003</v>
      </c>
      <c r="J20" s="464"/>
      <c r="K20" s="478">
        <v>0.13</v>
      </c>
      <c r="L20" s="468">
        <f>L19*K20</f>
        <v>2.9265083932500002</v>
      </c>
      <c r="M20" s="468">
        <f>+L20-I20</f>
        <v>0.03168034024999988</v>
      </c>
      <c r="N20" s="469">
        <f>+M20/I20</f>
        <v>0.010943772711186961</v>
      </c>
      <c r="O20" s="470">
        <f>L20/$L$21</f>
        <v>0.11504424778761063</v>
      </c>
      <c r="P20" s="217"/>
      <c r="R20" s="499"/>
    </row>
    <row r="21" spans="2:16" s="111" customFormat="1" ht="18" customHeight="1" thickBot="1">
      <c r="B21" s="216"/>
      <c r="C21" s="29"/>
      <c r="D21" s="29"/>
      <c r="E21" s="33"/>
      <c r="F21" s="220" t="s">
        <v>81</v>
      </c>
      <c r="G21" s="638"/>
      <c r="H21" s="638"/>
      <c r="I21" s="473">
        <f>SUM(I19:I20)</f>
        <v>25.162736153000004</v>
      </c>
      <c r="J21" s="639"/>
      <c r="K21" s="639"/>
      <c r="L21" s="473">
        <f>SUM(L19:L20)</f>
        <v>25.43811141825</v>
      </c>
      <c r="M21" s="474">
        <f>SUM(M19:M20)</f>
        <v>0.2753752652499992</v>
      </c>
      <c r="N21" s="475">
        <f>+M21/I21</f>
        <v>0.01094377271118697</v>
      </c>
      <c r="O21" s="476">
        <f>O19+O20</f>
        <v>1</v>
      </c>
      <c r="P21" s="217"/>
    </row>
    <row r="22" spans="2:16" ht="5.25" customHeight="1" thickBot="1">
      <c r="B22" s="72"/>
      <c r="C22" s="636"/>
      <c r="D22" s="636"/>
      <c r="E22" s="636"/>
      <c r="F22" s="636"/>
      <c r="G22" s="636"/>
      <c r="H22" s="636"/>
      <c r="I22" s="636"/>
      <c r="J22" s="636"/>
      <c r="K22" s="636"/>
      <c r="L22" s="636"/>
      <c r="M22" s="636"/>
      <c r="N22" s="636"/>
      <c r="O22" s="636"/>
      <c r="P22" s="77"/>
    </row>
    <row r="23" spans="2:16" ht="5.25" customHeight="1" thickBot="1">
      <c r="B23" s="23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23"/>
    </row>
    <row r="24" spans="2:16" ht="5.25" customHeight="1">
      <c r="B24" s="82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70"/>
    </row>
    <row r="25" spans="2:16" ht="23.25">
      <c r="B25" s="78"/>
      <c r="C25" s="626" t="s">
        <v>48</v>
      </c>
      <c r="D25" s="626"/>
      <c r="E25" s="626"/>
      <c r="F25" s="626"/>
      <c r="G25" s="626"/>
      <c r="H25" s="626"/>
      <c r="I25" s="626"/>
      <c r="J25" s="626"/>
      <c r="K25" s="626"/>
      <c r="L25" s="626"/>
      <c r="M25" s="626"/>
      <c r="N25" s="626"/>
      <c r="O25" s="626"/>
      <c r="P25" s="71"/>
    </row>
    <row r="26" spans="2:16" ht="6.75" customHeight="1" thickBot="1">
      <c r="B26" s="78"/>
      <c r="C26" s="627"/>
      <c r="D26" s="627"/>
      <c r="E26" s="627"/>
      <c r="F26" s="627"/>
      <c r="G26" s="627"/>
      <c r="H26" s="627"/>
      <c r="I26" s="627"/>
      <c r="J26" s="627"/>
      <c r="K26" s="627"/>
      <c r="L26" s="627"/>
      <c r="M26" s="627"/>
      <c r="N26" s="627"/>
      <c r="O26" s="627"/>
      <c r="P26" s="71"/>
    </row>
    <row r="27" spans="2:16" ht="21" thickBot="1">
      <c r="B27" s="78"/>
      <c r="C27" s="80"/>
      <c r="D27" s="80"/>
      <c r="E27" s="29"/>
      <c r="F27" s="35"/>
      <c r="G27" s="633" t="str">
        <f>$G$8</f>
        <v>2010 BILL</v>
      </c>
      <c r="H27" s="634"/>
      <c r="I27" s="635"/>
      <c r="J27" s="633" t="str">
        <f>$J$8</f>
        <v>2011 BILL</v>
      </c>
      <c r="K27" s="634"/>
      <c r="L27" s="635"/>
      <c r="M27" s="633" t="s">
        <v>74</v>
      </c>
      <c r="N27" s="634"/>
      <c r="O27" s="635"/>
      <c r="P27" s="71"/>
    </row>
    <row r="28" spans="2:16" ht="26.25" thickBot="1">
      <c r="B28" s="78"/>
      <c r="C28" s="29"/>
      <c r="D28" s="29"/>
      <c r="E28" s="31"/>
      <c r="F28" s="36"/>
      <c r="G28" s="483" t="s">
        <v>68</v>
      </c>
      <c r="H28" s="484" t="s">
        <v>69</v>
      </c>
      <c r="I28" s="485" t="s">
        <v>70</v>
      </c>
      <c r="J28" s="486" t="s">
        <v>68</v>
      </c>
      <c r="K28" s="484" t="s">
        <v>69</v>
      </c>
      <c r="L28" s="485" t="s">
        <v>70</v>
      </c>
      <c r="M28" s="487" t="s">
        <v>82</v>
      </c>
      <c r="N28" s="488" t="s">
        <v>83</v>
      </c>
      <c r="O28" s="489" t="s">
        <v>77</v>
      </c>
      <c r="P28" s="71"/>
    </row>
    <row r="29" spans="2:16" ht="18" customHeight="1" thickBot="1">
      <c r="B29" s="78"/>
      <c r="C29" s="624" t="s">
        <v>71</v>
      </c>
      <c r="D29" s="625"/>
      <c r="E29" s="29"/>
      <c r="F29" s="228" t="s">
        <v>72</v>
      </c>
      <c r="G29" s="459"/>
      <c r="H29" s="459"/>
      <c r="I29" s="460">
        <f>+'2010 Existing Rates'!$C$5</f>
        <v>10.6</v>
      </c>
      <c r="J29" s="459"/>
      <c r="K29" s="459"/>
      <c r="L29" s="461">
        <f>+'Distribution Rate Schedule'!$C$32</f>
        <v>10.66</v>
      </c>
      <c r="M29" s="461">
        <f aca="true" t="shared" si="2" ref="M29:M34">+L29-I29</f>
        <v>0.0600000000000005</v>
      </c>
      <c r="N29" s="462">
        <f aca="true" t="shared" si="3" ref="N29:N35">+M29/I29</f>
        <v>0.005660377358490613</v>
      </c>
      <c r="O29" s="463">
        <f>L29/$L$40</f>
        <v>0.24490839498596367</v>
      </c>
      <c r="P29" s="71"/>
    </row>
    <row r="30" spans="2:16" ht="18" customHeight="1" thickBot="1">
      <c r="B30" s="78"/>
      <c r="C30" s="214">
        <v>250</v>
      </c>
      <c r="D30" s="222" t="s">
        <v>16</v>
      </c>
      <c r="E30" s="29"/>
      <c r="F30" s="229" t="s">
        <v>73</v>
      </c>
      <c r="G30" s="464">
        <f>+C30</f>
        <v>250</v>
      </c>
      <c r="H30" s="465">
        <f>+'2010 Existing Rates'!$E$5</f>
        <v>0.0154</v>
      </c>
      <c r="I30" s="466">
        <f>+G30*H30</f>
        <v>3.85</v>
      </c>
      <c r="J30" s="464">
        <f>+C30</f>
        <v>250</v>
      </c>
      <c r="K30" s="467">
        <f>+'Distribution Rate Schedule'!$E$32</f>
        <v>0.0155</v>
      </c>
      <c r="L30" s="468">
        <f>+J30*K30</f>
        <v>3.875</v>
      </c>
      <c r="M30" s="468">
        <f t="shared" si="2"/>
        <v>0.02499999999999991</v>
      </c>
      <c r="N30" s="469">
        <f t="shared" si="3"/>
        <v>0.0064935064935064705</v>
      </c>
      <c r="O30" s="470">
        <f aca="true" t="shared" si="4" ref="O30:O39">L30/$L$40</f>
        <v>0.0890262692842973</v>
      </c>
      <c r="P30" s="71"/>
    </row>
    <row r="31" spans="2:16" ht="18" customHeight="1">
      <c r="B31" s="78"/>
      <c r="C31" s="52"/>
      <c r="D31" s="53"/>
      <c r="E31" s="29"/>
      <c r="F31" s="229" t="s">
        <v>144</v>
      </c>
      <c r="G31" s="471"/>
      <c r="H31" s="471"/>
      <c r="I31" s="466">
        <f>'2010 Existing Rates'!B$62</f>
        <v>1</v>
      </c>
      <c r="J31" s="471"/>
      <c r="K31" s="471"/>
      <c r="L31" s="468">
        <f>'2011 Rate Rider'!D$3</f>
        <v>1.18</v>
      </c>
      <c r="M31" s="468">
        <f t="shared" si="2"/>
        <v>0.17999999999999994</v>
      </c>
      <c r="N31" s="469">
        <f t="shared" si="3"/>
        <v>0.17999999999999994</v>
      </c>
      <c r="O31" s="470">
        <f t="shared" si="4"/>
        <v>0.027109934904637627</v>
      </c>
      <c r="P31" s="71"/>
    </row>
    <row r="32" spans="2:16" ht="18" customHeight="1">
      <c r="B32" s="78"/>
      <c r="C32" s="52"/>
      <c r="D32" s="53"/>
      <c r="E32" s="29"/>
      <c r="F32" s="229" t="s">
        <v>137</v>
      </c>
      <c r="G32" s="464">
        <f>C30</f>
        <v>250</v>
      </c>
      <c r="H32" s="465">
        <v>0</v>
      </c>
      <c r="I32" s="466">
        <f>G32*H32</f>
        <v>0</v>
      </c>
      <c r="J32" s="464">
        <f>C30</f>
        <v>250</v>
      </c>
      <c r="K32" s="467">
        <f>'LRAM and SSM Rate Rider'!L$6</f>
        <v>0</v>
      </c>
      <c r="L32" s="468">
        <f>+J32*K32</f>
        <v>0</v>
      </c>
      <c r="M32" s="468">
        <f t="shared" si="2"/>
        <v>0</v>
      </c>
      <c r="N32" s="469">
        <f>IF(I32=0,0,M32/I32)</f>
        <v>0</v>
      </c>
      <c r="O32" s="470">
        <f t="shared" si="4"/>
        <v>0</v>
      </c>
      <c r="P32" s="71"/>
    </row>
    <row r="33" spans="2:16" ht="18" customHeight="1">
      <c r="B33" s="78"/>
      <c r="C33" s="29"/>
      <c r="D33" s="29"/>
      <c r="E33" s="29"/>
      <c r="F33" s="496" t="s">
        <v>241</v>
      </c>
      <c r="G33" s="472">
        <f>+C30</f>
        <v>250</v>
      </c>
      <c r="H33" s="517">
        <f>+'2010 Existing Rates'!$B$20</f>
        <v>-0.002</v>
      </c>
      <c r="I33" s="468">
        <f>+G33*H33</f>
        <v>-0.5</v>
      </c>
      <c r="J33" s="472">
        <f>+C30</f>
        <v>250</v>
      </c>
      <c r="K33" s="517">
        <f>+'2011 Rate Rider'!$B$3</f>
        <v>-0.002</v>
      </c>
      <c r="L33" s="468">
        <f>+J33*K33</f>
        <v>-0.5</v>
      </c>
      <c r="M33" s="468">
        <f t="shared" si="2"/>
        <v>0</v>
      </c>
      <c r="N33" s="469">
        <f t="shared" si="3"/>
        <v>0</v>
      </c>
      <c r="O33" s="470">
        <f t="shared" si="4"/>
        <v>-0.011487260552812555</v>
      </c>
      <c r="P33" s="71"/>
    </row>
    <row r="34" spans="2:16" ht="18" customHeight="1" thickBot="1">
      <c r="B34" s="78"/>
      <c r="C34" s="29"/>
      <c r="D34" s="29"/>
      <c r="E34" s="29"/>
      <c r="F34" s="496" t="s">
        <v>242</v>
      </c>
      <c r="G34" s="472">
        <f>C30</f>
        <v>250</v>
      </c>
      <c r="H34" s="465">
        <v>0</v>
      </c>
      <c r="I34" s="466">
        <f>G34*H34</f>
        <v>0</v>
      </c>
      <c r="J34" s="472">
        <f>C30</f>
        <v>250</v>
      </c>
      <c r="K34" s="465">
        <f>'2011 Rate Rider'!B$27</f>
        <v>0</v>
      </c>
      <c r="L34" s="468">
        <f>+J34*K34</f>
        <v>0</v>
      </c>
      <c r="M34" s="468">
        <f t="shared" si="2"/>
        <v>0</v>
      </c>
      <c r="N34" s="469">
        <f>IF(I34=0,0,M34/I34)</f>
        <v>0</v>
      </c>
      <c r="O34" s="470">
        <f t="shared" si="4"/>
        <v>0</v>
      </c>
      <c r="P34" s="71"/>
    </row>
    <row r="35" spans="2:16" ht="18" customHeight="1" thickBot="1">
      <c r="B35" s="78"/>
      <c r="C35" s="29"/>
      <c r="D35" s="29"/>
      <c r="E35" s="29"/>
      <c r="F35" s="219" t="s">
        <v>78</v>
      </c>
      <c r="G35" s="637"/>
      <c r="H35" s="637"/>
      <c r="I35" s="473">
        <f>SUM(I29:I34)</f>
        <v>14.95</v>
      </c>
      <c r="J35" s="637"/>
      <c r="K35" s="637"/>
      <c r="L35" s="473">
        <f>SUM(L29:L34)</f>
        <v>15.215</v>
      </c>
      <c r="M35" s="474">
        <f>SUM(M29:M34)</f>
        <v>0.26500000000000035</v>
      </c>
      <c r="N35" s="475">
        <f t="shared" si="3"/>
        <v>0.01772575250836123</v>
      </c>
      <c r="O35" s="476">
        <f>L35/L40</f>
        <v>0.34955733862208604</v>
      </c>
      <c r="P35" s="71"/>
    </row>
    <row r="36" spans="2:16" ht="18" customHeight="1">
      <c r="B36" s="78"/>
      <c r="C36" s="29"/>
      <c r="D36" s="29"/>
      <c r="E36" s="29"/>
      <c r="F36" s="229" t="s">
        <v>79</v>
      </c>
      <c r="G36" s="464">
        <f>C30*'Other Electriciy Rates'!N$5</f>
        <v>258.90000000000003</v>
      </c>
      <c r="H36" s="477">
        <f>+'Other Electriciy Rates'!$E$5</f>
        <v>0.0250725</v>
      </c>
      <c r="I36" s="466">
        <f>+G36*H36</f>
        <v>6.491270250000001</v>
      </c>
      <c r="J36" s="464">
        <f>C30*'Other Electriciy Rates'!O$5</f>
        <v>258.72499999999997</v>
      </c>
      <c r="K36" s="477">
        <f>+'Other Electriciy Rates'!$F$5</f>
        <v>0.0250725</v>
      </c>
      <c r="L36" s="468">
        <f>+J36*K36</f>
        <v>6.486882562499999</v>
      </c>
      <c r="M36" s="468">
        <f>+L36-I36</f>
        <v>-0.00438768750000218</v>
      </c>
      <c r="N36" s="469">
        <f>+M36/I36</f>
        <v>-0.0006759366550795168</v>
      </c>
      <c r="O36" s="470">
        <f t="shared" si="4"/>
        <v>0.14903302034186772</v>
      </c>
      <c r="P36" s="71"/>
    </row>
    <row r="37" spans="2:16" ht="18" customHeight="1" thickBot="1">
      <c r="B37" s="78"/>
      <c r="C37" s="29"/>
      <c r="D37" s="29"/>
      <c r="E37" s="29"/>
      <c r="F37" s="229" t="s">
        <v>80</v>
      </c>
      <c r="G37" s="464">
        <f>C30*'Other Electriciy Rates'!N$5</f>
        <v>258.90000000000003</v>
      </c>
      <c r="H37" s="477">
        <f>+'Other Electriciy Rates'!$L$5</f>
        <v>0.065</v>
      </c>
      <c r="I37" s="466">
        <f>+G37*H37</f>
        <v>16.828500000000002</v>
      </c>
      <c r="J37" s="464">
        <f>C30*'Other Electriciy Rates'!O$5</f>
        <v>258.72499999999997</v>
      </c>
      <c r="K37" s="477">
        <f>'Other Electriciy Rates'!L$5</f>
        <v>0.065</v>
      </c>
      <c r="L37" s="468">
        <f>+J37*K37</f>
        <v>16.817124999999997</v>
      </c>
      <c r="M37" s="468">
        <f>+L37-I37</f>
        <v>-0.011375000000004576</v>
      </c>
      <c r="N37" s="469">
        <f>+M37/I37</f>
        <v>-0.000675936655079453</v>
      </c>
      <c r="O37" s="470">
        <f t="shared" si="4"/>
        <v>0.3863653932484356</v>
      </c>
      <c r="P37" s="71"/>
    </row>
    <row r="38" spans="2:16" ht="18" customHeight="1" thickBot="1">
      <c r="B38" s="78"/>
      <c r="C38" s="29"/>
      <c r="D38" s="29"/>
      <c r="E38" s="29"/>
      <c r="F38" s="219" t="s">
        <v>172</v>
      </c>
      <c r="G38" s="637"/>
      <c r="H38" s="637"/>
      <c r="I38" s="473">
        <f>SUM(I35:I37)</f>
        <v>38.26977025000001</v>
      </c>
      <c r="J38" s="637"/>
      <c r="K38" s="637"/>
      <c r="L38" s="473">
        <f>SUM(L35:L37)</f>
        <v>38.51900756249999</v>
      </c>
      <c r="M38" s="473">
        <f>SUM(M35:M37)</f>
        <v>0.2492373124999936</v>
      </c>
      <c r="N38" s="475">
        <f>+M38/I38</f>
        <v>0.006512641985353794</v>
      </c>
      <c r="O38" s="476">
        <f>L38/L40</f>
        <v>0.8849557522123893</v>
      </c>
      <c r="P38" s="71"/>
    </row>
    <row r="39" spans="2:16" ht="18" customHeight="1" thickBot="1">
      <c r="B39" s="78"/>
      <c r="C39" s="29"/>
      <c r="D39" s="29"/>
      <c r="E39" s="29"/>
      <c r="F39" s="496" t="s">
        <v>252</v>
      </c>
      <c r="G39" s="464"/>
      <c r="H39" s="478">
        <v>0.13</v>
      </c>
      <c r="I39" s="466">
        <f>I38*H39</f>
        <v>4.975070132500001</v>
      </c>
      <c r="J39" s="464"/>
      <c r="K39" s="478">
        <v>0.13</v>
      </c>
      <c r="L39" s="468">
        <f>L38*K39</f>
        <v>5.007470983125</v>
      </c>
      <c r="M39" s="468">
        <f>+L39-I39</f>
        <v>0.03240085062499887</v>
      </c>
      <c r="N39" s="469">
        <f>+M39/I39</f>
        <v>0.006512641985353733</v>
      </c>
      <c r="O39" s="470">
        <f t="shared" si="4"/>
        <v>0.11504424778761062</v>
      </c>
      <c r="P39" s="71"/>
    </row>
    <row r="40" spans="2:16" ht="18" customHeight="1" thickBot="1">
      <c r="B40" s="78"/>
      <c r="C40" s="29"/>
      <c r="D40" s="29"/>
      <c r="E40" s="33"/>
      <c r="F40" s="219" t="s">
        <v>81</v>
      </c>
      <c r="G40" s="638"/>
      <c r="H40" s="638"/>
      <c r="I40" s="473">
        <f>SUM(I38:I39)</f>
        <v>43.24484038250001</v>
      </c>
      <c r="J40" s="639"/>
      <c r="K40" s="639"/>
      <c r="L40" s="473">
        <f>SUM(L38:L39)</f>
        <v>43.526478545625</v>
      </c>
      <c r="M40" s="473">
        <f>SUM(M38:M39)</f>
        <v>0.28163816312499246</v>
      </c>
      <c r="N40" s="475">
        <f>+M40/I40</f>
        <v>0.006512641985353787</v>
      </c>
      <c r="O40" s="476">
        <f>O38+O39</f>
        <v>0.9999999999999999</v>
      </c>
      <c r="P40" s="71"/>
    </row>
    <row r="41" spans="2:16" ht="6.75" customHeight="1" thickBot="1">
      <c r="B41" s="72"/>
      <c r="C41" s="636"/>
      <c r="D41" s="636"/>
      <c r="E41" s="636"/>
      <c r="F41" s="636"/>
      <c r="G41" s="636"/>
      <c r="H41" s="636"/>
      <c r="I41" s="636"/>
      <c r="J41" s="636"/>
      <c r="K41" s="636"/>
      <c r="L41" s="636"/>
      <c r="M41" s="636"/>
      <c r="N41" s="636"/>
      <c r="O41" s="636"/>
      <c r="P41" s="77"/>
    </row>
    <row r="42" spans="2:16" ht="6.75" customHeight="1" thickBot="1">
      <c r="B42" s="23"/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23"/>
    </row>
    <row r="43" spans="2:16" ht="6.75" customHeight="1">
      <c r="B43" s="82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70"/>
    </row>
    <row r="44" spans="2:16" ht="23.25">
      <c r="B44" s="78"/>
      <c r="C44" s="626" t="s">
        <v>48</v>
      </c>
      <c r="D44" s="626"/>
      <c r="E44" s="626"/>
      <c r="F44" s="626"/>
      <c r="G44" s="626"/>
      <c r="H44" s="626"/>
      <c r="I44" s="626"/>
      <c r="J44" s="626"/>
      <c r="K44" s="626"/>
      <c r="L44" s="626"/>
      <c r="M44" s="626"/>
      <c r="N44" s="626"/>
      <c r="O44" s="626"/>
      <c r="P44" s="71"/>
    </row>
    <row r="45" spans="2:16" ht="6.75" customHeight="1" thickBot="1">
      <c r="B45" s="78"/>
      <c r="C45" s="627"/>
      <c r="D45" s="627"/>
      <c r="E45" s="627"/>
      <c r="F45" s="627"/>
      <c r="G45" s="627"/>
      <c r="H45" s="627"/>
      <c r="I45" s="627"/>
      <c r="J45" s="627"/>
      <c r="K45" s="627"/>
      <c r="L45" s="627"/>
      <c r="M45" s="627"/>
      <c r="N45" s="627"/>
      <c r="O45" s="627"/>
      <c r="P45" s="71"/>
    </row>
    <row r="46" spans="2:16" ht="21" thickBot="1">
      <c r="B46" s="78"/>
      <c r="C46" s="80"/>
      <c r="D46" s="80"/>
      <c r="E46" s="29"/>
      <c r="F46" s="35"/>
      <c r="G46" s="633" t="str">
        <f>$G$8</f>
        <v>2010 BILL</v>
      </c>
      <c r="H46" s="634"/>
      <c r="I46" s="635"/>
      <c r="J46" s="633" t="str">
        <f>$J$8</f>
        <v>2011 BILL</v>
      </c>
      <c r="K46" s="634"/>
      <c r="L46" s="635"/>
      <c r="M46" s="633" t="s">
        <v>74</v>
      </c>
      <c r="N46" s="634"/>
      <c r="O46" s="635"/>
      <c r="P46" s="71"/>
    </row>
    <row r="47" spans="2:16" ht="26.25" thickBot="1">
      <c r="B47" s="78"/>
      <c r="C47" s="29"/>
      <c r="D47" s="29"/>
      <c r="E47" s="31"/>
      <c r="F47" s="36"/>
      <c r="G47" s="483" t="s">
        <v>68</v>
      </c>
      <c r="H47" s="484" t="s">
        <v>69</v>
      </c>
      <c r="I47" s="485" t="s">
        <v>70</v>
      </c>
      <c r="J47" s="486" t="s">
        <v>68</v>
      </c>
      <c r="K47" s="484" t="s">
        <v>69</v>
      </c>
      <c r="L47" s="485" t="s">
        <v>70</v>
      </c>
      <c r="M47" s="487" t="s">
        <v>82</v>
      </c>
      <c r="N47" s="488" t="s">
        <v>83</v>
      </c>
      <c r="O47" s="489" t="s">
        <v>77</v>
      </c>
      <c r="P47" s="71"/>
    </row>
    <row r="48" spans="2:16" ht="18" customHeight="1" thickBot="1">
      <c r="B48" s="78"/>
      <c r="C48" s="624" t="s">
        <v>71</v>
      </c>
      <c r="D48" s="625"/>
      <c r="E48" s="29"/>
      <c r="F48" s="228" t="s">
        <v>72</v>
      </c>
      <c r="G48" s="459"/>
      <c r="H48" s="459"/>
      <c r="I48" s="460">
        <f>+'2010 Existing Rates'!$C$5</f>
        <v>10.6</v>
      </c>
      <c r="J48" s="459"/>
      <c r="K48" s="459"/>
      <c r="L48" s="461">
        <f>+'Distribution Rate Schedule'!$C$32</f>
        <v>10.66</v>
      </c>
      <c r="M48" s="461">
        <f aca="true" t="shared" si="5" ref="M48:M53">+L48-I48</f>
        <v>0.0600000000000005</v>
      </c>
      <c r="N48" s="462">
        <f aca="true" t="shared" si="6" ref="N48:N54">+M48/I48</f>
        <v>0.005660377358490613</v>
      </c>
      <c r="O48" s="463">
        <f>L48/$L$59</f>
        <v>0.14469195573665208</v>
      </c>
      <c r="P48" s="71"/>
    </row>
    <row r="49" spans="2:16" ht="18" customHeight="1" thickBot="1">
      <c r="B49" s="78"/>
      <c r="C49" s="214">
        <v>500</v>
      </c>
      <c r="D49" s="222" t="s">
        <v>16</v>
      </c>
      <c r="E49" s="29"/>
      <c r="F49" s="229" t="s">
        <v>73</v>
      </c>
      <c r="G49" s="464">
        <f>+C49</f>
        <v>500</v>
      </c>
      <c r="H49" s="465">
        <f>+'2010 Existing Rates'!$E$5</f>
        <v>0.0154</v>
      </c>
      <c r="I49" s="466">
        <f>+G49*H49</f>
        <v>7.7</v>
      </c>
      <c r="J49" s="464">
        <f>+C49</f>
        <v>500</v>
      </c>
      <c r="K49" s="467">
        <f>+'Distribution Rate Schedule'!$E$32</f>
        <v>0.0155</v>
      </c>
      <c r="L49" s="468">
        <f>+J49*K49</f>
        <v>7.75</v>
      </c>
      <c r="M49" s="468">
        <f t="shared" si="5"/>
        <v>0.04999999999999982</v>
      </c>
      <c r="N49" s="469">
        <f t="shared" si="6"/>
        <v>0.0064935064935064705</v>
      </c>
      <c r="O49" s="470">
        <f>L49/$L$59</f>
        <v>0.10519349502430146</v>
      </c>
      <c r="P49" s="71"/>
    </row>
    <row r="50" spans="2:16" ht="18" customHeight="1">
      <c r="B50" s="78"/>
      <c r="C50" s="52"/>
      <c r="D50" s="53"/>
      <c r="E50" s="29"/>
      <c r="F50" s="229" t="s">
        <v>144</v>
      </c>
      <c r="G50" s="471"/>
      <c r="H50" s="471"/>
      <c r="I50" s="466">
        <f>'2010 Existing Rates'!B$62</f>
        <v>1</v>
      </c>
      <c r="J50" s="471"/>
      <c r="K50" s="471"/>
      <c r="L50" s="468">
        <f>'2011 Rate Rider'!D$3</f>
        <v>1.18</v>
      </c>
      <c r="M50" s="468">
        <f t="shared" si="5"/>
        <v>0.17999999999999994</v>
      </c>
      <c r="N50" s="469">
        <f t="shared" si="6"/>
        <v>0.17999999999999994</v>
      </c>
      <c r="O50" s="470">
        <f>L50/$L$59</f>
        <v>0.01601655795208719</v>
      </c>
      <c r="P50" s="71"/>
    </row>
    <row r="51" spans="2:16" ht="18" customHeight="1">
      <c r="B51" s="78"/>
      <c r="C51" s="52"/>
      <c r="D51" s="53"/>
      <c r="E51" s="29"/>
      <c r="F51" s="229" t="s">
        <v>137</v>
      </c>
      <c r="G51" s="464">
        <f>C49</f>
        <v>500</v>
      </c>
      <c r="H51" s="465">
        <v>0</v>
      </c>
      <c r="I51" s="466">
        <f>I13</f>
        <v>0</v>
      </c>
      <c r="J51" s="464">
        <f>C49</f>
        <v>500</v>
      </c>
      <c r="K51" s="467">
        <f>'LRAM and SSM Rate Rider'!L$6</f>
        <v>0</v>
      </c>
      <c r="L51" s="468">
        <f>+J51*K51</f>
        <v>0</v>
      </c>
      <c r="M51" s="468">
        <f t="shared" si="5"/>
        <v>0</v>
      </c>
      <c r="N51" s="469">
        <f>IF(I51=0,0,M51/I51)</f>
        <v>0</v>
      </c>
      <c r="O51" s="470">
        <f>L51/$L$59</f>
        <v>0</v>
      </c>
      <c r="P51" s="71"/>
    </row>
    <row r="52" spans="2:16" ht="18" customHeight="1">
      <c r="B52" s="78"/>
      <c r="C52" s="29"/>
      <c r="D52" s="29"/>
      <c r="E52" s="29"/>
      <c r="F52" s="496" t="s">
        <v>241</v>
      </c>
      <c r="G52" s="472">
        <f>+C49</f>
        <v>500</v>
      </c>
      <c r="H52" s="517">
        <f>+'2010 Existing Rates'!$B$20</f>
        <v>-0.002</v>
      </c>
      <c r="I52" s="468">
        <f>+G52*H52</f>
        <v>-1</v>
      </c>
      <c r="J52" s="472">
        <f>+C49</f>
        <v>500</v>
      </c>
      <c r="K52" s="517">
        <f>+'2011 Rate Rider'!$B$3</f>
        <v>-0.002</v>
      </c>
      <c r="L52" s="468">
        <f>+J52*K52</f>
        <v>-1</v>
      </c>
      <c r="M52" s="468">
        <f t="shared" si="5"/>
        <v>0</v>
      </c>
      <c r="N52" s="469">
        <f t="shared" si="6"/>
        <v>0</v>
      </c>
      <c r="O52" s="470">
        <f>L52/L59</f>
        <v>-0.01357335419668406</v>
      </c>
      <c r="P52" s="71"/>
    </row>
    <row r="53" spans="2:16" ht="18" customHeight="1" thickBot="1">
      <c r="B53" s="78"/>
      <c r="C53" s="29"/>
      <c r="D53" s="29"/>
      <c r="E53" s="29"/>
      <c r="F53" s="496" t="s">
        <v>242</v>
      </c>
      <c r="G53" s="472">
        <f>C49</f>
        <v>500</v>
      </c>
      <c r="H53" s="465">
        <v>0</v>
      </c>
      <c r="I53" s="466">
        <f>I15</f>
        <v>0</v>
      </c>
      <c r="J53" s="472">
        <f>C49</f>
        <v>500</v>
      </c>
      <c r="K53" s="465">
        <f>'2011 Rate Rider'!B$27</f>
        <v>0</v>
      </c>
      <c r="L53" s="468">
        <f>+J53*K53</f>
        <v>0</v>
      </c>
      <c r="M53" s="468">
        <f t="shared" si="5"/>
        <v>0</v>
      </c>
      <c r="N53" s="469">
        <f>IF(I53=0,0,M53/I53)</f>
        <v>0</v>
      </c>
      <c r="O53" s="470">
        <f>L53/L59</f>
        <v>0</v>
      </c>
      <c r="P53" s="71"/>
    </row>
    <row r="54" spans="2:16" ht="18" customHeight="1" thickBot="1">
      <c r="B54" s="78"/>
      <c r="C54" s="29"/>
      <c r="D54" s="29"/>
      <c r="E54" s="29"/>
      <c r="F54" s="219" t="s">
        <v>78</v>
      </c>
      <c r="G54" s="637"/>
      <c r="H54" s="637"/>
      <c r="I54" s="473">
        <f>SUM(I48:I53)</f>
        <v>18.3</v>
      </c>
      <c r="J54" s="637"/>
      <c r="K54" s="637"/>
      <c r="L54" s="473">
        <f>SUM(L48:L53)</f>
        <v>18.59</v>
      </c>
      <c r="M54" s="474">
        <f>SUM(M48:M53)</f>
        <v>0.29000000000000026</v>
      </c>
      <c r="N54" s="475">
        <f t="shared" si="6"/>
        <v>0.01584699453551914</v>
      </c>
      <c r="O54" s="476">
        <f>L54/L59</f>
        <v>0.25232865451635667</v>
      </c>
      <c r="P54" s="71"/>
    </row>
    <row r="55" spans="2:16" ht="18" customHeight="1">
      <c r="B55" s="78"/>
      <c r="C55" s="29"/>
      <c r="D55" s="29"/>
      <c r="E55" s="29"/>
      <c r="F55" s="229" t="s">
        <v>79</v>
      </c>
      <c r="G55" s="464">
        <f>C49*'Other Electriciy Rates'!N$5</f>
        <v>517.8000000000001</v>
      </c>
      <c r="H55" s="477">
        <f>+'Other Electriciy Rates'!$E$5</f>
        <v>0.0250725</v>
      </c>
      <c r="I55" s="466">
        <f>+G55*H55</f>
        <v>12.982540500000002</v>
      </c>
      <c r="J55" s="464">
        <f>C49*'Other Electriciy Rates'!O$5</f>
        <v>517.4499999999999</v>
      </c>
      <c r="K55" s="477">
        <f>+'Other Electriciy Rates'!$F$5</f>
        <v>0.0250725</v>
      </c>
      <c r="L55" s="468">
        <f>+J55*K55</f>
        <v>12.973765124999998</v>
      </c>
      <c r="M55" s="468">
        <f>+L55-I55</f>
        <v>-0.00877537500000436</v>
      </c>
      <c r="N55" s="469">
        <f>+M55/I55</f>
        <v>-0.0006759366550795168</v>
      </c>
      <c r="O55" s="470">
        <f>L55/L59</f>
        <v>0.17609750930621204</v>
      </c>
      <c r="P55" s="71"/>
    </row>
    <row r="56" spans="2:16" ht="18" customHeight="1" thickBot="1">
      <c r="B56" s="78"/>
      <c r="C56" s="29"/>
      <c r="D56" s="29"/>
      <c r="E56" s="29"/>
      <c r="F56" s="229" t="s">
        <v>80</v>
      </c>
      <c r="G56" s="464">
        <f>+'Other Electriciy Rates'!$N$5*C49</f>
        <v>517.8000000000001</v>
      </c>
      <c r="H56" s="477">
        <f>'Other Electriciy Rates'!L$5</f>
        <v>0.065</v>
      </c>
      <c r="I56" s="466">
        <f>+G56*H56</f>
        <v>33.657000000000004</v>
      </c>
      <c r="J56" s="464">
        <f>+C49*'Other Electriciy Rates'!$O$5</f>
        <v>517.4499999999999</v>
      </c>
      <c r="K56" s="477">
        <f>'Other Electriciy Rates'!L$5</f>
        <v>0.065</v>
      </c>
      <c r="L56" s="468">
        <f>+J56*K56</f>
        <v>33.634249999999994</v>
      </c>
      <c r="M56" s="468">
        <f>+L56-I56</f>
        <v>-0.022750000000009152</v>
      </c>
      <c r="N56" s="469">
        <f>+M56/I56</f>
        <v>-0.000675936655079453</v>
      </c>
      <c r="O56" s="470">
        <f>L56/L59</f>
        <v>0.4565295883898208</v>
      </c>
      <c r="P56" s="71"/>
    </row>
    <row r="57" spans="2:16" ht="18" customHeight="1" thickBot="1">
      <c r="B57" s="78"/>
      <c r="C57" s="29"/>
      <c r="D57" s="29"/>
      <c r="E57" s="29"/>
      <c r="F57" s="219" t="s">
        <v>172</v>
      </c>
      <c r="G57" s="637"/>
      <c r="H57" s="637"/>
      <c r="I57" s="473">
        <f>SUM(I54:I56)</f>
        <v>64.9395405</v>
      </c>
      <c r="J57" s="637"/>
      <c r="K57" s="637"/>
      <c r="L57" s="473">
        <f>SUM(L54:L56)</f>
        <v>65.19801512499998</v>
      </c>
      <c r="M57" s="474">
        <f>SUM(M54:M56)</f>
        <v>0.25847462499998675</v>
      </c>
      <c r="N57" s="475">
        <f>+M57/I57</f>
        <v>0.003980234892484136</v>
      </c>
      <c r="O57" s="476">
        <f>L57/L59</f>
        <v>0.8849557522123894</v>
      </c>
      <c r="P57" s="71"/>
    </row>
    <row r="58" spans="2:16" ht="18" customHeight="1" thickBot="1">
      <c r="B58" s="78"/>
      <c r="C58" s="29"/>
      <c r="D58" s="29"/>
      <c r="E58" s="29"/>
      <c r="F58" s="496" t="s">
        <v>252</v>
      </c>
      <c r="G58" s="464"/>
      <c r="H58" s="478">
        <v>0.13</v>
      </c>
      <c r="I58" s="466">
        <f>I57*H58</f>
        <v>8.442140265</v>
      </c>
      <c r="J58" s="464"/>
      <c r="K58" s="478">
        <v>0.13</v>
      </c>
      <c r="L58" s="468">
        <f>L57*K58</f>
        <v>8.475741966249998</v>
      </c>
      <c r="M58" s="468">
        <f>+L58-I58</f>
        <v>0.03360170124999762</v>
      </c>
      <c r="N58" s="469">
        <f>+M58/I58</f>
        <v>0.003980234892484058</v>
      </c>
      <c r="O58" s="470">
        <f>L58/L59</f>
        <v>0.11504424778761063</v>
      </c>
      <c r="P58" s="71"/>
    </row>
    <row r="59" spans="2:16" ht="18" customHeight="1" thickBot="1">
      <c r="B59" s="78"/>
      <c r="C59" s="29"/>
      <c r="D59" s="29"/>
      <c r="E59" s="33"/>
      <c r="F59" s="220" t="s">
        <v>81</v>
      </c>
      <c r="G59" s="638"/>
      <c r="H59" s="638"/>
      <c r="I59" s="473">
        <f>SUM(I57:I58)</f>
        <v>73.38168076500001</v>
      </c>
      <c r="J59" s="639"/>
      <c r="K59" s="639"/>
      <c r="L59" s="473">
        <f>SUM(L57:L58)</f>
        <v>73.67375709124998</v>
      </c>
      <c r="M59" s="474">
        <f>SUM(M57:M58)</f>
        <v>0.29207632624998436</v>
      </c>
      <c r="N59" s="475">
        <f>+M59/I59</f>
        <v>0.003980234892484127</v>
      </c>
      <c r="O59" s="476">
        <f>O57+O58</f>
        <v>1</v>
      </c>
      <c r="P59" s="71"/>
    </row>
    <row r="60" spans="2:16" ht="6.75" customHeight="1" thickBot="1">
      <c r="B60" s="72"/>
      <c r="C60" s="87"/>
      <c r="D60" s="87"/>
      <c r="E60" s="87"/>
      <c r="F60" s="88"/>
      <c r="G60" s="89"/>
      <c r="H60" s="90"/>
      <c r="I60" s="91"/>
      <c r="J60" s="89"/>
      <c r="K60" s="92"/>
      <c r="L60" s="91"/>
      <c r="M60" s="93"/>
      <c r="N60" s="94"/>
      <c r="O60" s="95"/>
      <c r="P60" s="77"/>
    </row>
    <row r="61" spans="3:15" ht="6.75" customHeight="1" thickBot="1">
      <c r="C61" s="29"/>
      <c r="D61" s="29"/>
      <c r="E61" s="29"/>
      <c r="F61" s="41"/>
      <c r="G61" s="42"/>
      <c r="H61" s="43"/>
      <c r="I61" s="44"/>
      <c r="J61" s="42"/>
      <c r="K61" s="45"/>
      <c r="L61" s="44"/>
      <c r="M61" s="46"/>
      <c r="N61" s="84"/>
      <c r="O61" s="85"/>
    </row>
    <row r="62" spans="2:16" ht="6.75" customHeight="1">
      <c r="B62" s="82"/>
      <c r="C62" s="628"/>
      <c r="D62" s="628"/>
      <c r="E62" s="628"/>
      <c r="F62" s="628"/>
      <c r="G62" s="628"/>
      <c r="H62" s="628"/>
      <c r="I62" s="628"/>
      <c r="J62" s="628"/>
      <c r="K62" s="628"/>
      <c r="L62" s="628"/>
      <c r="M62" s="628"/>
      <c r="N62" s="628"/>
      <c r="O62" s="628"/>
      <c r="P62" s="70"/>
    </row>
    <row r="63" spans="2:16" ht="23.25">
      <c r="B63" s="78"/>
      <c r="C63" s="626" t="s">
        <v>48</v>
      </c>
      <c r="D63" s="626"/>
      <c r="E63" s="626"/>
      <c r="F63" s="626"/>
      <c r="G63" s="626"/>
      <c r="H63" s="626"/>
      <c r="I63" s="626"/>
      <c r="J63" s="626"/>
      <c r="K63" s="626"/>
      <c r="L63" s="626"/>
      <c r="M63" s="626"/>
      <c r="N63" s="626"/>
      <c r="O63" s="626"/>
      <c r="P63" s="71"/>
    </row>
    <row r="64" spans="2:16" ht="6.75" customHeight="1" thickBot="1">
      <c r="B64" s="78"/>
      <c r="C64" s="627"/>
      <c r="D64" s="627"/>
      <c r="E64" s="627"/>
      <c r="F64" s="627"/>
      <c r="G64" s="627"/>
      <c r="H64" s="627"/>
      <c r="I64" s="627"/>
      <c r="J64" s="627"/>
      <c r="K64" s="627"/>
      <c r="L64" s="627"/>
      <c r="M64" s="627"/>
      <c r="N64" s="627"/>
      <c r="O64" s="627"/>
      <c r="P64" s="71"/>
    </row>
    <row r="65" spans="2:16" ht="21" thickBot="1">
      <c r="B65" s="78"/>
      <c r="C65" s="80"/>
      <c r="D65" s="80"/>
      <c r="E65" s="29"/>
      <c r="F65" s="35"/>
      <c r="G65" s="633" t="str">
        <f>$G$8</f>
        <v>2010 BILL</v>
      </c>
      <c r="H65" s="634"/>
      <c r="I65" s="635"/>
      <c r="J65" s="633" t="str">
        <f>$J$8</f>
        <v>2011 BILL</v>
      </c>
      <c r="K65" s="634"/>
      <c r="L65" s="635"/>
      <c r="M65" s="633" t="s">
        <v>74</v>
      </c>
      <c r="N65" s="634"/>
      <c r="O65" s="635"/>
      <c r="P65" s="71"/>
    </row>
    <row r="66" spans="2:16" ht="26.25" thickBot="1">
      <c r="B66" s="78"/>
      <c r="C66" s="29"/>
      <c r="D66" s="29"/>
      <c r="E66" s="31"/>
      <c r="F66" s="36"/>
      <c r="G66" s="483" t="s">
        <v>68</v>
      </c>
      <c r="H66" s="484" t="s">
        <v>69</v>
      </c>
      <c r="I66" s="485" t="s">
        <v>70</v>
      </c>
      <c r="J66" s="486" t="s">
        <v>68</v>
      </c>
      <c r="K66" s="484" t="s">
        <v>69</v>
      </c>
      <c r="L66" s="485" t="s">
        <v>70</v>
      </c>
      <c r="M66" s="487" t="s">
        <v>82</v>
      </c>
      <c r="N66" s="488" t="s">
        <v>83</v>
      </c>
      <c r="O66" s="489" t="s">
        <v>77</v>
      </c>
      <c r="P66" s="71"/>
    </row>
    <row r="67" spans="2:16" ht="18" customHeight="1" thickBot="1">
      <c r="B67" s="78"/>
      <c r="C67" s="624" t="s">
        <v>71</v>
      </c>
      <c r="D67" s="625"/>
      <c r="E67" s="29"/>
      <c r="F67" s="228" t="s">
        <v>72</v>
      </c>
      <c r="G67" s="459"/>
      <c r="H67" s="459"/>
      <c r="I67" s="460">
        <f>+'2010 Existing Rates'!$C$5</f>
        <v>10.6</v>
      </c>
      <c r="J67" s="459"/>
      <c r="K67" s="459"/>
      <c r="L67" s="461">
        <f>+'Distribution Rate Schedule'!$C$32</f>
        <v>10.66</v>
      </c>
      <c r="M67" s="461">
        <f aca="true" t="shared" si="7" ref="M67:M72">+L67-I67</f>
        <v>0.0600000000000005</v>
      </c>
      <c r="N67" s="462">
        <f aca="true" t="shared" si="8" ref="N67:N73">+M67/I67</f>
        <v>0.005660377358490613</v>
      </c>
      <c r="O67" s="463">
        <f>L67/L79</f>
        <v>0.12661140702855422</v>
      </c>
      <c r="P67" s="71"/>
    </row>
    <row r="68" spans="2:16" ht="18" customHeight="1" thickBot="1">
      <c r="B68" s="78"/>
      <c r="C68" s="214">
        <v>600</v>
      </c>
      <c r="D68" s="222" t="s">
        <v>16</v>
      </c>
      <c r="E68" s="29"/>
      <c r="F68" s="229" t="s">
        <v>73</v>
      </c>
      <c r="G68" s="464">
        <f>+C68</f>
        <v>600</v>
      </c>
      <c r="H68" s="465">
        <f>+'2010 Existing Rates'!$E$5</f>
        <v>0.0154</v>
      </c>
      <c r="I68" s="466">
        <f>+G68*H68</f>
        <v>9.24</v>
      </c>
      <c r="J68" s="464">
        <f>+C68</f>
        <v>600</v>
      </c>
      <c r="K68" s="467">
        <f>+'Distribution Rate Schedule'!$E$32</f>
        <v>0.0155</v>
      </c>
      <c r="L68" s="468">
        <f>+J68*K68</f>
        <v>9.3</v>
      </c>
      <c r="M68" s="468">
        <f t="shared" si="7"/>
        <v>0.0600000000000005</v>
      </c>
      <c r="N68" s="469">
        <f t="shared" si="8"/>
        <v>0.006493506493506547</v>
      </c>
      <c r="O68" s="470">
        <f>L68/$L$79</f>
        <v>0.11045835697613081</v>
      </c>
      <c r="P68" s="71"/>
    </row>
    <row r="69" spans="2:16" ht="18" customHeight="1">
      <c r="B69" s="78"/>
      <c r="C69" s="52"/>
      <c r="D69" s="53"/>
      <c r="E69" s="29"/>
      <c r="F69" s="229" t="s">
        <v>144</v>
      </c>
      <c r="G69" s="471"/>
      <c r="H69" s="471"/>
      <c r="I69" s="466">
        <f>'2010 Existing Rates'!B$62</f>
        <v>1</v>
      </c>
      <c r="J69" s="471"/>
      <c r="K69" s="471"/>
      <c r="L69" s="468">
        <f>'2011 Rate Rider'!D$3</f>
        <v>1.18</v>
      </c>
      <c r="M69" s="468">
        <f t="shared" si="7"/>
        <v>0.17999999999999994</v>
      </c>
      <c r="N69" s="469">
        <f t="shared" si="8"/>
        <v>0.17999999999999994</v>
      </c>
      <c r="O69" s="470">
        <f>L69/$L$79</f>
        <v>0.014015146369014445</v>
      </c>
      <c r="P69" s="71"/>
    </row>
    <row r="70" spans="2:16" ht="18" customHeight="1">
      <c r="B70" s="78"/>
      <c r="C70" s="52"/>
      <c r="D70" s="53"/>
      <c r="E70" s="29"/>
      <c r="F70" s="229" t="s">
        <v>137</v>
      </c>
      <c r="G70" s="464">
        <f>C68</f>
        <v>600</v>
      </c>
      <c r="H70" s="465">
        <v>0</v>
      </c>
      <c r="I70" s="466">
        <f>G70*H70</f>
        <v>0</v>
      </c>
      <c r="J70" s="464">
        <f>C68</f>
        <v>600</v>
      </c>
      <c r="K70" s="467">
        <f>'LRAM and SSM Rate Rider'!L$6</f>
        <v>0</v>
      </c>
      <c r="L70" s="468">
        <f>+J70*K70</f>
        <v>0</v>
      </c>
      <c r="M70" s="468">
        <f t="shared" si="7"/>
        <v>0</v>
      </c>
      <c r="N70" s="469">
        <f>IF(I70=0,0,M70/I70)</f>
        <v>0</v>
      </c>
      <c r="O70" s="470">
        <f>L70/$L$79</f>
        <v>0</v>
      </c>
      <c r="P70" s="71"/>
    </row>
    <row r="71" spans="2:16" ht="18" customHeight="1">
      <c r="B71" s="78"/>
      <c r="C71" s="29"/>
      <c r="D71" s="29"/>
      <c r="E71" s="29"/>
      <c r="F71" s="496" t="s">
        <v>241</v>
      </c>
      <c r="G71" s="472">
        <f>+C68</f>
        <v>600</v>
      </c>
      <c r="H71" s="517">
        <f>+'2010 Existing Rates'!$B$20</f>
        <v>-0.002</v>
      </c>
      <c r="I71" s="468">
        <f>+G71*H71</f>
        <v>-1.2</v>
      </c>
      <c r="J71" s="472">
        <f>+C68</f>
        <v>600</v>
      </c>
      <c r="K71" s="517">
        <f>+'2011 Rate Rider'!$B$3</f>
        <v>-0.002</v>
      </c>
      <c r="L71" s="468">
        <f>+J71*K71</f>
        <v>-1.2</v>
      </c>
      <c r="M71" s="468">
        <f t="shared" si="7"/>
        <v>0</v>
      </c>
      <c r="N71" s="469">
        <f t="shared" si="8"/>
        <v>0</v>
      </c>
      <c r="O71" s="470">
        <f>L71/L79</f>
        <v>-0.014252691222726556</v>
      </c>
      <c r="P71" s="71"/>
    </row>
    <row r="72" spans="2:16" ht="18" customHeight="1" thickBot="1">
      <c r="B72" s="78"/>
      <c r="C72" s="29"/>
      <c r="D72" s="29"/>
      <c r="E72" s="29"/>
      <c r="F72" s="496" t="s">
        <v>242</v>
      </c>
      <c r="G72" s="472">
        <f>C68</f>
        <v>600</v>
      </c>
      <c r="H72" s="465">
        <v>0</v>
      </c>
      <c r="I72" s="466">
        <f>G72*H72</f>
        <v>0</v>
      </c>
      <c r="J72" s="472">
        <f>C68</f>
        <v>600</v>
      </c>
      <c r="K72" s="465">
        <f>'2011 Rate Rider'!B$27</f>
        <v>0</v>
      </c>
      <c r="L72" s="468">
        <f>+J72*K72</f>
        <v>0</v>
      </c>
      <c r="M72" s="468">
        <f t="shared" si="7"/>
        <v>0</v>
      </c>
      <c r="N72" s="469">
        <f>IF(I72=0,0,M72/I72)</f>
        <v>0</v>
      </c>
      <c r="O72" s="470">
        <f>L72/L79</f>
        <v>0</v>
      </c>
      <c r="P72" s="71"/>
    </row>
    <row r="73" spans="2:16" ht="18" customHeight="1" thickBot="1">
      <c r="B73" s="78"/>
      <c r="C73" s="29"/>
      <c r="D73" s="29"/>
      <c r="E73" s="29"/>
      <c r="F73" s="219" t="s">
        <v>78</v>
      </c>
      <c r="G73" s="637"/>
      <c r="H73" s="637"/>
      <c r="I73" s="473">
        <f>SUM(I67:I72)</f>
        <v>19.64</v>
      </c>
      <c r="J73" s="637"/>
      <c r="K73" s="637"/>
      <c r="L73" s="473">
        <f>SUM(L67:L72)</f>
        <v>19.94</v>
      </c>
      <c r="M73" s="474">
        <f>SUM(M67:M72)</f>
        <v>0.30000000000000093</v>
      </c>
      <c r="N73" s="475">
        <f t="shared" si="8"/>
        <v>0.015274949083503101</v>
      </c>
      <c r="O73" s="476">
        <f>L73/L79</f>
        <v>0.23683221915097294</v>
      </c>
      <c r="P73" s="71"/>
    </row>
    <row r="74" spans="2:16" ht="18" customHeight="1">
      <c r="B74" s="78"/>
      <c r="C74" s="29"/>
      <c r="D74" s="29"/>
      <c r="E74" s="29"/>
      <c r="F74" s="229" t="s">
        <v>79</v>
      </c>
      <c r="G74" s="464">
        <f>C68*'Other Electriciy Rates'!N$5</f>
        <v>621.36</v>
      </c>
      <c r="H74" s="477">
        <f>+'Other Electriciy Rates'!$E$5</f>
        <v>0.0250725</v>
      </c>
      <c r="I74" s="466">
        <f>+G74*H74</f>
        <v>15.5790486</v>
      </c>
      <c r="J74" s="464">
        <f>C68*'Other Electriciy Rates'!O$5</f>
        <v>620.9399999999999</v>
      </c>
      <c r="K74" s="477">
        <f>+'Other Electriciy Rates'!$F$5</f>
        <v>0.0250725</v>
      </c>
      <c r="L74" s="468">
        <f>+J74*K74</f>
        <v>15.56851815</v>
      </c>
      <c r="M74" s="468">
        <f>+L74-I74</f>
        <v>-0.010530450000000968</v>
      </c>
      <c r="N74" s="469">
        <f>+M74/I74</f>
        <v>-0.0006759366550792433</v>
      </c>
      <c r="O74" s="470">
        <f>L74/L79</f>
        <v>0.18491106832280338</v>
      </c>
      <c r="P74" s="71"/>
    </row>
    <row r="75" spans="2:16" ht="18" customHeight="1">
      <c r="B75" s="78"/>
      <c r="C75" s="29"/>
      <c r="D75" s="29"/>
      <c r="E75" s="29"/>
      <c r="F75" s="229" t="s">
        <v>80</v>
      </c>
      <c r="G75" s="464">
        <v>600</v>
      </c>
      <c r="H75" s="477">
        <f>+'Other Electriciy Rates'!$L$5</f>
        <v>0.065</v>
      </c>
      <c r="I75" s="466">
        <f>+G75*H75</f>
        <v>39</v>
      </c>
      <c r="J75" s="464">
        <v>600</v>
      </c>
      <c r="K75" s="477">
        <f>+'Other Electriciy Rates'!$L$5</f>
        <v>0.065</v>
      </c>
      <c r="L75" s="468">
        <f>+J75*K75</f>
        <v>39</v>
      </c>
      <c r="M75" s="468">
        <f>+L75-I75</f>
        <v>0</v>
      </c>
      <c r="N75" s="469">
        <f>+M75/I75</f>
        <v>0</v>
      </c>
      <c r="O75" s="470">
        <f>L75/L79</f>
        <v>0.46321246473861305</v>
      </c>
      <c r="P75" s="71"/>
    </row>
    <row r="76" spans="2:16" ht="18" customHeight="1" thickBot="1">
      <c r="B76" s="78"/>
      <c r="C76" s="29"/>
      <c r="D76" s="29"/>
      <c r="E76" s="29"/>
      <c r="F76" s="229" t="s">
        <v>80</v>
      </c>
      <c r="G76" s="464">
        <f>+G74-G75</f>
        <v>21.360000000000014</v>
      </c>
      <c r="H76" s="477">
        <f>+'Other Electriciy Rates'!$M$5</f>
        <v>0.075</v>
      </c>
      <c r="I76" s="466">
        <f>+G76*H76</f>
        <v>1.602000000000001</v>
      </c>
      <c r="J76" s="464">
        <f>+J74-J75</f>
        <v>20.93999999999994</v>
      </c>
      <c r="K76" s="477">
        <f>+'Other Electriciy Rates'!$M$5</f>
        <v>0.075</v>
      </c>
      <c r="L76" s="468">
        <f>+J76*K76</f>
        <v>1.5704999999999956</v>
      </c>
      <c r="M76" s="468">
        <f>+L76-I76</f>
        <v>-0.03150000000000541</v>
      </c>
      <c r="N76" s="469">
        <f>+M76/I76</f>
        <v>-0.019662921348317975</v>
      </c>
      <c r="O76" s="470">
        <f>L76/L79</f>
        <v>0.018653209637743327</v>
      </c>
      <c r="P76" s="536"/>
    </row>
    <row r="77" spans="2:16" ht="18" customHeight="1" thickBot="1">
      <c r="B77" s="78"/>
      <c r="C77" s="29"/>
      <c r="D77" s="29"/>
      <c r="E77" s="29"/>
      <c r="F77" s="219" t="s">
        <v>172</v>
      </c>
      <c r="G77" s="637"/>
      <c r="H77" s="637"/>
      <c r="I77" s="473">
        <f>SUM(I73:I75)</f>
        <v>74.21904860000001</v>
      </c>
      <c r="J77" s="637"/>
      <c r="K77" s="637"/>
      <c r="L77" s="473">
        <f>SUM(L73:L75)</f>
        <v>74.50851815</v>
      </c>
      <c r="M77" s="473">
        <f>SUM(M73:M75)</f>
        <v>0.28946954999999996</v>
      </c>
      <c r="N77" s="475">
        <f>+M77/I77</f>
        <v>0.0039002056137917122</v>
      </c>
      <c r="O77" s="476">
        <f>L77/L79</f>
        <v>0.8849557522123894</v>
      </c>
      <c r="P77" s="71"/>
    </row>
    <row r="78" spans="2:16" ht="18" customHeight="1" thickBot="1">
      <c r="B78" s="78"/>
      <c r="C78" s="29"/>
      <c r="D78" s="29"/>
      <c r="E78" s="29"/>
      <c r="F78" s="496" t="s">
        <v>252</v>
      </c>
      <c r="G78" s="464"/>
      <c r="H78" s="478">
        <v>0.13</v>
      </c>
      <c r="I78" s="466">
        <f>I77*H78</f>
        <v>9.648476318000002</v>
      </c>
      <c r="J78" s="464"/>
      <c r="K78" s="478">
        <v>0.13</v>
      </c>
      <c r="L78" s="468">
        <f>L77*K78</f>
        <v>9.686107359500001</v>
      </c>
      <c r="M78" s="468">
        <f>+L78-I78</f>
        <v>0.037631041499999185</v>
      </c>
      <c r="N78" s="469">
        <f>+M78/I78</f>
        <v>0.003900205613791628</v>
      </c>
      <c r="O78" s="470">
        <f>L78/L79</f>
        <v>0.11504424778761063</v>
      </c>
      <c r="P78" s="71"/>
    </row>
    <row r="79" spans="2:16" ht="18" customHeight="1" thickBot="1">
      <c r="B79" s="78"/>
      <c r="C79" s="29"/>
      <c r="D79" s="29"/>
      <c r="E79" s="33"/>
      <c r="F79" s="220" t="s">
        <v>81</v>
      </c>
      <c r="G79" s="638"/>
      <c r="H79" s="638"/>
      <c r="I79" s="473">
        <f>SUM(I77:I78)</f>
        <v>83.86752491800002</v>
      </c>
      <c r="J79" s="639"/>
      <c r="K79" s="639"/>
      <c r="L79" s="473">
        <f>SUM(L77:L78)</f>
        <v>84.1946255095</v>
      </c>
      <c r="M79" s="479">
        <f>SUM(M77:M78)</f>
        <v>0.32710059149999915</v>
      </c>
      <c r="N79" s="475">
        <f>+M79/I79</f>
        <v>0.0039002056137917023</v>
      </c>
      <c r="O79" s="476">
        <f>O77+O78</f>
        <v>1</v>
      </c>
      <c r="P79" s="71"/>
    </row>
    <row r="80" spans="2:16" ht="6.75" customHeight="1" thickBot="1">
      <c r="B80" s="72"/>
      <c r="C80" s="87"/>
      <c r="D80" s="87"/>
      <c r="E80" s="87"/>
      <c r="F80" s="88"/>
      <c r="G80" s="89"/>
      <c r="H80" s="90"/>
      <c r="I80" s="91"/>
      <c r="J80" s="89"/>
      <c r="K80" s="92"/>
      <c r="L80" s="91"/>
      <c r="M80" s="93"/>
      <c r="N80" s="94"/>
      <c r="O80" s="95"/>
      <c r="P80" s="77"/>
    </row>
    <row r="81" spans="3:15" ht="6.75" customHeight="1" thickBot="1">
      <c r="C81" s="29"/>
      <c r="D81" s="29"/>
      <c r="E81" s="29"/>
      <c r="F81" s="41"/>
      <c r="G81" s="42"/>
      <c r="H81" s="43"/>
      <c r="I81" s="44"/>
      <c r="J81" s="42"/>
      <c r="K81" s="45"/>
      <c r="L81" s="44"/>
      <c r="M81" s="46"/>
      <c r="N81" s="84"/>
      <c r="O81" s="85"/>
    </row>
    <row r="82" spans="2:16" ht="6.75" customHeight="1">
      <c r="B82" s="82"/>
      <c r="C82" s="628"/>
      <c r="D82" s="628"/>
      <c r="E82" s="628"/>
      <c r="F82" s="628"/>
      <c r="G82" s="628"/>
      <c r="H82" s="628"/>
      <c r="I82" s="628"/>
      <c r="J82" s="628"/>
      <c r="K82" s="628"/>
      <c r="L82" s="628"/>
      <c r="M82" s="628"/>
      <c r="N82" s="628"/>
      <c r="O82" s="628"/>
      <c r="P82" s="70"/>
    </row>
    <row r="83" spans="2:16" ht="23.25">
      <c r="B83" s="78"/>
      <c r="C83" s="626" t="s">
        <v>48</v>
      </c>
      <c r="D83" s="626"/>
      <c r="E83" s="626"/>
      <c r="F83" s="626"/>
      <c r="G83" s="626"/>
      <c r="H83" s="626"/>
      <c r="I83" s="626"/>
      <c r="J83" s="626"/>
      <c r="K83" s="626"/>
      <c r="L83" s="626"/>
      <c r="M83" s="626"/>
      <c r="N83" s="626"/>
      <c r="O83" s="626"/>
      <c r="P83" s="71"/>
    </row>
    <row r="84" spans="2:16" ht="6.75" customHeight="1" thickBot="1">
      <c r="B84" s="78"/>
      <c r="C84" s="627"/>
      <c r="D84" s="627"/>
      <c r="E84" s="627"/>
      <c r="F84" s="627"/>
      <c r="G84" s="627"/>
      <c r="H84" s="627"/>
      <c r="I84" s="627"/>
      <c r="J84" s="627"/>
      <c r="K84" s="627"/>
      <c r="L84" s="627"/>
      <c r="M84" s="627"/>
      <c r="N84" s="627"/>
      <c r="O84" s="627"/>
      <c r="P84" s="71"/>
    </row>
    <row r="85" spans="2:16" ht="21" thickBot="1">
      <c r="B85" s="78"/>
      <c r="C85" s="80"/>
      <c r="D85" s="80"/>
      <c r="E85" s="29"/>
      <c r="F85" s="35"/>
      <c r="G85" s="633" t="str">
        <f>$G$8</f>
        <v>2010 BILL</v>
      </c>
      <c r="H85" s="634"/>
      <c r="I85" s="635"/>
      <c r="J85" s="633" t="str">
        <f>$J$8</f>
        <v>2011 BILL</v>
      </c>
      <c r="K85" s="634"/>
      <c r="L85" s="635"/>
      <c r="M85" s="633" t="s">
        <v>74</v>
      </c>
      <c r="N85" s="634"/>
      <c r="O85" s="635"/>
      <c r="P85" s="71"/>
    </row>
    <row r="86" spans="2:16" ht="26.25" thickBot="1">
      <c r="B86" s="78"/>
      <c r="C86" s="29"/>
      <c r="D86" s="29"/>
      <c r="E86" s="31"/>
      <c r="F86" s="36"/>
      <c r="G86" s="483" t="s">
        <v>68</v>
      </c>
      <c r="H86" s="484" t="s">
        <v>69</v>
      </c>
      <c r="I86" s="485" t="s">
        <v>70</v>
      </c>
      <c r="J86" s="486" t="s">
        <v>68</v>
      </c>
      <c r="K86" s="484" t="s">
        <v>69</v>
      </c>
      <c r="L86" s="485" t="s">
        <v>70</v>
      </c>
      <c r="M86" s="487" t="s">
        <v>82</v>
      </c>
      <c r="N86" s="488" t="s">
        <v>83</v>
      </c>
      <c r="O86" s="489" t="s">
        <v>77</v>
      </c>
      <c r="P86" s="71"/>
    </row>
    <row r="87" spans="2:16" ht="18" customHeight="1" thickBot="1">
      <c r="B87" s="78"/>
      <c r="C87" s="624" t="s">
        <v>71</v>
      </c>
      <c r="D87" s="625"/>
      <c r="E87" s="29"/>
      <c r="F87" s="228" t="s">
        <v>72</v>
      </c>
      <c r="G87" s="459"/>
      <c r="H87" s="459"/>
      <c r="I87" s="460">
        <f>+'2010 Existing Rates'!$C$5</f>
        <v>10.6</v>
      </c>
      <c r="J87" s="459"/>
      <c r="K87" s="459"/>
      <c r="L87" s="461">
        <f>+'Distribution Rate Schedule'!$C$32</f>
        <v>10.66</v>
      </c>
      <c r="M87" s="461">
        <f aca="true" t="shared" si="9" ref="M87:M92">+L87-I87</f>
        <v>0.0600000000000005</v>
      </c>
      <c r="N87" s="462">
        <f aca="true" t="shared" si="10" ref="N87:N93">+M87/I87</f>
        <v>0.005660377358490613</v>
      </c>
      <c r="O87" s="463">
        <f>L87/L99</f>
        <v>0.1007448949599847</v>
      </c>
      <c r="P87" s="71"/>
    </row>
    <row r="88" spans="2:16" ht="18" customHeight="1" thickBot="1">
      <c r="B88" s="78"/>
      <c r="C88" s="214">
        <v>750</v>
      </c>
      <c r="D88" s="222" t="s">
        <v>16</v>
      </c>
      <c r="E88" s="29"/>
      <c r="F88" s="229" t="s">
        <v>73</v>
      </c>
      <c r="G88" s="464">
        <f>+C88</f>
        <v>750</v>
      </c>
      <c r="H88" s="465">
        <f>+'2010 Existing Rates'!$E$5</f>
        <v>0.0154</v>
      </c>
      <c r="I88" s="466">
        <f>+G88*H88</f>
        <v>11.55</v>
      </c>
      <c r="J88" s="464">
        <f>+C88</f>
        <v>750</v>
      </c>
      <c r="K88" s="467">
        <f>+'Distribution Rate Schedule'!$E$32</f>
        <v>0.0155</v>
      </c>
      <c r="L88" s="468">
        <f>+J88*K88</f>
        <v>11.625</v>
      </c>
      <c r="M88" s="468">
        <f t="shared" si="9"/>
        <v>0.07499999999999929</v>
      </c>
      <c r="N88" s="469">
        <f t="shared" si="10"/>
        <v>0.0064935064935064315</v>
      </c>
      <c r="O88" s="470">
        <f>L88/L99</f>
        <v>0.10986485965382947</v>
      </c>
      <c r="P88" s="71"/>
    </row>
    <row r="89" spans="2:16" ht="18" customHeight="1">
      <c r="B89" s="78"/>
      <c r="C89" s="52"/>
      <c r="D89" s="53"/>
      <c r="E89" s="29"/>
      <c r="F89" s="229" t="s">
        <v>144</v>
      </c>
      <c r="G89" s="471"/>
      <c r="H89" s="471"/>
      <c r="I89" s="466">
        <f>'2010 Existing Rates'!B$62</f>
        <v>1</v>
      </c>
      <c r="J89" s="471"/>
      <c r="K89" s="471"/>
      <c r="L89" s="468">
        <f>'2011 Rate Rider'!D$3</f>
        <v>1.18</v>
      </c>
      <c r="M89" s="468">
        <f t="shared" si="9"/>
        <v>0.17999999999999994</v>
      </c>
      <c r="N89" s="469">
        <f t="shared" si="10"/>
        <v>0.17999999999999994</v>
      </c>
      <c r="O89" s="470">
        <f>L89/L99</f>
        <v>0.011151873926152153</v>
      </c>
      <c r="P89" s="71"/>
    </row>
    <row r="90" spans="2:16" ht="18" customHeight="1">
      <c r="B90" s="78"/>
      <c r="C90" s="52"/>
      <c r="D90" s="53"/>
      <c r="E90" s="29"/>
      <c r="F90" s="229" t="s">
        <v>137</v>
      </c>
      <c r="G90" s="464">
        <f>C88</f>
        <v>750</v>
      </c>
      <c r="H90" s="465">
        <v>0</v>
      </c>
      <c r="I90" s="468">
        <f>+G90*H90</f>
        <v>0</v>
      </c>
      <c r="J90" s="464">
        <f>C88</f>
        <v>750</v>
      </c>
      <c r="K90" s="467">
        <f>'LRAM and SSM Rate Rider'!L$6</f>
        <v>0</v>
      </c>
      <c r="L90" s="468">
        <f>+J90*K90</f>
        <v>0</v>
      </c>
      <c r="M90" s="468">
        <f t="shared" si="9"/>
        <v>0</v>
      </c>
      <c r="N90" s="469">
        <f>IF(I90=0,0,M90/I90)</f>
        <v>0</v>
      </c>
      <c r="O90" s="470">
        <f>L90/L99</f>
        <v>0</v>
      </c>
      <c r="P90" s="71"/>
    </row>
    <row r="91" spans="2:16" ht="18" customHeight="1">
      <c r="B91" s="78"/>
      <c r="C91" s="29"/>
      <c r="D91" s="29"/>
      <c r="E91" s="29"/>
      <c r="F91" s="496" t="s">
        <v>241</v>
      </c>
      <c r="G91" s="472">
        <f>+C88</f>
        <v>750</v>
      </c>
      <c r="H91" s="517">
        <f>+'2010 Existing Rates'!$B$20</f>
        <v>-0.002</v>
      </c>
      <c r="I91" s="468">
        <f>+G91*H91</f>
        <v>-1.5</v>
      </c>
      <c r="J91" s="472">
        <f>+C88</f>
        <v>750</v>
      </c>
      <c r="K91" s="517">
        <f>+'2011 Rate Rider'!$B$3</f>
        <v>-0.002</v>
      </c>
      <c r="L91" s="468">
        <f>+J91*K91</f>
        <v>-1.5</v>
      </c>
      <c r="M91" s="468">
        <f t="shared" si="9"/>
        <v>0</v>
      </c>
      <c r="N91" s="469">
        <f t="shared" si="10"/>
        <v>0</v>
      </c>
      <c r="O91" s="470">
        <f>L91/L$99</f>
        <v>-0.01417611092307477</v>
      </c>
      <c r="P91" s="71"/>
    </row>
    <row r="92" spans="2:16" ht="18" customHeight="1" thickBot="1">
      <c r="B92" s="78"/>
      <c r="C92" s="29"/>
      <c r="D92" s="29"/>
      <c r="E92" s="29"/>
      <c r="F92" s="496" t="s">
        <v>242</v>
      </c>
      <c r="G92" s="472">
        <f>C88</f>
        <v>750</v>
      </c>
      <c r="H92" s="465">
        <v>0</v>
      </c>
      <c r="I92" s="468">
        <f>+G92*H92</f>
        <v>0</v>
      </c>
      <c r="J92" s="472">
        <f>C88</f>
        <v>750</v>
      </c>
      <c r="K92" s="465">
        <f>'2011 Rate Rider'!B$27</f>
        <v>0</v>
      </c>
      <c r="L92" s="468">
        <f>+J92*K92</f>
        <v>0</v>
      </c>
      <c r="M92" s="468">
        <f t="shared" si="9"/>
        <v>0</v>
      </c>
      <c r="N92" s="469">
        <f>IF(I92=0,0,M92/I92)</f>
        <v>0</v>
      </c>
      <c r="O92" s="470">
        <f>L92/L$99</f>
        <v>0</v>
      </c>
      <c r="P92" s="71"/>
    </row>
    <row r="93" spans="2:16" ht="18" customHeight="1" thickBot="1">
      <c r="B93" s="78"/>
      <c r="C93" s="29"/>
      <c r="D93" s="29"/>
      <c r="E93" s="29"/>
      <c r="F93" s="219" t="s">
        <v>78</v>
      </c>
      <c r="G93" s="637"/>
      <c r="H93" s="637"/>
      <c r="I93" s="473">
        <f>SUM(I87:I92)</f>
        <v>21.65</v>
      </c>
      <c r="J93" s="637"/>
      <c r="K93" s="637"/>
      <c r="L93" s="473">
        <f>SUM(L87:L92)</f>
        <v>21.965</v>
      </c>
      <c r="M93" s="474">
        <f>SUM(M87:M92)</f>
        <v>0.3149999999999997</v>
      </c>
      <c r="N93" s="475">
        <f t="shared" si="10"/>
        <v>0.014549653579676662</v>
      </c>
      <c r="O93" s="476">
        <f>L93/L99</f>
        <v>0.20758551761689156</v>
      </c>
      <c r="P93" s="71"/>
    </row>
    <row r="94" spans="2:16" ht="18" customHeight="1">
      <c r="B94" s="78"/>
      <c r="C94" s="29"/>
      <c r="D94" s="29"/>
      <c r="E94" s="29"/>
      <c r="F94" s="229" t="s">
        <v>79</v>
      </c>
      <c r="G94" s="464">
        <f>C88*'Other Electriciy Rates'!N$5</f>
        <v>776.7</v>
      </c>
      <c r="H94" s="477">
        <f>+'Other Electriciy Rates'!$E$5</f>
        <v>0.0250725</v>
      </c>
      <c r="I94" s="466">
        <f>+G94*H94</f>
        <v>19.473810750000002</v>
      </c>
      <c r="J94" s="464">
        <f>C88*'Other Electriciy Rates'!O$5</f>
        <v>776.175</v>
      </c>
      <c r="K94" s="477">
        <f>+'Other Electriciy Rates'!$F$5</f>
        <v>0.0250725</v>
      </c>
      <c r="L94" s="468">
        <f>+J94*K94</f>
        <v>19.4606476875</v>
      </c>
      <c r="M94" s="468">
        <f>+L94-I94</f>
        <v>-0.013163062500002098</v>
      </c>
      <c r="N94" s="469">
        <f aca="true" t="shared" si="11" ref="N94:N99">+M94/I94</f>
        <v>-0.0006759366550792888</v>
      </c>
      <c r="O94" s="470">
        <f>L94/L99</f>
        <v>0.183917533501919</v>
      </c>
      <c r="P94" s="71"/>
    </row>
    <row r="95" spans="2:16" ht="18" customHeight="1">
      <c r="B95" s="78"/>
      <c r="C95" s="29"/>
      <c r="D95" s="29"/>
      <c r="E95" s="29"/>
      <c r="F95" s="229" t="s">
        <v>80</v>
      </c>
      <c r="G95" s="464">
        <v>600</v>
      </c>
      <c r="H95" s="477">
        <f>+'Other Electriciy Rates'!$L$5</f>
        <v>0.065</v>
      </c>
      <c r="I95" s="466">
        <f>+G95*H95</f>
        <v>39</v>
      </c>
      <c r="J95" s="464">
        <v>600</v>
      </c>
      <c r="K95" s="477">
        <f>+'Other Electriciy Rates'!$L$5</f>
        <v>0.065</v>
      </c>
      <c r="L95" s="468">
        <f>+J95*K95</f>
        <v>39</v>
      </c>
      <c r="M95" s="468">
        <f>+L95-I95</f>
        <v>0</v>
      </c>
      <c r="N95" s="469">
        <f t="shared" si="11"/>
        <v>0</v>
      </c>
      <c r="O95" s="470">
        <f>L95/L99</f>
        <v>0.36857888399994404</v>
      </c>
      <c r="P95" s="71"/>
    </row>
    <row r="96" spans="2:16" ht="18" customHeight="1" thickBot="1">
      <c r="B96" s="78"/>
      <c r="C96" s="29"/>
      <c r="D96" s="29"/>
      <c r="E96" s="29"/>
      <c r="F96" s="229" t="s">
        <v>80</v>
      </c>
      <c r="G96" s="464">
        <f>+G94-G95</f>
        <v>176.70000000000005</v>
      </c>
      <c r="H96" s="477">
        <f>+'Other Electriciy Rates'!$M$5</f>
        <v>0.075</v>
      </c>
      <c r="I96" s="466">
        <f>+G96*H96</f>
        <v>13.252500000000003</v>
      </c>
      <c r="J96" s="464">
        <f>+J94-J95</f>
        <v>176.17499999999995</v>
      </c>
      <c r="K96" s="477">
        <f>+'Other Electriciy Rates'!$M$5</f>
        <v>0.075</v>
      </c>
      <c r="L96" s="468">
        <f>+J96*K96</f>
        <v>13.213124999999996</v>
      </c>
      <c r="M96" s="468">
        <f>+L96-I96</f>
        <v>-0.03937500000000682</v>
      </c>
      <c r="N96" s="469">
        <f t="shared" si="11"/>
        <v>-0.002971137521222925</v>
      </c>
      <c r="O96" s="470">
        <f>L96/L99</f>
        <v>0.12487381709363485</v>
      </c>
      <c r="P96" s="71"/>
    </row>
    <row r="97" spans="2:16" ht="18" customHeight="1" thickBot="1">
      <c r="B97" s="78"/>
      <c r="C97" s="29"/>
      <c r="D97" s="29"/>
      <c r="E97" s="29"/>
      <c r="F97" s="219" t="s">
        <v>172</v>
      </c>
      <c r="G97" s="637"/>
      <c r="H97" s="637"/>
      <c r="I97" s="473">
        <f>SUM(I93:I96)</f>
        <v>93.37631075</v>
      </c>
      <c r="J97" s="637"/>
      <c r="K97" s="637"/>
      <c r="L97" s="473">
        <f>SUM(L93:L96)</f>
        <v>93.6387726875</v>
      </c>
      <c r="M97" s="473">
        <f>SUM(M93:M96)</f>
        <v>0.2624619374999908</v>
      </c>
      <c r="N97" s="475">
        <f t="shared" si="11"/>
        <v>0.0028107978928691053</v>
      </c>
      <c r="O97" s="476">
        <f>L97/L99</f>
        <v>0.8849557522123894</v>
      </c>
      <c r="P97" s="71"/>
    </row>
    <row r="98" spans="2:16" ht="18" customHeight="1" thickBot="1">
      <c r="B98" s="78"/>
      <c r="C98" s="29"/>
      <c r="D98" s="29"/>
      <c r="E98" s="29"/>
      <c r="F98" s="496" t="s">
        <v>252</v>
      </c>
      <c r="G98" s="464"/>
      <c r="H98" s="478">
        <v>0.13</v>
      </c>
      <c r="I98" s="466">
        <f>I97*H98</f>
        <v>12.138920397500002</v>
      </c>
      <c r="J98" s="464"/>
      <c r="K98" s="478">
        <v>0.13</v>
      </c>
      <c r="L98" s="468">
        <f>L97*K98</f>
        <v>12.173040449375</v>
      </c>
      <c r="M98" s="468">
        <f>+L98-I98</f>
        <v>0.034120051874998225</v>
      </c>
      <c r="N98" s="469">
        <f t="shared" si="11"/>
        <v>0.0028107978928690576</v>
      </c>
      <c r="O98" s="470">
        <f>L98/L99</f>
        <v>0.11504424778761063</v>
      </c>
      <c r="P98" s="71"/>
    </row>
    <row r="99" spans="2:16" ht="18" customHeight="1" thickBot="1">
      <c r="B99" s="78"/>
      <c r="C99" s="29"/>
      <c r="D99" s="29"/>
      <c r="E99" s="33"/>
      <c r="F99" s="220" t="s">
        <v>81</v>
      </c>
      <c r="G99" s="638"/>
      <c r="H99" s="638"/>
      <c r="I99" s="473">
        <f>SUM(I97:I98)</f>
        <v>105.5152311475</v>
      </c>
      <c r="J99" s="639"/>
      <c r="K99" s="639"/>
      <c r="L99" s="473">
        <f>SUM(L97:L98)</f>
        <v>105.81181313687499</v>
      </c>
      <c r="M99" s="473">
        <f>SUM(M97:M98)</f>
        <v>0.29658198937498903</v>
      </c>
      <c r="N99" s="475">
        <f t="shared" si="11"/>
        <v>0.0028107978928691</v>
      </c>
      <c r="O99" s="476">
        <f>SUM(O97:O98)</f>
        <v>1</v>
      </c>
      <c r="P99" s="71"/>
    </row>
    <row r="100" spans="2:16" ht="6.75" customHeight="1" thickBot="1">
      <c r="B100" s="72"/>
      <c r="C100" s="87"/>
      <c r="D100" s="87"/>
      <c r="E100" s="87"/>
      <c r="F100" s="88"/>
      <c r="G100" s="89"/>
      <c r="H100" s="90"/>
      <c r="I100" s="91"/>
      <c r="J100" s="89"/>
      <c r="K100" s="92"/>
      <c r="L100" s="91"/>
      <c r="M100" s="96"/>
      <c r="N100" s="94"/>
      <c r="O100" s="95"/>
      <c r="P100" s="77"/>
    </row>
    <row r="101" spans="3:15" ht="6.75" customHeight="1" thickBot="1">
      <c r="C101" s="29"/>
      <c r="D101" s="29"/>
      <c r="E101" s="29"/>
      <c r="F101" s="41"/>
      <c r="G101" s="42"/>
      <c r="H101" s="43"/>
      <c r="I101" s="44"/>
      <c r="J101" s="42"/>
      <c r="K101" s="45"/>
      <c r="L101" s="44"/>
      <c r="M101" s="86"/>
      <c r="N101" s="84"/>
      <c r="O101" s="85"/>
    </row>
    <row r="102" spans="2:16" ht="6.75" customHeight="1">
      <c r="B102" s="82"/>
      <c r="C102" s="628"/>
      <c r="D102" s="628"/>
      <c r="E102" s="628"/>
      <c r="F102" s="628"/>
      <c r="G102" s="628"/>
      <c r="H102" s="628"/>
      <c r="I102" s="628"/>
      <c r="J102" s="628"/>
      <c r="K102" s="628"/>
      <c r="L102" s="628"/>
      <c r="M102" s="628"/>
      <c r="N102" s="628"/>
      <c r="O102" s="628"/>
      <c r="P102" s="70"/>
    </row>
    <row r="103" spans="2:16" ht="23.25">
      <c r="B103" s="78"/>
      <c r="C103" s="626" t="s">
        <v>48</v>
      </c>
      <c r="D103" s="626"/>
      <c r="E103" s="626"/>
      <c r="F103" s="626"/>
      <c r="G103" s="626"/>
      <c r="H103" s="626"/>
      <c r="I103" s="626"/>
      <c r="J103" s="626"/>
      <c r="K103" s="626"/>
      <c r="L103" s="626"/>
      <c r="M103" s="626"/>
      <c r="N103" s="626"/>
      <c r="O103" s="626"/>
      <c r="P103" s="71"/>
    </row>
    <row r="104" spans="2:16" ht="6.75" customHeight="1" thickBot="1">
      <c r="B104" s="78"/>
      <c r="C104" s="627"/>
      <c r="D104" s="627"/>
      <c r="E104" s="627"/>
      <c r="F104" s="627"/>
      <c r="G104" s="627"/>
      <c r="H104" s="627"/>
      <c r="I104" s="627"/>
      <c r="J104" s="627"/>
      <c r="K104" s="627"/>
      <c r="L104" s="627"/>
      <c r="M104" s="627"/>
      <c r="N104" s="627"/>
      <c r="O104" s="627"/>
      <c r="P104" s="71"/>
    </row>
    <row r="105" spans="2:16" ht="21" thickBot="1">
      <c r="B105" s="78"/>
      <c r="C105" s="80"/>
      <c r="D105" s="80"/>
      <c r="E105" s="29"/>
      <c r="F105" s="35"/>
      <c r="G105" s="633" t="str">
        <f>$G$8</f>
        <v>2010 BILL</v>
      </c>
      <c r="H105" s="634"/>
      <c r="I105" s="635"/>
      <c r="J105" s="633" t="str">
        <f>$J$8</f>
        <v>2011 BILL</v>
      </c>
      <c r="K105" s="634"/>
      <c r="L105" s="635"/>
      <c r="M105" s="633" t="s">
        <v>74</v>
      </c>
      <c r="N105" s="634"/>
      <c r="O105" s="635"/>
      <c r="P105" s="71"/>
    </row>
    <row r="106" spans="2:16" ht="26.25" thickBot="1">
      <c r="B106" s="78"/>
      <c r="C106" s="29"/>
      <c r="D106" s="29"/>
      <c r="E106" s="31"/>
      <c r="F106" s="36"/>
      <c r="G106" s="483" t="s">
        <v>68</v>
      </c>
      <c r="H106" s="484" t="s">
        <v>69</v>
      </c>
      <c r="I106" s="485" t="s">
        <v>70</v>
      </c>
      <c r="J106" s="486" t="s">
        <v>68</v>
      </c>
      <c r="K106" s="484" t="s">
        <v>69</v>
      </c>
      <c r="L106" s="485" t="s">
        <v>70</v>
      </c>
      <c r="M106" s="487" t="s">
        <v>82</v>
      </c>
      <c r="N106" s="488" t="s">
        <v>83</v>
      </c>
      <c r="O106" s="489" t="s">
        <v>77</v>
      </c>
      <c r="P106" s="71"/>
    </row>
    <row r="107" spans="2:16" ht="18" customHeight="1" thickBot="1">
      <c r="B107" s="78"/>
      <c r="C107" s="624" t="s">
        <v>71</v>
      </c>
      <c r="D107" s="625"/>
      <c r="E107" s="29"/>
      <c r="F107" s="228" t="s">
        <v>72</v>
      </c>
      <c r="G107" s="459"/>
      <c r="H107" s="459"/>
      <c r="I107" s="460">
        <f>+'2010 Existing Rates'!$C$5</f>
        <v>10.6</v>
      </c>
      <c r="J107" s="459"/>
      <c r="K107" s="459"/>
      <c r="L107" s="461">
        <f>+'Distribution Rate Schedule'!$C$32</f>
        <v>10.66</v>
      </c>
      <c r="M107" s="461">
        <f aca="true" t="shared" si="12" ref="M107:M112">+L107-I107</f>
        <v>0.0600000000000005</v>
      </c>
      <c r="N107" s="462">
        <f aca="true" t="shared" si="13" ref="N107:N113">+M107/I107</f>
        <v>0.005660377358490613</v>
      </c>
      <c r="O107" s="463">
        <f>L107/L119</f>
        <v>0.0767554289632834</v>
      </c>
      <c r="P107" s="71"/>
    </row>
    <row r="108" spans="2:16" ht="18" customHeight="1" thickBot="1">
      <c r="B108" s="78"/>
      <c r="C108" s="214">
        <v>1000</v>
      </c>
      <c r="D108" s="222" t="s">
        <v>16</v>
      </c>
      <c r="E108" s="29"/>
      <c r="F108" s="229" t="s">
        <v>73</v>
      </c>
      <c r="G108" s="464">
        <f>+C108</f>
        <v>1000</v>
      </c>
      <c r="H108" s="465">
        <f>+'2010 Existing Rates'!$E$5</f>
        <v>0.0154</v>
      </c>
      <c r="I108" s="466">
        <f>+G108*H108</f>
        <v>15.4</v>
      </c>
      <c r="J108" s="464">
        <f>+C108</f>
        <v>1000</v>
      </c>
      <c r="K108" s="467">
        <f>+'Distribution Rate Schedule'!$E$32</f>
        <v>0.0155</v>
      </c>
      <c r="L108" s="468">
        <f>+J108*K108</f>
        <v>15.5</v>
      </c>
      <c r="M108" s="468">
        <f t="shared" si="12"/>
        <v>0.09999999999999964</v>
      </c>
      <c r="N108" s="469">
        <f t="shared" si="13"/>
        <v>0.0064935064935064705</v>
      </c>
      <c r="O108" s="470">
        <f>L108/L119</f>
        <v>0.11160498582841394</v>
      </c>
      <c r="P108" s="71"/>
    </row>
    <row r="109" spans="2:16" ht="18" customHeight="1">
      <c r="B109" s="78"/>
      <c r="C109" s="52"/>
      <c r="D109" s="53"/>
      <c r="E109" s="29"/>
      <c r="F109" s="229" t="s">
        <v>144</v>
      </c>
      <c r="G109" s="471"/>
      <c r="H109" s="471"/>
      <c r="I109" s="466">
        <f>'2010 Existing Rates'!B$62</f>
        <v>1</v>
      </c>
      <c r="J109" s="471"/>
      <c r="K109" s="471"/>
      <c r="L109" s="468">
        <f>'2011 Rate Rider'!D$3</f>
        <v>1.18</v>
      </c>
      <c r="M109" s="468">
        <f t="shared" si="12"/>
        <v>0.17999999999999994</v>
      </c>
      <c r="N109" s="469">
        <f t="shared" si="13"/>
        <v>0.17999999999999994</v>
      </c>
      <c r="O109" s="470">
        <f>L109/L119</f>
        <v>0.008496379566292157</v>
      </c>
      <c r="P109" s="71"/>
    </row>
    <row r="110" spans="2:16" ht="18" customHeight="1">
      <c r="B110" s="78"/>
      <c r="C110" s="52"/>
      <c r="D110" s="53"/>
      <c r="E110" s="29"/>
      <c r="F110" s="229" t="s">
        <v>137</v>
      </c>
      <c r="G110" s="464">
        <f>C108</f>
        <v>1000</v>
      </c>
      <c r="H110" s="465">
        <v>0</v>
      </c>
      <c r="I110" s="466">
        <f>+G110*H110</f>
        <v>0</v>
      </c>
      <c r="J110" s="464">
        <f>C108</f>
        <v>1000</v>
      </c>
      <c r="K110" s="467">
        <f>'LRAM and SSM Rate Rider'!L$6</f>
        <v>0</v>
      </c>
      <c r="L110" s="468">
        <f>+J110*K110</f>
        <v>0</v>
      </c>
      <c r="M110" s="468">
        <f t="shared" si="12"/>
        <v>0</v>
      </c>
      <c r="N110" s="469">
        <f>IF(I110=0,0,M110/I110)</f>
        <v>0</v>
      </c>
      <c r="O110" s="470">
        <f>L110/L119</f>
        <v>0</v>
      </c>
      <c r="P110" s="71"/>
    </row>
    <row r="111" spans="2:16" ht="18" customHeight="1">
      <c r="B111" s="78"/>
      <c r="C111" s="29"/>
      <c r="D111" s="29"/>
      <c r="E111" s="29"/>
      <c r="F111" s="496" t="s">
        <v>241</v>
      </c>
      <c r="G111" s="472">
        <f>+C108</f>
        <v>1000</v>
      </c>
      <c r="H111" s="517">
        <f>+'2010 Existing Rates'!$B$20</f>
        <v>-0.002</v>
      </c>
      <c r="I111" s="468">
        <f>+G111*H111</f>
        <v>-2</v>
      </c>
      <c r="J111" s="472">
        <f>+C108</f>
        <v>1000</v>
      </c>
      <c r="K111" s="517">
        <f>+'2011 Rate Rider'!$B$3</f>
        <v>-0.002</v>
      </c>
      <c r="L111" s="468">
        <f>+J111*K111</f>
        <v>-2</v>
      </c>
      <c r="M111" s="468">
        <f t="shared" si="12"/>
        <v>0</v>
      </c>
      <c r="N111" s="469">
        <f t="shared" si="13"/>
        <v>0</v>
      </c>
      <c r="O111" s="470">
        <f>L111/L$119</f>
        <v>-0.014400643332698573</v>
      </c>
      <c r="P111" s="71"/>
    </row>
    <row r="112" spans="2:16" ht="18" customHeight="1" thickBot="1">
      <c r="B112" s="78"/>
      <c r="C112" s="29"/>
      <c r="D112" s="29"/>
      <c r="E112" s="29"/>
      <c r="F112" s="496" t="s">
        <v>242</v>
      </c>
      <c r="G112" s="472">
        <f>C108</f>
        <v>1000</v>
      </c>
      <c r="H112" s="465">
        <v>0</v>
      </c>
      <c r="I112" s="466">
        <f>+G112*H112</f>
        <v>0</v>
      </c>
      <c r="J112" s="472">
        <f>C108</f>
        <v>1000</v>
      </c>
      <c r="K112" s="465">
        <f>'2011 Rate Rider'!B$27</f>
        <v>0</v>
      </c>
      <c r="L112" s="468">
        <f>+J112*K112</f>
        <v>0</v>
      </c>
      <c r="M112" s="468">
        <f t="shared" si="12"/>
        <v>0</v>
      </c>
      <c r="N112" s="469">
        <f>IF(I112=0,0,M112/I112)</f>
        <v>0</v>
      </c>
      <c r="O112" s="470">
        <f>L112/L$119</f>
        <v>0</v>
      </c>
      <c r="P112" s="71"/>
    </row>
    <row r="113" spans="2:16" ht="18" customHeight="1" thickBot="1">
      <c r="B113" s="78"/>
      <c r="C113" s="29"/>
      <c r="D113" s="29"/>
      <c r="E113" s="29"/>
      <c r="F113" s="219" t="s">
        <v>78</v>
      </c>
      <c r="G113" s="637"/>
      <c r="H113" s="637"/>
      <c r="I113" s="473">
        <f>SUM(I107:I112)</f>
        <v>25</v>
      </c>
      <c r="J113" s="637"/>
      <c r="K113" s="637"/>
      <c r="L113" s="473">
        <f>SUM(L107:L112)</f>
        <v>25.34</v>
      </c>
      <c r="M113" s="474">
        <f>SUM(M107:M112)</f>
        <v>0.3400000000000001</v>
      </c>
      <c r="N113" s="475">
        <f t="shared" si="13"/>
        <v>0.013600000000000003</v>
      </c>
      <c r="O113" s="476">
        <f>L113/L119</f>
        <v>0.18245615102529092</v>
      </c>
      <c r="P113" s="71"/>
    </row>
    <row r="114" spans="2:16" ht="18" customHeight="1">
      <c r="B114" s="78"/>
      <c r="C114" s="29"/>
      <c r="D114" s="29"/>
      <c r="E114" s="29"/>
      <c r="F114" s="229" t="s">
        <v>79</v>
      </c>
      <c r="G114" s="464">
        <f>+'Other Electriciy Rates'!$N$5*C108</f>
        <v>1035.6000000000001</v>
      </c>
      <c r="H114" s="477">
        <f>+'Other Electriciy Rates'!$E$5</f>
        <v>0.0250725</v>
      </c>
      <c r="I114" s="466">
        <f>+G114*H114</f>
        <v>25.965081000000005</v>
      </c>
      <c r="J114" s="464">
        <f>+C108*'Other Electriciy Rates'!$O$5</f>
        <v>1034.8999999999999</v>
      </c>
      <c r="K114" s="477">
        <f>+'Other Electriciy Rates'!$F$5</f>
        <v>0.0250725</v>
      </c>
      <c r="L114" s="468">
        <f>+J114*K114</f>
        <v>25.947530249999996</v>
      </c>
      <c r="M114" s="468">
        <f>+L114-I114</f>
        <v>-0.01755075000000872</v>
      </c>
      <c r="N114" s="469">
        <f aca="true" t="shared" si="14" ref="N114:N119">+M114/I114</f>
        <v>-0.0006759366550795168</v>
      </c>
      <c r="O114" s="470">
        <f>L114/L119</f>
        <v>0.1868305642473285</v>
      </c>
      <c r="P114" s="71"/>
    </row>
    <row r="115" spans="2:16" ht="18" customHeight="1">
      <c r="B115" s="78"/>
      <c r="C115" s="29"/>
      <c r="D115" s="29"/>
      <c r="E115" s="29"/>
      <c r="F115" s="229" t="s">
        <v>80</v>
      </c>
      <c r="G115" s="464">
        <v>600</v>
      </c>
      <c r="H115" s="477">
        <f>+'Other Electriciy Rates'!$L$5</f>
        <v>0.065</v>
      </c>
      <c r="I115" s="466">
        <f>+G115*H115</f>
        <v>39</v>
      </c>
      <c r="J115" s="464">
        <v>600</v>
      </c>
      <c r="K115" s="477">
        <f>+'Other Electriciy Rates'!$L$5</f>
        <v>0.065</v>
      </c>
      <c r="L115" s="468">
        <f>+J115*K115</f>
        <v>39</v>
      </c>
      <c r="M115" s="468">
        <f>+L115-I115</f>
        <v>0</v>
      </c>
      <c r="N115" s="469">
        <f t="shared" si="14"/>
        <v>0</v>
      </c>
      <c r="O115" s="470">
        <f>L115/L119</f>
        <v>0.28081254498762215</v>
      </c>
      <c r="P115" s="71"/>
    </row>
    <row r="116" spans="2:16" ht="18" customHeight="1" thickBot="1">
      <c r="B116" s="78"/>
      <c r="C116" s="29"/>
      <c r="D116" s="29"/>
      <c r="E116" s="29"/>
      <c r="F116" s="229" t="s">
        <v>80</v>
      </c>
      <c r="G116" s="464">
        <f>+G114-G115</f>
        <v>435.60000000000014</v>
      </c>
      <c r="H116" s="477">
        <f>+'Other Electriciy Rates'!$M$5</f>
        <v>0.075</v>
      </c>
      <c r="I116" s="466">
        <f>+G116*H116</f>
        <v>32.67000000000001</v>
      </c>
      <c r="J116" s="464">
        <f>+J114-J115</f>
        <v>434.89999999999986</v>
      </c>
      <c r="K116" s="477">
        <f>+'Other Electriciy Rates'!$M$5</f>
        <v>0.075</v>
      </c>
      <c r="L116" s="468">
        <f>+J116*K116</f>
        <v>32.617499999999986</v>
      </c>
      <c r="M116" s="468">
        <f>+L116-I116</f>
        <v>-0.052500000000023306</v>
      </c>
      <c r="N116" s="469">
        <f t="shared" si="14"/>
        <v>-0.0016069788797068653</v>
      </c>
      <c r="O116" s="470">
        <f>L116/L119</f>
        <v>0.23485649195214775</v>
      </c>
      <c r="P116" s="71"/>
    </row>
    <row r="117" spans="2:16" ht="18" customHeight="1" thickBot="1">
      <c r="B117" s="78"/>
      <c r="C117" s="29"/>
      <c r="D117" s="29"/>
      <c r="E117" s="29"/>
      <c r="F117" s="219" t="s">
        <v>172</v>
      </c>
      <c r="G117" s="637"/>
      <c r="H117" s="637"/>
      <c r="I117" s="473">
        <f>SUM(I113:I116)</f>
        <v>122.63508100000001</v>
      </c>
      <c r="J117" s="637"/>
      <c r="K117" s="637"/>
      <c r="L117" s="473">
        <f>SUM(L113:L116)</f>
        <v>122.90503024999998</v>
      </c>
      <c r="M117" s="473">
        <f>SUM(M113:M116)</f>
        <v>0.26994924999996806</v>
      </c>
      <c r="N117" s="475">
        <f t="shared" si="14"/>
        <v>0.002201240035059528</v>
      </c>
      <c r="O117" s="476">
        <f>L117/L119</f>
        <v>0.8849557522123893</v>
      </c>
      <c r="P117" s="71"/>
    </row>
    <row r="118" spans="2:16" ht="18" customHeight="1" thickBot="1">
      <c r="B118" s="78"/>
      <c r="C118" s="29"/>
      <c r="D118" s="29"/>
      <c r="E118" s="29"/>
      <c r="F118" s="496" t="s">
        <v>252</v>
      </c>
      <c r="G118" s="464"/>
      <c r="H118" s="478">
        <v>0.13</v>
      </c>
      <c r="I118" s="466">
        <f>I117*H118</f>
        <v>15.942560530000002</v>
      </c>
      <c r="J118" s="464"/>
      <c r="K118" s="478">
        <v>0.13</v>
      </c>
      <c r="L118" s="468">
        <f>L117*K118</f>
        <v>15.977653932499997</v>
      </c>
      <c r="M118" s="468">
        <f>+L118-I118</f>
        <v>0.03509340249999582</v>
      </c>
      <c r="N118" s="469">
        <f t="shared" si="14"/>
        <v>0.002201240035059526</v>
      </c>
      <c r="O118" s="470">
        <f>L118/L119</f>
        <v>0.11504424778761062</v>
      </c>
      <c r="P118" s="71"/>
    </row>
    <row r="119" spans="2:16" ht="18" customHeight="1" thickBot="1">
      <c r="B119" s="78"/>
      <c r="C119" s="29"/>
      <c r="D119" s="29"/>
      <c r="E119" s="33"/>
      <c r="F119" s="220" t="s">
        <v>81</v>
      </c>
      <c r="G119" s="638"/>
      <c r="H119" s="638"/>
      <c r="I119" s="473">
        <f>SUM(I117:I118)</f>
        <v>138.57764153000002</v>
      </c>
      <c r="J119" s="639"/>
      <c r="K119" s="639"/>
      <c r="L119" s="473">
        <f>SUM(L117:L118)</f>
        <v>138.8826841825</v>
      </c>
      <c r="M119" s="473">
        <f>SUM(M117:M118)</f>
        <v>0.3050426524999639</v>
      </c>
      <c r="N119" s="475">
        <f t="shared" si="14"/>
        <v>0.0022012400350595275</v>
      </c>
      <c r="O119" s="476">
        <f>O117+O118</f>
        <v>0.9999999999999999</v>
      </c>
      <c r="P119" s="71"/>
    </row>
    <row r="120" spans="2:16" ht="6.75" customHeight="1" thickBot="1">
      <c r="B120" s="72"/>
      <c r="C120" s="87"/>
      <c r="D120" s="87"/>
      <c r="E120" s="87"/>
      <c r="F120" s="88"/>
      <c r="G120" s="89"/>
      <c r="H120" s="90"/>
      <c r="I120" s="91"/>
      <c r="J120" s="89"/>
      <c r="K120" s="92"/>
      <c r="L120" s="91"/>
      <c r="M120" s="96"/>
      <c r="N120" s="94"/>
      <c r="O120" s="95"/>
      <c r="P120" s="77"/>
    </row>
    <row r="121" spans="3:15" ht="6.75" customHeight="1" thickBot="1">
      <c r="C121" s="29"/>
      <c r="D121" s="29"/>
      <c r="E121" s="29"/>
      <c r="F121" s="41"/>
      <c r="G121" s="42"/>
      <c r="H121" s="43"/>
      <c r="I121" s="44"/>
      <c r="J121" s="42"/>
      <c r="K121" s="45"/>
      <c r="L121" s="44"/>
      <c r="M121" s="86"/>
      <c r="N121" s="84"/>
      <c r="O121" s="85"/>
    </row>
    <row r="122" spans="2:16" ht="6.75" customHeight="1">
      <c r="B122" s="82"/>
      <c r="C122" s="628"/>
      <c r="D122" s="628"/>
      <c r="E122" s="628"/>
      <c r="F122" s="628"/>
      <c r="G122" s="628"/>
      <c r="H122" s="628"/>
      <c r="I122" s="628"/>
      <c r="J122" s="628"/>
      <c r="K122" s="628"/>
      <c r="L122" s="628"/>
      <c r="M122" s="628"/>
      <c r="N122" s="628"/>
      <c r="O122" s="628"/>
      <c r="P122" s="70"/>
    </row>
    <row r="123" spans="2:16" ht="23.25">
      <c r="B123" s="78"/>
      <c r="C123" s="626" t="s">
        <v>48</v>
      </c>
      <c r="D123" s="626"/>
      <c r="E123" s="626"/>
      <c r="F123" s="626"/>
      <c r="G123" s="626"/>
      <c r="H123" s="626"/>
      <c r="I123" s="626"/>
      <c r="J123" s="626"/>
      <c r="K123" s="626"/>
      <c r="L123" s="626"/>
      <c r="M123" s="626"/>
      <c r="N123" s="626"/>
      <c r="O123" s="626"/>
      <c r="P123" s="71"/>
    </row>
    <row r="124" spans="2:16" ht="6.75" customHeight="1" thickBot="1">
      <c r="B124" s="78"/>
      <c r="C124" s="627"/>
      <c r="D124" s="627"/>
      <c r="E124" s="627"/>
      <c r="F124" s="627"/>
      <c r="G124" s="627"/>
      <c r="H124" s="627"/>
      <c r="I124" s="627"/>
      <c r="J124" s="627"/>
      <c r="K124" s="627"/>
      <c r="L124" s="627"/>
      <c r="M124" s="627"/>
      <c r="N124" s="627"/>
      <c r="O124" s="627"/>
      <c r="P124" s="71"/>
    </row>
    <row r="125" spans="2:16" ht="21" thickBot="1">
      <c r="B125" s="78"/>
      <c r="C125" s="80"/>
      <c r="D125" s="80"/>
      <c r="E125" s="29"/>
      <c r="F125" s="35"/>
      <c r="G125" s="633" t="str">
        <f>$G$8</f>
        <v>2010 BILL</v>
      </c>
      <c r="H125" s="634"/>
      <c r="I125" s="635"/>
      <c r="J125" s="633" t="str">
        <f>$J$8</f>
        <v>2011 BILL</v>
      </c>
      <c r="K125" s="634"/>
      <c r="L125" s="635"/>
      <c r="M125" s="633" t="s">
        <v>74</v>
      </c>
      <c r="N125" s="634"/>
      <c r="O125" s="635"/>
      <c r="P125" s="71"/>
    </row>
    <row r="126" spans="2:16" ht="26.25" thickBot="1">
      <c r="B126" s="78"/>
      <c r="C126" s="29"/>
      <c r="D126" s="29"/>
      <c r="E126" s="31"/>
      <c r="F126" s="36"/>
      <c r="G126" s="483" t="s">
        <v>68</v>
      </c>
      <c r="H126" s="484" t="s">
        <v>69</v>
      </c>
      <c r="I126" s="485" t="s">
        <v>70</v>
      </c>
      <c r="J126" s="486" t="s">
        <v>68</v>
      </c>
      <c r="K126" s="484" t="s">
        <v>69</v>
      </c>
      <c r="L126" s="485" t="s">
        <v>70</v>
      </c>
      <c r="M126" s="487" t="s">
        <v>82</v>
      </c>
      <c r="N126" s="488" t="s">
        <v>83</v>
      </c>
      <c r="O126" s="489" t="s">
        <v>77</v>
      </c>
      <c r="P126" s="71"/>
    </row>
    <row r="127" spans="2:16" ht="18" customHeight="1" thickBot="1">
      <c r="B127" s="78"/>
      <c r="C127" s="624" t="s">
        <v>71</v>
      </c>
      <c r="D127" s="625"/>
      <c r="E127" s="29"/>
      <c r="F127" s="228" t="s">
        <v>72</v>
      </c>
      <c r="G127" s="459"/>
      <c r="H127" s="459"/>
      <c r="I127" s="460">
        <f>+'2010 Existing Rates'!$C$5</f>
        <v>10.6</v>
      </c>
      <c r="J127" s="459"/>
      <c r="K127" s="459"/>
      <c r="L127" s="461">
        <f>+'Distribution Rate Schedule'!$C$32</f>
        <v>10.66</v>
      </c>
      <c r="M127" s="461">
        <f aca="true" t="shared" si="15" ref="M127:M132">+L127-I127</f>
        <v>0.0600000000000005</v>
      </c>
      <c r="N127" s="462">
        <f aca="true" t="shared" si="16" ref="N127:N133">+M127/I127</f>
        <v>0.005660377358490613</v>
      </c>
      <c r="O127" s="463">
        <f>L127/L139</f>
        <v>0.051993804805319614</v>
      </c>
      <c r="P127" s="71"/>
    </row>
    <row r="128" spans="2:16" ht="18" customHeight="1" thickBot="1">
      <c r="B128" s="78"/>
      <c r="C128" s="214">
        <v>1500</v>
      </c>
      <c r="D128" s="222" t="s">
        <v>16</v>
      </c>
      <c r="E128" s="29"/>
      <c r="F128" s="229" t="s">
        <v>73</v>
      </c>
      <c r="G128" s="464">
        <f>+C128</f>
        <v>1500</v>
      </c>
      <c r="H128" s="465">
        <f>+'2010 Existing Rates'!$E$5</f>
        <v>0.0154</v>
      </c>
      <c r="I128" s="466">
        <f>+G128*H128</f>
        <v>23.1</v>
      </c>
      <c r="J128" s="464">
        <f>+C128</f>
        <v>1500</v>
      </c>
      <c r="K128" s="467">
        <f>+'Distribution Rate Schedule'!$E$32</f>
        <v>0.0155</v>
      </c>
      <c r="L128" s="468">
        <f>+J128*K128</f>
        <v>23.25</v>
      </c>
      <c r="M128" s="468">
        <f t="shared" si="15"/>
        <v>0.14999999999999858</v>
      </c>
      <c r="N128" s="469">
        <f t="shared" si="16"/>
        <v>0.0064935064935064315</v>
      </c>
      <c r="O128" s="470">
        <f>L128/L139</f>
        <v>0.11340112211291567</v>
      </c>
      <c r="P128" s="71"/>
    </row>
    <row r="129" spans="2:16" ht="18" customHeight="1">
      <c r="B129" s="78"/>
      <c r="C129" s="52"/>
      <c r="D129" s="53"/>
      <c r="E129" s="29"/>
      <c r="F129" s="229" t="s">
        <v>144</v>
      </c>
      <c r="G129" s="471"/>
      <c r="H129" s="471"/>
      <c r="I129" s="466">
        <f>'2010 Existing Rates'!B$62</f>
        <v>1</v>
      </c>
      <c r="J129" s="471"/>
      <c r="K129" s="471"/>
      <c r="L129" s="468">
        <f>'2011 Rate Rider'!D$3</f>
        <v>1.18</v>
      </c>
      <c r="M129" s="468">
        <f t="shared" si="15"/>
        <v>0.17999999999999994</v>
      </c>
      <c r="N129" s="469">
        <f t="shared" si="16"/>
        <v>0.17999999999999994</v>
      </c>
      <c r="O129" s="470">
        <f>L129/L139</f>
        <v>0.00575541178895658</v>
      </c>
      <c r="P129" s="71"/>
    </row>
    <row r="130" spans="2:16" ht="18" customHeight="1">
      <c r="B130" s="78"/>
      <c r="C130" s="52"/>
      <c r="D130" s="53"/>
      <c r="E130" s="29"/>
      <c r="F130" s="229" t="s">
        <v>137</v>
      </c>
      <c r="G130" s="464">
        <f>C128</f>
        <v>1500</v>
      </c>
      <c r="H130" s="465">
        <v>0</v>
      </c>
      <c r="I130" s="466">
        <f>+G130*H130</f>
        <v>0</v>
      </c>
      <c r="J130" s="464">
        <f>C128</f>
        <v>1500</v>
      </c>
      <c r="K130" s="467">
        <f>'LRAM and SSM Rate Rider'!L$6</f>
        <v>0</v>
      </c>
      <c r="L130" s="468">
        <f>+J130*K130</f>
        <v>0</v>
      </c>
      <c r="M130" s="468">
        <f t="shared" si="15"/>
        <v>0</v>
      </c>
      <c r="N130" s="469">
        <f>IF(I130=0,0,M130/I130)</f>
        <v>0</v>
      </c>
      <c r="O130" s="470">
        <f>L130/L139</f>
        <v>0</v>
      </c>
      <c r="P130" s="71"/>
    </row>
    <row r="131" spans="2:16" ht="18" customHeight="1">
      <c r="B131" s="78"/>
      <c r="C131" s="29"/>
      <c r="D131" s="29"/>
      <c r="E131" s="29"/>
      <c r="F131" s="496" t="s">
        <v>241</v>
      </c>
      <c r="G131" s="472">
        <f>+C128</f>
        <v>1500</v>
      </c>
      <c r="H131" s="517">
        <f>+'2010 Existing Rates'!$B$20</f>
        <v>-0.002</v>
      </c>
      <c r="I131" s="468">
        <f>+G131*H131</f>
        <v>-3</v>
      </c>
      <c r="J131" s="472">
        <f>+C128</f>
        <v>1500</v>
      </c>
      <c r="K131" s="517">
        <f>+'2011 Rate Rider'!$B$3</f>
        <v>-0.002</v>
      </c>
      <c r="L131" s="468">
        <f>+J131*K131</f>
        <v>-3</v>
      </c>
      <c r="M131" s="468">
        <f t="shared" si="15"/>
        <v>0</v>
      </c>
      <c r="N131" s="469">
        <f t="shared" si="16"/>
        <v>0</v>
      </c>
      <c r="O131" s="470">
        <f>L131/L$139</f>
        <v>-0.014632402853279441</v>
      </c>
      <c r="P131" s="71"/>
    </row>
    <row r="132" spans="2:16" ht="18" customHeight="1" thickBot="1">
      <c r="B132" s="78"/>
      <c r="C132" s="29"/>
      <c r="D132" s="29"/>
      <c r="E132" s="29"/>
      <c r="F132" s="496" t="s">
        <v>242</v>
      </c>
      <c r="G132" s="472">
        <f>C128</f>
        <v>1500</v>
      </c>
      <c r="H132" s="465">
        <v>0</v>
      </c>
      <c r="I132" s="466">
        <f>+G132*H132</f>
        <v>0</v>
      </c>
      <c r="J132" s="472">
        <f>C128</f>
        <v>1500</v>
      </c>
      <c r="K132" s="465">
        <f>'2011 Rate Rider'!B$27</f>
        <v>0</v>
      </c>
      <c r="L132" s="468">
        <f>+J132*K132</f>
        <v>0</v>
      </c>
      <c r="M132" s="468">
        <f t="shared" si="15"/>
        <v>0</v>
      </c>
      <c r="N132" s="469">
        <f>IF(I132=0,0,M132/I132)</f>
        <v>0</v>
      </c>
      <c r="O132" s="470">
        <f>L132/L$139</f>
        <v>0</v>
      </c>
      <c r="P132" s="71"/>
    </row>
    <row r="133" spans="2:16" ht="18" customHeight="1" thickBot="1">
      <c r="B133" s="78"/>
      <c r="C133" s="29"/>
      <c r="D133" s="29"/>
      <c r="E133" s="29"/>
      <c r="F133" s="219" t="s">
        <v>78</v>
      </c>
      <c r="G133" s="637"/>
      <c r="H133" s="637"/>
      <c r="I133" s="473">
        <f>SUM(I127:I132)</f>
        <v>31.700000000000003</v>
      </c>
      <c r="J133" s="637"/>
      <c r="K133" s="637"/>
      <c r="L133" s="473">
        <f>SUM(L127:L132)</f>
        <v>32.089999999999996</v>
      </c>
      <c r="M133" s="474">
        <f>SUM(M127:M132)</f>
        <v>0.389999999999999</v>
      </c>
      <c r="N133" s="475">
        <f t="shared" si="16"/>
        <v>0.01230283911671921</v>
      </c>
      <c r="O133" s="476">
        <f>L133/L139</f>
        <v>0.1565179358539124</v>
      </c>
      <c r="P133" s="71"/>
    </row>
    <row r="134" spans="2:16" ht="18" customHeight="1">
      <c r="B134" s="78"/>
      <c r="C134" s="29"/>
      <c r="D134" s="29"/>
      <c r="E134" s="29"/>
      <c r="F134" s="229" t="s">
        <v>79</v>
      </c>
      <c r="G134" s="464">
        <f>C128*'Other Electriciy Rates'!N$5</f>
        <v>1553.4</v>
      </c>
      <c r="H134" s="477">
        <f>+'Other Electriciy Rates'!$E$5</f>
        <v>0.0250725</v>
      </c>
      <c r="I134" s="466">
        <f>+G134*H134</f>
        <v>38.947621500000004</v>
      </c>
      <c r="J134" s="464">
        <f>C128*'Other Electriciy Rates'!O$5</f>
        <v>1552.35</v>
      </c>
      <c r="K134" s="477">
        <f>+'Other Electriciy Rates'!$F$5</f>
        <v>0.0250725</v>
      </c>
      <c r="L134" s="468">
        <f>+J134*K134</f>
        <v>38.921295375</v>
      </c>
      <c r="M134" s="468">
        <f>+L134-I134</f>
        <v>-0.026326125000004197</v>
      </c>
      <c r="N134" s="469">
        <f aca="true" t="shared" si="17" ref="N134:N139">+M134/I134</f>
        <v>-0.0006759366550792888</v>
      </c>
      <c r="O134" s="470">
        <f>L134/L139</f>
        <v>0.1898373578328273</v>
      </c>
      <c r="P134" s="71"/>
    </row>
    <row r="135" spans="2:16" ht="18" customHeight="1">
      <c r="B135" s="78"/>
      <c r="C135" s="29"/>
      <c r="D135" s="29"/>
      <c r="E135" s="29"/>
      <c r="F135" s="229" t="s">
        <v>80</v>
      </c>
      <c r="G135" s="464">
        <v>600</v>
      </c>
      <c r="H135" s="477">
        <f>+'Other Electriciy Rates'!$L$5</f>
        <v>0.065</v>
      </c>
      <c r="I135" s="466">
        <f>+G135*H135</f>
        <v>39</v>
      </c>
      <c r="J135" s="464">
        <v>600</v>
      </c>
      <c r="K135" s="477">
        <f>+'Other Electriciy Rates'!$L$5</f>
        <v>0.065</v>
      </c>
      <c r="L135" s="468">
        <f>+J135*K135</f>
        <v>39</v>
      </c>
      <c r="M135" s="468">
        <f>+L135-I135</f>
        <v>0</v>
      </c>
      <c r="N135" s="469">
        <f t="shared" si="17"/>
        <v>0</v>
      </c>
      <c r="O135" s="470">
        <f>L135/L139</f>
        <v>0.19022123709263272</v>
      </c>
      <c r="P135" s="71"/>
    </row>
    <row r="136" spans="2:16" ht="18" customHeight="1" thickBot="1">
      <c r="B136" s="78"/>
      <c r="C136" s="29"/>
      <c r="D136" s="29"/>
      <c r="E136" s="29"/>
      <c r="F136" s="229" t="s">
        <v>80</v>
      </c>
      <c r="G136" s="464">
        <f>+G134-G135</f>
        <v>953.4000000000001</v>
      </c>
      <c r="H136" s="477">
        <f>+'Other Electriciy Rates'!$M$5</f>
        <v>0.075</v>
      </c>
      <c r="I136" s="466">
        <f>+G136*H136</f>
        <v>71.50500000000001</v>
      </c>
      <c r="J136" s="464">
        <f>+J134-J135</f>
        <v>952.3499999999999</v>
      </c>
      <c r="K136" s="477">
        <f>+'Other Electriciy Rates'!$M$5</f>
        <v>0.075</v>
      </c>
      <c r="L136" s="468">
        <f>+J136*K136</f>
        <v>71.42625</v>
      </c>
      <c r="M136" s="468">
        <f>+L136-I136</f>
        <v>-0.07875000000001364</v>
      </c>
      <c r="N136" s="469">
        <f t="shared" si="17"/>
        <v>-0.0011013215859032744</v>
      </c>
      <c r="O136" s="470">
        <f>L136/L139</f>
        <v>0.34837922143301686</v>
      </c>
      <c r="P136" s="71"/>
    </row>
    <row r="137" spans="2:16" ht="18" customHeight="1" thickBot="1">
      <c r="B137" s="78"/>
      <c r="C137" s="29"/>
      <c r="D137" s="29"/>
      <c r="E137" s="29"/>
      <c r="F137" s="219" t="s">
        <v>172</v>
      </c>
      <c r="G137" s="637"/>
      <c r="H137" s="637"/>
      <c r="I137" s="473">
        <f>SUM(I133:I136)</f>
        <v>181.1526215</v>
      </c>
      <c r="J137" s="637"/>
      <c r="K137" s="637"/>
      <c r="L137" s="473">
        <f>SUM(L133:L136)</f>
        <v>181.437545375</v>
      </c>
      <c r="M137" s="473">
        <f>SUM(M133:M136)</f>
        <v>0.2849238749999812</v>
      </c>
      <c r="N137" s="475">
        <f t="shared" si="17"/>
        <v>0.0015728388175711891</v>
      </c>
      <c r="O137" s="476">
        <f>L137/L139</f>
        <v>0.8849557522123894</v>
      </c>
      <c r="P137" s="71"/>
    </row>
    <row r="138" spans="2:16" ht="18" customHeight="1" thickBot="1">
      <c r="B138" s="78"/>
      <c r="C138" s="29"/>
      <c r="D138" s="29"/>
      <c r="E138" s="29"/>
      <c r="F138" s="496" t="s">
        <v>252</v>
      </c>
      <c r="G138" s="464"/>
      <c r="H138" s="478">
        <v>0.13</v>
      </c>
      <c r="I138" s="466">
        <f>I137*H138</f>
        <v>23.549840795</v>
      </c>
      <c r="J138" s="464"/>
      <c r="K138" s="478">
        <v>0.13</v>
      </c>
      <c r="L138" s="468">
        <f>L137*K138</f>
        <v>23.586880898750003</v>
      </c>
      <c r="M138" s="468">
        <f>+L138-I138</f>
        <v>0.03704010375000166</v>
      </c>
      <c r="N138" s="469">
        <f t="shared" si="17"/>
        <v>0.0015728388175713635</v>
      </c>
      <c r="O138" s="470">
        <f>L138/L139</f>
        <v>0.11504424778761063</v>
      </c>
      <c r="P138" s="71"/>
    </row>
    <row r="139" spans="2:16" ht="18" customHeight="1" thickBot="1">
      <c r="B139" s="78"/>
      <c r="C139" s="29"/>
      <c r="D139" s="29"/>
      <c r="E139" s="33"/>
      <c r="F139" s="220" t="s">
        <v>81</v>
      </c>
      <c r="G139" s="638"/>
      <c r="H139" s="638"/>
      <c r="I139" s="473">
        <f>SUM(I137:I138)</f>
        <v>204.702462295</v>
      </c>
      <c r="J139" s="639"/>
      <c r="K139" s="639"/>
      <c r="L139" s="473">
        <f>SUM(L137:L138)</f>
        <v>205.02442627375</v>
      </c>
      <c r="M139" s="473">
        <f>SUM(M137:M138)</f>
        <v>0.32196397874998284</v>
      </c>
      <c r="N139" s="475">
        <f t="shared" si="17"/>
        <v>0.001572838817571209</v>
      </c>
      <c r="O139" s="476">
        <f>SUM(O137:O138)</f>
        <v>1</v>
      </c>
      <c r="P139" s="71"/>
    </row>
    <row r="140" spans="2:16" ht="6.75" customHeight="1" thickBot="1">
      <c r="B140" s="72"/>
      <c r="C140" s="87"/>
      <c r="D140" s="87"/>
      <c r="E140" s="87"/>
      <c r="F140" s="88"/>
      <c r="G140" s="89"/>
      <c r="H140" s="90"/>
      <c r="I140" s="91"/>
      <c r="J140" s="89"/>
      <c r="K140" s="92"/>
      <c r="L140" s="91"/>
      <c r="M140" s="96"/>
      <c r="N140" s="94"/>
      <c r="O140" s="95"/>
      <c r="P140" s="77"/>
    </row>
    <row r="141" spans="3:15" ht="6.75" customHeight="1" thickBot="1">
      <c r="C141" s="29"/>
      <c r="D141" s="29"/>
      <c r="E141" s="29"/>
      <c r="F141" s="41"/>
      <c r="G141" s="42"/>
      <c r="H141" s="43"/>
      <c r="I141" s="44"/>
      <c r="J141" s="42"/>
      <c r="K141" s="45"/>
      <c r="L141" s="44"/>
      <c r="M141" s="86"/>
      <c r="N141" s="84"/>
      <c r="O141" s="85"/>
    </row>
    <row r="142" spans="2:16" ht="6.75" customHeight="1">
      <c r="B142" s="82"/>
      <c r="C142" s="628"/>
      <c r="D142" s="628"/>
      <c r="E142" s="628"/>
      <c r="F142" s="628"/>
      <c r="G142" s="628"/>
      <c r="H142" s="628"/>
      <c r="I142" s="628"/>
      <c r="J142" s="628"/>
      <c r="K142" s="628"/>
      <c r="L142" s="628"/>
      <c r="M142" s="628"/>
      <c r="N142" s="628"/>
      <c r="O142" s="628"/>
      <c r="P142" s="70"/>
    </row>
    <row r="143" spans="2:16" ht="23.25">
      <c r="B143" s="78"/>
      <c r="C143" s="626" t="s">
        <v>112</v>
      </c>
      <c r="D143" s="626"/>
      <c r="E143" s="626"/>
      <c r="F143" s="626"/>
      <c r="G143" s="626"/>
      <c r="H143" s="626"/>
      <c r="I143" s="626"/>
      <c r="J143" s="626"/>
      <c r="K143" s="626"/>
      <c r="L143" s="626"/>
      <c r="M143" s="626"/>
      <c r="N143" s="626"/>
      <c r="O143" s="626"/>
      <c r="P143" s="71"/>
    </row>
    <row r="144" spans="2:16" ht="6.75" customHeight="1" thickBot="1">
      <c r="B144" s="78"/>
      <c r="C144" s="627"/>
      <c r="D144" s="627"/>
      <c r="E144" s="627"/>
      <c r="F144" s="627"/>
      <c r="G144" s="627"/>
      <c r="H144" s="627"/>
      <c r="I144" s="627"/>
      <c r="J144" s="627"/>
      <c r="K144" s="627"/>
      <c r="L144" s="627"/>
      <c r="M144" s="627"/>
      <c r="N144" s="627"/>
      <c r="O144" s="627"/>
      <c r="P144" s="71"/>
    </row>
    <row r="145" spans="2:16" ht="21" thickBot="1">
      <c r="B145" s="78"/>
      <c r="C145" s="80"/>
      <c r="D145" s="80"/>
      <c r="E145" s="29"/>
      <c r="F145" s="30"/>
      <c r="G145" s="633" t="str">
        <f>$G$8</f>
        <v>2010 BILL</v>
      </c>
      <c r="H145" s="634"/>
      <c r="I145" s="635"/>
      <c r="J145" s="633" t="str">
        <f>$J$8</f>
        <v>2011 BILL</v>
      </c>
      <c r="K145" s="634"/>
      <c r="L145" s="635"/>
      <c r="M145" s="633" t="s">
        <v>74</v>
      </c>
      <c r="N145" s="634"/>
      <c r="O145" s="635"/>
      <c r="P145" s="71"/>
    </row>
    <row r="146" spans="2:16" ht="26.25" thickBot="1">
      <c r="B146" s="78"/>
      <c r="C146" s="29"/>
      <c r="D146" s="29"/>
      <c r="E146" s="31"/>
      <c r="F146" s="32"/>
      <c r="G146" s="208" t="s">
        <v>68</v>
      </c>
      <c r="H146" s="209" t="s">
        <v>69</v>
      </c>
      <c r="I146" s="210" t="s">
        <v>70</v>
      </c>
      <c r="J146" s="230" t="s">
        <v>68</v>
      </c>
      <c r="K146" s="209" t="s">
        <v>69</v>
      </c>
      <c r="L146" s="210" t="s">
        <v>70</v>
      </c>
      <c r="M146" s="225" t="s">
        <v>75</v>
      </c>
      <c r="N146" s="226" t="s">
        <v>76</v>
      </c>
      <c r="O146" s="227" t="s">
        <v>77</v>
      </c>
      <c r="P146" s="71"/>
    </row>
    <row r="147" spans="2:16" ht="18" customHeight="1" thickBot="1">
      <c r="B147" s="78"/>
      <c r="C147" s="624" t="s">
        <v>71</v>
      </c>
      <c r="D147" s="625"/>
      <c r="E147" s="29"/>
      <c r="F147" s="228" t="s">
        <v>72</v>
      </c>
      <c r="G147" s="459"/>
      <c r="H147" s="459"/>
      <c r="I147" s="460">
        <f>+'2010 Existing Rates'!$C$6</f>
        <v>20.27</v>
      </c>
      <c r="J147" s="459"/>
      <c r="K147" s="459"/>
      <c r="L147" s="461">
        <f>+'Distribution Rate Schedule'!$C$33</f>
        <v>20.39</v>
      </c>
      <c r="M147" s="461">
        <f>+L147-I147</f>
        <v>0.120000000000001</v>
      </c>
      <c r="N147" s="462">
        <f aca="true" t="shared" si="18" ref="N147:N159">+M147/I147</f>
        <v>0.005920078934385841</v>
      </c>
      <c r="O147" s="463">
        <f>L147/L159</f>
        <v>0.07208779821529107</v>
      </c>
      <c r="P147" s="71"/>
    </row>
    <row r="148" spans="2:16" ht="18" customHeight="1" thickBot="1">
      <c r="B148" s="78"/>
      <c r="C148" s="214">
        <v>2000</v>
      </c>
      <c r="D148" s="222" t="s">
        <v>16</v>
      </c>
      <c r="E148" s="29"/>
      <c r="F148" s="229" t="s">
        <v>73</v>
      </c>
      <c r="G148" s="464">
        <f>+C148</f>
        <v>2000</v>
      </c>
      <c r="H148" s="465">
        <f>+'2010 Existing Rates'!$E$6</f>
        <v>0.0178</v>
      </c>
      <c r="I148" s="466">
        <f>+G148*H148</f>
        <v>35.6</v>
      </c>
      <c r="J148" s="464">
        <f>+C148</f>
        <v>2000</v>
      </c>
      <c r="K148" s="467">
        <f>+'Distribution Rate Schedule'!$E$33</f>
        <v>0.0179</v>
      </c>
      <c r="L148" s="468">
        <f>+J148*K148</f>
        <v>35.8</v>
      </c>
      <c r="M148" s="468">
        <f>+L148-I148</f>
        <v>0.19999999999999574</v>
      </c>
      <c r="N148" s="469">
        <f t="shared" si="18"/>
        <v>0.005617977528089768</v>
      </c>
      <c r="O148" s="470">
        <f>L148/L159</f>
        <v>0.12656906209452773</v>
      </c>
      <c r="P148" s="71"/>
    </row>
    <row r="149" spans="2:16" ht="18" customHeight="1">
      <c r="B149" s="78"/>
      <c r="C149" s="52"/>
      <c r="D149" s="53"/>
      <c r="E149" s="29"/>
      <c r="F149" s="229" t="s">
        <v>144</v>
      </c>
      <c r="G149" s="471"/>
      <c r="H149" s="471"/>
      <c r="I149" s="466">
        <f>'2010 Existing Rates'!B$63</f>
        <v>1</v>
      </c>
      <c r="J149" s="471"/>
      <c r="K149" s="471"/>
      <c r="L149" s="468">
        <f>'2011 Rate Rider'!D$4</f>
        <v>1.18</v>
      </c>
      <c r="M149" s="468">
        <f>+L149-I149</f>
        <v>0.17999999999999994</v>
      </c>
      <c r="N149" s="469">
        <f t="shared" si="18"/>
        <v>0.17999999999999994</v>
      </c>
      <c r="O149" s="470">
        <f>L149/L$159</f>
        <v>0.004171829420992813</v>
      </c>
      <c r="P149" s="71"/>
    </row>
    <row r="150" spans="2:16" ht="18" customHeight="1">
      <c r="B150" s="78"/>
      <c r="C150" s="52"/>
      <c r="D150" s="53"/>
      <c r="E150" s="29"/>
      <c r="F150" s="229" t="s">
        <v>137</v>
      </c>
      <c r="G150" s="464">
        <f>C148</f>
        <v>2000</v>
      </c>
      <c r="H150" s="465">
        <v>0</v>
      </c>
      <c r="I150" s="466">
        <f>+G150*H150</f>
        <v>0</v>
      </c>
      <c r="J150" s="464">
        <f>C148</f>
        <v>2000</v>
      </c>
      <c r="K150" s="467">
        <f>'LRAM and SSM Rate Rider'!L$7</f>
        <v>0</v>
      </c>
      <c r="L150" s="468">
        <f>J150*K150</f>
        <v>0</v>
      </c>
      <c r="M150" s="468">
        <f>+L150-I150</f>
        <v>0</v>
      </c>
      <c r="N150" s="469">
        <f>IF(I150=0,0,M150/I150)</f>
        <v>0</v>
      </c>
      <c r="O150" s="470">
        <f>L150/L$159</f>
        <v>0</v>
      </c>
      <c r="P150" s="71"/>
    </row>
    <row r="151" spans="2:16" ht="18" customHeight="1">
      <c r="B151" s="78"/>
      <c r="C151" s="29"/>
      <c r="D151" s="29"/>
      <c r="E151" s="29"/>
      <c r="F151" s="496" t="s">
        <v>241</v>
      </c>
      <c r="G151" s="464">
        <f>+C148</f>
        <v>2000</v>
      </c>
      <c r="H151" s="517">
        <f>+'2010 Existing Rates'!$B$21</f>
        <v>-0.002</v>
      </c>
      <c r="I151" s="468">
        <f>+G151*H151</f>
        <v>-4</v>
      </c>
      <c r="J151" s="464">
        <f>+C148</f>
        <v>2000</v>
      </c>
      <c r="K151" s="517">
        <f>+'2011 Rate Rider'!$B$4</f>
        <v>-0.002</v>
      </c>
      <c r="L151" s="468">
        <f>+J151*K151</f>
        <v>-4</v>
      </c>
      <c r="M151" s="468">
        <f>+L151-I151</f>
        <v>0</v>
      </c>
      <c r="N151" s="469">
        <f t="shared" si="18"/>
        <v>0</v>
      </c>
      <c r="O151" s="470">
        <f>L151/L$159</f>
        <v>-0.014141794647433266</v>
      </c>
      <c r="P151" s="71"/>
    </row>
    <row r="152" spans="2:16" ht="18" customHeight="1" thickBot="1">
      <c r="B152" s="78"/>
      <c r="C152" s="29"/>
      <c r="D152" s="29"/>
      <c r="E152" s="29"/>
      <c r="F152" s="496" t="s">
        <v>242</v>
      </c>
      <c r="G152" s="464">
        <f>C148</f>
        <v>2000</v>
      </c>
      <c r="H152" s="465">
        <v>0</v>
      </c>
      <c r="I152" s="466">
        <f>+G152*H152</f>
        <v>0</v>
      </c>
      <c r="J152" s="464">
        <f>C148</f>
        <v>2000</v>
      </c>
      <c r="K152" s="467">
        <f>'2011 Rate Rider'!B$28</f>
        <v>0</v>
      </c>
      <c r="L152" s="468">
        <f>+J152*K152</f>
        <v>0</v>
      </c>
      <c r="M152" s="468">
        <f>+L152-I152</f>
        <v>0</v>
      </c>
      <c r="N152" s="469">
        <f>IF(I152=0,0,M152/I152)</f>
        <v>0</v>
      </c>
      <c r="O152" s="470">
        <f>L152/L$159</f>
        <v>0</v>
      </c>
      <c r="P152" s="71"/>
    </row>
    <row r="153" spans="2:16" ht="18" customHeight="1" thickBot="1">
      <c r="B153" s="78"/>
      <c r="C153" s="29"/>
      <c r="D153" s="29"/>
      <c r="E153" s="29"/>
      <c r="F153" s="219" t="s">
        <v>78</v>
      </c>
      <c r="G153" s="637"/>
      <c r="H153" s="637"/>
      <c r="I153" s="473">
        <f>SUM(I147:I152)</f>
        <v>52.870000000000005</v>
      </c>
      <c r="J153" s="637"/>
      <c r="K153" s="637"/>
      <c r="L153" s="473">
        <f>SUM(L147:L152)</f>
        <v>53.37</v>
      </c>
      <c r="M153" s="474">
        <f>SUM(M147:M152)</f>
        <v>0.49999999999999667</v>
      </c>
      <c r="N153" s="475">
        <f t="shared" si="18"/>
        <v>0.009457159069415483</v>
      </c>
      <c r="O153" s="476">
        <f>L153/L159</f>
        <v>0.18868689508337835</v>
      </c>
      <c r="P153" s="71"/>
    </row>
    <row r="154" spans="2:16" ht="18" customHeight="1">
      <c r="B154" s="78"/>
      <c r="C154" s="29"/>
      <c r="D154" s="29"/>
      <c r="E154" s="29"/>
      <c r="F154" s="229" t="s">
        <v>79</v>
      </c>
      <c r="G154" s="464">
        <f>+C148*'Other Electriciy Rates'!$N$6</f>
        <v>2071.2000000000003</v>
      </c>
      <c r="H154" s="477">
        <f>+'Other Electriciy Rates'!$E$6</f>
        <v>0.0237725</v>
      </c>
      <c r="I154" s="466">
        <f>+G154*H154</f>
        <v>49.237602</v>
      </c>
      <c r="J154" s="464">
        <f>+C148*'Other Electriciy Rates'!$O$6</f>
        <v>2069.7999999999997</v>
      </c>
      <c r="K154" s="477">
        <f>+'Other Electriciy Rates'!$F$6</f>
        <v>0.0237725</v>
      </c>
      <c r="L154" s="468">
        <f>+J154*K154</f>
        <v>49.20432049999999</v>
      </c>
      <c r="M154" s="468">
        <f>+L154-I154</f>
        <v>-0.033281500000015285</v>
      </c>
      <c r="N154" s="469">
        <f t="shared" si="18"/>
        <v>-0.0006759366550794915</v>
      </c>
      <c r="O154" s="470">
        <f>L154/L159</f>
        <v>0.1739593490693727</v>
      </c>
      <c r="P154" s="71"/>
    </row>
    <row r="155" spans="2:16" ht="18" customHeight="1">
      <c r="B155" s="78"/>
      <c r="C155" s="29"/>
      <c r="D155" s="29"/>
      <c r="E155" s="29"/>
      <c r="F155" s="229" t="s">
        <v>80</v>
      </c>
      <c r="G155" s="464">
        <v>750</v>
      </c>
      <c r="H155" s="477">
        <f>+'Other Electriciy Rates'!$L$6</f>
        <v>0.065</v>
      </c>
      <c r="I155" s="466">
        <f>+G155*H155</f>
        <v>48.75</v>
      </c>
      <c r="J155" s="464">
        <v>750</v>
      </c>
      <c r="K155" s="477">
        <f>+'Other Electriciy Rates'!$L$6</f>
        <v>0.065</v>
      </c>
      <c r="L155" s="468">
        <f>+J155*K155</f>
        <v>48.75</v>
      </c>
      <c r="M155" s="468">
        <f>+L155-I155</f>
        <v>0</v>
      </c>
      <c r="N155" s="469">
        <f t="shared" si="18"/>
        <v>0</v>
      </c>
      <c r="O155" s="470">
        <f>L155/L159</f>
        <v>0.17235312226559293</v>
      </c>
      <c r="P155" s="71"/>
    </row>
    <row r="156" spans="2:16" ht="18" customHeight="1" thickBot="1">
      <c r="B156" s="78"/>
      <c r="C156" s="29"/>
      <c r="D156" s="29"/>
      <c r="E156" s="29"/>
      <c r="F156" s="229" t="s">
        <v>80</v>
      </c>
      <c r="G156" s="464">
        <f>+G154-G155</f>
        <v>1321.2000000000003</v>
      </c>
      <c r="H156" s="477">
        <f>+'Other Electriciy Rates'!$M$6</f>
        <v>0.075</v>
      </c>
      <c r="I156" s="466">
        <f>+G156*H156</f>
        <v>99.09000000000002</v>
      </c>
      <c r="J156" s="464">
        <f>+J154-J155</f>
        <v>1319.7999999999997</v>
      </c>
      <c r="K156" s="477">
        <f>+'Other Electriciy Rates'!$M$6</f>
        <v>0.075</v>
      </c>
      <c r="L156" s="468">
        <f>+J156*K156</f>
        <v>98.98499999999997</v>
      </c>
      <c r="M156" s="468">
        <f>+L156-I156</f>
        <v>-0.10500000000004661</v>
      </c>
      <c r="N156" s="469">
        <f t="shared" si="18"/>
        <v>-0.0010596427490165163</v>
      </c>
      <c r="O156" s="470">
        <f>L156/L159</f>
        <v>0.34995638579404537</v>
      </c>
      <c r="P156" s="71"/>
    </row>
    <row r="157" spans="2:16" ht="18" customHeight="1" thickBot="1">
      <c r="B157" s="78"/>
      <c r="C157" s="29"/>
      <c r="D157" s="29"/>
      <c r="E157" s="29"/>
      <c r="F157" s="219" t="s">
        <v>172</v>
      </c>
      <c r="G157" s="637"/>
      <c r="H157" s="637"/>
      <c r="I157" s="473">
        <f>SUM(I153:I156)</f>
        <v>249.94760200000002</v>
      </c>
      <c r="J157" s="637"/>
      <c r="K157" s="637"/>
      <c r="L157" s="473">
        <f>SUM(L153:L156)</f>
        <v>250.30932049999996</v>
      </c>
      <c r="M157" s="473">
        <f>SUM(M153:M156)</f>
        <v>0.3617184999999348</v>
      </c>
      <c r="N157" s="475">
        <f t="shared" si="18"/>
        <v>0.0014471773167879193</v>
      </c>
      <c r="O157" s="476">
        <f>L157/L159</f>
        <v>0.8849557522123893</v>
      </c>
      <c r="P157" s="71"/>
    </row>
    <row r="158" spans="2:16" ht="18" customHeight="1" thickBot="1">
      <c r="B158" s="78"/>
      <c r="C158" s="29"/>
      <c r="D158" s="29"/>
      <c r="E158" s="29"/>
      <c r="F158" s="496" t="s">
        <v>252</v>
      </c>
      <c r="G158" s="464"/>
      <c r="H158" s="478">
        <v>0.13</v>
      </c>
      <c r="I158" s="466">
        <f>I157*H158</f>
        <v>32.493188260000004</v>
      </c>
      <c r="J158" s="464"/>
      <c r="K158" s="478">
        <v>0.13</v>
      </c>
      <c r="L158" s="468">
        <f>L157*K158</f>
        <v>32.540211664999994</v>
      </c>
      <c r="M158" s="468">
        <f>+L158-I158</f>
        <v>0.04702340499999025</v>
      </c>
      <c r="N158" s="469">
        <f>+M158/I158</f>
        <v>0.00144717731678788</v>
      </c>
      <c r="O158" s="470">
        <f>L158/L159</f>
        <v>0.1150442477876106</v>
      </c>
      <c r="P158" s="71"/>
    </row>
    <row r="159" spans="2:16" ht="18" customHeight="1" thickBot="1">
      <c r="B159" s="78"/>
      <c r="C159" s="29"/>
      <c r="D159" s="29"/>
      <c r="E159" s="33"/>
      <c r="F159" s="220" t="s">
        <v>81</v>
      </c>
      <c r="G159" s="644"/>
      <c r="H159" s="644"/>
      <c r="I159" s="473">
        <f>SUM(I157:I158)</f>
        <v>282.44079026</v>
      </c>
      <c r="J159" s="637"/>
      <c r="K159" s="637"/>
      <c r="L159" s="473">
        <f>SUM(L157:L158)</f>
        <v>282.84953216499997</v>
      </c>
      <c r="M159" s="473">
        <f>SUM(M157:M158)</f>
        <v>0.408741904999925</v>
      </c>
      <c r="N159" s="475">
        <f t="shared" si="18"/>
        <v>0.0014471773167879147</v>
      </c>
      <c r="O159" s="476">
        <f>SUM(O157:O158)</f>
        <v>0.9999999999999999</v>
      </c>
      <c r="P159" s="71"/>
    </row>
    <row r="160" spans="2:16" ht="6.75" customHeight="1" thickBot="1">
      <c r="B160" s="72"/>
      <c r="C160" s="87"/>
      <c r="D160" s="87"/>
      <c r="E160" s="87"/>
      <c r="F160" s="88"/>
      <c r="G160" s="89"/>
      <c r="H160" s="90"/>
      <c r="I160" s="91"/>
      <c r="J160" s="89"/>
      <c r="K160" s="92"/>
      <c r="L160" s="91"/>
      <c r="M160" s="96"/>
      <c r="N160" s="94"/>
      <c r="O160" s="95"/>
      <c r="P160" s="77"/>
    </row>
    <row r="161" spans="3:15" ht="6.75" customHeight="1" thickBot="1">
      <c r="C161" s="29"/>
      <c r="D161" s="29"/>
      <c r="E161" s="29"/>
      <c r="F161" s="41"/>
      <c r="G161" s="42"/>
      <c r="H161" s="43"/>
      <c r="I161" s="44"/>
      <c r="J161" s="42"/>
      <c r="K161" s="45"/>
      <c r="L161" s="44"/>
      <c r="M161" s="86"/>
      <c r="N161" s="84"/>
      <c r="O161" s="85"/>
    </row>
    <row r="162" spans="2:16" ht="6.75" customHeight="1">
      <c r="B162" s="82"/>
      <c r="C162" s="628"/>
      <c r="D162" s="628"/>
      <c r="E162" s="628"/>
      <c r="F162" s="628"/>
      <c r="G162" s="628"/>
      <c r="H162" s="628"/>
      <c r="I162" s="628"/>
      <c r="J162" s="628"/>
      <c r="K162" s="628"/>
      <c r="L162" s="628"/>
      <c r="M162" s="628"/>
      <c r="N162" s="628"/>
      <c r="O162" s="628"/>
      <c r="P162" s="70"/>
    </row>
    <row r="163" spans="2:16" ht="23.25">
      <c r="B163" s="78"/>
      <c r="C163" s="626" t="s">
        <v>112</v>
      </c>
      <c r="D163" s="626"/>
      <c r="E163" s="626"/>
      <c r="F163" s="626"/>
      <c r="G163" s="626"/>
      <c r="H163" s="626"/>
      <c r="I163" s="626"/>
      <c r="J163" s="626"/>
      <c r="K163" s="626"/>
      <c r="L163" s="626"/>
      <c r="M163" s="626"/>
      <c r="N163" s="626"/>
      <c r="O163" s="626"/>
      <c r="P163" s="71"/>
    </row>
    <row r="164" spans="2:16" ht="6.75" customHeight="1" thickBot="1">
      <c r="B164" s="78"/>
      <c r="C164" s="627"/>
      <c r="D164" s="627"/>
      <c r="E164" s="627"/>
      <c r="F164" s="627"/>
      <c r="G164" s="627"/>
      <c r="H164" s="627"/>
      <c r="I164" s="627"/>
      <c r="J164" s="627"/>
      <c r="K164" s="627"/>
      <c r="L164" s="627"/>
      <c r="M164" s="627"/>
      <c r="N164" s="627"/>
      <c r="O164" s="627"/>
      <c r="P164" s="71"/>
    </row>
    <row r="165" spans="2:16" ht="21" thickBot="1">
      <c r="B165" s="78"/>
      <c r="C165" s="80"/>
      <c r="D165" s="80"/>
      <c r="E165" s="29"/>
      <c r="F165" s="30"/>
      <c r="G165" s="633" t="str">
        <f>$G$8</f>
        <v>2010 BILL</v>
      </c>
      <c r="H165" s="634"/>
      <c r="I165" s="635"/>
      <c r="J165" s="633" t="str">
        <f>$J$8</f>
        <v>2011 BILL</v>
      </c>
      <c r="K165" s="634"/>
      <c r="L165" s="635"/>
      <c r="M165" s="633" t="s">
        <v>74</v>
      </c>
      <c r="N165" s="634"/>
      <c r="O165" s="635"/>
      <c r="P165" s="71"/>
    </row>
    <row r="166" spans="2:16" ht="26.25" thickBot="1">
      <c r="B166" s="78"/>
      <c r="C166" s="29"/>
      <c r="D166" s="29"/>
      <c r="E166" s="31"/>
      <c r="F166" s="32"/>
      <c r="G166" s="223" t="s">
        <v>68</v>
      </c>
      <c r="H166" s="209" t="s">
        <v>69</v>
      </c>
      <c r="I166" s="210" t="s">
        <v>70</v>
      </c>
      <c r="J166" s="224" t="s">
        <v>68</v>
      </c>
      <c r="K166" s="209" t="s">
        <v>69</v>
      </c>
      <c r="L166" s="210" t="s">
        <v>70</v>
      </c>
      <c r="M166" s="225" t="s">
        <v>75</v>
      </c>
      <c r="N166" s="226" t="s">
        <v>76</v>
      </c>
      <c r="O166" s="227" t="s">
        <v>77</v>
      </c>
      <c r="P166" s="71"/>
    </row>
    <row r="167" spans="2:16" ht="18" customHeight="1" thickBot="1">
      <c r="B167" s="78"/>
      <c r="C167" s="624" t="s">
        <v>71</v>
      </c>
      <c r="D167" s="625"/>
      <c r="E167" s="29"/>
      <c r="F167" s="228" t="s">
        <v>72</v>
      </c>
      <c r="G167" s="459"/>
      <c r="H167" s="459"/>
      <c r="I167" s="460">
        <f>+'2010 Existing Rates'!$C$6</f>
        <v>20.27</v>
      </c>
      <c r="J167" s="459"/>
      <c r="K167" s="459"/>
      <c r="L167" s="461">
        <f>+'Distribution Rate Schedule'!$C$33</f>
        <v>20.39</v>
      </c>
      <c r="M167" s="461">
        <f>+L167-I167</f>
        <v>0.120000000000001</v>
      </c>
      <c r="N167" s="462">
        <f aca="true" t="shared" si="19" ref="N167:N179">+M167/I167</f>
        <v>0.005920078934385841</v>
      </c>
      <c r="O167" s="463">
        <f>L167/L179</f>
        <v>0.03708621557450948</v>
      </c>
      <c r="P167" s="71"/>
    </row>
    <row r="168" spans="2:16" ht="18" customHeight="1" thickBot="1">
      <c r="B168" s="78"/>
      <c r="C168" s="214">
        <v>4000</v>
      </c>
      <c r="D168" s="222" t="s">
        <v>16</v>
      </c>
      <c r="E168" s="29"/>
      <c r="F168" s="229" t="s">
        <v>73</v>
      </c>
      <c r="G168" s="464">
        <f>+C168</f>
        <v>4000</v>
      </c>
      <c r="H168" s="465">
        <f>+'2010 Existing Rates'!$E$6</f>
        <v>0.0178</v>
      </c>
      <c r="I168" s="466">
        <f>+G168*H168</f>
        <v>71.2</v>
      </c>
      <c r="J168" s="464">
        <f>+C168</f>
        <v>4000</v>
      </c>
      <c r="K168" s="467">
        <f>+'Distribution Rate Schedule'!$E$33</f>
        <v>0.0179</v>
      </c>
      <c r="L168" s="468">
        <f>+J168*K168</f>
        <v>71.6</v>
      </c>
      <c r="M168" s="468">
        <f>+L168-I168</f>
        <v>0.3999999999999915</v>
      </c>
      <c r="N168" s="469">
        <f t="shared" si="19"/>
        <v>0.005617977528089768</v>
      </c>
      <c r="O168" s="470">
        <f>L168/L$179</f>
        <v>0.13022918269420689</v>
      </c>
      <c r="P168" s="71"/>
    </row>
    <row r="169" spans="2:16" ht="18" customHeight="1">
      <c r="B169" s="78"/>
      <c r="C169" s="52"/>
      <c r="D169" s="53"/>
      <c r="E169" s="29"/>
      <c r="F169" s="229" t="s">
        <v>144</v>
      </c>
      <c r="G169" s="471"/>
      <c r="H169" s="471"/>
      <c r="I169" s="466">
        <f>'2010 Existing Rates'!B$63</f>
        <v>1</v>
      </c>
      <c r="J169" s="471"/>
      <c r="K169" s="471"/>
      <c r="L169" s="468">
        <f>'2011 Rate Rider'!D$4</f>
        <v>1.18</v>
      </c>
      <c r="M169" s="468">
        <f>+L169-I169</f>
        <v>0.17999999999999994</v>
      </c>
      <c r="N169" s="469">
        <f t="shared" si="19"/>
        <v>0.17999999999999994</v>
      </c>
      <c r="O169" s="470">
        <f>L169/L$179</f>
        <v>0.0021462351337872086</v>
      </c>
      <c r="P169" s="71"/>
    </row>
    <row r="170" spans="2:16" ht="18" customHeight="1">
      <c r="B170" s="78"/>
      <c r="C170" s="52"/>
      <c r="D170" s="53"/>
      <c r="E170" s="29"/>
      <c r="F170" s="229" t="s">
        <v>137</v>
      </c>
      <c r="G170" s="464">
        <f>C168</f>
        <v>4000</v>
      </c>
      <c r="H170" s="465">
        <v>0</v>
      </c>
      <c r="I170" s="466">
        <f>+G170*H170</f>
        <v>0</v>
      </c>
      <c r="J170" s="464">
        <f>C168</f>
        <v>4000</v>
      </c>
      <c r="K170" s="467">
        <f>'LRAM and SSM Rate Rider'!L$7</f>
        <v>0</v>
      </c>
      <c r="L170" s="468">
        <f>+J170*K170</f>
        <v>0</v>
      </c>
      <c r="M170" s="468">
        <f>+L170-I170</f>
        <v>0</v>
      </c>
      <c r="N170" s="469">
        <f>IF(I170=0,0,M170/I170)</f>
        <v>0</v>
      </c>
      <c r="O170" s="470">
        <f>L170/L$179</f>
        <v>0</v>
      </c>
      <c r="P170" s="71"/>
    </row>
    <row r="171" spans="2:16" ht="18" customHeight="1">
      <c r="B171" s="78"/>
      <c r="C171" s="29"/>
      <c r="D171" s="29"/>
      <c r="E171" s="29"/>
      <c r="F171" s="496" t="s">
        <v>241</v>
      </c>
      <c r="G171" s="464">
        <f>+C168</f>
        <v>4000</v>
      </c>
      <c r="H171" s="517">
        <f>+'2010 Existing Rates'!$B$21</f>
        <v>-0.002</v>
      </c>
      <c r="I171" s="468">
        <f>+G171*H171</f>
        <v>-8</v>
      </c>
      <c r="J171" s="464">
        <f>+C168</f>
        <v>4000</v>
      </c>
      <c r="K171" s="517">
        <f>+'2011 Rate Rider'!$B$4</f>
        <v>-0.002</v>
      </c>
      <c r="L171" s="468">
        <f>+J171*K171</f>
        <v>-8</v>
      </c>
      <c r="M171" s="468">
        <f>+L171-I171</f>
        <v>0</v>
      </c>
      <c r="N171" s="469">
        <f t="shared" si="19"/>
        <v>0</v>
      </c>
      <c r="O171" s="470">
        <f>L171/L$179</f>
        <v>-0.014550746669743788</v>
      </c>
      <c r="P171" s="71"/>
    </row>
    <row r="172" spans="2:16" ht="18" customHeight="1" thickBot="1">
      <c r="B172" s="78"/>
      <c r="C172" s="29"/>
      <c r="D172" s="29"/>
      <c r="E172" s="29"/>
      <c r="F172" s="496" t="s">
        <v>242</v>
      </c>
      <c r="G172" s="464">
        <f>C168</f>
        <v>4000</v>
      </c>
      <c r="H172" s="465">
        <v>0</v>
      </c>
      <c r="I172" s="466">
        <f>+G172*H172</f>
        <v>0</v>
      </c>
      <c r="J172" s="464">
        <f>C168</f>
        <v>4000</v>
      </c>
      <c r="K172" s="467">
        <f>'2011 Rate Rider'!B$28</f>
        <v>0</v>
      </c>
      <c r="L172" s="468">
        <f>+J172*K172</f>
        <v>0</v>
      </c>
      <c r="M172" s="468">
        <f>+L172-I172</f>
        <v>0</v>
      </c>
      <c r="N172" s="469">
        <f>IF(I172=0,0,M172/I172)</f>
        <v>0</v>
      </c>
      <c r="O172" s="470">
        <f>L172/L$179</f>
        <v>0</v>
      </c>
      <c r="P172" s="71"/>
    </row>
    <row r="173" spans="2:16" ht="18" customHeight="1" thickBot="1">
      <c r="B173" s="78"/>
      <c r="C173" s="29"/>
      <c r="D173" s="29"/>
      <c r="E173" s="29"/>
      <c r="F173" s="219" t="s">
        <v>78</v>
      </c>
      <c r="G173" s="637"/>
      <c r="H173" s="637"/>
      <c r="I173" s="473">
        <f>SUM(I167:I172)</f>
        <v>84.47</v>
      </c>
      <c r="J173" s="637"/>
      <c r="K173" s="637"/>
      <c r="L173" s="473">
        <f>SUM(L167:L172)</f>
        <v>85.17</v>
      </c>
      <c r="M173" s="474">
        <f>SUM(M167:M172)</f>
        <v>0.6999999999999924</v>
      </c>
      <c r="N173" s="475">
        <f t="shared" si="19"/>
        <v>0.008286965786669733</v>
      </c>
      <c r="O173" s="476">
        <f>L173/L179</f>
        <v>0.1549108867327598</v>
      </c>
      <c r="P173" s="71"/>
    </row>
    <row r="174" spans="2:16" ht="18" customHeight="1">
      <c r="B174" s="78"/>
      <c r="C174" s="29"/>
      <c r="D174" s="29"/>
      <c r="E174" s="29"/>
      <c r="F174" s="229" t="s">
        <v>79</v>
      </c>
      <c r="G174" s="464">
        <f>+C168*'Other Electriciy Rates'!$N$6</f>
        <v>4142.400000000001</v>
      </c>
      <c r="H174" s="477">
        <f>+'Other Electriciy Rates'!$E$6</f>
        <v>0.0237725</v>
      </c>
      <c r="I174" s="466">
        <f>+G174*H174</f>
        <v>98.475204</v>
      </c>
      <c r="J174" s="464">
        <f>+C168*'Other Electriciy Rates'!$O$6</f>
        <v>4139.599999999999</v>
      </c>
      <c r="K174" s="477">
        <f>+'Other Electriciy Rates'!$F$6</f>
        <v>0.0237725</v>
      </c>
      <c r="L174" s="468">
        <f>+J174*K174</f>
        <v>98.40864099999997</v>
      </c>
      <c r="M174" s="468">
        <f>+L174-I174</f>
        <v>-0.06656300000003057</v>
      </c>
      <c r="N174" s="469">
        <f t="shared" si="19"/>
        <v>-0.0006759366550794915</v>
      </c>
      <c r="O174" s="470">
        <f>L174/L179</f>
        <v>0.1789899006630952</v>
      </c>
      <c r="P174" s="71"/>
    </row>
    <row r="175" spans="2:16" ht="18" customHeight="1">
      <c r="B175" s="78"/>
      <c r="C175" s="29"/>
      <c r="D175" s="29"/>
      <c r="E175" s="29"/>
      <c r="F175" s="229" t="s">
        <v>80</v>
      </c>
      <c r="G175" s="464">
        <v>750</v>
      </c>
      <c r="H175" s="477">
        <f>+'Other Electriciy Rates'!$L$6</f>
        <v>0.065</v>
      </c>
      <c r="I175" s="466">
        <f>+G175*H175</f>
        <v>48.75</v>
      </c>
      <c r="J175" s="464">
        <v>750</v>
      </c>
      <c r="K175" s="477">
        <f>+'Other Electriciy Rates'!$L$6</f>
        <v>0.065</v>
      </c>
      <c r="L175" s="468">
        <f>+J175*K175</f>
        <v>48.75</v>
      </c>
      <c r="M175" s="468">
        <f>+L175-I175</f>
        <v>0</v>
      </c>
      <c r="N175" s="469">
        <f t="shared" si="19"/>
        <v>0</v>
      </c>
      <c r="O175" s="470">
        <f>L175/L179</f>
        <v>0.0886686125187512</v>
      </c>
      <c r="P175" s="71"/>
    </row>
    <row r="176" spans="2:16" ht="18" customHeight="1" thickBot="1">
      <c r="B176" s="78"/>
      <c r="C176" s="29"/>
      <c r="D176" s="29"/>
      <c r="E176" s="29"/>
      <c r="F176" s="229" t="s">
        <v>80</v>
      </c>
      <c r="G176" s="464">
        <f>+G174-G175</f>
        <v>3392.4000000000005</v>
      </c>
      <c r="H176" s="477">
        <f>+'Other Electriciy Rates'!$M$6</f>
        <v>0.075</v>
      </c>
      <c r="I176" s="466">
        <f>+G176*H176</f>
        <v>254.43000000000004</v>
      </c>
      <c r="J176" s="464">
        <f>+J174-J175</f>
        <v>3389.5999999999995</v>
      </c>
      <c r="K176" s="477">
        <f>+'Other Electriciy Rates'!$M$6</f>
        <v>0.075</v>
      </c>
      <c r="L176" s="468">
        <f>+J176*K176</f>
        <v>254.21999999999994</v>
      </c>
      <c r="M176" s="468">
        <f>+L176-I176</f>
        <v>-0.21000000000009322</v>
      </c>
      <c r="N176" s="469">
        <f t="shared" si="19"/>
        <v>-0.0008253743662307636</v>
      </c>
      <c r="O176" s="470">
        <f>L176/L179</f>
        <v>0.4623863522977831</v>
      </c>
      <c r="P176" s="71"/>
    </row>
    <row r="177" spans="2:16" ht="18" customHeight="1" thickBot="1">
      <c r="B177" s="78"/>
      <c r="C177" s="29"/>
      <c r="D177" s="29"/>
      <c r="E177" s="29"/>
      <c r="F177" s="219" t="s">
        <v>172</v>
      </c>
      <c r="G177" s="637"/>
      <c r="H177" s="637"/>
      <c r="I177" s="473">
        <f>SUM(I173:I176)</f>
        <v>486.12520400000005</v>
      </c>
      <c r="J177" s="637"/>
      <c r="K177" s="637"/>
      <c r="L177" s="473">
        <f>SUM(L173:L176)</f>
        <v>486.5486409999999</v>
      </c>
      <c r="M177" s="473">
        <f>SUM(M173:M176)</f>
        <v>0.4234369999998686</v>
      </c>
      <c r="N177" s="475">
        <f t="shared" si="19"/>
        <v>0.0008710451474551987</v>
      </c>
      <c r="O177" s="476">
        <f>L177/L179</f>
        <v>0.8849557522123893</v>
      </c>
      <c r="P177" s="71"/>
    </row>
    <row r="178" spans="2:16" ht="18" customHeight="1" thickBot="1">
      <c r="B178" s="78"/>
      <c r="C178" s="29"/>
      <c r="D178" s="29"/>
      <c r="E178" s="29"/>
      <c r="F178" s="496" t="s">
        <v>252</v>
      </c>
      <c r="G178" s="464"/>
      <c r="H178" s="478">
        <v>0.13</v>
      </c>
      <c r="I178" s="466">
        <f>I177*H178</f>
        <v>63.19627652000001</v>
      </c>
      <c r="J178" s="464"/>
      <c r="K178" s="478">
        <v>0.13</v>
      </c>
      <c r="L178" s="468">
        <f>L177*K178</f>
        <v>63.25132332999999</v>
      </c>
      <c r="M178" s="468">
        <f>+L178-I178</f>
        <v>0.05504680999997902</v>
      </c>
      <c r="N178" s="469">
        <f>+M178/I178</f>
        <v>0.000871045147455137</v>
      </c>
      <c r="O178" s="470">
        <f>L178/L179</f>
        <v>0.1150442477876106</v>
      </c>
      <c r="P178" s="71"/>
    </row>
    <row r="179" spans="2:16" ht="18" customHeight="1" thickBot="1">
      <c r="B179" s="78"/>
      <c r="C179" s="29"/>
      <c r="D179" s="29"/>
      <c r="E179" s="33"/>
      <c r="F179" s="220" t="s">
        <v>81</v>
      </c>
      <c r="G179" s="644"/>
      <c r="H179" s="644"/>
      <c r="I179" s="473">
        <f>SUM(I177:I178)</f>
        <v>549.32148052</v>
      </c>
      <c r="J179" s="637"/>
      <c r="K179" s="637"/>
      <c r="L179" s="473">
        <f>SUM(L177:L178)</f>
        <v>549.79996433</v>
      </c>
      <c r="M179" s="473">
        <f>SUM(M177:M178)</f>
        <v>0.47848380999984763</v>
      </c>
      <c r="N179" s="475">
        <f t="shared" si="19"/>
        <v>0.0008710451474551917</v>
      </c>
      <c r="O179" s="476">
        <f>SUM(O177:O178)</f>
        <v>0.9999999999999999</v>
      </c>
      <c r="P179" s="71"/>
    </row>
    <row r="180" spans="2:16" ht="6.75" customHeight="1" thickBot="1">
      <c r="B180" s="72"/>
      <c r="C180" s="87"/>
      <c r="D180" s="87"/>
      <c r="E180" s="87"/>
      <c r="F180" s="88"/>
      <c r="G180" s="89"/>
      <c r="H180" s="90"/>
      <c r="I180" s="91"/>
      <c r="J180" s="89"/>
      <c r="K180" s="92"/>
      <c r="L180" s="91"/>
      <c r="M180" s="96"/>
      <c r="N180" s="94"/>
      <c r="O180" s="95"/>
      <c r="P180" s="77"/>
    </row>
    <row r="181" spans="3:15" ht="6.75" customHeight="1" thickBot="1">
      <c r="C181" s="29"/>
      <c r="D181" s="29"/>
      <c r="E181" s="29"/>
      <c r="F181" s="41"/>
      <c r="G181" s="42"/>
      <c r="H181" s="43"/>
      <c r="I181" s="44"/>
      <c r="J181" s="42"/>
      <c r="K181" s="45"/>
      <c r="L181" s="44"/>
      <c r="M181" s="86"/>
      <c r="N181" s="84"/>
      <c r="O181" s="85"/>
    </row>
    <row r="182" spans="2:16" ht="6.75" customHeight="1">
      <c r="B182" s="82"/>
      <c r="C182" s="628"/>
      <c r="D182" s="628"/>
      <c r="E182" s="628"/>
      <c r="F182" s="628"/>
      <c r="G182" s="628"/>
      <c r="H182" s="628"/>
      <c r="I182" s="628"/>
      <c r="J182" s="628"/>
      <c r="K182" s="628"/>
      <c r="L182" s="628"/>
      <c r="M182" s="628"/>
      <c r="N182" s="628"/>
      <c r="O182" s="628"/>
      <c r="P182" s="70"/>
    </row>
    <row r="183" spans="2:16" ht="23.25">
      <c r="B183" s="78"/>
      <c r="C183" s="626" t="s">
        <v>112</v>
      </c>
      <c r="D183" s="626"/>
      <c r="E183" s="626"/>
      <c r="F183" s="626"/>
      <c r="G183" s="626"/>
      <c r="H183" s="626"/>
      <c r="I183" s="626"/>
      <c r="J183" s="626"/>
      <c r="K183" s="626"/>
      <c r="L183" s="626"/>
      <c r="M183" s="626"/>
      <c r="N183" s="626"/>
      <c r="O183" s="626"/>
      <c r="P183" s="71"/>
    </row>
    <row r="184" spans="2:16" ht="6.75" customHeight="1" thickBot="1">
      <c r="B184" s="78"/>
      <c r="C184" s="627"/>
      <c r="D184" s="627"/>
      <c r="E184" s="627"/>
      <c r="F184" s="627"/>
      <c r="G184" s="627"/>
      <c r="H184" s="627"/>
      <c r="I184" s="627"/>
      <c r="J184" s="627"/>
      <c r="K184" s="627"/>
      <c r="L184" s="627"/>
      <c r="M184" s="627"/>
      <c r="N184" s="627"/>
      <c r="O184" s="627"/>
      <c r="P184" s="71"/>
    </row>
    <row r="185" spans="2:16" ht="21" thickBot="1">
      <c r="B185" s="78"/>
      <c r="C185" s="80"/>
      <c r="D185" s="80"/>
      <c r="E185" s="29"/>
      <c r="F185" s="30"/>
      <c r="G185" s="633" t="str">
        <f>$G$8</f>
        <v>2010 BILL</v>
      </c>
      <c r="H185" s="634"/>
      <c r="I185" s="635"/>
      <c r="J185" s="633" t="str">
        <f>$J$8</f>
        <v>2011 BILL</v>
      </c>
      <c r="K185" s="634"/>
      <c r="L185" s="635"/>
      <c r="M185" s="633" t="s">
        <v>74</v>
      </c>
      <c r="N185" s="634"/>
      <c r="O185" s="635"/>
      <c r="P185" s="71"/>
    </row>
    <row r="186" spans="2:16" ht="26.25" thickBot="1">
      <c r="B186" s="78"/>
      <c r="C186" s="29"/>
      <c r="D186" s="29"/>
      <c r="E186" s="31"/>
      <c r="F186" s="32"/>
      <c r="G186" s="223" t="s">
        <v>68</v>
      </c>
      <c r="H186" s="233" t="s">
        <v>69</v>
      </c>
      <c r="I186" s="234" t="s">
        <v>70</v>
      </c>
      <c r="J186" s="224" t="s">
        <v>68</v>
      </c>
      <c r="K186" s="233" t="s">
        <v>69</v>
      </c>
      <c r="L186" s="234" t="s">
        <v>70</v>
      </c>
      <c r="M186" s="225" t="s">
        <v>75</v>
      </c>
      <c r="N186" s="226" t="s">
        <v>76</v>
      </c>
      <c r="O186" s="227" t="s">
        <v>77</v>
      </c>
      <c r="P186" s="71"/>
    </row>
    <row r="187" spans="2:16" ht="18" customHeight="1" thickBot="1">
      <c r="B187" s="78"/>
      <c r="C187" s="624" t="s">
        <v>71</v>
      </c>
      <c r="D187" s="625"/>
      <c r="E187" s="29"/>
      <c r="F187" s="228" t="s">
        <v>72</v>
      </c>
      <c r="G187" s="471"/>
      <c r="H187" s="471"/>
      <c r="I187" s="466">
        <f>+'2010 Existing Rates'!$C$6</f>
        <v>20.27</v>
      </c>
      <c r="J187" s="471"/>
      <c r="K187" s="471"/>
      <c r="L187" s="468">
        <f>+'Distribution Rate Schedule'!$C$33</f>
        <v>20.39</v>
      </c>
      <c r="M187" s="468">
        <f>+L187-I187</f>
        <v>0.120000000000001</v>
      </c>
      <c r="N187" s="469">
        <f aca="true" t="shared" si="20" ref="N187:N199">+M187/I187</f>
        <v>0.005920078934385841</v>
      </c>
      <c r="O187" s="470">
        <f>L187/L199</f>
        <v>0.015096420957357606</v>
      </c>
      <c r="P187" s="71"/>
    </row>
    <row r="188" spans="2:16" ht="18" customHeight="1" thickBot="1">
      <c r="B188" s="78"/>
      <c r="C188" s="214">
        <v>10000</v>
      </c>
      <c r="D188" s="222" t="s">
        <v>16</v>
      </c>
      <c r="E188" s="29"/>
      <c r="F188" s="229" t="s">
        <v>73</v>
      </c>
      <c r="G188" s="464">
        <f>+C188</f>
        <v>10000</v>
      </c>
      <c r="H188" s="465">
        <f>+'2010 Existing Rates'!$E$6</f>
        <v>0.0178</v>
      </c>
      <c r="I188" s="466">
        <f>+G188*H188</f>
        <v>178</v>
      </c>
      <c r="J188" s="464">
        <f>+C188</f>
        <v>10000</v>
      </c>
      <c r="K188" s="467">
        <f>+'Distribution Rate Schedule'!$E$33</f>
        <v>0.0179</v>
      </c>
      <c r="L188" s="468">
        <f>+J188*K188</f>
        <v>179</v>
      </c>
      <c r="M188" s="468">
        <f>+L188-I188</f>
        <v>1</v>
      </c>
      <c r="N188" s="469">
        <f t="shared" si="20"/>
        <v>0.0056179775280898875</v>
      </c>
      <c r="O188" s="470">
        <f>L188/L199</f>
        <v>0.13252865872324723</v>
      </c>
      <c r="P188" s="71"/>
    </row>
    <row r="189" spans="2:16" ht="18" customHeight="1">
      <c r="B189" s="78"/>
      <c r="C189" s="52"/>
      <c r="D189" s="53"/>
      <c r="E189" s="29"/>
      <c r="F189" s="229" t="s">
        <v>144</v>
      </c>
      <c r="G189" s="471"/>
      <c r="H189" s="471"/>
      <c r="I189" s="466">
        <f>'2010 Existing Rates'!B$63</f>
        <v>1</v>
      </c>
      <c r="J189" s="471"/>
      <c r="K189" s="471"/>
      <c r="L189" s="468">
        <f>'2011 Rate Rider'!D$4</f>
        <v>1.18</v>
      </c>
      <c r="M189" s="468">
        <f>+L189-I189</f>
        <v>0.17999999999999994</v>
      </c>
      <c r="N189" s="469">
        <f t="shared" si="20"/>
        <v>0.17999999999999994</v>
      </c>
      <c r="O189" s="470">
        <f>L189/L199</f>
        <v>0.000873652610577831</v>
      </c>
      <c r="P189" s="71"/>
    </row>
    <row r="190" spans="2:16" ht="18" customHeight="1">
      <c r="B190" s="78"/>
      <c r="C190" s="52"/>
      <c r="D190" s="53"/>
      <c r="E190" s="29"/>
      <c r="F190" s="229" t="s">
        <v>137</v>
      </c>
      <c r="G190" s="464">
        <f>C188</f>
        <v>10000</v>
      </c>
      <c r="H190" s="465">
        <v>0</v>
      </c>
      <c r="I190" s="466">
        <f>+G190*H190</f>
        <v>0</v>
      </c>
      <c r="J190" s="464">
        <f>C188</f>
        <v>10000</v>
      </c>
      <c r="K190" s="467">
        <f>'LRAM and SSM Rate Rider'!L$7</f>
        <v>0</v>
      </c>
      <c r="L190" s="468">
        <f>+J190*K190</f>
        <v>0</v>
      </c>
      <c r="M190" s="468">
        <f>+L190-I190</f>
        <v>0</v>
      </c>
      <c r="N190" s="469">
        <f>IF(I190=0,0,M190/I190)</f>
        <v>0</v>
      </c>
      <c r="O190" s="470">
        <f>L190/L199</f>
        <v>0</v>
      </c>
      <c r="P190" s="71"/>
    </row>
    <row r="191" spans="2:16" ht="18" customHeight="1">
      <c r="B191" s="78"/>
      <c r="C191" s="29"/>
      <c r="D191" s="29"/>
      <c r="E191" s="29"/>
      <c r="F191" s="496" t="s">
        <v>241</v>
      </c>
      <c r="G191" s="464">
        <f>+C188</f>
        <v>10000</v>
      </c>
      <c r="H191" s="517">
        <f>+'2010 Existing Rates'!$B$21</f>
        <v>-0.002</v>
      </c>
      <c r="I191" s="468">
        <f>+G191*H191</f>
        <v>-20</v>
      </c>
      <c r="J191" s="464">
        <f>+C188</f>
        <v>10000</v>
      </c>
      <c r="K191" s="517">
        <f>+'2011 Rate Rider'!$B$4</f>
        <v>-0.002</v>
      </c>
      <c r="L191" s="468">
        <f>+J191*K191</f>
        <v>-20</v>
      </c>
      <c r="M191" s="468">
        <f>+L191-I191</f>
        <v>0</v>
      </c>
      <c r="N191" s="469">
        <f t="shared" si="20"/>
        <v>0</v>
      </c>
      <c r="O191" s="470">
        <f>L191/L199</f>
        <v>-0.01480767136572595</v>
      </c>
      <c r="P191" s="71"/>
    </row>
    <row r="192" spans="2:16" ht="18" customHeight="1" thickBot="1">
      <c r="B192" s="78"/>
      <c r="C192" s="29"/>
      <c r="D192" s="29"/>
      <c r="E192" s="29"/>
      <c r="F192" s="496" t="s">
        <v>242</v>
      </c>
      <c r="G192" s="464">
        <f>C188</f>
        <v>10000</v>
      </c>
      <c r="H192" s="465">
        <v>0</v>
      </c>
      <c r="I192" s="466">
        <f>+G192*H192</f>
        <v>0</v>
      </c>
      <c r="J192" s="464">
        <f>C188</f>
        <v>10000</v>
      </c>
      <c r="K192" s="467">
        <f>'2011 Rate Rider'!B$28</f>
        <v>0</v>
      </c>
      <c r="L192" s="468">
        <f>+J192*K192</f>
        <v>0</v>
      </c>
      <c r="M192" s="468">
        <f>+L192-I192</f>
        <v>0</v>
      </c>
      <c r="N192" s="469">
        <f>IF(I192=0,0,M192/I192)</f>
        <v>0</v>
      </c>
      <c r="O192" s="470">
        <f>L192/L199</f>
        <v>0</v>
      </c>
      <c r="P192" s="71"/>
    </row>
    <row r="193" spans="2:16" ht="18" customHeight="1" thickBot="1">
      <c r="B193" s="78"/>
      <c r="C193" s="29"/>
      <c r="D193" s="29"/>
      <c r="E193" s="29"/>
      <c r="F193" s="219" t="s">
        <v>78</v>
      </c>
      <c r="G193" s="637"/>
      <c r="H193" s="637"/>
      <c r="I193" s="473">
        <f>SUM(I187:I192)</f>
        <v>179.27</v>
      </c>
      <c r="J193" s="637"/>
      <c r="K193" s="637"/>
      <c r="L193" s="473">
        <f>SUM(L187:L192)</f>
        <v>180.57</v>
      </c>
      <c r="M193" s="473">
        <f>SUM(M187:M192)</f>
        <v>1.300000000000001</v>
      </c>
      <c r="N193" s="475">
        <f t="shared" si="20"/>
        <v>0.007251631617113855</v>
      </c>
      <c r="O193" s="476">
        <f>L193/L199</f>
        <v>0.13369106092545674</v>
      </c>
      <c r="P193" s="71"/>
    </row>
    <row r="194" spans="2:16" ht="18" customHeight="1">
      <c r="B194" s="78"/>
      <c r="C194" s="29"/>
      <c r="D194" s="29"/>
      <c r="E194" s="29"/>
      <c r="F194" s="229" t="s">
        <v>79</v>
      </c>
      <c r="G194" s="464">
        <f>C188*'Other Electriciy Rates'!N$6</f>
        <v>10356</v>
      </c>
      <c r="H194" s="477">
        <f>+'Other Electriciy Rates'!$E$6</f>
        <v>0.0237725</v>
      </c>
      <c r="I194" s="466">
        <f>+G194*H194</f>
        <v>246.18801</v>
      </c>
      <c r="J194" s="464">
        <f>+C188*'Other Electriciy Rates'!$O$6</f>
        <v>10349</v>
      </c>
      <c r="K194" s="477">
        <f>+'Other Electriciy Rates'!$F$6</f>
        <v>0.0237725</v>
      </c>
      <c r="L194" s="468">
        <f>+J194*K194</f>
        <v>246.02160249999997</v>
      </c>
      <c r="M194" s="468">
        <f>+L194-I194</f>
        <v>-0.16640750000001958</v>
      </c>
      <c r="N194" s="469">
        <f t="shared" si="20"/>
        <v>-0.0006759366550792607</v>
      </c>
      <c r="O194" s="470">
        <f>L194/L199</f>
        <v>0.18215035193446305</v>
      </c>
      <c r="P194" s="71"/>
    </row>
    <row r="195" spans="2:16" ht="18" customHeight="1">
      <c r="B195" s="78"/>
      <c r="C195" s="29"/>
      <c r="D195" s="29"/>
      <c r="E195" s="29"/>
      <c r="F195" s="229" t="s">
        <v>80</v>
      </c>
      <c r="G195" s="464">
        <v>750</v>
      </c>
      <c r="H195" s="477">
        <f>+'Other Electriciy Rates'!$L$6</f>
        <v>0.065</v>
      </c>
      <c r="I195" s="466">
        <f>+G195*H195</f>
        <v>48.75</v>
      </c>
      <c r="J195" s="464">
        <v>750</v>
      </c>
      <c r="K195" s="477">
        <f>+'Other Electriciy Rates'!$L$6</f>
        <v>0.065</v>
      </c>
      <c r="L195" s="468">
        <f>+J195*K195</f>
        <v>48.75</v>
      </c>
      <c r="M195" s="468">
        <f>+L195-I195</f>
        <v>0</v>
      </c>
      <c r="N195" s="469">
        <f t="shared" si="20"/>
        <v>0</v>
      </c>
      <c r="O195" s="470">
        <f>L195/L199</f>
        <v>0.036093698953957004</v>
      </c>
      <c r="P195" s="71"/>
    </row>
    <row r="196" spans="2:16" ht="18" customHeight="1" thickBot="1">
      <c r="B196" s="78"/>
      <c r="C196" s="29"/>
      <c r="D196" s="29"/>
      <c r="E196" s="29"/>
      <c r="F196" s="229" t="s">
        <v>80</v>
      </c>
      <c r="G196" s="464">
        <f>+G194-G195</f>
        <v>9606</v>
      </c>
      <c r="H196" s="477">
        <f>+'Other Electriciy Rates'!$M$6</f>
        <v>0.075</v>
      </c>
      <c r="I196" s="466">
        <f>+G196*H196</f>
        <v>720.4499999999999</v>
      </c>
      <c r="J196" s="464">
        <f>+J194-J195</f>
        <v>9599</v>
      </c>
      <c r="K196" s="477">
        <f>+'Other Electriciy Rates'!$M$6</f>
        <v>0.075</v>
      </c>
      <c r="L196" s="468">
        <f>+J196*K196</f>
        <v>719.925</v>
      </c>
      <c r="M196" s="468">
        <f>+L196-I196</f>
        <v>-0.5249999999999773</v>
      </c>
      <c r="N196" s="469">
        <f t="shared" si="20"/>
        <v>-0.0007287112221527897</v>
      </c>
      <c r="O196" s="470">
        <f>L196/L199</f>
        <v>0.5330206403985127</v>
      </c>
      <c r="P196" s="71"/>
    </row>
    <row r="197" spans="2:16" ht="18" customHeight="1" thickBot="1">
      <c r="B197" s="78"/>
      <c r="C197" s="29"/>
      <c r="D197" s="29"/>
      <c r="E197" s="29"/>
      <c r="F197" s="219" t="s">
        <v>172</v>
      </c>
      <c r="G197" s="637"/>
      <c r="H197" s="637"/>
      <c r="I197" s="473">
        <f>SUM(I193:I196)</f>
        <v>1194.6580099999999</v>
      </c>
      <c r="J197" s="637"/>
      <c r="K197" s="637"/>
      <c r="L197" s="473">
        <f>SUM(L193:L196)</f>
        <v>1195.2666024999999</v>
      </c>
      <c r="M197" s="473">
        <f>SUM(M193:M196)</f>
        <v>0.6085925000000041</v>
      </c>
      <c r="N197" s="475">
        <f t="shared" si="20"/>
        <v>0.0005094282170342658</v>
      </c>
      <c r="O197" s="476">
        <f>L197/L199</f>
        <v>0.8849557522123894</v>
      </c>
      <c r="P197" s="71"/>
    </row>
    <row r="198" spans="2:16" ht="18" customHeight="1" thickBot="1">
      <c r="B198" s="78"/>
      <c r="C198" s="29"/>
      <c r="D198" s="29"/>
      <c r="E198" s="29"/>
      <c r="F198" s="496" t="s">
        <v>252</v>
      </c>
      <c r="G198" s="464"/>
      <c r="H198" s="478">
        <v>0.13</v>
      </c>
      <c r="I198" s="466">
        <f>I197*H198</f>
        <v>155.3055413</v>
      </c>
      <c r="J198" s="464"/>
      <c r="K198" s="478">
        <v>0.13</v>
      </c>
      <c r="L198" s="468">
        <f>L197*K198</f>
        <v>155.38465832499998</v>
      </c>
      <c r="M198" s="468">
        <f>+L198-I198</f>
        <v>0.07911702499998796</v>
      </c>
      <c r="N198" s="469">
        <f>+M198/I198</f>
        <v>0.0005094282170341849</v>
      </c>
      <c r="O198" s="470">
        <f>L198/L199</f>
        <v>0.11504424778761062</v>
      </c>
      <c r="P198" s="71"/>
    </row>
    <row r="199" spans="2:16" ht="18" customHeight="1" thickBot="1">
      <c r="B199" s="78"/>
      <c r="C199" s="29"/>
      <c r="D199" s="29"/>
      <c r="E199" s="33"/>
      <c r="F199" s="220" t="s">
        <v>81</v>
      </c>
      <c r="G199" s="644"/>
      <c r="H199" s="644"/>
      <c r="I199" s="473">
        <f>SUM(I197:I198)</f>
        <v>1349.9635512999998</v>
      </c>
      <c r="J199" s="637"/>
      <c r="K199" s="637"/>
      <c r="L199" s="473">
        <f>SUM(L197:L198)</f>
        <v>1350.6512608249998</v>
      </c>
      <c r="M199" s="473">
        <f>SUM(M197:M198)</f>
        <v>0.687709524999992</v>
      </c>
      <c r="N199" s="475">
        <f t="shared" si="20"/>
        <v>0.0005094282170342566</v>
      </c>
      <c r="O199" s="476">
        <f>SUM(O197:O198)</f>
        <v>1</v>
      </c>
      <c r="P199" s="71"/>
    </row>
    <row r="200" spans="2:16" ht="6.75" customHeight="1" thickBot="1">
      <c r="B200" s="72"/>
      <c r="C200" s="87"/>
      <c r="D200" s="87"/>
      <c r="E200" s="87"/>
      <c r="F200" s="88"/>
      <c r="G200" s="89"/>
      <c r="H200" s="90"/>
      <c r="I200" s="91"/>
      <c r="J200" s="89"/>
      <c r="K200" s="92"/>
      <c r="L200" s="91"/>
      <c r="M200" s="96"/>
      <c r="N200" s="94"/>
      <c r="O200" s="95"/>
      <c r="P200" s="77"/>
    </row>
    <row r="201" spans="3:15" ht="6.75" customHeight="1" thickBot="1">
      <c r="C201" s="29"/>
      <c r="D201" s="29"/>
      <c r="E201" s="29"/>
      <c r="F201" s="41"/>
      <c r="G201" s="42"/>
      <c r="H201" s="43"/>
      <c r="I201" s="44"/>
      <c r="J201" s="42"/>
      <c r="K201" s="45"/>
      <c r="L201" s="44"/>
      <c r="M201" s="86"/>
      <c r="N201" s="84"/>
      <c r="O201" s="85"/>
    </row>
    <row r="202" spans="2:16" ht="6.75" customHeight="1">
      <c r="B202" s="82"/>
      <c r="C202" s="628"/>
      <c r="D202" s="628"/>
      <c r="E202" s="628"/>
      <c r="F202" s="628"/>
      <c r="G202" s="628"/>
      <c r="H202" s="628"/>
      <c r="I202" s="628"/>
      <c r="J202" s="628"/>
      <c r="K202" s="628"/>
      <c r="L202" s="628"/>
      <c r="M202" s="628"/>
      <c r="N202" s="628"/>
      <c r="O202" s="628"/>
      <c r="P202" s="70"/>
    </row>
    <row r="203" spans="2:16" ht="23.25">
      <c r="B203" s="78"/>
      <c r="C203" s="626" t="s">
        <v>243</v>
      </c>
      <c r="D203" s="626"/>
      <c r="E203" s="626"/>
      <c r="F203" s="626"/>
      <c r="G203" s="626"/>
      <c r="H203" s="626"/>
      <c r="I203" s="626"/>
      <c r="J203" s="626"/>
      <c r="K203" s="626"/>
      <c r="L203" s="626"/>
      <c r="M203" s="626"/>
      <c r="N203" s="626"/>
      <c r="O203" s="626"/>
      <c r="P203" s="71"/>
    </row>
    <row r="204" spans="2:16" ht="6.75" customHeight="1" thickBot="1">
      <c r="B204" s="78"/>
      <c r="C204" s="627"/>
      <c r="D204" s="627"/>
      <c r="E204" s="627"/>
      <c r="F204" s="627"/>
      <c r="G204" s="627"/>
      <c r="H204" s="627"/>
      <c r="I204" s="627"/>
      <c r="J204" s="627"/>
      <c r="K204" s="627"/>
      <c r="L204" s="627"/>
      <c r="M204" s="627"/>
      <c r="N204" s="627"/>
      <c r="O204" s="627"/>
      <c r="P204" s="71"/>
    </row>
    <row r="205" spans="2:16" ht="21" thickBot="1">
      <c r="B205" s="78"/>
      <c r="C205" s="80"/>
      <c r="D205" s="80"/>
      <c r="E205" s="29"/>
      <c r="F205" s="30"/>
      <c r="G205" s="633" t="str">
        <f>$G$8</f>
        <v>2010 BILL</v>
      </c>
      <c r="H205" s="634"/>
      <c r="I205" s="635"/>
      <c r="J205" s="633" t="str">
        <f>$J$8</f>
        <v>2011 BILL</v>
      </c>
      <c r="K205" s="634"/>
      <c r="L205" s="635"/>
      <c r="M205" s="633" t="s">
        <v>74</v>
      </c>
      <c r="N205" s="634"/>
      <c r="O205" s="635"/>
      <c r="P205" s="71"/>
    </row>
    <row r="206" spans="2:16" ht="26.25" thickBot="1">
      <c r="B206" s="78"/>
      <c r="C206" s="29"/>
      <c r="D206" s="29"/>
      <c r="E206" s="31"/>
      <c r="F206" s="32"/>
      <c r="G206" s="518" t="s">
        <v>68</v>
      </c>
      <c r="H206" s="519" t="s">
        <v>69</v>
      </c>
      <c r="I206" s="520" t="s">
        <v>70</v>
      </c>
      <c r="J206" s="521" t="s">
        <v>68</v>
      </c>
      <c r="K206" s="519" t="s">
        <v>69</v>
      </c>
      <c r="L206" s="520" t="s">
        <v>70</v>
      </c>
      <c r="M206" s="225" t="s">
        <v>75</v>
      </c>
      <c r="N206" s="226" t="s">
        <v>76</v>
      </c>
      <c r="O206" s="227" t="s">
        <v>77</v>
      </c>
      <c r="P206" s="71"/>
    </row>
    <row r="207" spans="2:16" ht="18" customHeight="1" thickBot="1">
      <c r="B207" s="78"/>
      <c r="C207" s="624" t="s">
        <v>71</v>
      </c>
      <c r="D207" s="625"/>
      <c r="E207" s="29"/>
      <c r="F207" s="228" t="s">
        <v>72</v>
      </c>
      <c r="G207" s="471"/>
      <c r="H207" s="471"/>
      <c r="I207" s="466">
        <f>+'2010 Existing Rates'!$C$6</f>
        <v>20.27</v>
      </c>
      <c r="J207" s="471"/>
      <c r="K207" s="471"/>
      <c r="L207" s="468">
        <f>+'Distribution Rate Schedule'!$C$33</f>
        <v>20.39</v>
      </c>
      <c r="M207" s="468">
        <f>+L207-I207</f>
        <v>0.120000000000001</v>
      </c>
      <c r="N207" s="469">
        <f aca="true" t="shared" si="21" ref="N207:N219">+M207/I207</f>
        <v>0.005920078934385841</v>
      </c>
      <c r="O207" s="470">
        <f>L207/L219</f>
        <v>0.01210563690315607</v>
      </c>
      <c r="P207" s="71"/>
    </row>
    <row r="208" spans="2:16" ht="18" customHeight="1" thickBot="1">
      <c r="B208" s="78"/>
      <c r="C208" s="214">
        <v>12500</v>
      </c>
      <c r="D208" s="222" t="s">
        <v>16</v>
      </c>
      <c r="E208" s="29"/>
      <c r="F208" s="229" t="s">
        <v>73</v>
      </c>
      <c r="G208" s="464">
        <f>+C208</f>
        <v>12500</v>
      </c>
      <c r="H208" s="465">
        <f>+'2010 Existing Rates'!$E$6</f>
        <v>0.0178</v>
      </c>
      <c r="I208" s="466">
        <f>+G208*H208</f>
        <v>222.5</v>
      </c>
      <c r="J208" s="464">
        <f>+C208</f>
        <v>12500</v>
      </c>
      <c r="K208" s="467">
        <f>+'Distribution Rate Schedule'!$E$33</f>
        <v>0.0179</v>
      </c>
      <c r="L208" s="468">
        <f>+J208*K208</f>
        <v>223.75</v>
      </c>
      <c r="M208" s="468">
        <f>+L208-I208</f>
        <v>1.25</v>
      </c>
      <c r="N208" s="469">
        <f t="shared" si="21"/>
        <v>0.0056179775280898875</v>
      </c>
      <c r="O208" s="470">
        <f>L208/L219</f>
        <v>0.1328414054478259</v>
      </c>
      <c r="P208" s="71"/>
    </row>
    <row r="209" spans="2:16" ht="18" customHeight="1">
      <c r="B209" s="78"/>
      <c r="C209" s="52"/>
      <c r="D209" s="53"/>
      <c r="E209" s="29"/>
      <c r="F209" s="229" t="s">
        <v>144</v>
      </c>
      <c r="G209" s="471"/>
      <c r="H209" s="471"/>
      <c r="I209" s="466">
        <f>'2010 Existing Rates'!B$63</f>
        <v>1</v>
      </c>
      <c r="J209" s="471"/>
      <c r="K209" s="471"/>
      <c r="L209" s="468">
        <f>'2011 Rate Rider'!D$4</f>
        <v>1.18</v>
      </c>
      <c r="M209" s="468">
        <f>+L209-I209</f>
        <v>0.17999999999999994</v>
      </c>
      <c r="N209" s="469">
        <f t="shared" si="21"/>
        <v>0.17999999999999994</v>
      </c>
      <c r="O209" s="470">
        <f>L209/L219</f>
        <v>0.000700571434317026</v>
      </c>
      <c r="P209" s="71"/>
    </row>
    <row r="210" spans="2:16" ht="18" customHeight="1">
      <c r="B210" s="78"/>
      <c r="C210" s="52"/>
      <c r="D210" s="53"/>
      <c r="E210" s="29"/>
      <c r="F210" s="229" t="s">
        <v>137</v>
      </c>
      <c r="G210" s="464">
        <f>C208</f>
        <v>12500</v>
      </c>
      <c r="H210" s="465">
        <v>0</v>
      </c>
      <c r="I210" s="466">
        <f>+G210*H210</f>
        <v>0</v>
      </c>
      <c r="J210" s="464">
        <f>C208</f>
        <v>12500</v>
      </c>
      <c r="K210" s="467">
        <f>'LRAM and SSM Rate Rider'!L$7</f>
        <v>0</v>
      </c>
      <c r="L210" s="468">
        <f>+J210*K210</f>
        <v>0</v>
      </c>
      <c r="M210" s="468">
        <f>+L210-I210</f>
        <v>0</v>
      </c>
      <c r="N210" s="469">
        <f>IF(I210=0,0,M210/I210)</f>
        <v>0</v>
      </c>
      <c r="O210" s="470">
        <f>L210/L$219</f>
        <v>0</v>
      </c>
      <c r="P210" s="71"/>
    </row>
    <row r="211" spans="2:16" ht="18" customHeight="1">
      <c r="B211" s="78"/>
      <c r="C211" s="29"/>
      <c r="D211" s="29"/>
      <c r="E211" s="29"/>
      <c r="F211" s="496" t="s">
        <v>241</v>
      </c>
      <c r="G211" s="464">
        <f>+C208</f>
        <v>12500</v>
      </c>
      <c r="H211" s="517">
        <f>+'2010 Existing Rates'!$B$21</f>
        <v>-0.002</v>
      </c>
      <c r="I211" s="468">
        <f>+G211*H211</f>
        <v>-25</v>
      </c>
      <c r="J211" s="464">
        <f>+C208</f>
        <v>12500</v>
      </c>
      <c r="K211" s="517">
        <f>+'2011 Rate Rider'!$B$4</f>
        <v>-0.002</v>
      </c>
      <c r="L211" s="468">
        <f>+J211*K211</f>
        <v>-25</v>
      </c>
      <c r="M211" s="468">
        <f>+L211-I211</f>
        <v>0</v>
      </c>
      <c r="N211" s="469">
        <f t="shared" si="21"/>
        <v>0</v>
      </c>
      <c r="O211" s="470">
        <f>L211/L219</f>
        <v>-0.014842615133835299</v>
      </c>
      <c r="P211" s="71"/>
    </row>
    <row r="212" spans="2:16" ht="18" customHeight="1" thickBot="1">
      <c r="B212" s="78"/>
      <c r="C212" s="29"/>
      <c r="D212" s="29"/>
      <c r="E212" s="29"/>
      <c r="F212" s="496" t="s">
        <v>242</v>
      </c>
      <c r="G212" s="464">
        <f>C208</f>
        <v>12500</v>
      </c>
      <c r="H212" s="465">
        <v>0</v>
      </c>
      <c r="I212" s="466">
        <f>+G212*H212</f>
        <v>0</v>
      </c>
      <c r="J212" s="464">
        <f>C208</f>
        <v>12500</v>
      </c>
      <c r="K212" s="467">
        <f>'2011 Rate Rider'!B$28</f>
        <v>0</v>
      </c>
      <c r="L212" s="468">
        <f>+J212*K212</f>
        <v>0</v>
      </c>
      <c r="M212" s="468">
        <f>+L212-I212</f>
        <v>0</v>
      </c>
      <c r="N212" s="469">
        <f>IF(I212=0,0,M212/I212)</f>
        <v>0</v>
      </c>
      <c r="O212" s="470">
        <f>L212/L$219</f>
        <v>0</v>
      </c>
      <c r="P212" s="71"/>
    </row>
    <row r="213" spans="2:16" ht="18" customHeight="1" thickBot="1">
      <c r="B213" s="78"/>
      <c r="C213" s="29"/>
      <c r="D213" s="29"/>
      <c r="E213" s="29"/>
      <c r="F213" s="219" t="s">
        <v>78</v>
      </c>
      <c r="G213" s="637"/>
      <c r="H213" s="637"/>
      <c r="I213" s="473">
        <f>SUM(I207:I212)</f>
        <v>218.77</v>
      </c>
      <c r="J213" s="637"/>
      <c r="K213" s="637"/>
      <c r="L213" s="473">
        <f>SUM(L207:L212)</f>
        <v>220.32</v>
      </c>
      <c r="M213" s="474">
        <f>SUM(M207:M212)</f>
        <v>1.550000000000001</v>
      </c>
      <c r="N213" s="475">
        <f t="shared" si="21"/>
        <v>0.007085066508204968</v>
      </c>
      <c r="O213" s="476">
        <f>L213/L219</f>
        <v>0.13080499865146372</v>
      </c>
      <c r="P213" s="71"/>
    </row>
    <row r="214" spans="2:16" ht="18" customHeight="1">
      <c r="B214" s="78"/>
      <c r="C214" s="29"/>
      <c r="D214" s="29"/>
      <c r="E214" s="29"/>
      <c r="F214" s="229" t="s">
        <v>79</v>
      </c>
      <c r="G214" s="464">
        <f>+C208*'Other Electriciy Rates'!$N$6</f>
        <v>12945.000000000002</v>
      </c>
      <c r="H214" s="477">
        <f>+'Other Electriciy Rates'!$E$6</f>
        <v>0.0237725</v>
      </c>
      <c r="I214" s="466">
        <f>+G214*H214</f>
        <v>307.73501250000004</v>
      </c>
      <c r="J214" s="464">
        <f>+C208*'Other Electriciy Rates'!$O$6</f>
        <v>12936.25</v>
      </c>
      <c r="K214" s="477">
        <f>+'Other Electriciy Rates'!$F$6</f>
        <v>0.0237725</v>
      </c>
      <c r="L214" s="468">
        <f>+J214*K214</f>
        <v>307.52700312499996</v>
      </c>
      <c r="M214" s="468">
        <f>+L214-I214</f>
        <v>-0.20800937500007421</v>
      </c>
      <c r="N214" s="469">
        <f t="shared" si="21"/>
        <v>-0.0006759366550794223</v>
      </c>
      <c r="O214" s="470">
        <f>L214/L219</f>
        <v>0.18258019802584557</v>
      </c>
      <c r="P214" s="71"/>
    </row>
    <row r="215" spans="2:16" ht="18" customHeight="1">
      <c r="B215" s="78"/>
      <c r="C215" s="29"/>
      <c r="D215" s="29"/>
      <c r="E215" s="29"/>
      <c r="F215" s="229" t="s">
        <v>80</v>
      </c>
      <c r="G215" s="464">
        <v>750</v>
      </c>
      <c r="H215" s="477">
        <f>+'Other Electriciy Rates'!$L$6</f>
        <v>0.065</v>
      </c>
      <c r="I215" s="466">
        <f>+G215*H215</f>
        <v>48.75</v>
      </c>
      <c r="J215" s="464">
        <v>750</v>
      </c>
      <c r="K215" s="477">
        <f>+'Other Electriciy Rates'!$L$6</f>
        <v>0.065</v>
      </c>
      <c r="L215" s="468">
        <f>+J215*K215</f>
        <v>48.75</v>
      </c>
      <c r="M215" s="468">
        <f>+L215-I215</f>
        <v>0</v>
      </c>
      <c r="N215" s="469">
        <f t="shared" si="21"/>
        <v>0</v>
      </c>
      <c r="O215" s="470">
        <f>L215/L219</f>
        <v>0.028943099510978832</v>
      </c>
      <c r="P215" s="71"/>
    </row>
    <row r="216" spans="2:16" ht="18" customHeight="1" thickBot="1">
      <c r="B216" s="78"/>
      <c r="C216" s="29"/>
      <c r="D216" s="29"/>
      <c r="E216" s="29"/>
      <c r="F216" s="229" t="s">
        <v>80</v>
      </c>
      <c r="G216" s="464">
        <f>+G214-G215</f>
        <v>12195.000000000002</v>
      </c>
      <c r="H216" s="477">
        <f>+'Other Electriciy Rates'!$M$6</f>
        <v>0.075</v>
      </c>
      <c r="I216" s="466">
        <f>+G216*H216</f>
        <v>914.6250000000001</v>
      </c>
      <c r="J216" s="464">
        <f>+J214-J215</f>
        <v>12186.25</v>
      </c>
      <c r="K216" s="477">
        <f>+'Other Electriciy Rates'!$M$6</f>
        <v>0.075</v>
      </c>
      <c r="L216" s="468">
        <f>+J216*K216</f>
        <v>913.96875</v>
      </c>
      <c r="M216" s="468">
        <f>+L216-I216</f>
        <v>-0.6562500000001137</v>
      </c>
      <c r="N216" s="469">
        <f t="shared" si="21"/>
        <v>-0.0007175071750718749</v>
      </c>
      <c r="O216" s="470">
        <f>L216/L219</f>
        <v>0.5426274560241012</v>
      </c>
      <c r="P216" s="71"/>
    </row>
    <row r="217" spans="2:16" ht="18" customHeight="1" thickBot="1">
      <c r="B217" s="78"/>
      <c r="C217" s="29"/>
      <c r="D217" s="29"/>
      <c r="E217" s="29"/>
      <c r="F217" s="219" t="s">
        <v>172</v>
      </c>
      <c r="G217" s="637"/>
      <c r="H217" s="637"/>
      <c r="I217" s="473">
        <f>SUM(I213:I216)</f>
        <v>1489.8800125000002</v>
      </c>
      <c r="J217" s="637"/>
      <c r="K217" s="637"/>
      <c r="L217" s="473">
        <f>SUM(L213:L216)</f>
        <v>1490.565753125</v>
      </c>
      <c r="M217" s="473">
        <f>SUM(M213:M216)</f>
        <v>0.685740624999813</v>
      </c>
      <c r="N217" s="475">
        <f t="shared" si="21"/>
        <v>0.00046026567189739575</v>
      </c>
      <c r="O217" s="476">
        <f>L217/L219</f>
        <v>0.8849557522123893</v>
      </c>
      <c r="P217" s="71"/>
    </row>
    <row r="218" spans="2:16" ht="18" customHeight="1" thickBot="1">
      <c r="B218" s="78"/>
      <c r="C218" s="29"/>
      <c r="D218" s="29"/>
      <c r="E218" s="29"/>
      <c r="F218" s="496" t="s">
        <v>252</v>
      </c>
      <c r="G218" s="464"/>
      <c r="H218" s="478">
        <v>0.13</v>
      </c>
      <c r="I218" s="466">
        <f>I217*H218</f>
        <v>193.68440162500005</v>
      </c>
      <c r="J218" s="464"/>
      <c r="K218" s="478">
        <v>0.13</v>
      </c>
      <c r="L218" s="468">
        <f>L217*K218</f>
        <v>193.77354790625</v>
      </c>
      <c r="M218" s="468">
        <f>+L218-I218</f>
        <v>0.08914628124995261</v>
      </c>
      <c r="N218" s="469">
        <f>+M218/I218</f>
        <v>0.00046026567189727654</v>
      </c>
      <c r="O218" s="470">
        <f>L218/L219</f>
        <v>0.11504424778761062</v>
      </c>
      <c r="P218" s="71"/>
    </row>
    <row r="219" spans="2:16" ht="18" customHeight="1" thickBot="1">
      <c r="B219" s="78"/>
      <c r="C219" s="29"/>
      <c r="D219" s="29"/>
      <c r="E219" s="33"/>
      <c r="F219" s="220" t="s">
        <v>81</v>
      </c>
      <c r="G219" s="644"/>
      <c r="H219" s="644"/>
      <c r="I219" s="473">
        <f>SUM(I217:I218)</f>
        <v>1683.5644141250002</v>
      </c>
      <c r="J219" s="637"/>
      <c r="K219" s="637"/>
      <c r="L219" s="473">
        <f>SUM(L217:L218)</f>
        <v>1684.33930103125</v>
      </c>
      <c r="M219" s="473">
        <f>SUM(M217:M218)</f>
        <v>0.7748869062497656</v>
      </c>
      <c r="N219" s="475">
        <f t="shared" si="21"/>
        <v>0.0004602656718973821</v>
      </c>
      <c r="O219" s="476">
        <f>SUM(O217:O218)</f>
        <v>0.9999999999999999</v>
      </c>
      <c r="P219" s="71"/>
    </row>
    <row r="220" spans="2:16" ht="6.75" customHeight="1" thickBot="1">
      <c r="B220" s="72"/>
      <c r="C220" s="87"/>
      <c r="D220" s="87"/>
      <c r="E220" s="87"/>
      <c r="F220" s="88"/>
      <c r="G220" s="89"/>
      <c r="H220" s="90"/>
      <c r="I220" s="91"/>
      <c r="J220" s="89"/>
      <c r="K220" s="92"/>
      <c r="L220" s="91"/>
      <c r="M220" s="96"/>
      <c r="N220" s="94"/>
      <c r="O220" s="95"/>
      <c r="P220" s="77"/>
    </row>
    <row r="221" spans="3:15" ht="6.75" customHeight="1" thickBot="1">
      <c r="C221" s="29"/>
      <c r="D221" s="29"/>
      <c r="E221" s="29"/>
      <c r="F221" s="41"/>
      <c r="G221" s="42"/>
      <c r="H221" s="43"/>
      <c r="I221" s="44"/>
      <c r="J221" s="42"/>
      <c r="K221" s="45"/>
      <c r="L221" s="44"/>
      <c r="M221" s="86"/>
      <c r="N221" s="84"/>
      <c r="O221" s="85"/>
    </row>
    <row r="222" spans="2:16" ht="6.75" customHeight="1">
      <c r="B222" s="82"/>
      <c r="C222" s="628"/>
      <c r="D222" s="628"/>
      <c r="E222" s="628"/>
      <c r="F222" s="628"/>
      <c r="G222" s="628"/>
      <c r="H222" s="628"/>
      <c r="I222" s="628"/>
      <c r="J222" s="628"/>
      <c r="K222" s="628"/>
      <c r="L222" s="628"/>
      <c r="M222" s="628"/>
      <c r="N222" s="628"/>
      <c r="O222" s="628"/>
      <c r="P222" s="70"/>
    </row>
    <row r="223" spans="2:16" ht="23.25">
      <c r="B223" s="78"/>
      <c r="C223" s="626" t="s">
        <v>112</v>
      </c>
      <c r="D223" s="626"/>
      <c r="E223" s="626"/>
      <c r="F223" s="626"/>
      <c r="G223" s="626"/>
      <c r="H223" s="626"/>
      <c r="I223" s="626"/>
      <c r="J223" s="626"/>
      <c r="K223" s="626"/>
      <c r="L223" s="626"/>
      <c r="M223" s="626"/>
      <c r="N223" s="626"/>
      <c r="O223" s="626"/>
      <c r="P223" s="71"/>
    </row>
    <row r="224" spans="2:16" ht="6.75" customHeight="1" thickBot="1">
      <c r="B224" s="78"/>
      <c r="C224" s="627"/>
      <c r="D224" s="627"/>
      <c r="E224" s="627"/>
      <c r="F224" s="627"/>
      <c r="G224" s="627"/>
      <c r="H224" s="627"/>
      <c r="I224" s="627"/>
      <c r="J224" s="627"/>
      <c r="K224" s="627"/>
      <c r="L224" s="627"/>
      <c r="M224" s="627"/>
      <c r="N224" s="627"/>
      <c r="O224" s="627"/>
      <c r="P224" s="71"/>
    </row>
    <row r="225" spans="2:16" ht="21" thickBot="1">
      <c r="B225" s="78"/>
      <c r="C225" s="80"/>
      <c r="D225" s="80"/>
      <c r="E225" s="29"/>
      <c r="F225" s="30"/>
      <c r="G225" s="633" t="str">
        <f>$G$8</f>
        <v>2010 BILL</v>
      </c>
      <c r="H225" s="634"/>
      <c r="I225" s="635"/>
      <c r="J225" s="633" t="str">
        <f>$J$8</f>
        <v>2011 BILL</v>
      </c>
      <c r="K225" s="634"/>
      <c r="L225" s="635"/>
      <c r="M225" s="633" t="s">
        <v>74</v>
      </c>
      <c r="N225" s="634"/>
      <c r="O225" s="635"/>
      <c r="P225" s="71"/>
    </row>
    <row r="226" spans="2:16" ht="26.25" thickBot="1">
      <c r="B226" s="78"/>
      <c r="C226" s="29"/>
      <c r="D226" s="29"/>
      <c r="E226" s="31"/>
      <c r="F226" s="32"/>
      <c r="G226" s="518" t="s">
        <v>68</v>
      </c>
      <c r="H226" s="519" t="s">
        <v>69</v>
      </c>
      <c r="I226" s="520" t="s">
        <v>70</v>
      </c>
      <c r="J226" s="521" t="s">
        <v>68</v>
      </c>
      <c r="K226" s="519" t="s">
        <v>69</v>
      </c>
      <c r="L226" s="520" t="s">
        <v>70</v>
      </c>
      <c r="M226" s="225" t="s">
        <v>75</v>
      </c>
      <c r="N226" s="226" t="s">
        <v>76</v>
      </c>
      <c r="O226" s="227" t="s">
        <v>77</v>
      </c>
      <c r="P226" s="71"/>
    </row>
    <row r="227" spans="2:16" ht="18" customHeight="1" thickBot="1">
      <c r="B227" s="78"/>
      <c r="C227" s="624" t="s">
        <v>71</v>
      </c>
      <c r="D227" s="625"/>
      <c r="E227" s="29"/>
      <c r="F227" s="228" t="s">
        <v>72</v>
      </c>
      <c r="G227" s="471"/>
      <c r="H227" s="471"/>
      <c r="I227" s="466">
        <f>+'2010 Existing Rates'!$C$6</f>
        <v>20.27</v>
      </c>
      <c r="J227" s="471"/>
      <c r="K227" s="471"/>
      <c r="L227" s="468">
        <f>+'Distribution Rate Schedule'!$C$33</f>
        <v>20.39</v>
      </c>
      <c r="M227" s="468">
        <f>+L227-I227</f>
        <v>0.120000000000001</v>
      </c>
      <c r="N227" s="469">
        <f aca="true" t="shared" si="22" ref="N227:N239">+M227/I227</f>
        <v>0.005920078934385841</v>
      </c>
      <c r="O227" s="470">
        <f>L227/L239</f>
        <v>0.010103926534264097</v>
      </c>
      <c r="P227" s="71"/>
    </row>
    <row r="228" spans="2:16" ht="18" customHeight="1" thickBot="1">
      <c r="B228" s="78"/>
      <c r="C228" s="214">
        <v>15000</v>
      </c>
      <c r="D228" s="222" t="s">
        <v>16</v>
      </c>
      <c r="E228" s="29"/>
      <c r="F228" s="229" t="s">
        <v>73</v>
      </c>
      <c r="G228" s="464">
        <f>+C228</f>
        <v>15000</v>
      </c>
      <c r="H228" s="465">
        <f>+'2010 Existing Rates'!$E$6</f>
        <v>0.0178</v>
      </c>
      <c r="I228" s="466">
        <f>+G228*H228</f>
        <v>267</v>
      </c>
      <c r="J228" s="464">
        <f>+C228</f>
        <v>15000</v>
      </c>
      <c r="K228" s="467">
        <f>+'Distribution Rate Schedule'!$E$33</f>
        <v>0.0179</v>
      </c>
      <c r="L228" s="468">
        <f>+J228*K228</f>
        <v>268.5</v>
      </c>
      <c r="M228" s="468">
        <f>+L228-I228</f>
        <v>1.5</v>
      </c>
      <c r="N228" s="469">
        <f t="shared" si="22"/>
        <v>0.0056179775280898875</v>
      </c>
      <c r="O228" s="470">
        <f>L228/L239</f>
        <v>0.1330507245929333</v>
      </c>
      <c r="P228" s="71"/>
    </row>
    <row r="229" spans="2:16" ht="18" customHeight="1">
      <c r="B229" s="78"/>
      <c r="C229" s="52"/>
      <c r="D229" s="53"/>
      <c r="E229" s="29"/>
      <c r="F229" s="229" t="s">
        <v>144</v>
      </c>
      <c r="G229" s="471"/>
      <c r="H229" s="471"/>
      <c r="I229" s="466">
        <f>'2010 Existing Rates'!B$63</f>
        <v>1</v>
      </c>
      <c r="J229" s="471"/>
      <c r="K229" s="471"/>
      <c r="L229" s="468">
        <f>'2011 Rate Rider'!D$4</f>
        <v>1.18</v>
      </c>
      <c r="M229" s="468">
        <f>+L229-I229</f>
        <v>0.17999999999999994</v>
      </c>
      <c r="N229" s="469">
        <f t="shared" si="22"/>
        <v>0.17999999999999994</v>
      </c>
      <c r="O229" s="470">
        <f>L229/L239</f>
        <v>0.0005847294414140085</v>
      </c>
      <c r="P229" s="71"/>
    </row>
    <row r="230" spans="2:16" ht="18" customHeight="1">
      <c r="B230" s="78"/>
      <c r="C230" s="52"/>
      <c r="D230" s="53"/>
      <c r="E230" s="29"/>
      <c r="F230" s="229" t="s">
        <v>137</v>
      </c>
      <c r="G230" s="464">
        <f>C228</f>
        <v>15000</v>
      </c>
      <c r="H230" s="465">
        <v>0</v>
      </c>
      <c r="I230" s="466">
        <f>+G230*H230</f>
        <v>0</v>
      </c>
      <c r="J230" s="464">
        <f>C228</f>
        <v>15000</v>
      </c>
      <c r="K230" s="467">
        <f>'LRAM and SSM Rate Rider'!L$7</f>
        <v>0</v>
      </c>
      <c r="L230" s="468">
        <f>+J230*K230</f>
        <v>0</v>
      </c>
      <c r="M230" s="468">
        <f>+L230-I230</f>
        <v>0</v>
      </c>
      <c r="N230" s="469">
        <f>IF(I230=0,0,M230/I230)</f>
        <v>0</v>
      </c>
      <c r="O230" s="470">
        <f>L230/L239</f>
        <v>0</v>
      </c>
      <c r="P230" s="71"/>
    </row>
    <row r="231" spans="2:16" ht="18" customHeight="1">
      <c r="B231" s="78"/>
      <c r="C231" s="29"/>
      <c r="D231" s="29"/>
      <c r="E231" s="29"/>
      <c r="F231" s="496" t="s">
        <v>241</v>
      </c>
      <c r="G231" s="464">
        <f>+C228</f>
        <v>15000</v>
      </c>
      <c r="H231" s="517">
        <f>+'2010 Existing Rates'!$B$21</f>
        <v>-0.002</v>
      </c>
      <c r="I231" s="468">
        <f>+G231*H231</f>
        <v>-30</v>
      </c>
      <c r="J231" s="464">
        <f>+C228</f>
        <v>15000</v>
      </c>
      <c r="K231" s="517">
        <f>+'2011 Rate Rider'!$B$4</f>
        <v>-0.002</v>
      </c>
      <c r="L231" s="468">
        <f>+J231*K231</f>
        <v>-30</v>
      </c>
      <c r="M231" s="468">
        <f>+L231-I231</f>
        <v>0</v>
      </c>
      <c r="N231" s="469">
        <f t="shared" si="22"/>
        <v>0</v>
      </c>
      <c r="O231" s="470">
        <f>L231/L239</f>
        <v>-0.014866002747813776</v>
      </c>
      <c r="P231" s="71"/>
    </row>
    <row r="232" spans="2:16" ht="18" customHeight="1" thickBot="1">
      <c r="B232" s="78"/>
      <c r="C232" s="29"/>
      <c r="D232" s="29"/>
      <c r="E232" s="29"/>
      <c r="F232" s="496" t="s">
        <v>242</v>
      </c>
      <c r="G232" s="464">
        <f>C228</f>
        <v>15000</v>
      </c>
      <c r="H232" s="465">
        <v>0</v>
      </c>
      <c r="I232" s="468">
        <f>+G232*H232</f>
        <v>0</v>
      </c>
      <c r="J232" s="464">
        <f>C228</f>
        <v>15000</v>
      </c>
      <c r="K232" s="467">
        <f>'2011 Rate Rider'!B$28</f>
        <v>0</v>
      </c>
      <c r="L232" s="468">
        <f>+J232*K232</f>
        <v>0</v>
      </c>
      <c r="M232" s="468">
        <f>+L232-I232</f>
        <v>0</v>
      </c>
      <c r="N232" s="469">
        <f>IF(I232=0,0,M232/I232)</f>
        <v>0</v>
      </c>
      <c r="O232" s="470">
        <f>L232/L239</f>
        <v>0</v>
      </c>
      <c r="P232" s="71"/>
    </row>
    <row r="233" spans="2:16" ht="18" customHeight="1" thickBot="1">
      <c r="B233" s="78"/>
      <c r="C233" s="29"/>
      <c r="D233" s="29"/>
      <c r="E233" s="29"/>
      <c r="F233" s="219" t="s">
        <v>78</v>
      </c>
      <c r="G233" s="637"/>
      <c r="H233" s="637"/>
      <c r="I233" s="473">
        <f>SUM(I227:I232)</f>
        <v>258.27</v>
      </c>
      <c r="J233" s="637"/>
      <c r="K233" s="637"/>
      <c r="L233" s="473">
        <f>SUM(L227:L232)</f>
        <v>260.07</v>
      </c>
      <c r="M233" s="474">
        <f>SUM(M227:M232)</f>
        <v>1.800000000000001</v>
      </c>
      <c r="N233" s="475">
        <f t="shared" si="22"/>
        <v>0.006969450574979676</v>
      </c>
      <c r="O233" s="476">
        <f>L233/L239</f>
        <v>0.12887337782079764</v>
      </c>
      <c r="P233" s="71"/>
    </row>
    <row r="234" spans="2:16" ht="18" customHeight="1">
      <c r="B234" s="78"/>
      <c r="C234" s="29"/>
      <c r="D234" s="29"/>
      <c r="E234" s="29"/>
      <c r="F234" s="229" t="s">
        <v>79</v>
      </c>
      <c r="G234" s="464">
        <f>+C228*'Other Electriciy Rates'!$N$6</f>
        <v>15534.000000000002</v>
      </c>
      <c r="H234" s="477">
        <f>+'Other Electriciy Rates'!$E$6</f>
        <v>0.0237725</v>
      </c>
      <c r="I234" s="466">
        <f>+G234*H234</f>
        <v>369.282015</v>
      </c>
      <c r="J234" s="464">
        <f>+C228*'Other Electriciy Rates'!$O$6</f>
        <v>15523.499999999998</v>
      </c>
      <c r="K234" s="477">
        <f>+'Other Electriciy Rates'!$F$6</f>
        <v>0.0237725</v>
      </c>
      <c r="L234" s="468">
        <f>+J234*K234</f>
        <v>369.03240374999996</v>
      </c>
      <c r="M234" s="468">
        <f>+L234-I234</f>
        <v>-0.24961125000004358</v>
      </c>
      <c r="N234" s="469">
        <f t="shared" si="22"/>
        <v>-0.0006759366550792992</v>
      </c>
      <c r="O234" s="470">
        <f>L234/L239</f>
        <v>0.1828678909393274</v>
      </c>
      <c r="P234" s="71"/>
    </row>
    <row r="235" spans="2:16" ht="18" customHeight="1">
      <c r="B235" s="78"/>
      <c r="C235" s="29"/>
      <c r="D235" s="29"/>
      <c r="E235" s="29"/>
      <c r="F235" s="229" t="s">
        <v>80</v>
      </c>
      <c r="G235" s="464">
        <v>750</v>
      </c>
      <c r="H235" s="477">
        <f>+'Other Electriciy Rates'!$L$6</f>
        <v>0.065</v>
      </c>
      <c r="I235" s="466">
        <f>+G235*H235</f>
        <v>48.75</v>
      </c>
      <c r="J235" s="464">
        <v>750</v>
      </c>
      <c r="K235" s="477">
        <f>+'Other Electriciy Rates'!$L$6</f>
        <v>0.065</v>
      </c>
      <c r="L235" s="468">
        <f>+J235*K235</f>
        <v>48.75</v>
      </c>
      <c r="M235" s="468">
        <f>+L235-I235</f>
        <v>0</v>
      </c>
      <c r="N235" s="469">
        <f t="shared" si="22"/>
        <v>0</v>
      </c>
      <c r="O235" s="470">
        <f>L235/L239</f>
        <v>0.024157254465197387</v>
      </c>
      <c r="P235" s="71"/>
    </row>
    <row r="236" spans="2:16" ht="18" customHeight="1" thickBot="1">
      <c r="B236" s="78"/>
      <c r="C236" s="29"/>
      <c r="D236" s="29"/>
      <c r="E236" s="29"/>
      <c r="F236" s="229" t="s">
        <v>80</v>
      </c>
      <c r="G236" s="464">
        <f>+G234-G235</f>
        <v>14784.000000000002</v>
      </c>
      <c r="H236" s="477">
        <f>+'Other Electriciy Rates'!$M$6</f>
        <v>0.075</v>
      </c>
      <c r="I236" s="466">
        <f>+G236*H236</f>
        <v>1108.8000000000002</v>
      </c>
      <c r="J236" s="464">
        <f>+J234-J235</f>
        <v>14773.499999999998</v>
      </c>
      <c r="K236" s="477">
        <f>+'Other Electriciy Rates'!$M$6</f>
        <v>0.075</v>
      </c>
      <c r="L236" s="468">
        <f>+J236*K236</f>
        <v>1108.0124999999998</v>
      </c>
      <c r="M236" s="468">
        <f>+L236-I236</f>
        <v>-0.7875000000003638</v>
      </c>
      <c r="N236" s="469">
        <f t="shared" si="22"/>
        <v>-0.0007102272727276007</v>
      </c>
      <c r="O236" s="470">
        <f>L236/L239</f>
        <v>0.549057228987067</v>
      </c>
      <c r="P236" s="71"/>
    </row>
    <row r="237" spans="2:16" ht="18" customHeight="1" thickBot="1">
      <c r="B237" s="78"/>
      <c r="C237" s="29"/>
      <c r="D237" s="29"/>
      <c r="E237" s="29"/>
      <c r="F237" s="219" t="s">
        <v>172</v>
      </c>
      <c r="G237" s="637"/>
      <c r="H237" s="637"/>
      <c r="I237" s="473">
        <f>SUM(I233:I236)</f>
        <v>1785.1020150000002</v>
      </c>
      <c r="J237" s="637"/>
      <c r="K237" s="637"/>
      <c r="L237" s="473">
        <f>SUM(L233:L236)</f>
        <v>1785.8649037499997</v>
      </c>
      <c r="M237" s="473">
        <f>SUM(M233:M236)</f>
        <v>0.7628887499995936</v>
      </c>
      <c r="N237" s="475">
        <f t="shared" si="22"/>
        <v>0.0004273642310574578</v>
      </c>
      <c r="O237" s="476">
        <f>L237/L239</f>
        <v>0.8849557522123893</v>
      </c>
      <c r="P237" s="71"/>
    </row>
    <row r="238" spans="2:16" ht="18" customHeight="1" thickBot="1">
      <c r="B238" s="78"/>
      <c r="C238" s="29"/>
      <c r="D238" s="29"/>
      <c r="E238" s="29"/>
      <c r="F238" s="496" t="s">
        <v>252</v>
      </c>
      <c r="G238" s="464"/>
      <c r="H238" s="478">
        <v>0.13</v>
      </c>
      <c r="I238" s="466">
        <f>I237*H238</f>
        <v>232.06326195000003</v>
      </c>
      <c r="J238" s="464"/>
      <c r="K238" s="478">
        <v>0.13</v>
      </c>
      <c r="L238" s="468">
        <f>L237*K238</f>
        <v>232.16243748749997</v>
      </c>
      <c r="M238" s="468">
        <f>+L238-I238</f>
        <v>0.09917553749994568</v>
      </c>
      <c r="N238" s="469">
        <f>+M238/I238</f>
        <v>0.0004273642310574514</v>
      </c>
      <c r="O238" s="470">
        <f>L238/L239</f>
        <v>0.11504424778761062</v>
      </c>
      <c r="P238" s="71"/>
    </row>
    <row r="239" spans="2:16" ht="18" customHeight="1" thickBot="1">
      <c r="B239" s="78"/>
      <c r="C239" s="29"/>
      <c r="D239" s="29"/>
      <c r="E239" s="33"/>
      <c r="F239" s="220" t="s">
        <v>81</v>
      </c>
      <c r="G239" s="644"/>
      <c r="H239" s="644"/>
      <c r="I239" s="473">
        <f>SUM(I237:I238)</f>
        <v>2017.1652769500001</v>
      </c>
      <c r="J239" s="637"/>
      <c r="K239" s="637"/>
      <c r="L239" s="473">
        <f>SUM(L237:L238)</f>
        <v>2018.0273412374997</v>
      </c>
      <c r="M239" s="473">
        <f>SUM(M237:M238)</f>
        <v>0.8620642874995392</v>
      </c>
      <c r="N239" s="475">
        <f t="shared" si="22"/>
        <v>0.0004273642310574571</v>
      </c>
      <c r="O239" s="476">
        <f>O237+O238</f>
        <v>0.9999999999999999</v>
      </c>
      <c r="P239" s="71"/>
    </row>
    <row r="240" spans="2:16" ht="6.75" customHeight="1" thickBot="1">
      <c r="B240" s="72"/>
      <c r="C240" s="87"/>
      <c r="D240" s="87"/>
      <c r="E240" s="87"/>
      <c r="F240" s="88"/>
      <c r="G240" s="89"/>
      <c r="H240" s="90"/>
      <c r="I240" s="91"/>
      <c r="J240" s="89"/>
      <c r="K240" s="92"/>
      <c r="L240" s="91"/>
      <c r="M240" s="96"/>
      <c r="N240" s="94"/>
      <c r="O240" s="95"/>
      <c r="P240" s="77"/>
    </row>
    <row r="241" spans="3:15" ht="6.75" customHeight="1" thickBot="1">
      <c r="C241" s="29"/>
      <c r="D241" s="29"/>
      <c r="E241" s="29"/>
      <c r="F241" s="41"/>
      <c r="G241" s="42"/>
      <c r="H241" s="43"/>
      <c r="I241" s="44"/>
      <c r="J241" s="42"/>
      <c r="K241" s="45"/>
      <c r="L241" s="44"/>
      <c r="M241" s="86"/>
      <c r="N241" s="84"/>
      <c r="O241" s="85"/>
    </row>
    <row r="242" spans="2:16" ht="6.75" customHeight="1">
      <c r="B242" s="82"/>
      <c r="C242" s="628"/>
      <c r="D242" s="628"/>
      <c r="E242" s="628"/>
      <c r="F242" s="628"/>
      <c r="G242" s="628"/>
      <c r="H242" s="628"/>
      <c r="I242" s="628"/>
      <c r="J242" s="628"/>
      <c r="K242" s="628"/>
      <c r="L242" s="628"/>
      <c r="M242" s="628"/>
      <c r="N242" s="628"/>
      <c r="O242" s="628"/>
      <c r="P242" s="70"/>
    </row>
    <row r="243" spans="2:16" ht="23.25">
      <c r="B243" s="78"/>
      <c r="C243" s="626" t="s">
        <v>96</v>
      </c>
      <c r="D243" s="626"/>
      <c r="E243" s="626"/>
      <c r="F243" s="626"/>
      <c r="G243" s="626"/>
      <c r="H243" s="626"/>
      <c r="I243" s="626"/>
      <c r="J243" s="626"/>
      <c r="K243" s="626"/>
      <c r="L243" s="626"/>
      <c r="M243" s="626"/>
      <c r="N243" s="626"/>
      <c r="O243" s="626"/>
      <c r="P243" s="71"/>
    </row>
    <row r="244" spans="2:16" ht="6.75" customHeight="1" thickBot="1">
      <c r="B244" s="78"/>
      <c r="C244" s="627"/>
      <c r="D244" s="627"/>
      <c r="E244" s="627"/>
      <c r="F244" s="627"/>
      <c r="G244" s="627"/>
      <c r="H244" s="627"/>
      <c r="I244" s="627"/>
      <c r="J244" s="627"/>
      <c r="K244" s="627"/>
      <c r="L244" s="627"/>
      <c r="M244" s="627"/>
      <c r="N244" s="627"/>
      <c r="O244" s="627"/>
      <c r="P244" s="71"/>
    </row>
    <row r="245" spans="2:16" ht="21" thickBot="1">
      <c r="B245" s="78"/>
      <c r="C245" s="80"/>
      <c r="D245" s="80"/>
      <c r="E245" s="29"/>
      <c r="F245" s="30"/>
      <c r="G245" s="633" t="str">
        <f>$G$8</f>
        <v>2010 BILL</v>
      </c>
      <c r="H245" s="634"/>
      <c r="I245" s="635"/>
      <c r="J245" s="633" t="str">
        <f>$J$8</f>
        <v>2011 BILL</v>
      </c>
      <c r="K245" s="634"/>
      <c r="L245" s="635"/>
      <c r="M245" s="633" t="s">
        <v>74</v>
      </c>
      <c r="N245" s="634"/>
      <c r="O245" s="635"/>
      <c r="P245" s="71"/>
    </row>
    <row r="246" spans="2:16" ht="26.25" thickBot="1">
      <c r="B246" s="78"/>
      <c r="C246" s="29"/>
      <c r="D246" s="29"/>
      <c r="E246" s="31"/>
      <c r="F246" s="231"/>
      <c r="G246" s="518" t="s">
        <v>68</v>
      </c>
      <c r="H246" s="519" t="s">
        <v>69</v>
      </c>
      <c r="I246" s="520" t="s">
        <v>70</v>
      </c>
      <c r="J246" s="521" t="s">
        <v>68</v>
      </c>
      <c r="K246" s="519" t="s">
        <v>69</v>
      </c>
      <c r="L246" s="520" t="s">
        <v>70</v>
      </c>
      <c r="M246" s="225" t="s">
        <v>75</v>
      </c>
      <c r="N246" s="226" t="s">
        <v>76</v>
      </c>
      <c r="O246" s="227" t="s">
        <v>77</v>
      </c>
      <c r="P246" s="71"/>
    </row>
    <row r="247" spans="2:16" ht="18" customHeight="1" thickBot="1">
      <c r="B247" s="78"/>
      <c r="C247" s="624" t="s">
        <v>71</v>
      </c>
      <c r="D247" s="625"/>
      <c r="E247" s="29"/>
      <c r="F247" s="228" t="s">
        <v>72</v>
      </c>
      <c r="G247" s="471"/>
      <c r="H247" s="471"/>
      <c r="I247" s="466">
        <f>+'2010 Existing Rates'!$C$7</f>
        <v>101.68</v>
      </c>
      <c r="J247" s="471"/>
      <c r="K247" s="471"/>
      <c r="L247" s="468">
        <f>+'Distribution Rate Schedule'!$C$34</f>
        <v>102.26</v>
      </c>
      <c r="M247" s="468">
        <f>+L247-I247</f>
        <v>0.5799999999999983</v>
      </c>
      <c r="N247" s="469">
        <f aca="true" t="shared" si="23" ref="N247:N255">+M247/I247</f>
        <v>0.005704169944925238</v>
      </c>
      <c r="O247" s="470">
        <f>L247/L261</f>
        <v>0.02749760317500569</v>
      </c>
      <c r="P247" s="71"/>
    </row>
    <row r="248" spans="2:16" ht="18" customHeight="1" thickBot="1">
      <c r="B248" s="78"/>
      <c r="C248" s="214">
        <v>30000</v>
      </c>
      <c r="D248" s="222" t="s">
        <v>16</v>
      </c>
      <c r="E248" s="29"/>
      <c r="F248" s="229" t="s">
        <v>73</v>
      </c>
      <c r="G248" s="464">
        <f>+C248</f>
        <v>30000</v>
      </c>
      <c r="H248" s="465">
        <v>0</v>
      </c>
      <c r="I248" s="466">
        <f>+G248*H248</f>
        <v>0</v>
      </c>
      <c r="J248" s="464">
        <f>+C248</f>
        <v>30000</v>
      </c>
      <c r="K248" s="467">
        <v>0</v>
      </c>
      <c r="L248" s="468">
        <f>+J248*K248</f>
        <v>0</v>
      </c>
      <c r="M248" s="468">
        <f>+L248-I248</f>
        <v>0</v>
      </c>
      <c r="N248" s="469">
        <f>IF(I248=0,0,M248/I248)</f>
        <v>0</v>
      </c>
      <c r="O248" s="470">
        <f>L248/L261</f>
        <v>0</v>
      </c>
      <c r="P248" s="71"/>
    </row>
    <row r="249" spans="2:16" ht="18" customHeight="1" thickBot="1">
      <c r="B249" s="78"/>
      <c r="C249" s="214">
        <v>100</v>
      </c>
      <c r="D249" s="222" t="s">
        <v>17</v>
      </c>
      <c r="E249" s="29"/>
      <c r="F249" s="229" t="s">
        <v>84</v>
      </c>
      <c r="G249" s="464">
        <f>+C249</f>
        <v>100</v>
      </c>
      <c r="H249" s="465">
        <f>+'2010 Existing Rates'!$D$7</f>
        <v>2.2935</v>
      </c>
      <c r="I249" s="466">
        <f>+G249*H249</f>
        <v>229.35</v>
      </c>
      <c r="J249" s="464">
        <f>+C249</f>
        <v>100</v>
      </c>
      <c r="K249" s="467">
        <f>+'Distribution Rate Schedule'!$D$34</f>
        <v>2.2957</v>
      </c>
      <c r="L249" s="468">
        <f>+J249*K249</f>
        <v>229.57</v>
      </c>
      <c r="M249" s="468">
        <f>+L249-I249</f>
        <v>0.21999999999999886</v>
      </c>
      <c r="N249" s="469">
        <f t="shared" si="23"/>
        <v>0.0009592326139088679</v>
      </c>
      <c r="O249" s="470">
        <f>L249/L261</f>
        <v>0.06173112420189767</v>
      </c>
      <c r="P249" s="71"/>
    </row>
    <row r="250" spans="2:16" ht="18" customHeight="1">
      <c r="B250" s="78"/>
      <c r="C250" s="52"/>
      <c r="D250" s="53"/>
      <c r="E250" s="29"/>
      <c r="F250" s="229" t="s">
        <v>144</v>
      </c>
      <c r="G250" s="471"/>
      <c r="H250" s="471"/>
      <c r="I250" s="466">
        <f>'2010 Existing Rates'!B$64</f>
        <v>1</v>
      </c>
      <c r="J250" s="471"/>
      <c r="K250" s="471"/>
      <c r="L250" s="468">
        <f>'2011 Rate Rider'!D$5</f>
        <v>1.18</v>
      </c>
      <c r="M250" s="468">
        <f>+L250-I250</f>
        <v>0.17999999999999994</v>
      </c>
      <c r="N250" s="469">
        <f t="shared" si="23"/>
        <v>0.17999999999999994</v>
      </c>
      <c r="O250" s="470">
        <f>L250/L261</f>
        <v>0.0003173007211666997</v>
      </c>
      <c r="P250" s="71"/>
    </row>
    <row r="251" spans="2:16" ht="18" customHeight="1">
      <c r="B251" s="78"/>
      <c r="C251" s="52"/>
      <c r="D251" s="53"/>
      <c r="E251" s="29"/>
      <c r="F251" s="497" t="s">
        <v>245</v>
      </c>
      <c r="G251" s="464">
        <f>C249</f>
        <v>100</v>
      </c>
      <c r="H251" s="465">
        <v>0</v>
      </c>
      <c r="I251" s="466">
        <f>+G251*H251</f>
        <v>0</v>
      </c>
      <c r="J251" s="464">
        <f>C249</f>
        <v>100</v>
      </c>
      <c r="K251" s="467">
        <f>'LRAM and SSM Rate Rider'!L$8</f>
        <v>0</v>
      </c>
      <c r="L251" s="468">
        <f>+J251*K251</f>
        <v>0</v>
      </c>
      <c r="M251" s="468">
        <f>+L251-I251</f>
        <v>0</v>
      </c>
      <c r="N251" s="469">
        <f>IF(I251=0,0,M251/I251)</f>
        <v>0</v>
      </c>
      <c r="O251" s="470">
        <f>L251/L261</f>
        <v>0</v>
      </c>
      <c r="P251" s="71"/>
    </row>
    <row r="252" spans="2:16" ht="18" customHeight="1">
      <c r="B252" s="78"/>
      <c r="C252" s="29"/>
      <c r="D252" s="29"/>
      <c r="E252" s="29"/>
      <c r="F252" s="496" t="s">
        <v>238</v>
      </c>
      <c r="G252" s="464">
        <f>+C249</f>
        <v>100</v>
      </c>
      <c r="H252" s="517">
        <f>+'2010 Existing Rates'!$D$22</f>
        <v>-0.7321</v>
      </c>
      <c r="I252" s="468">
        <f>+G252*H252</f>
        <v>-73.21</v>
      </c>
      <c r="J252" s="464">
        <f>+C249</f>
        <v>100</v>
      </c>
      <c r="K252" s="517">
        <f>+'2011 Rate Rider'!$C$5</f>
        <v>-0.7321</v>
      </c>
      <c r="L252" s="468">
        <f>+J252*K252</f>
        <v>-73.21</v>
      </c>
      <c r="M252" s="468">
        <f>+L252-I252</f>
        <v>0</v>
      </c>
      <c r="N252" s="469">
        <f t="shared" si="23"/>
        <v>0</v>
      </c>
      <c r="O252" s="470">
        <f>L252/L261</f>
        <v>-0.01968608965814753</v>
      </c>
      <c r="P252" s="71"/>
    </row>
    <row r="253" spans="2:16" ht="18" customHeight="1">
      <c r="B253" s="78"/>
      <c r="C253" s="29"/>
      <c r="D253" s="29"/>
      <c r="E253" s="29"/>
      <c r="F253" s="496" t="s">
        <v>239</v>
      </c>
      <c r="G253" s="464">
        <f>C249</f>
        <v>100</v>
      </c>
      <c r="H253" s="465">
        <v>0</v>
      </c>
      <c r="I253" s="468">
        <f>+G253*H253</f>
        <v>0</v>
      </c>
      <c r="J253" s="464">
        <f>C249</f>
        <v>100</v>
      </c>
      <c r="K253" s="467">
        <f>'2011 Rate Rider'!C$29</f>
        <v>0</v>
      </c>
      <c r="L253" s="468">
        <f>+J253*K253</f>
        <v>0</v>
      </c>
      <c r="M253" s="468">
        <f>+L253-I253</f>
        <v>0</v>
      </c>
      <c r="N253" s="469">
        <f>IF(I253=0,0,M253/I253)</f>
        <v>0</v>
      </c>
      <c r="O253" s="470">
        <f>L253/L261</f>
        <v>0</v>
      </c>
      <c r="P253" s="71"/>
    </row>
    <row r="254" spans="2:16" ht="18" customHeight="1" thickBot="1">
      <c r="B254" s="78"/>
      <c r="C254" s="29"/>
      <c r="D254" s="29"/>
      <c r="E254" s="29"/>
      <c r="F254" s="496" t="s">
        <v>240</v>
      </c>
      <c r="G254" s="464">
        <f>C249</f>
        <v>100</v>
      </c>
      <c r="H254" s="465">
        <v>0</v>
      </c>
      <c r="I254" s="468">
        <f>+G254*H254</f>
        <v>0</v>
      </c>
      <c r="J254" s="464">
        <f>C249</f>
        <v>100</v>
      </c>
      <c r="K254" s="467">
        <f>'2011 Rate Rider'!C$17</f>
        <v>0.4861</v>
      </c>
      <c r="L254" s="468">
        <f>+J254*K254</f>
        <v>48.61</v>
      </c>
      <c r="M254" s="468">
        <f>+L254-I254</f>
        <v>48.61</v>
      </c>
      <c r="N254" s="469">
        <v>1</v>
      </c>
      <c r="O254" s="470">
        <f>L254/L261</f>
        <v>0.013071176318570571</v>
      </c>
      <c r="P254" s="71"/>
    </row>
    <row r="255" spans="2:16" ht="18" customHeight="1" thickBot="1">
      <c r="B255" s="78"/>
      <c r="C255" s="29"/>
      <c r="D255" s="29"/>
      <c r="E255" s="29"/>
      <c r="F255" s="219" t="s">
        <v>78</v>
      </c>
      <c r="G255" s="637"/>
      <c r="H255" s="637"/>
      <c r="I255" s="473">
        <f>SUM(I247:I254)</f>
        <v>258.82</v>
      </c>
      <c r="J255" s="637"/>
      <c r="K255" s="637"/>
      <c r="L255" s="473">
        <f>SUM(L247:L254)</f>
        <v>308.41</v>
      </c>
      <c r="M255" s="474">
        <f>SUM(M247:M254)</f>
        <v>49.589999999999996</v>
      </c>
      <c r="N255" s="475">
        <f t="shared" si="23"/>
        <v>0.1916003400046364</v>
      </c>
      <c r="O255" s="476">
        <f>L255/L261</f>
        <v>0.08293111475849312</v>
      </c>
      <c r="P255" s="71"/>
    </row>
    <row r="256" spans="2:16" ht="18" customHeight="1">
      <c r="B256" s="78"/>
      <c r="C256" s="29"/>
      <c r="D256" s="29"/>
      <c r="E256" s="29"/>
      <c r="F256" s="229" t="s">
        <v>79</v>
      </c>
      <c r="G256" s="464">
        <f>+C248*'Other Electriciy Rates'!$N$7</f>
        <v>31068.000000000004</v>
      </c>
      <c r="H256" s="477">
        <f>+'Other Electriciy Rates'!$E$7</f>
        <v>0.0138725</v>
      </c>
      <c r="I256" s="466">
        <f>+G256*H256</f>
        <v>430.99083</v>
      </c>
      <c r="J256" s="464">
        <f>+C248*'Other Electriciy Rates'!$O$7</f>
        <v>31046.999999999996</v>
      </c>
      <c r="K256" s="477">
        <f>+'Other Electriciy Rates'!$F$7</f>
        <v>0.0138725</v>
      </c>
      <c r="L256" s="468">
        <f>+J256*K256</f>
        <v>430.6995074999999</v>
      </c>
      <c r="M256" s="468">
        <f>+L256-I256</f>
        <v>-0.2913225000000921</v>
      </c>
      <c r="N256" s="469">
        <f aca="true" t="shared" si="24" ref="N256:N261">+M256/I256</f>
        <v>-0.0006759366550793947</v>
      </c>
      <c r="O256" s="470">
        <f>L256/L261</f>
        <v>0.11581463079312913</v>
      </c>
      <c r="P256" s="71"/>
    </row>
    <row r="257" spans="2:16" ht="18" customHeight="1">
      <c r="B257" s="78"/>
      <c r="C257" s="29"/>
      <c r="D257" s="29"/>
      <c r="E257" s="29"/>
      <c r="F257" s="229" t="s">
        <v>86</v>
      </c>
      <c r="G257" s="464">
        <f>+C249*'Other Electriciy Rates'!$N$7</f>
        <v>103.56</v>
      </c>
      <c r="H257" s="477">
        <f>+'Other Electriciy Rates'!$J$7</f>
        <v>3.8280000000000003</v>
      </c>
      <c r="I257" s="466">
        <f>+G257*H257</f>
        <v>396.42768000000007</v>
      </c>
      <c r="J257" s="464">
        <f>+C249*'Other Electriciy Rates'!$N$7</f>
        <v>103.56</v>
      </c>
      <c r="K257" s="477">
        <f>+'Other Electriciy Rates'!$K$7</f>
        <v>3.8280000000000003</v>
      </c>
      <c r="L257" s="468">
        <f>+J257*K257</f>
        <v>396.42768000000007</v>
      </c>
      <c r="M257" s="468">
        <f>+L257-I257</f>
        <v>0</v>
      </c>
      <c r="N257" s="469">
        <f t="shared" si="24"/>
        <v>0</v>
      </c>
      <c r="O257" s="470">
        <f>L257/L261</f>
        <v>0.10659897352071329</v>
      </c>
      <c r="P257" s="71"/>
    </row>
    <row r="258" spans="2:16" ht="18" customHeight="1" thickBot="1">
      <c r="B258" s="78"/>
      <c r="C258" s="29"/>
      <c r="D258" s="29"/>
      <c r="E258" s="29"/>
      <c r="F258" s="229" t="s">
        <v>80</v>
      </c>
      <c r="G258" s="464">
        <f>+C248*'Other Electriciy Rates'!$N$7</f>
        <v>31068.000000000004</v>
      </c>
      <c r="H258" s="477">
        <f>+'Other Electriciy Rates'!$L$7</f>
        <v>0.06938</v>
      </c>
      <c r="I258" s="466">
        <f>+G258*H258</f>
        <v>2155.49784</v>
      </c>
      <c r="J258" s="464">
        <f>+C248*'Other Electriciy Rates'!$N$7</f>
        <v>31068.000000000004</v>
      </c>
      <c r="K258" s="477">
        <f>+'Other Electriciy Rates'!$L$7</f>
        <v>0.06938</v>
      </c>
      <c r="L258" s="468">
        <f>+J258*K258</f>
        <v>2155.49784</v>
      </c>
      <c r="M258" s="468">
        <f>+L258-I258</f>
        <v>0</v>
      </c>
      <c r="N258" s="469">
        <f t="shared" si="24"/>
        <v>0</v>
      </c>
      <c r="O258" s="470">
        <f>L258/L261</f>
        <v>0.5796110331400538</v>
      </c>
      <c r="P258" s="71"/>
    </row>
    <row r="259" spans="2:16" ht="18" customHeight="1" thickBot="1">
      <c r="B259" s="78"/>
      <c r="C259" s="29"/>
      <c r="D259" s="29"/>
      <c r="E259" s="29"/>
      <c r="F259" s="219" t="s">
        <v>172</v>
      </c>
      <c r="G259" s="637"/>
      <c r="H259" s="637"/>
      <c r="I259" s="473">
        <f>SUM(I255:I258)</f>
        <v>3241.73635</v>
      </c>
      <c r="J259" s="637"/>
      <c r="K259" s="637"/>
      <c r="L259" s="473">
        <f>SUM(L255:L258)</f>
        <v>3291.0350275</v>
      </c>
      <c r="M259" s="473">
        <f>SUM(M255:M258)</f>
        <v>49.298677499999904</v>
      </c>
      <c r="N259" s="475">
        <f t="shared" si="24"/>
        <v>0.015207491349504687</v>
      </c>
      <c r="O259" s="476">
        <f>L259/L261</f>
        <v>0.8849557522123894</v>
      </c>
      <c r="P259" s="71"/>
    </row>
    <row r="260" spans="2:16" ht="18" customHeight="1" thickBot="1">
      <c r="B260" s="78"/>
      <c r="C260" s="29"/>
      <c r="D260" s="29"/>
      <c r="E260" s="29"/>
      <c r="F260" s="496" t="s">
        <v>252</v>
      </c>
      <c r="G260" s="464"/>
      <c r="H260" s="478">
        <v>0.13</v>
      </c>
      <c r="I260" s="466">
        <f>I259*H260</f>
        <v>421.42572550000006</v>
      </c>
      <c r="J260" s="464"/>
      <c r="K260" s="478">
        <v>0.13</v>
      </c>
      <c r="L260" s="468">
        <f>L259*K260</f>
        <v>427.83455357500003</v>
      </c>
      <c r="M260" s="468">
        <f>+L260-I260</f>
        <v>6.408828074999974</v>
      </c>
      <c r="N260" s="469">
        <f t="shared" si="24"/>
        <v>0.015207491349504654</v>
      </c>
      <c r="O260" s="470">
        <f>L260/L261</f>
        <v>0.11504424778761063</v>
      </c>
      <c r="P260" s="71"/>
    </row>
    <row r="261" spans="2:16" ht="18" customHeight="1" thickBot="1">
      <c r="B261" s="78"/>
      <c r="C261" s="29"/>
      <c r="D261" s="29"/>
      <c r="E261" s="33"/>
      <c r="F261" s="220" t="s">
        <v>81</v>
      </c>
      <c r="G261" s="637"/>
      <c r="H261" s="637"/>
      <c r="I261" s="473">
        <f>SUM(I259:I260)</f>
        <v>3663.1620755000004</v>
      </c>
      <c r="J261" s="637"/>
      <c r="K261" s="637"/>
      <c r="L261" s="473">
        <f>SUM(L259:L260)</f>
        <v>3718.869581075</v>
      </c>
      <c r="M261" s="473">
        <f>SUM(M259:M260)</f>
        <v>55.70750557499988</v>
      </c>
      <c r="N261" s="475">
        <f t="shared" si="24"/>
        <v>0.015207491349504684</v>
      </c>
      <c r="O261" s="476">
        <f>O259+O260</f>
        <v>1</v>
      </c>
      <c r="P261" s="71"/>
    </row>
    <row r="262" spans="2:16" ht="6.75" customHeight="1" thickBot="1">
      <c r="B262" s="72"/>
      <c r="C262" s="87"/>
      <c r="D262" s="87"/>
      <c r="E262" s="87"/>
      <c r="F262" s="88"/>
      <c r="G262" s="89"/>
      <c r="H262" s="90"/>
      <c r="I262" s="91"/>
      <c r="J262" s="89"/>
      <c r="K262" s="92"/>
      <c r="L262" s="91"/>
      <c r="M262" s="93"/>
      <c r="N262" s="94"/>
      <c r="O262" s="95"/>
      <c r="P262" s="77"/>
    </row>
    <row r="263" spans="3:15" ht="6.75" customHeight="1" thickBot="1">
      <c r="C263" s="29"/>
      <c r="D263" s="29"/>
      <c r="E263" s="29"/>
      <c r="F263" s="41"/>
      <c r="G263" s="42"/>
      <c r="H263" s="43"/>
      <c r="I263" s="44"/>
      <c r="J263" s="42"/>
      <c r="K263" s="45"/>
      <c r="L263" s="44"/>
      <c r="M263" s="46"/>
      <c r="N263" s="84"/>
      <c r="O263" s="85"/>
    </row>
    <row r="264" spans="2:16" ht="6.75" customHeight="1">
      <c r="B264" s="82"/>
      <c r="C264" s="628"/>
      <c r="D264" s="628"/>
      <c r="E264" s="628"/>
      <c r="F264" s="628"/>
      <c r="G264" s="628"/>
      <c r="H264" s="628"/>
      <c r="I264" s="628"/>
      <c r="J264" s="628"/>
      <c r="K264" s="628"/>
      <c r="L264" s="628"/>
      <c r="M264" s="628"/>
      <c r="N264" s="628"/>
      <c r="O264" s="628"/>
      <c r="P264" s="70"/>
    </row>
    <row r="265" spans="2:16" ht="23.25">
      <c r="B265" s="78"/>
      <c r="C265" s="626" t="s">
        <v>96</v>
      </c>
      <c r="D265" s="626"/>
      <c r="E265" s="626"/>
      <c r="F265" s="626"/>
      <c r="G265" s="626"/>
      <c r="H265" s="626"/>
      <c r="I265" s="626"/>
      <c r="J265" s="626"/>
      <c r="K265" s="626"/>
      <c r="L265" s="626"/>
      <c r="M265" s="626"/>
      <c r="N265" s="626"/>
      <c r="O265" s="626"/>
      <c r="P265" s="71"/>
    </row>
    <row r="266" spans="2:16" ht="6.75" customHeight="1" thickBot="1">
      <c r="B266" s="78"/>
      <c r="C266" s="627"/>
      <c r="D266" s="627"/>
      <c r="E266" s="627"/>
      <c r="F266" s="627"/>
      <c r="G266" s="627"/>
      <c r="H266" s="627"/>
      <c r="I266" s="627"/>
      <c r="J266" s="627"/>
      <c r="K266" s="627"/>
      <c r="L266" s="627"/>
      <c r="M266" s="627"/>
      <c r="N266" s="627"/>
      <c r="O266" s="627"/>
      <c r="P266" s="71"/>
    </row>
    <row r="267" spans="2:16" ht="21" thickBot="1">
      <c r="B267" s="78"/>
      <c r="C267" s="80"/>
      <c r="D267" s="80"/>
      <c r="E267" s="29"/>
      <c r="F267" s="35"/>
      <c r="G267" s="633" t="str">
        <f>$G$8</f>
        <v>2010 BILL</v>
      </c>
      <c r="H267" s="634"/>
      <c r="I267" s="635"/>
      <c r="J267" s="633" t="str">
        <f>$J$8</f>
        <v>2011 BILL</v>
      </c>
      <c r="K267" s="634"/>
      <c r="L267" s="635"/>
      <c r="M267" s="633" t="s">
        <v>74</v>
      </c>
      <c r="N267" s="634"/>
      <c r="O267" s="635"/>
      <c r="P267" s="71"/>
    </row>
    <row r="268" spans="2:16" ht="26.25" thickBot="1">
      <c r="B268" s="78"/>
      <c r="C268" s="29"/>
      <c r="D268" s="29"/>
      <c r="E268" s="31"/>
      <c r="F268" s="232"/>
      <c r="G268" s="518" t="s">
        <v>68</v>
      </c>
      <c r="H268" s="519" t="s">
        <v>69</v>
      </c>
      <c r="I268" s="520" t="s">
        <v>70</v>
      </c>
      <c r="J268" s="521" t="s">
        <v>68</v>
      </c>
      <c r="K268" s="519" t="s">
        <v>69</v>
      </c>
      <c r="L268" s="520" t="s">
        <v>70</v>
      </c>
      <c r="M268" s="225" t="s">
        <v>82</v>
      </c>
      <c r="N268" s="226" t="s">
        <v>83</v>
      </c>
      <c r="O268" s="227" t="s">
        <v>77</v>
      </c>
      <c r="P268" s="71"/>
    </row>
    <row r="269" spans="2:16" ht="18" customHeight="1" thickBot="1">
      <c r="B269" s="78"/>
      <c r="C269" s="624" t="s">
        <v>71</v>
      </c>
      <c r="D269" s="625"/>
      <c r="E269" s="29"/>
      <c r="F269" s="228" t="s">
        <v>72</v>
      </c>
      <c r="G269" s="471"/>
      <c r="H269" s="471"/>
      <c r="I269" s="466">
        <f>+'2010 Existing Rates'!$C$7</f>
        <v>101.68</v>
      </c>
      <c r="J269" s="471"/>
      <c r="K269" s="471"/>
      <c r="L269" s="468">
        <f>+'Distribution Rate Schedule'!$C$34</f>
        <v>102.26</v>
      </c>
      <c r="M269" s="468">
        <f>+L269-I269</f>
        <v>0.5799999999999983</v>
      </c>
      <c r="N269" s="469">
        <f aca="true" t="shared" si="25" ref="N269:N277">+M269/I269</f>
        <v>0.005704169944925238</v>
      </c>
      <c r="O269" s="470">
        <f>L269/L283</f>
        <v>0.011216445572186498</v>
      </c>
      <c r="P269" s="71"/>
    </row>
    <row r="270" spans="2:16" ht="18" customHeight="1" thickBot="1">
      <c r="B270" s="78"/>
      <c r="C270" s="214">
        <v>75000</v>
      </c>
      <c r="D270" s="222" t="s">
        <v>16</v>
      </c>
      <c r="E270" s="29"/>
      <c r="F270" s="229" t="s">
        <v>73</v>
      </c>
      <c r="G270" s="464">
        <f>+C270</f>
        <v>75000</v>
      </c>
      <c r="H270" s="465">
        <v>0</v>
      </c>
      <c r="I270" s="466">
        <f>+G270*H270</f>
        <v>0</v>
      </c>
      <c r="J270" s="464">
        <f>+C270</f>
        <v>75000</v>
      </c>
      <c r="K270" s="467">
        <v>0</v>
      </c>
      <c r="L270" s="468">
        <f>+J270*K270</f>
        <v>0</v>
      </c>
      <c r="M270" s="468">
        <f>+L270-I270</f>
        <v>0</v>
      </c>
      <c r="N270" s="469">
        <f>IF(I270=0,0,M270/I270)</f>
        <v>0</v>
      </c>
      <c r="O270" s="470">
        <f>L270/L283</f>
        <v>0</v>
      </c>
      <c r="P270" s="71"/>
    </row>
    <row r="271" spans="2:16" ht="18" customHeight="1" thickBot="1">
      <c r="B271" s="78"/>
      <c r="C271" s="214">
        <v>250</v>
      </c>
      <c r="D271" s="222" t="s">
        <v>17</v>
      </c>
      <c r="E271" s="29"/>
      <c r="F271" s="229" t="s">
        <v>84</v>
      </c>
      <c r="G271" s="464">
        <f>+C271</f>
        <v>250</v>
      </c>
      <c r="H271" s="465">
        <f>+'2010 Existing Rates'!$D$7</f>
        <v>2.2935</v>
      </c>
      <c r="I271" s="466">
        <f>+G271*H271</f>
        <v>573.375</v>
      </c>
      <c r="J271" s="464">
        <f>+C271</f>
        <v>250</v>
      </c>
      <c r="K271" s="467">
        <f>+'Distribution Rate Schedule'!$D$34</f>
        <v>2.2957</v>
      </c>
      <c r="L271" s="468">
        <f>+J271*K271</f>
        <v>573.9250000000001</v>
      </c>
      <c r="M271" s="468">
        <f>+L271-I271</f>
        <v>0.5500000000000682</v>
      </c>
      <c r="N271" s="469">
        <f t="shared" si="25"/>
        <v>0.0009592326139089919</v>
      </c>
      <c r="O271" s="470">
        <f>L271/L283</f>
        <v>0.06295128618244804</v>
      </c>
      <c r="P271" s="71"/>
    </row>
    <row r="272" spans="2:16" ht="18" customHeight="1">
      <c r="B272" s="78"/>
      <c r="C272" s="52"/>
      <c r="D272" s="53"/>
      <c r="E272" s="29"/>
      <c r="F272" s="229" t="s">
        <v>144</v>
      </c>
      <c r="G272" s="471"/>
      <c r="H272" s="471"/>
      <c r="I272" s="466">
        <f>'2010 Existing Rates'!B$64</f>
        <v>1</v>
      </c>
      <c r="J272" s="471"/>
      <c r="K272" s="471"/>
      <c r="L272" s="468">
        <f>'2011 Rate Rider'!D$5</f>
        <v>1.18</v>
      </c>
      <c r="M272" s="468">
        <f>+L272-I272</f>
        <v>0.17999999999999994</v>
      </c>
      <c r="N272" s="469">
        <f t="shared" si="25"/>
        <v>0.17999999999999994</v>
      </c>
      <c r="O272" s="470">
        <f>L272/L283</f>
        <v>0.00012942896318384576</v>
      </c>
      <c r="P272" s="71"/>
    </row>
    <row r="273" spans="2:16" ht="18" customHeight="1">
      <c r="B273" s="78"/>
      <c r="C273" s="52"/>
      <c r="D273" s="53"/>
      <c r="E273" s="29"/>
      <c r="F273" s="497" t="s">
        <v>245</v>
      </c>
      <c r="G273" s="464">
        <f>C271</f>
        <v>250</v>
      </c>
      <c r="H273" s="465">
        <v>0</v>
      </c>
      <c r="I273" s="466">
        <f>+G273*H273</f>
        <v>0</v>
      </c>
      <c r="J273" s="464">
        <f>C271</f>
        <v>250</v>
      </c>
      <c r="K273" s="467">
        <f>'LRAM and SSM Rate Rider'!L$8</f>
        <v>0</v>
      </c>
      <c r="L273" s="468">
        <f>+J273*K273</f>
        <v>0</v>
      </c>
      <c r="M273" s="468">
        <f>+L273-I273</f>
        <v>0</v>
      </c>
      <c r="N273" s="469">
        <f>IF(I273=0,0,M273/I273)</f>
        <v>0</v>
      </c>
      <c r="O273" s="470">
        <f>L273/L283</f>
        <v>0</v>
      </c>
      <c r="P273" s="71"/>
    </row>
    <row r="274" spans="2:16" ht="18" customHeight="1">
      <c r="B274" s="78"/>
      <c r="C274" s="29"/>
      <c r="D274" s="29"/>
      <c r="E274" s="29"/>
      <c r="F274" s="496" t="s">
        <v>238</v>
      </c>
      <c r="G274" s="464">
        <f>+C271</f>
        <v>250</v>
      </c>
      <c r="H274" s="517">
        <f>+'2010 Existing Rates'!$D$22</f>
        <v>-0.7321</v>
      </c>
      <c r="I274" s="468">
        <f>+G274*H274</f>
        <v>-183.025</v>
      </c>
      <c r="J274" s="464">
        <f>+C271</f>
        <v>250</v>
      </c>
      <c r="K274" s="517">
        <f>+'2011 Rate Rider'!$C$5</f>
        <v>-0.7321</v>
      </c>
      <c r="L274" s="468">
        <f>+J274*K274</f>
        <v>-183.025</v>
      </c>
      <c r="M274" s="468">
        <f>+L274-I274</f>
        <v>0</v>
      </c>
      <c r="N274" s="469">
        <f t="shared" si="25"/>
        <v>0</v>
      </c>
      <c r="O274" s="470">
        <f>L274/L283</f>
        <v>-0.02007519998874862</v>
      </c>
      <c r="P274" s="71"/>
    </row>
    <row r="275" spans="2:16" ht="18" customHeight="1">
      <c r="B275" s="78"/>
      <c r="C275" s="29"/>
      <c r="D275" s="29"/>
      <c r="E275" s="29"/>
      <c r="F275" s="496" t="s">
        <v>239</v>
      </c>
      <c r="G275" s="464">
        <f>C271:C271</f>
        <v>250</v>
      </c>
      <c r="H275" s="465">
        <v>0</v>
      </c>
      <c r="I275" s="468">
        <f>+G275*H275</f>
        <v>0</v>
      </c>
      <c r="J275" s="464">
        <f>C271</f>
        <v>250</v>
      </c>
      <c r="K275" s="467">
        <f>'2011 Rate Rider'!C$29</f>
        <v>0</v>
      </c>
      <c r="L275" s="468">
        <f>+J275*K275</f>
        <v>0</v>
      </c>
      <c r="M275" s="468">
        <f>+L275-I275</f>
        <v>0</v>
      </c>
      <c r="N275" s="469">
        <f>IF(I275=0,0,M275/I275)</f>
        <v>0</v>
      </c>
      <c r="O275" s="470">
        <f>L275/L283</f>
        <v>0</v>
      </c>
      <c r="P275" s="71"/>
    </row>
    <row r="276" spans="2:16" ht="18" customHeight="1" thickBot="1">
      <c r="B276" s="78"/>
      <c r="C276" s="29"/>
      <c r="D276" s="29"/>
      <c r="E276" s="29"/>
      <c r="F276" s="496" t="s">
        <v>240</v>
      </c>
      <c r="G276" s="464">
        <f>C271</f>
        <v>250</v>
      </c>
      <c r="H276" s="465">
        <v>0</v>
      </c>
      <c r="I276" s="468">
        <f>+G276*H276</f>
        <v>0</v>
      </c>
      <c r="J276" s="464">
        <f>C271</f>
        <v>250</v>
      </c>
      <c r="K276" s="467">
        <f>'2011 Rate Rider'!C$17</f>
        <v>0.4861</v>
      </c>
      <c r="L276" s="468">
        <f>+J276*K276</f>
        <v>121.52499999999999</v>
      </c>
      <c r="M276" s="468">
        <f>+L276-I276</f>
        <v>121.52499999999999</v>
      </c>
      <c r="N276" s="469">
        <v>1</v>
      </c>
      <c r="O276" s="470">
        <f>L276/L283</f>
        <v>0.01332953792450581</v>
      </c>
      <c r="P276" s="71"/>
    </row>
    <row r="277" spans="2:16" ht="18" customHeight="1" thickBot="1">
      <c r="B277" s="78"/>
      <c r="C277" s="29"/>
      <c r="D277" s="29"/>
      <c r="E277" s="29"/>
      <c r="F277" s="219" t="s">
        <v>78</v>
      </c>
      <c r="G277" s="637"/>
      <c r="H277" s="637"/>
      <c r="I277" s="473">
        <f>SUM(I269:I276)</f>
        <v>493.0300000000001</v>
      </c>
      <c r="J277" s="637"/>
      <c r="K277" s="637"/>
      <c r="L277" s="473">
        <f>SUM(L269:L276)</f>
        <v>615.865</v>
      </c>
      <c r="M277" s="474">
        <f>SUM(M269:M276)</f>
        <v>122.83500000000006</v>
      </c>
      <c r="N277" s="475">
        <f t="shared" si="25"/>
        <v>0.2491430541752024</v>
      </c>
      <c r="O277" s="476">
        <f>L277/L283</f>
        <v>0.06755149865357557</v>
      </c>
      <c r="P277" s="71"/>
    </row>
    <row r="278" spans="2:16" ht="18" customHeight="1">
      <c r="B278" s="78"/>
      <c r="C278" s="29"/>
      <c r="D278" s="29"/>
      <c r="E278" s="29"/>
      <c r="F278" s="229" t="s">
        <v>79</v>
      </c>
      <c r="G278" s="464">
        <f>+C270*'Other Electriciy Rates'!$N$7</f>
        <v>77670</v>
      </c>
      <c r="H278" s="477">
        <f>+'Other Electriciy Rates'!$E$7</f>
        <v>0.0138725</v>
      </c>
      <c r="I278" s="466">
        <f>+G278*H278</f>
        <v>1077.477075</v>
      </c>
      <c r="J278" s="464">
        <f>+C270*'Other Electriciy Rates'!$O$7</f>
        <v>77617.5</v>
      </c>
      <c r="K278" s="477">
        <f>+'Other Electriciy Rates'!$F$7</f>
        <v>0.0138725</v>
      </c>
      <c r="L278" s="468">
        <f>+J278*K278</f>
        <v>1076.74876875</v>
      </c>
      <c r="M278" s="468">
        <f>+L278-I278</f>
        <v>-0.7283062500000597</v>
      </c>
      <c r="N278" s="469">
        <f aca="true" t="shared" si="26" ref="N278:N283">+M278/I278</f>
        <v>-0.0006759366550792365</v>
      </c>
      <c r="O278" s="470">
        <f>L278/L283</f>
        <v>0.11810379385491102</v>
      </c>
      <c r="P278" s="71"/>
    </row>
    <row r="279" spans="2:16" ht="18" customHeight="1">
      <c r="B279" s="78"/>
      <c r="C279" s="29"/>
      <c r="D279" s="29"/>
      <c r="E279" s="29"/>
      <c r="F279" s="229" t="s">
        <v>86</v>
      </c>
      <c r="G279" s="464">
        <f>+C271*'Other Electriciy Rates'!$N$7</f>
        <v>258.90000000000003</v>
      </c>
      <c r="H279" s="477">
        <f>+'Other Electriciy Rates'!$J$7</f>
        <v>3.8280000000000003</v>
      </c>
      <c r="I279" s="466">
        <f>+G279*H279</f>
        <v>991.0692000000003</v>
      </c>
      <c r="J279" s="464">
        <f>+C271*'Other Electriciy Rates'!$O$7</f>
        <v>258.72499999999997</v>
      </c>
      <c r="K279" s="477">
        <f>+'Other Electriciy Rates'!$K$7</f>
        <v>3.8280000000000003</v>
      </c>
      <c r="L279" s="468">
        <f>+J279*K279</f>
        <v>990.3992999999999</v>
      </c>
      <c r="M279" s="468">
        <f>+L279-I279</f>
        <v>-0.6699000000003252</v>
      </c>
      <c r="N279" s="469">
        <f t="shared" si="26"/>
        <v>-0.0006759366550795091</v>
      </c>
      <c r="O279" s="470">
        <f>L279/L283</f>
        <v>0.10863250384492085</v>
      </c>
      <c r="P279" s="71"/>
    </row>
    <row r="280" spans="2:16" ht="18" customHeight="1" thickBot="1">
      <c r="B280" s="78"/>
      <c r="C280" s="29"/>
      <c r="D280" s="29"/>
      <c r="E280" s="29"/>
      <c r="F280" s="229" t="s">
        <v>80</v>
      </c>
      <c r="G280" s="464">
        <f>+C270*'Other Electriciy Rates'!$N$7</f>
        <v>77670</v>
      </c>
      <c r="H280" s="477">
        <f>+'Other Electriciy Rates'!$M$7</f>
        <v>0.06938</v>
      </c>
      <c r="I280" s="466">
        <f>+G280*H280</f>
        <v>5388.7446</v>
      </c>
      <c r="J280" s="464">
        <f>+C270*'Other Electriciy Rates'!$O$7</f>
        <v>77617.5</v>
      </c>
      <c r="K280" s="477">
        <f>+'Other Electriciy Rates'!$M$7</f>
        <v>0.06938</v>
      </c>
      <c r="L280" s="468">
        <f>+J280*K280</f>
        <v>5385.10215</v>
      </c>
      <c r="M280" s="468">
        <f>+L280-I280</f>
        <v>-3.642450000000281</v>
      </c>
      <c r="N280" s="469">
        <f t="shared" si="26"/>
        <v>-0.0006759366550792333</v>
      </c>
      <c r="O280" s="470">
        <f>L280/L283</f>
        <v>0.5906679558589819</v>
      </c>
      <c r="P280" s="71"/>
    </row>
    <row r="281" spans="2:16" ht="18" customHeight="1" thickBot="1">
      <c r="B281" s="78"/>
      <c r="C281" s="29"/>
      <c r="D281" s="29"/>
      <c r="E281" s="29"/>
      <c r="F281" s="219" t="s">
        <v>172</v>
      </c>
      <c r="G281" s="637"/>
      <c r="H281" s="637"/>
      <c r="I281" s="473">
        <f>SUM(I277:I280)</f>
        <v>7950.320875</v>
      </c>
      <c r="J281" s="637"/>
      <c r="K281" s="637"/>
      <c r="L281" s="473">
        <f>SUM(L277:L280)</f>
        <v>8068.115218749999</v>
      </c>
      <c r="M281" s="473">
        <f>SUM(M277:M280)</f>
        <v>117.7943437499994</v>
      </c>
      <c r="N281" s="475">
        <f t="shared" si="26"/>
        <v>0.014816300574786473</v>
      </c>
      <c r="O281" s="476">
        <f>L281/L283</f>
        <v>0.8849557522123893</v>
      </c>
      <c r="P281" s="71"/>
    </row>
    <row r="282" spans="2:16" ht="18" customHeight="1" thickBot="1">
      <c r="B282" s="78"/>
      <c r="C282" s="29"/>
      <c r="D282" s="29"/>
      <c r="E282" s="29"/>
      <c r="F282" s="496" t="s">
        <v>252</v>
      </c>
      <c r="G282" s="464"/>
      <c r="H282" s="478">
        <v>0.13</v>
      </c>
      <c r="I282" s="466">
        <f>I281*H282</f>
        <v>1033.54171375</v>
      </c>
      <c r="J282" s="464"/>
      <c r="K282" s="478">
        <v>0.13</v>
      </c>
      <c r="L282" s="468">
        <f>L281*K282</f>
        <v>1048.8549784375</v>
      </c>
      <c r="M282" s="468">
        <f>+L282-I282</f>
        <v>15.313264687499895</v>
      </c>
      <c r="N282" s="469">
        <f t="shared" si="26"/>
        <v>0.014816300574786447</v>
      </c>
      <c r="O282" s="470">
        <f>L282/L283</f>
        <v>0.11504424778761062</v>
      </c>
      <c r="P282" s="71"/>
    </row>
    <row r="283" spans="2:16" ht="18" customHeight="1" thickBot="1">
      <c r="B283" s="78"/>
      <c r="C283" s="29"/>
      <c r="D283" s="29"/>
      <c r="E283" s="33"/>
      <c r="F283" s="220" t="s">
        <v>81</v>
      </c>
      <c r="G283" s="637"/>
      <c r="H283" s="637"/>
      <c r="I283" s="473">
        <f>SUM(I281:I282)</f>
        <v>8983.86258875</v>
      </c>
      <c r="J283" s="637"/>
      <c r="K283" s="637"/>
      <c r="L283" s="473">
        <f>SUM(L281:L282)</f>
        <v>9116.9701971875</v>
      </c>
      <c r="M283" s="473">
        <f>SUM(M281:M282)</f>
        <v>133.1076084374993</v>
      </c>
      <c r="N283" s="475">
        <f t="shared" si="26"/>
        <v>0.01481630057478647</v>
      </c>
      <c r="O283" s="476">
        <f>O281+O282</f>
        <v>0.9999999999999999</v>
      </c>
      <c r="P283" s="71"/>
    </row>
    <row r="284" spans="2:16" ht="6.75" customHeight="1" thickBot="1">
      <c r="B284" s="72"/>
      <c r="C284" s="87"/>
      <c r="D284" s="87"/>
      <c r="E284" s="87"/>
      <c r="F284" s="88"/>
      <c r="G284" s="89"/>
      <c r="H284" s="90"/>
      <c r="I284" s="91"/>
      <c r="J284" s="89"/>
      <c r="K284" s="92"/>
      <c r="L284" s="91"/>
      <c r="M284" s="93"/>
      <c r="N284" s="94"/>
      <c r="O284" s="95"/>
      <c r="P284" s="77"/>
    </row>
    <row r="285" spans="3:15" ht="6.75" customHeight="1" thickBot="1">
      <c r="C285" s="29"/>
      <c r="D285" s="29"/>
      <c r="E285" s="29"/>
      <c r="F285" s="41"/>
      <c r="G285" s="42"/>
      <c r="H285" s="43"/>
      <c r="I285" s="44"/>
      <c r="J285" s="42"/>
      <c r="K285" s="45"/>
      <c r="L285" s="44"/>
      <c r="M285" s="46"/>
      <c r="N285" s="84"/>
      <c r="O285" s="85"/>
    </row>
    <row r="286" spans="2:16" ht="6.75" customHeight="1">
      <c r="B286" s="82"/>
      <c r="C286" s="628"/>
      <c r="D286" s="628"/>
      <c r="E286" s="628"/>
      <c r="F286" s="628"/>
      <c r="G286" s="628"/>
      <c r="H286" s="628"/>
      <c r="I286" s="628"/>
      <c r="J286" s="628"/>
      <c r="K286" s="628"/>
      <c r="L286" s="628"/>
      <c r="M286" s="628"/>
      <c r="N286" s="628"/>
      <c r="O286" s="628"/>
      <c r="P286" s="70"/>
    </row>
    <row r="287" spans="2:16" ht="23.25">
      <c r="B287" s="78"/>
      <c r="C287" s="626" t="s">
        <v>96</v>
      </c>
      <c r="D287" s="626"/>
      <c r="E287" s="626"/>
      <c r="F287" s="626"/>
      <c r="G287" s="626"/>
      <c r="H287" s="626"/>
      <c r="I287" s="626"/>
      <c r="J287" s="626"/>
      <c r="K287" s="626"/>
      <c r="L287" s="626"/>
      <c r="M287" s="626"/>
      <c r="N287" s="626"/>
      <c r="O287" s="626"/>
      <c r="P287" s="71"/>
    </row>
    <row r="288" spans="2:16" ht="6.75" customHeight="1" thickBot="1">
      <c r="B288" s="78"/>
      <c r="C288" s="627"/>
      <c r="D288" s="627"/>
      <c r="E288" s="627"/>
      <c r="F288" s="627"/>
      <c r="G288" s="627"/>
      <c r="H288" s="627"/>
      <c r="I288" s="627"/>
      <c r="J288" s="627"/>
      <c r="K288" s="627"/>
      <c r="L288" s="627"/>
      <c r="M288" s="627"/>
      <c r="N288" s="627"/>
      <c r="O288" s="627"/>
      <c r="P288" s="71"/>
    </row>
    <row r="289" spans="2:16" ht="21" thickBot="1">
      <c r="B289" s="78"/>
      <c r="C289" s="80"/>
      <c r="D289" s="80"/>
      <c r="E289" s="29"/>
      <c r="F289" s="35"/>
      <c r="G289" s="633" t="str">
        <f>$G$8</f>
        <v>2010 BILL</v>
      </c>
      <c r="H289" s="634"/>
      <c r="I289" s="635"/>
      <c r="J289" s="633" t="str">
        <f>$J$8</f>
        <v>2011 BILL</v>
      </c>
      <c r="K289" s="634"/>
      <c r="L289" s="635"/>
      <c r="M289" s="633" t="s">
        <v>74</v>
      </c>
      <c r="N289" s="634"/>
      <c r="O289" s="635"/>
      <c r="P289" s="71"/>
    </row>
    <row r="290" spans="2:16" ht="26.25" thickBot="1">
      <c r="B290" s="78"/>
      <c r="C290" s="29"/>
      <c r="D290" s="29"/>
      <c r="E290" s="31"/>
      <c r="F290" s="232"/>
      <c r="G290" s="518" t="s">
        <v>68</v>
      </c>
      <c r="H290" s="519" t="s">
        <v>69</v>
      </c>
      <c r="I290" s="520" t="s">
        <v>70</v>
      </c>
      <c r="J290" s="521" t="s">
        <v>68</v>
      </c>
      <c r="K290" s="519" t="s">
        <v>69</v>
      </c>
      <c r="L290" s="520" t="s">
        <v>70</v>
      </c>
      <c r="M290" s="225" t="s">
        <v>82</v>
      </c>
      <c r="N290" s="226" t="s">
        <v>83</v>
      </c>
      <c r="O290" s="227" t="s">
        <v>77</v>
      </c>
      <c r="P290" s="71"/>
    </row>
    <row r="291" spans="2:16" ht="18" customHeight="1" thickBot="1">
      <c r="B291" s="78"/>
      <c r="C291" s="624" t="s">
        <v>71</v>
      </c>
      <c r="D291" s="625"/>
      <c r="E291" s="29"/>
      <c r="F291" s="228" t="s">
        <v>72</v>
      </c>
      <c r="G291" s="471"/>
      <c r="H291" s="471"/>
      <c r="I291" s="466">
        <f>+'2010 Existing Rates'!$C$7</f>
        <v>101.68</v>
      </c>
      <c r="J291" s="471"/>
      <c r="K291" s="471"/>
      <c r="L291" s="468">
        <f>+'Distribution Rate Schedule'!$C$34</f>
        <v>102.26</v>
      </c>
      <c r="M291" s="468">
        <f>+L291-I291</f>
        <v>0.5799999999999983</v>
      </c>
      <c r="N291" s="469">
        <f aca="true" t="shared" si="27" ref="N291:N299">+M291/I291</f>
        <v>0.005704169944925238</v>
      </c>
      <c r="O291" s="470">
        <f>L291/L305</f>
        <v>0.004448992170363796</v>
      </c>
      <c r="P291" s="71"/>
    </row>
    <row r="292" spans="2:16" ht="18" customHeight="1" thickBot="1">
      <c r="B292" s="78"/>
      <c r="C292" s="214">
        <v>200000</v>
      </c>
      <c r="D292" s="222" t="s">
        <v>16</v>
      </c>
      <c r="E292" s="29"/>
      <c r="F292" s="229" t="s">
        <v>73</v>
      </c>
      <c r="G292" s="464">
        <f>+C292</f>
        <v>200000</v>
      </c>
      <c r="H292" s="465">
        <v>0</v>
      </c>
      <c r="I292" s="466">
        <f>+G292*H292</f>
        <v>0</v>
      </c>
      <c r="J292" s="464">
        <f>+C292</f>
        <v>200000</v>
      </c>
      <c r="K292" s="467">
        <v>0</v>
      </c>
      <c r="L292" s="468">
        <f>+J292*K292</f>
        <v>0</v>
      </c>
      <c r="M292" s="468">
        <f>+L292-I292</f>
        <v>0</v>
      </c>
      <c r="N292" s="469">
        <f>IF(I292=0,0,M292/I292)</f>
        <v>0</v>
      </c>
      <c r="O292" s="470">
        <f>L292/L305</f>
        <v>0</v>
      </c>
      <c r="P292" s="71"/>
    </row>
    <row r="293" spans="2:16" ht="18" customHeight="1" thickBot="1">
      <c r="B293" s="78"/>
      <c r="C293" s="214">
        <v>500</v>
      </c>
      <c r="D293" s="222" t="s">
        <v>17</v>
      </c>
      <c r="E293" s="29"/>
      <c r="F293" s="229" t="s">
        <v>84</v>
      </c>
      <c r="G293" s="464">
        <f>+C293</f>
        <v>500</v>
      </c>
      <c r="H293" s="465">
        <f>+'2010 Existing Rates'!$D$7</f>
        <v>2.2935</v>
      </c>
      <c r="I293" s="466">
        <f>+G293*H293</f>
        <v>1146.75</v>
      </c>
      <c r="J293" s="464">
        <f>+C293</f>
        <v>500</v>
      </c>
      <c r="K293" s="467">
        <f>+'Distribution Rate Schedule'!$D$34</f>
        <v>2.2957</v>
      </c>
      <c r="L293" s="468">
        <f>+J293*K293</f>
        <v>1147.8500000000001</v>
      </c>
      <c r="M293" s="468">
        <f>+L293-I293</f>
        <v>1.1000000000001364</v>
      </c>
      <c r="N293" s="469">
        <f t="shared" si="27"/>
        <v>0.0009592326139089919</v>
      </c>
      <c r="O293" s="470">
        <f>L293/L305</f>
        <v>0.04993913223892121</v>
      </c>
      <c r="P293" s="71"/>
    </row>
    <row r="294" spans="2:16" ht="18" customHeight="1">
      <c r="B294" s="78"/>
      <c r="C294" s="52"/>
      <c r="D294" s="53"/>
      <c r="E294" s="29"/>
      <c r="F294" s="229" t="s">
        <v>144</v>
      </c>
      <c r="G294" s="471"/>
      <c r="H294" s="471"/>
      <c r="I294" s="466">
        <f>'2010 Existing Rates'!B$64</f>
        <v>1</v>
      </c>
      <c r="J294" s="471"/>
      <c r="K294" s="471"/>
      <c r="L294" s="468">
        <f>'2011 Rate Rider'!D$5</f>
        <v>1.18</v>
      </c>
      <c r="M294" s="468">
        <f>+L294-I294</f>
        <v>0.17999999999999994</v>
      </c>
      <c r="N294" s="469">
        <f t="shared" si="27"/>
        <v>0.17999999999999994</v>
      </c>
      <c r="O294" s="470">
        <f>L294/L305</f>
        <v>5.1337871709654594E-05</v>
      </c>
      <c r="P294" s="71"/>
    </row>
    <row r="295" spans="2:16" ht="18" customHeight="1">
      <c r="B295" s="78"/>
      <c r="C295" s="52"/>
      <c r="D295" s="53"/>
      <c r="E295" s="29"/>
      <c r="F295" s="497" t="s">
        <v>245</v>
      </c>
      <c r="G295" s="464">
        <f>C293</f>
        <v>500</v>
      </c>
      <c r="H295" s="465">
        <v>0</v>
      </c>
      <c r="I295" s="466">
        <f>+G295*H295</f>
        <v>0</v>
      </c>
      <c r="J295" s="464">
        <f>C293</f>
        <v>500</v>
      </c>
      <c r="K295" s="467">
        <f>'LRAM and SSM Rate Rider'!L$8</f>
        <v>0</v>
      </c>
      <c r="L295" s="468">
        <f>+J295*K295</f>
        <v>0</v>
      </c>
      <c r="M295" s="468">
        <f>+L295-I295</f>
        <v>0</v>
      </c>
      <c r="N295" s="469">
        <f>IF(I295=0,0,M295/I295)</f>
        <v>0</v>
      </c>
      <c r="O295" s="470">
        <f>L295/L305</f>
        <v>0</v>
      </c>
      <c r="P295" s="71"/>
    </row>
    <row r="296" spans="2:16" ht="18" customHeight="1">
      <c r="B296" s="78"/>
      <c r="C296" s="29"/>
      <c r="D296" s="29"/>
      <c r="E296" s="29"/>
      <c r="F296" s="496" t="s">
        <v>238</v>
      </c>
      <c r="G296" s="464">
        <f>+C293</f>
        <v>500</v>
      </c>
      <c r="H296" s="517">
        <f>+'2010 Existing Rates'!$D$22</f>
        <v>-0.7321</v>
      </c>
      <c r="I296" s="468">
        <f>+G296*H296</f>
        <v>-366.05</v>
      </c>
      <c r="J296" s="464">
        <f>+C293</f>
        <v>500</v>
      </c>
      <c r="K296" s="517">
        <f>+'2011 Rate Rider'!$C$5</f>
        <v>-0.7321</v>
      </c>
      <c r="L296" s="468">
        <f>+J296*K296</f>
        <v>-366.05</v>
      </c>
      <c r="M296" s="468">
        <f>+L296-I296</f>
        <v>0</v>
      </c>
      <c r="N296" s="469">
        <f t="shared" si="27"/>
        <v>0</v>
      </c>
      <c r="O296" s="470">
        <f>L296/L305</f>
        <v>-0.01592561689772802</v>
      </c>
      <c r="P296" s="71"/>
    </row>
    <row r="297" spans="2:16" ht="18" customHeight="1">
      <c r="B297" s="78"/>
      <c r="C297" s="29"/>
      <c r="D297" s="29"/>
      <c r="E297" s="29"/>
      <c r="F297" s="496" t="s">
        <v>239</v>
      </c>
      <c r="G297" s="464">
        <f>C293</f>
        <v>500</v>
      </c>
      <c r="H297" s="465">
        <v>0</v>
      </c>
      <c r="I297" s="468">
        <f>+G297*H297</f>
        <v>0</v>
      </c>
      <c r="J297" s="464">
        <f>C293</f>
        <v>500</v>
      </c>
      <c r="K297" s="467">
        <f>'2011 Rate Rider'!C$29</f>
        <v>0</v>
      </c>
      <c r="L297" s="468">
        <f>+J297*K297</f>
        <v>0</v>
      </c>
      <c r="M297" s="468">
        <f>+L297-I297</f>
        <v>0</v>
      </c>
      <c r="N297" s="469">
        <f>IF(I297=0,0,M297/I297)</f>
        <v>0</v>
      </c>
      <c r="O297" s="470">
        <f>L297/L305</f>
        <v>0</v>
      </c>
      <c r="P297" s="71"/>
    </row>
    <row r="298" spans="2:16" ht="18" customHeight="1" thickBot="1">
      <c r="B298" s="78"/>
      <c r="C298" s="29"/>
      <c r="D298" s="29"/>
      <c r="E298" s="29"/>
      <c r="F298" s="496" t="s">
        <v>240</v>
      </c>
      <c r="G298" s="464">
        <f>C293</f>
        <v>500</v>
      </c>
      <c r="H298" s="465">
        <v>0</v>
      </c>
      <c r="I298" s="468">
        <f>+G298*H298</f>
        <v>0</v>
      </c>
      <c r="J298" s="464">
        <f>C293</f>
        <v>500</v>
      </c>
      <c r="K298" s="467">
        <f>'2011 Rate Rider'!C$17</f>
        <v>0.4861</v>
      </c>
      <c r="L298" s="468">
        <f>+J298*K298</f>
        <v>243.04999999999998</v>
      </c>
      <c r="M298" s="468">
        <f>+L298-I298</f>
        <v>243.04999999999998</v>
      </c>
      <c r="N298" s="469">
        <v>1</v>
      </c>
      <c r="O298" s="470">
        <f>L298/L305</f>
        <v>0.010574296372060634</v>
      </c>
      <c r="P298" s="71"/>
    </row>
    <row r="299" spans="2:16" ht="18" customHeight="1" thickBot="1">
      <c r="B299" s="78"/>
      <c r="C299" s="29"/>
      <c r="D299" s="29"/>
      <c r="E299" s="29"/>
      <c r="F299" s="219" t="s">
        <v>78</v>
      </c>
      <c r="G299" s="637"/>
      <c r="H299" s="637"/>
      <c r="I299" s="473">
        <f>SUM(I291:I298)</f>
        <v>883.3800000000001</v>
      </c>
      <c r="J299" s="637"/>
      <c r="K299" s="637"/>
      <c r="L299" s="473">
        <f>SUM(L291:L298)</f>
        <v>1128.2900000000002</v>
      </c>
      <c r="M299" s="474">
        <f>SUM(M291:M298)</f>
        <v>244.9100000000001</v>
      </c>
      <c r="N299" s="475">
        <f t="shared" si="27"/>
        <v>0.27724195702868537</v>
      </c>
      <c r="O299" s="476">
        <f>L299/L305</f>
        <v>0.04908814175532728</v>
      </c>
      <c r="P299" s="71"/>
    </row>
    <row r="300" spans="2:16" ht="18" customHeight="1">
      <c r="B300" s="78"/>
      <c r="C300" s="29"/>
      <c r="D300" s="29"/>
      <c r="E300" s="29"/>
      <c r="F300" s="229" t="s">
        <v>79</v>
      </c>
      <c r="G300" s="464">
        <f>+C292*'Other Electriciy Rates'!$N$7</f>
        <v>207120.00000000003</v>
      </c>
      <c r="H300" s="477">
        <f>+'Other Electriciy Rates'!$E$7</f>
        <v>0.0138725</v>
      </c>
      <c r="I300" s="466">
        <f>+G300*H300</f>
        <v>2873.2722000000003</v>
      </c>
      <c r="J300" s="464">
        <f>+C292*'Other Electriciy Rates'!$O$7</f>
        <v>206980</v>
      </c>
      <c r="K300" s="477">
        <f>+'Other Electriciy Rates'!$F$7</f>
        <v>0.0138725</v>
      </c>
      <c r="L300" s="468">
        <f>+J300*K300</f>
        <v>2871.33005</v>
      </c>
      <c r="M300" s="468">
        <f>+L300-I300</f>
        <v>-1.9421500000003107</v>
      </c>
      <c r="N300" s="469">
        <f aca="true" t="shared" si="28" ref="N300:N305">+M300/I300</f>
        <v>-0.0006759366550792892</v>
      </c>
      <c r="O300" s="470">
        <f>L300/L305</f>
        <v>0.12492201164658992</v>
      </c>
      <c r="P300" s="71"/>
    </row>
    <row r="301" spans="2:16" ht="18" customHeight="1">
      <c r="B301" s="78"/>
      <c r="C301" s="29"/>
      <c r="D301" s="29"/>
      <c r="E301" s="29"/>
      <c r="F301" s="229" t="s">
        <v>86</v>
      </c>
      <c r="G301" s="464">
        <f>+C293*'Other Electriciy Rates'!$N$7</f>
        <v>517.8000000000001</v>
      </c>
      <c r="H301" s="477">
        <f>+'Other Electriciy Rates'!$J$7</f>
        <v>3.8280000000000003</v>
      </c>
      <c r="I301" s="466">
        <f>+G301*H301</f>
        <v>1982.1384000000005</v>
      </c>
      <c r="J301" s="464">
        <f>+C293*'Other Electriciy Rates'!$O$7</f>
        <v>517.4499999999999</v>
      </c>
      <c r="K301" s="477">
        <f>+'Other Electriciy Rates'!$K$7</f>
        <v>3.8280000000000003</v>
      </c>
      <c r="L301" s="468">
        <f>+J301*K301</f>
        <v>1980.7985999999999</v>
      </c>
      <c r="M301" s="468">
        <f>+L301-I301</f>
        <v>-1.3398000000006505</v>
      </c>
      <c r="N301" s="469">
        <f t="shared" si="28"/>
        <v>-0.0006759366550795091</v>
      </c>
      <c r="O301" s="470">
        <f>L301/L305</f>
        <v>0.08617795288937578</v>
      </c>
      <c r="P301" s="71"/>
    </row>
    <row r="302" spans="2:16" ht="18" customHeight="1" thickBot="1">
      <c r="B302" s="78"/>
      <c r="C302" s="29"/>
      <c r="D302" s="29"/>
      <c r="E302" s="29"/>
      <c r="F302" s="229" t="s">
        <v>80</v>
      </c>
      <c r="G302" s="464">
        <f>+C292*'Other Electriciy Rates'!$N$7</f>
        <v>207120.00000000003</v>
      </c>
      <c r="H302" s="477">
        <f>+'Other Electriciy Rates'!$L$7</f>
        <v>0.06938</v>
      </c>
      <c r="I302" s="466">
        <f>+G302*H302</f>
        <v>14369.985600000002</v>
      </c>
      <c r="J302" s="464">
        <f>+C292*'Other Electriciy Rates'!$O$7</f>
        <v>206980</v>
      </c>
      <c r="K302" s="477">
        <f>+'Other Electriciy Rates'!$L7</f>
        <v>0.06938</v>
      </c>
      <c r="L302" s="468">
        <f>+J302*K302</f>
        <v>14360.2724</v>
      </c>
      <c r="M302" s="468">
        <f>+L302-I302</f>
        <v>-9.713200000001962</v>
      </c>
      <c r="N302" s="469">
        <f t="shared" si="28"/>
        <v>-0.0006759366550793175</v>
      </c>
      <c r="O302" s="470">
        <f>L302/L305</f>
        <v>0.6247676459210963</v>
      </c>
      <c r="P302" s="71"/>
    </row>
    <row r="303" spans="2:16" ht="18" customHeight="1" thickBot="1">
      <c r="B303" s="78"/>
      <c r="C303" s="29"/>
      <c r="D303" s="29"/>
      <c r="E303" s="29"/>
      <c r="F303" s="219" t="s">
        <v>172</v>
      </c>
      <c r="G303" s="637"/>
      <c r="H303" s="637"/>
      <c r="I303" s="473">
        <f>SUM(I299:I302)</f>
        <v>20108.776200000004</v>
      </c>
      <c r="J303" s="637"/>
      <c r="K303" s="637"/>
      <c r="L303" s="473">
        <f>SUM(L299:L302)</f>
        <v>20340.69105</v>
      </c>
      <c r="M303" s="473">
        <f>SUM(M299:M302)</f>
        <v>231.9148499999972</v>
      </c>
      <c r="N303" s="475">
        <f t="shared" si="28"/>
        <v>0.011533016613909958</v>
      </c>
      <c r="O303" s="476">
        <f>L303/L305</f>
        <v>0.8849557522123894</v>
      </c>
      <c r="P303" s="71"/>
    </row>
    <row r="304" spans="2:16" ht="18" customHeight="1" thickBot="1">
      <c r="B304" s="78"/>
      <c r="C304" s="29"/>
      <c r="D304" s="29"/>
      <c r="E304" s="29"/>
      <c r="F304" s="496" t="s">
        <v>252</v>
      </c>
      <c r="G304" s="464"/>
      <c r="H304" s="478">
        <v>0.13</v>
      </c>
      <c r="I304" s="466">
        <f>I303*H304</f>
        <v>2614.1409060000005</v>
      </c>
      <c r="J304" s="464"/>
      <c r="K304" s="478">
        <v>0.13</v>
      </c>
      <c r="L304" s="468">
        <f>L303*K304</f>
        <v>2644.2898365</v>
      </c>
      <c r="M304" s="468">
        <f>+L304-I304</f>
        <v>30.14893049999955</v>
      </c>
      <c r="N304" s="469">
        <f t="shared" si="28"/>
        <v>0.011533016613909925</v>
      </c>
      <c r="O304" s="470">
        <f>L304/L305</f>
        <v>0.11504424778761062</v>
      </c>
      <c r="P304" s="71"/>
    </row>
    <row r="305" spans="2:16" ht="18" customHeight="1" thickBot="1">
      <c r="B305" s="78"/>
      <c r="C305" s="29"/>
      <c r="D305" s="29"/>
      <c r="E305" s="33"/>
      <c r="F305" s="220" t="s">
        <v>81</v>
      </c>
      <c r="G305" s="637"/>
      <c r="H305" s="637"/>
      <c r="I305" s="473">
        <f>SUM(I303:I304)</f>
        <v>22722.917106000004</v>
      </c>
      <c r="J305" s="637"/>
      <c r="K305" s="637"/>
      <c r="L305" s="473">
        <f>SUM(L303:L304)</f>
        <v>22984.9808865</v>
      </c>
      <c r="M305" s="473">
        <f>SUM(M303:M304)</f>
        <v>262.0637804999967</v>
      </c>
      <c r="N305" s="475">
        <f t="shared" si="28"/>
        <v>0.011533016613909952</v>
      </c>
      <c r="O305" s="476">
        <f>O303+O304</f>
        <v>1</v>
      </c>
      <c r="P305" s="71"/>
    </row>
    <row r="306" spans="2:16" ht="15.75" thickBot="1">
      <c r="B306" s="72"/>
      <c r="C306" s="87"/>
      <c r="D306" s="87"/>
      <c r="E306" s="87"/>
      <c r="F306" s="88"/>
      <c r="G306" s="89"/>
      <c r="H306" s="90"/>
      <c r="I306" s="91"/>
      <c r="J306" s="89"/>
      <c r="K306" s="92"/>
      <c r="L306" s="91"/>
      <c r="M306" s="93"/>
      <c r="N306" s="94"/>
      <c r="O306" s="95"/>
      <c r="P306" s="77"/>
    </row>
    <row r="307" spans="2:16" ht="6" customHeight="1" thickBot="1">
      <c r="B307" s="23"/>
      <c r="C307" s="29"/>
      <c r="D307" s="29"/>
      <c r="E307" s="29"/>
      <c r="F307" s="41"/>
      <c r="G307" s="42"/>
      <c r="H307" s="43"/>
      <c r="I307" s="44"/>
      <c r="J307" s="42"/>
      <c r="K307" s="45"/>
      <c r="L307" s="44"/>
      <c r="M307" s="46"/>
      <c r="N307" s="84"/>
      <c r="O307" s="85"/>
      <c r="P307" s="23"/>
    </row>
    <row r="308" spans="2:16" ht="24" thickBot="1">
      <c r="B308" s="82"/>
      <c r="C308" s="640"/>
      <c r="D308" s="640"/>
      <c r="E308" s="640"/>
      <c r="F308" s="640"/>
      <c r="G308" s="640"/>
      <c r="H308" s="640"/>
      <c r="I308" s="640"/>
      <c r="J308" s="640"/>
      <c r="K308" s="640"/>
      <c r="L308" s="640"/>
      <c r="M308" s="640"/>
      <c r="N308" s="640"/>
      <c r="O308" s="640"/>
      <c r="P308" s="70"/>
    </row>
    <row r="309" spans="2:16" ht="24" thickBot="1">
      <c r="B309" s="78"/>
      <c r="C309" s="641" t="s">
        <v>244</v>
      </c>
      <c r="D309" s="642"/>
      <c r="E309" s="642"/>
      <c r="F309" s="642"/>
      <c r="G309" s="642"/>
      <c r="H309" s="642"/>
      <c r="I309" s="642"/>
      <c r="J309" s="642"/>
      <c r="K309" s="642"/>
      <c r="L309" s="642"/>
      <c r="M309" s="642"/>
      <c r="N309" s="642"/>
      <c r="O309" s="643"/>
      <c r="P309" s="71"/>
    </row>
    <row r="310" spans="2:16" ht="24" thickBot="1">
      <c r="B310" s="78"/>
      <c r="C310" s="628"/>
      <c r="D310" s="628"/>
      <c r="E310" s="628"/>
      <c r="F310" s="628"/>
      <c r="G310" s="628"/>
      <c r="H310" s="628"/>
      <c r="I310" s="628"/>
      <c r="J310" s="628"/>
      <c r="K310" s="628"/>
      <c r="L310" s="628"/>
      <c r="M310" s="628"/>
      <c r="N310" s="628"/>
      <c r="O310" s="628"/>
      <c r="P310" s="71"/>
    </row>
    <row r="311" spans="2:16" ht="18.75" customHeight="1" thickBot="1">
      <c r="B311" s="78"/>
      <c r="C311" s="80"/>
      <c r="D311" s="80"/>
      <c r="E311" s="29"/>
      <c r="F311" s="516"/>
      <c r="G311" s="633" t="str">
        <f>$G$8</f>
        <v>2010 BILL</v>
      </c>
      <c r="H311" s="634"/>
      <c r="I311" s="635"/>
      <c r="J311" s="633" t="str">
        <f>$J$8</f>
        <v>2011 BILL</v>
      </c>
      <c r="K311" s="634"/>
      <c r="L311" s="635"/>
      <c r="M311" s="633" t="s">
        <v>74</v>
      </c>
      <c r="N311" s="634"/>
      <c r="O311" s="635"/>
      <c r="P311" s="71"/>
    </row>
    <row r="312" spans="2:16" ht="18.75" customHeight="1" thickBot="1">
      <c r="B312" s="78"/>
      <c r="C312" s="29"/>
      <c r="D312" s="29"/>
      <c r="E312" s="31"/>
      <c r="F312" s="36"/>
      <c r="G312" s="223" t="s">
        <v>68</v>
      </c>
      <c r="H312" s="233" t="s">
        <v>69</v>
      </c>
      <c r="I312" s="234" t="s">
        <v>70</v>
      </c>
      <c r="J312" s="224" t="s">
        <v>68</v>
      </c>
      <c r="K312" s="233" t="s">
        <v>69</v>
      </c>
      <c r="L312" s="234" t="s">
        <v>70</v>
      </c>
      <c r="M312" s="225" t="s">
        <v>82</v>
      </c>
      <c r="N312" s="226" t="s">
        <v>83</v>
      </c>
      <c r="O312" s="227" t="s">
        <v>77</v>
      </c>
      <c r="P312" s="71"/>
    </row>
    <row r="313" spans="2:16" ht="18.75" customHeight="1" thickBot="1">
      <c r="B313" s="78"/>
      <c r="C313" s="624" t="s">
        <v>71</v>
      </c>
      <c r="D313" s="625"/>
      <c r="E313" s="29"/>
      <c r="F313" s="228" t="s">
        <v>72</v>
      </c>
      <c r="G313" s="471"/>
      <c r="H313" s="471"/>
      <c r="I313" s="460">
        <f>'2010 Existing Rates'!C$8</f>
        <v>1410.45</v>
      </c>
      <c r="J313" s="471"/>
      <c r="K313" s="471"/>
      <c r="L313" s="461">
        <f>'Distribution Rate Schedule'!C$35</f>
        <v>1418.56</v>
      </c>
      <c r="M313" s="461">
        <f>+L313-I313</f>
        <v>8.1099999999999</v>
      </c>
      <c r="N313" s="462">
        <f>+M313/I313</f>
        <v>0.005749937963061363</v>
      </c>
      <c r="O313" s="463">
        <f>L313/L328</f>
        <v>0.02940907351173007</v>
      </c>
      <c r="P313" s="71"/>
    </row>
    <row r="314" spans="2:16" ht="18.75" customHeight="1" thickBot="1">
      <c r="B314" s="78"/>
      <c r="C314" s="214">
        <v>400000</v>
      </c>
      <c r="D314" s="222" t="s">
        <v>16</v>
      </c>
      <c r="E314" s="29"/>
      <c r="F314" s="229" t="s">
        <v>73</v>
      </c>
      <c r="G314" s="464">
        <f>+C314</f>
        <v>400000</v>
      </c>
      <c r="H314" s="465">
        <v>0</v>
      </c>
      <c r="I314" s="466">
        <f>+G314*H314</f>
        <v>0</v>
      </c>
      <c r="J314" s="464">
        <f>+C314</f>
        <v>400000</v>
      </c>
      <c r="K314" s="467">
        <v>0</v>
      </c>
      <c r="L314" s="468">
        <f>+J314*K314</f>
        <v>0</v>
      </c>
      <c r="M314" s="468">
        <f>+L314-I314</f>
        <v>0</v>
      </c>
      <c r="N314" s="469">
        <f>IF(I314=0,0,M314/I314)</f>
        <v>0</v>
      </c>
      <c r="O314" s="470">
        <f>L314/L328</f>
        <v>0</v>
      </c>
      <c r="P314" s="71"/>
    </row>
    <row r="315" spans="2:16" ht="18.75" customHeight="1">
      <c r="B315" s="78"/>
      <c r="C315" s="525">
        <v>1000</v>
      </c>
      <c r="D315" s="526" t="s">
        <v>17</v>
      </c>
      <c r="E315" s="29"/>
      <c r="F315" s="229" t="s">
        <v>84</v>
      </c>
      <c r="G315" s="464">
        <f>+C315</f>
        <v>1000</v>
      </c>
      <c r="H315" s="465">
        <f>'2010 Existing Rates'!D$8</f>
        <v>3.7355</v>
      </c>
      <c r="I315" s="466">
        <f>+G315*H315</f>
        <v>3735.5</v>
      </c>
      <c r="J315" s="464">
        <f>+C315</f>
        <v>1000</v>
      </c>
      <c r="K315" s="467">
        <f>'Distribution Rate Schedule'!D$35</f>
        <v>3.7417</v>
      </c>
      <c r="L315" s="468">
        <f>+J315*K315</f>
        <v>3741.7</v>
      </c>
      <c r="M315" s="468">
        <f>+L315-I315</f>
        <v>6.199999999999818</v>
      </c>
      <c r="N315" s="469">
        <f>+M315/I315</f>
        <v>0.0016597510373443497</v>
      </c>
      <c r="O315" s="470">
        <f>L315/L328</f>
        <v>0.07757157283360619</v>
      </c>
      <c r="P315" s="71"/>
    </row>
    <row r="316" spans="2:16" ht="18.75" customHeight="1">
      <c r="B316" s="78"/>
      <c r="C316" s="524"/>
      <c r="D316" s="523"/>
      <c r="E316" s="29"/>
      <c r="F316" s="229" t="s">
        <v>144</v>
      </c>
      <c r="G316" s="471"/>
      <c r="H316" s="471"/>
      <c r="I316" s="466">
        <f>'2010 Existing Rates'!B$65</f>
        <v>1</v>
      </c>
      <c r="J316" s="471"/>
      <c r="K316" s="471"/>
      <c r="L316" s="468">
        <f>'2011 Rate Rider'!D$6</f>
        <v>1.18</v>
      </c>
      <c r="M316" s="468">
        <f>+L316-I316</f>
        <v>0.17999999999999994</v>
      </c>
      <c r="N316" s="469">
        <f>+M316/I316</f>
        <v>0.17999999999999994</v>
      </c>
      <c r="O316" s="470">
        <f>L316/L328</f>
        <v>2.4463333763705082E-05</v>
      </c>
      <c r="P316" s="71"/>
    </row>
    <row r="317" spans="2:16" ht="18.75" customHeight="1">
      <c r="B317" s="78"/>
      <c r="C317" s="524"/>
      <c r="D317" s="523"/>
      <c r="E317" s="29"/>
      <c r="F317" s="229" t="s">
        <v>168</v>
      </c>
      <c r="G317" s="464">
        <f>C315</f>
        <v>1000</v>
      </c>
      <c r="H317" s="517">
        <f>'2010 Existing Rates'!D$15</f>
        <v>-0.6</v>
      </c>
      <c r="I317" s="468">
        <f>+G317*H317</f>
        <v>-600</v>
      </c>
      <c r="J317" s="464">
        <f>C315</f>
        <v>1000</v>
      </c>
      <c r="K317" s="517">
        <f>'Distribution Rate Schedule'!D$43</f>
        <v>-0.6</v>
      </c>
      <c r="L317" s="468">
        <f>+J317*K317</f>
        <v>-600</v>
      </c>
      <c r="M317" s="468">
        <f>+L317-I317</f>
        <v>0</v>
      </c>
      <c r="N317" s="469">
        <f>+M317/I317</f>
        <v>0</v>
      </c>
      <c r="O317" s="470">
        <f>L317/L328</f>
        <v>-0.012438983269680551</v>
      </c>
      <c r="P317" s="71"/>
    </row>
    <row r="318" spans="2:16" ht="18.75" customHeight="1">
      <c r="B318" s="78"/>
      <c r="C318" s="524"/>
      <c r="D318" s="523"/>
      <c r="E318" s="29"/>
      <c r="F318" s="497" t="s">
        <v>245</v>
      </c>
      <c r="G318" s="464">
        <f>C315</f>
        <v>1000</v>
      </c>
      <c r="H318" s="465">
        <v>0</v>
      </c>
      <c r="I318" s="466">
        <f>+G318*H318</f>
        <v>0</v>
      </c>
      <c r="J318" s="464">
        <f>C315</f>
        <v>1000</v>
      </c>
      <c r="K318" s="467">
        <f>'LRAM and SSM Rate Rider'!L$9</f>
        <v>0</v>
      </c>
      <c r="L318" s="468">
        <f>+J318*K318</f>
        <v>0</v>
      </c>
      <c r="M318" s="468">
        <f>+L318-I318</f>
        <v>0</v>
      </c>
      <c r="N318" s="469">
        <f>IF(I318=0,0,M318/I318)</f>
        <v>0</v>
      </c>
      <c r="O318" s="470">
        <f>L318/L328</f>
        <v>0</v>
      </c>
      <c r="P318" s="71"/>
    </row>
    <row r="319" spans="2:16" ht="18.75" customHeight="1">
      <c r="B319" s="78"/>
      <c r="C319" s="29"/>
      <c r="D319" s="29"/>
      <c r="E319" s="29"/>
      <c r="F319" s="496" t="s">
        <v>238</v>
      </c>
      <c r="G319" s="464">
        <f>+C315</f>
        <v>1000</v>
      </c>
      <c r="H319" s="517">
        <f>+'2010 Existing Rates'!$D$23</f>
        <v>-0.8881</v>
      </c>
      <c r="I319" s="468">
        <f>+G319*H319</f>
        <v>-888.1</v>
      </c>
      <c r="J319" s="464">
        <f>+C315</f>
        <v>1000</v>
      </c>
      <c r="K319" s="517">
        <f>+'2011 Rate Rider'!$C$6</f>
        <v>-0.8881</v>
      </c>
      <c r="L319" s="468">
        <f>+J319*K319</f>
        <v>-888.1</v>
      </c>
      <c r="M319" s="468">
        <f>+L319-I319</f>
        <v>0</v>
      </c>
      <c r="N319" s="469">
        <f>+M319/I319</f>
        <v>0</v>
      </c>
      <c r="O319" s="470">
        <f>L319/L328</f>
        <v>-0.018411768403005496</v>
      </c>
      <c r="P319" s="71"/>
    </row>
    <row r="320" spans="2:16" ht="18.75" customHeight="1">
      <c r="B320" s="78"/>
      <c r="C320" s="29"/>
      <c r="D320" s="29"/>
      <c r="E320" s="29"/>
      <c r="F320" s="496" t="s">
        <v>239</v>
      </c>
      <c r="G320" s="464">
        <f>C315</f>
        <v>1000</v>
      </c>
      <c r="H320" s="465">
        <v>0</v>
      </c>
      <c r="I320" s="468">
        <f>+G320*H320</f>
        <v>0</v>
      </c>
      <c r="J320" s="464">
        <f>C315</f>
        <v>1000</v>
      </c>
      <c r="K320" s="467">
        <f>'2011 Rate Rider'!C$30</f>
        <v>0</v>
      </c>
      <c r="L320" s="468">
        <f>+J320*K320</f>
        <v>0</v>
      </c>
      <c r="M320" s="468">
        <f>+L320-I320</f>
        <v>0</v>
      </c>
      <c r="N320" s="469">
        <f>IF(I320=0,0,M320/I320)</f>
        <v>0</v>
      </c>
      <c r="O320" s="470">
        <f>L320/L328</f>
        <v>0</v>
      </c>
      <c r="P320" s="71"/>
    </row>
    <row r="321" spans="2:16" ht="18.75" customHeight="1" thickBot="1">
      <c r="B321" s="78"/>
      <c r="C321" s="29"/>
      <c r="D321" s="29"/>
      <c r="E321" s="29"/>
      <c r="F321" s="496" t="s">
        <v>240</v>
      </c>
      <c r="G321" s="464">
        <f>C315</f>
        <v>1000</v>
      </c>
      <c r="H321" s="465">
        <v>0</v>
      </c>
      <c r="I321" s="468">
        <f>+G321*H321</f>
        <v>0</v>
      </c>
      <c r="J321" s="464">
        <f>C315</f>
        <v>1000</v>
      </c>
      <c r="K321" s="467">
        <f>'2011 Rate Rider'!C$18</f>
        <v>0.5881</v>
      </c>
      <c r="L321" s="468">
        <f>+J321*K321</f>
        <v>588.0999999999999</v>
      </c>
      <c r="M321" s="468">
        <f>+L321-I321</f>
        <v>588.0999999999999</v>
      </c>
      <c r="N321" s="469">
        <v>1</v>
      </c>
      <c r="O321" s="470">
        <f>L321/L328</f>
        <v>0.012192276768165217</v>
      </c>
      <c r="P321" s="71"/>
    </row>
    <row r="322" spans="2:16" ht="18.75" customHeight="1" thickBot="1">
      <c r="B322" s="78"/>
      <c r="C322" s="29"/>
      <c r="D322" s="29"/>
      <c r="E322" s="29"/>
      <c r="F322" s="219" t="s">
        <v>78</v>
      </c>
      <c r="G322" s="637"/>
      <c r="H322" s="637"/>
      <c r="I322" s="473">
        <f>SUM(I313:I321)</f>
        <v>3658.85</v>
      </c>
      <c r="J322" s="637"/>
      <c r="K322" s="637"/>
      <c r="L322" s="473">
        <f>SUM(L313:L321)</f>
        <v>4261.4400000000005</v>
      </c>
      <c r="M322" s="474">
        <f>SUM(M313:M321)</f>
        <v>602.5899999999996</v>
      </c>
      <c r="N322" s="475">
        <f aca="true" t="shared" si="29" ref="N322:N328">+M322/I322</f>
        <v>0.16469382456236237</v>
      </c>
      <c r="O322" s="476">
        <f>L322/L328</f>
        <v>0.08834663477457916</v>
      </c>
      <c r="P322" s="71"/>
    </row>
    <row r="323" spans="2:16" ht="18.75" customHeight="1">
      <c r="B323" s="78"/>
      <c r="C323" s="29"/>
      <c r="D323" s="29"/>
      <c r="E323" s="29"/>
      <c r="F323" s="229" t="s">
        <v>79</v>
      </c>
      <c r="G323" s="464">
        <f>+C314*'Other Electriciy Rates'!$N$8</f>
        <v>414240.00000000006</v>
      </c>
      <c r="H323" s="477">
        <f>+'Other Electriciy Rates'!$E$8</f>
        <v>0.0138725</v>
      </c>
      <c r="I323" s="466">
        <f>+G323*H323</f>
        <v>5746.544400000001</v>
      </c>
      <c r="J323" s="464">
        <f>+C314*'Other Electriciy Rates'!$O$8</f>
        <v>413960</v>
      </c>
      <c r="K323" s="477">
        <f>+'Other Electriciy Rates'!$F$8</f>
        <v>0.0138725</v>
      </c>
      <c r="L323" s="468">
        <f>+J323*K323</f>
        <v>5742.6601</v>
      </c>
      <c r="M323" s="468">
        <f>+L323-I323</f>
        <v>-3.8843000000006214</v>
      </c>
      <c r="N323" s="469">
        <f t="shared" si="29"/>
        <v>-0.0006759366550792892</v>
      </c>
      <c r="O323" s="470">
        <f>L323/L328</f>
        <v>0.11905475484560339</v>
      </c>
      <c r="P323" s="71"/>
    </row>
    <row r="324" spans="2:16" ht="18.75" customHeight="1">
      <c r="B324" s="78"/>
      <c r="C324" s="29"/>
      <c r="D324" s="29"/>
      <c r="E324" s="29"/>
      <c r="F324" s="229" t="s">
        <v>86</v>
      </c>
      <c r="G324" s="464">
        <f>+C315*'Other Electriciy Rates'!$N$8</f>
        <v>1035.6000000000001</v>
      </c>
      <c r="H324" s="477">
        <f>+'Other Electriciy Rates'!$J$8</f>
        <v>3.8280000000000003</v>
      </c>
      <c r="I324" s="466">
        <f>+G324*H324</f>
        <v>3964.276800000001</v>
      </c>
      <c r="J324" s="464">
        <f>+C315*'Other Electriciy Rates'!$O$8</f>
        <v>1034.8999999999999</v>
      </c>
      <c r="K324" s="477">
        <f>+'Other Electriciy Rates'!$K$8</f>
        <v>3.8280000000000003</v>
      </c>
      <c r="L324" s="468">
        <f>+J324*K324</f>
        <v>3961.5971999999997</v>
      </c>
      <c r="M324" s="468">
        <f>+L324-I324</f>
        <v>-2.679600000001301</v>
      </c>
      <c r="N324" s="469">
        <f t="shared" si="29"/>
        <v>-0.0006759366550795091</v>
      </c>
      <c r="O324" s="470">
        <f>L324/L328</f>
        <v>0.08213040215335551</v>
      </c>
      <c r="P324" s="71"/>
    </row>
    <row r="325" spans="2:16" ht="18.75" customHeight="1" thickBot="1">
      <c r="B325" s="78"/>
      <c r="C325" s="29"/>
      <c r="D325" s="29"/>
      <c r="E325" s="29"/>
      <c r="F325" s="229" t="s">
        <v>80</v>
      </c>
      <c r="G325" s="464">
        <f>+C314*'Other Electriciy Rates'!$N$8</f>
        <v>414240.00000000006</v>
      </c>
      <c r="H325" s="477">
        <f>+'Other Electriciy Rates'!$L$8</f>
        <v>0.06938</v>
      </c>
      <c r="I325" s="466">
        <f>+G325*H325</f>
        <v>28739.971200000004</v>
      </c>
      <c r="J325" s="464">
        <f>+C314*'Other Electriciy Rates'!$O$8</f>
        <v>413960</v>
      </c>
      <c r="K325" s="477">
        <f>+'Other Electriciy Rates'!$L$8</f>
        <v>0.06938</v>
      </c>
      <c r="L325" s="468">
        <f>+J325*K325</f>
        <v>28720.5448</v>
      </c>
      <c r="M325" s="468">
        <f>+L325-I325</f>
        <v>-19.426400000003923</v>
      </c>
      <c r="N325" s="469">
        <f t="shared" si="29"/>
        <v>-0.0006759366550793175</v>
      </c>
      <c r="O325" s="470">
        <f>L325/L328</f>
        <v>0.5954239604388512</v>
      </c>
      <c r="P325" s="71"/>
    </row>
    <row r="326" spans="2:16" ht="18.75" customHeight="1" thickBot="1">
      <c r="B326" s="78"/>
      <c r="C326" s="29"/>
      <c r="D326" s="29"/>
      <c r="E326" s="29"/>
      <c r="F326" s="219" t="s">
        <v>172</v>
      </c>
      <c r="G326" s="637"/>
      <c r="H326" s="637"/>
      <c r="I326" s="473">
        <f>SUM(I322:I325)</f>
        <v>42109.642400000004</v>
      </c>
      <c r="J326" s="637"/>
      <c r="K326" s="637"/>
      <c r="L326" s="473">
        <f>SUM(L322:L325)</f>
        <v>42686.2421</v>
      </c>
      <c r="M326" s="473">
        <f>SUM(M322:M325)</f>
        <v>576.5996999999937</v>
      </c>
      <c r="N326" s="475">
        <f t="shared" si="29"/>
        <v>0.013692818726002615</v>
      </c>
      <c r="O326" s="476">
        <f>L326/L328</f>
        <v>0.8849557522123893</v>
      </c>
      <c r="P326" s="71"/>
    </row>
    <row r="327" spans="2:16" ht="18.75" customHeight="1" thickBot="1">
      <c r="B327" s="78"/>
      <c r="C327" s="29"/>
      <c r="D327" s="29"/>
      <c r="E327" s="29"/>
      <c r="F327" s="496" t="s">
        <v>252</v>
      </c>
      <c r="G327" s="464"/>
      <c r="H327" s="478">
        <v>0.13</v>
      </c>
      <c r="I327" s="466">
        <f>I326*H327</f>
        <v>5474.253512000001</v>
      </c>
      <c r="J327" s="464"/>
      <c r="K327" s="478">
        <v>0.13</v>
      </c>
      <c r="L327" s="468">
        <f>L326*K327</f>
        <v>5549.211473</v>
      </c>
      <c r="M327" s="468">
        <f>+L327-I327</f>
        <v>74.95796099999916</v>
      </c>
      <c r="N327" s="469">
        <f t="shared" si="29"/>
        <v>0.013692818726002608</v>
      </c>
      <c r="O327" s="470">
        <f>L327/L328</f>
        <v>0.11504424778761062</v>
      </c>
      <c r="P327" s="71"/>
    </row>
    <row r="328" spans="2:16" ht="18.75" customHeight="1" thickBot="1">
      <c r="B328" s="78"/>
      <c r="C328" s="29"/>
      <c r="D328" s="29"/>
      <c r="E328" s="33"/>
      <c r="F328" s="220" t="s">
        <v>81</v>
      </c>
      <c r="G328" s="637"/>
      <c r="H328" s="637"/>
      <c r="I328" s="473">
        <f>SUM(I326:I327)</f>
        <v>47583.89591200001</v>
      </c>
      <c r="J328" s="637"/>
      <c r="K328" s="637"/>
      <c r="L328" s="473">
        <f>SUM(L326:L327)</f>
        <v>48235.453573000006</v>
      </c>
      <c r="M328" s="473">
        <f>SUM(M326:M327)</f>
        <v>651.5576609999929</v>
      </c>
      <c r="N328" s="475">
        <f t="shared" si="29"/>
        <v>0.013692818726002613</v>
      </c>
      <c r="O328" s="476">
        <f>O326+O327</f>
        <v>0.9999999999999999</v>
      </c>
      <c r="P328" s="71"/>
    </row>
    <row r="329" spans="2:16" ht="18.75" customHeight="1" thickBot="1">
      <c r="B329" s="72"/>
      <c r="C329" s="87"/>
      <c r="D329" s="87"/>
      <c r="E329" s="87"/>
      <c r="F329" s="88"/>
      <c r="G329" s="89"/>
      <c r="H329" s="90"/>
      <c r="I329" s="91"/>
      <c r="J329" s="89"/>
      <c r="K329" s="92"/>
      <c r="L329" s="91"/>
      <c r="M329" s="93"/>
      <c r="N329" s="94"/>
      <c r="O329" s="95"/>
      <c r="P329" s="77"/>
    </row>
    <row r="330" spans="2:16" ht="4.5" customHeight="1">
      <c r="B330" s="23"/>
      <c r="C330" s="29"/>
      <c r="D330" s="29"/>
      <c r="E330" s="29"/>
      <c r="F330" s="41"/>
      <c r="G330" s="42"/>
      <c r="H330" s="43"/>
      <c r="I330" s="44"/>
      <c r="J330" s="42"/>
      <c r="K330" s="45"/>
      <c r="L330" s="44"/>
      <c r="M330" s="46"/>
      <c r="N330" s="84"/>
      <c r="O330" s="85"/>
      <c r="P330" s="23"/>
    </row>
    <row r="331" spans="2:16" ht="3.75" customHeight="1" thickBot="1">
      <c r="B331" s="23"/>
      <c r="C331" s="29"/>
      <c r="D331" s="29"/>
      <c r="E331" s="29"/>
      <c r="F331" s="41"/>
      <c r="G331" s="42"/>
      <c r="H331" s="43"/>
      <c r="I331" s="44"/>
      <c r="J331" s="42"/>
      <c r="K331" s="45"/>
      <c r="L331" s="44"/>
      <c r="M331" s="46"/>
      <c r="N331" s="84"/>
      <c r="O331" s="85"/>
      <c r="P331" s="23"/>
    </row>
    <row r="332" spans="3:15" ht="7.5" customHeight="1" hidden="1" thickBot="1">
      <c r="C332" s="29"/>
      <c r="D332" s="29"/>
      <c r="E332" s="29"/>
      <c r="F332" s="41"/>
      <c r="G332" s="42"/>
      <c r="H332" s="43"/>
      <c r="I332" s="44"/>
      <c r="J332" s="42"/>
      <c r="K332" s="45"/>
      <c r="L332" s="44"/>
      <c r="M332" s="46"/>
      <c r="N332" s="84"/>
      <c r="O332" s="85"/>
    </row>
    <row r="333" spans="2:16" ht="24" thickBot="1">
      <c r="B333" s="82"/>
      <c r="C333" s="640"/>
      <c r="D333" s="640"/>
      <c r="E333" s="640"/>
      <c r="F333" s="640"/>
      <c r="G333" s="640"/>
      <c r="H333" s="640"/>
      <c r="I333" s="640"/>
      <c r="J333" s="640"/>
      <c r="K333" s="640"/>
      <c r="L333" s="640"/>
      <c r="M333" s="640"/>
      <c r="N333" s="640"/>
      <c r="O333" s="640"/>
      <c r="P333" s="70"/>
    </row>
    <row r="334" spans="2:16" ht="24" thickBot="1">
      <c r="B334" s="78"/>
      <c r="C334" s="641" t="s">
        <v>246</v>
      </c>
      <c r="D334" s="642"/>
      <c r="E334" s="642"/>
      <c r="F334" s="642"/>
      <c r="G334" s="642"/>
      <c r="H334" s="642"/>
      <c r="I334" s="642"/>
      <c r="J334" s="642"/>
      <c r="K334" s="642"/>
      <c r="L334" s="642"/>
      <c r="M334" s="642"/>
      <c r="N334" s="642"/>
      <c r="O334" s="643"/>
      <c r="P334" s="71"/>
    </row>
    <row r="335" spans="2:16" ht="6.75" customHeight="1" thickBot="1">
      <c r="B335" s="78"/>
      <c r="C335" s="628"/>
      <c r="D335" s="628"/>
      <c r="E335" s="628"/>
      <c r="F335" s="628"/>
      <c r="G335" s="628"/>
      <c r="H335" s="628"/>
      <c r="I335" s="628"/>
      <c r="J335" s="628"/>
      <c r="K335" s="628"/>
      <c r="L335" s="628"/>
      <c r="M335" s="628"/>
      <c r="N335" s="628"/>
      <c r="O335" s="628"/>
      <c r="P335" s="71"/>
    </row>
    <row r="336" spans="2:16" ht="21" thickBot="1">
      <c r="B336" s="78"/>
      <c r="C336" s="80"/>
      <c r="D336" s="80"/>
      <c r="E336" s="29"/>
      <c r="F336" s="516"/>
      <c r="G336" s="633" t="str">
        <f>$G$8</f>
        <v>2010 BILL</v>
      </c>
      <c r="H336" s="634"/>
      <c r="I336" s="635"/>
      <c r="J336" s="633" t="str">
        <f>$J$8</f>
        <v>2011 BILL</v>
      </c>
      <c r="K336" s="634"/>
      <c r="L336" s="635"/>
      <c r="M336" s="633" t="s">
        <v>74</v>
      </c>
      <c r="N336" s="634"/>
      <c r="O336" s="635"/>
      <c r="P336" s="71"/>
    </row>
    <row r="337" spans="2:16" ht="26.25" thickBot="1">
      <c r="B337" s="78"/>
      <c r="C337" s="29"/>
      <c r="D337" s="29"/>
      <c r="E337" s="31"/>
      <c r="F337" s="36"/>
      <c r="G337" s="223" t="s">
        <v>68</v>
      </c>
      <c r="H337" s="233" t="s">
        <v>69</v>
      </c>
      <c r="I337" s="234" t="s">
        <v>70</v>
      </c>
      <c r="J337" s="224" t="s">
        <v>68</v>
      </c>
      <c r="K337" s="233" t="s">
        <v>69</v>
      </c>
      <c r="L337" s="234" t="s">
        <v>70</v>
      </c>
      <c r="M337" s="225" t="s">
        <v>82</v>
      </c>
      <c r="N337" s="226" t="s">
        <v>83</v>
      </c>
      <c r="O337" s="227" t="s">
        <v>77</v>
      </c>
      <c r="P337" s="71"/>
    </row>
    <row r="338" spans="2:16" ht="18" customHeight="1" thickBot="1">
      <c r="B338" s="78"/>
      <c r="C338" s="624" t="s">
        <v>71</v>
      </c>
      <c r="D338" s="625"/>
      <c r="E338" s="29"/>
      <c r="F338" s="228" t="s">
        <v>72</v>
      </c>
      <c r="G338" s="471"/>
      <c r="H338" s="471"/>
      <c r="I338" s="460">
        <f>'2010 Existing Rates'!C$8</f>
        <v>1410.45</v>
      </c>
      <c r="J338" s="471"/>
      <c r="K338" s="471"/>
      <c r="L338" s="461">
        <f>'Distribution Rate Schedule'!C$35</f>
        <v>1418.56</v>
      </c>
      <c r="M338" s="461">
        <f>+L338-I338</f>
        <v>8.1099999999999</v>
      </c>
      <c r="N338" s="462">
        <f aca="true" t="shared" si="30" ref="N338:N347">+M338/I338</f>
        <v>0.005749937963061363</v>
      </c>
      <c r="O338" s="463">
        <f>L338/L353</f>
        <v>0.014953207829249337</v>
      </c>
      <c r="P338" s="71"/>
    </row>
    <row r="339" spans="2:16" ht="18" customHeight="1" thickBot="1">
      <c r="B339" s="78"/>
      <c r="C339" s="214">
        <v>800000</v>
      </c>
      <c r="D339" s="222" t="s">
        <v>16</v>
      </c>
      <c r="E339" s="29"/>
      <c r="F339" s="229" t="s">
        <v>73</v>
      </c>
      <c r="G339" s="464">
        <f>+C339</f>
        <v>800000</v>
      </c>
      <c r="H339" s="465">
        <v>0</v>
      </c>
      <c r="I339" s="466">
        <f>+G339*H339</f>
        <v>0</v>
      </c>
      <c r="J339" s="464">
        <f>+C339</f>
        <v>800000</v>
      </c>
      <c r="K339" s="467">
        <v>0</v>
      </c>
      <c r="L339" s="468">
        <f>+J339*K339</f>
        <v>0</v>
      </c>
      <c r="M339" s="468">
        <f>+L339-I339</f>
        <v>0</v>
      </c>
      <c r="N339" s="469">
        <f>IF(I339=0,0,M339/I339)</f>
        <v>0</v>
      </c>
      <c r="O339" s="470">
        <f>L339/L353</f>
        <v>0</v>
      </c>
      <c r="P339" s="71"/>
    </row>
    <row r="340" spans="2:16" ht="18" customHeight="1" thickBot="1">
      <c r="B340" s="78"/>
      <c r="C340" s="214">
        <v>2000</v>
      </c>
      <c r="D340" s="222" t="s">
        <v>17</v>
      </c>
      <c r="E340" s="29"/>
      <c r="F340" s="229" t="s">
        <v>84</v>
      </c>
      <c r="G340" s="464">
        <f>+C340</f>
        <v>2000</v>
      </c>
      <c r="H340" s="465">
        <f>'2010 Existing Rates'!D$8</f>
        <v>3.7355</v>
      </c>
      <c r="I340" s="466">
        <f>+G340*H340</f>
        <v>7471</v>
      </c>
      <c r="J340" s="464">
        <f>+C340</f>
        <v>2000</v>
      </c>
      <c r="K340" s="467">
        <f>'Distribution Rate Schedule'!D$35</f>
        <v>3.7417</v>
      </c>
      <c r="L340" s="468">
        <f>+J340*K340</f>
        <v>7483.4</v>
      </c>
      <c r="M340" s="468">
        <f>+L340-I340</f>
        <v>12.399999999999636</v>
      </c>
      <c r="N340" s="469">
        <f t="shared" si="30"/>
        <v>0.0016597510373443497</v>
      </c>
      <c r="O340" s="470">
        <f>L340/L353</f>
        <v>0.07888339969363616</v>
      </c>
      <c r="P340" s="71"/>
    </row>
    <row r="341" spans="2:16" ht="18" customHeight="1">
      <c r="B341" s="78"/>
      <c r="C341" s="525"/>
      <c r="D341" s="526"/>
      <c r="E341" s="29"/>
      <c r="F341" s="229" t="s">
        <v>144</v>
      </c>
      <c r="G341" s="471"/>
      <c r="H341" s="471"/>
      <c r="I341" s="466">
        <f>'2010 Existing Rates'!B$65</f>
        <v>1</v>
      </c>
      <c r="J341" s="471"/>
      <c r="K341" s="471"/>
      <c r="L341" s="468">
        <f>'2011 Rate Rider'!D$6</f>
        <v>1.18</v>
      </c>
      <c r="M341" s="468">
        <f>+L341-I341</f>
        <v>0.17999999999999994</v>
      </c>
      <c r="N341" s="469">
        <f t="shared" si="30"/>
        <v>0.17999999999999994</v>
      </c>
      <c r="O341" s="470">
        <f>L341/L353</f>
        <v>1.2438518806757712E-05</v>
      </c>
      <c r="P341" s="71"/>
    </row>
    <row r="342" spans="2:16" ht="18" customHeight="1">
      <c r="B342" s="78"/>
      <c r="C342" s="524"/>
      <c r="D342" s="523"/>
      <c r="E342" s="29"/>
      <c r="F342" s="229" t="s">
        <v>168</v>
      </c>
      <c r="G342" s="464">
        <f>C340</f>
        <v>2000</v>
      </c>
      <c r="H342" s="517">
        <f>'2010 Existing Rates'!D$15</f>
        <v>-0.6</v>
      </c>
      <c r="I342" s="468">
        <f>+G342*H342</f>
        <v>-1200</v>
      </c>
      <c r="J342" s="464">
        <f>C340</f>
        <v>2000</v>
      </c>
      <c r="K342" s="517">
        <f>'Distribution Rate Schedule'!D$43</f>
        <v>-0.6</v>
      </c>
      <c r="L342" s="468">
        <f>+J342*K342</f>
        <v>-1200</v>
      </c>
      <c r="M342" s="468">
        <f>+L342-I342</f>
        <v>0</v>
      </c>
      <c r="N342" s="469">
        <f t="shared" si="30"/>
        <v>0</v>
      </c>
      <c r="O342" s="470">
        <f>L342/L353</f>
        <v>-0.012649341159414622</v>
      </c>
      <c r="P342" s="71"/>
    </row>
    <row r="343" spans="2:16" ht="18" customHeight="1">
      <c r="B343" s="78"/>
      <c r="C343" s="524"/>
      <c r="D343" s="523"/>
      <c r="E343" s="29"/>
      <c r="F343" s="497" t="s">
        <v>245</v>
      </c>
      <c r="G343" s="464">
        <f>C340</f>
        <v>2000</v>
      </c>
      <c r="H343" s="465">
        <v>0</v>
      </c>
      <c r="I343" s="466">
        <f>+G343*H343</f>
        <v>0</v>
      </c>
      <c r="J343" s="464">
        <f>C340</f>
        <v>2000</v>
      </c>
      <c r="K343" s="467">
        <f>'LRAM and SSM Rate Rider'!L$9</f>
        <v>0</v>
      </c>
      <c r="L343" s="468">
        <f>+J343*K343</f>
        <v>0</v>
      </c>
      <c r="M343" s="468">
        <f>+L343-I343</f>
        <v>0</v>
      </c>
      <c r="N343" s="469">
        <f>IF(I343=0,0,M343/I343)</f>
        <v>0</v>
      </c>
      <c r="O343" s="470">
        <f>L343/L353</f>
        <v>0</v>
      </c>
      <c r="P343" s="71"/>
    </row>
    <row r="344" spans="2:16" ht="18" customHeight="1">
      <c r="B344" s="78"/>
      <c r="C344" s="29"/>
      <c r="D344" s="29"/>
      <c r="E344" s="29"/>
      <c r="F344" s="496" t="s">
        <v>238</v>
      </c>
      <c r="G344" s="464">
        <f>+C340</f>
        <v>2000</v>
      </c>
      <c r="H344" s="517">
        <f>+'2010 Existing Rates'!$D$23</f>
        <v>-0.8881</v>
      </c>
      <c r="I344" s="468">
        <f>+G344*H344</f>
        <v>-1776.2</v>
      </c>
      <c r="J344" s="464">
        <f>+C340</f>
        <v>2000</v>
      </c>
      <c r="K344" s="517">
        <f>+'2011 Rate Rider'!$C$6</f>
        <v>-0.8881</v>
      </c>
      <c r="L344" s="468">
        <f>+J344*K344</f>
        <v>-1776.2</v>
      </c>
      <c r="M344" s="468">
        <f>+L344-I344</f>
        <v>0</v>
      </c>
      <c r="N344" s="469">
        <f t="shared" si="30"/>
        <v>0</v>
      </c>
      <c r="O344" s="470">
        <f>L344/L353</f>
        <v>-0.01872313313946021</v>
      </c>
      <c r="P344" s="71"/>
    </row>
    <row r="345" spans="2:16" ht="18" customHeight="1">
      <c r="B345" s="78"/>
      <c r="C345" s="29"/>
      <c r="D345" s="29"/>
      <c r="E345" s="29"/>
      <c r="F345" s="496" t="s">
        <v>239</v>
      </c>
      <c r="G345" s="464">
        <f>C340</f>
        <v>2000</v>
      </c>
      <c r="H345" s="465">
        <v>0</v>
      </c>
      <c r="I345" s="468">
        <f>+G345*H345</f>
        <v>0</v>
      </c>
      <c r="J345" s="464">
        <f>C340</f>
        <v>2000</v>
      </c>
      <c r="K345" s="467">
        <f>'2011 Rate Rider'!C$30</f>
        <v>0</v>
      </c>
      <c r="L345" s="468">
        <f>+J345*K345</f>
        <v>0</v>
      </c>
      <c r="M345" s="468">
        <f>+L345-I345</f>
        <v>0</v>
      </c>
      <c r="N345" s="469">
        <f>IF(I345=0,0,M345/I345)</f>
        <v>0</v>
      </c>
      <c r="O345" s="470">
        <f>L345/L353</f>
        <v>0</v>
      </c>
      <c r="P345" s="71"/>
    </row>
    <row r="346" spans="2:16" ht="18" customHeight="1" thickBot="1">
      <c r="B346" s="78"/>
      <c r="C346" s="29"/>
      <c r="D346" s="29"/>
      <c r="E346" s="29"/>
      <c r="F346" s="496" t="s">
        <v>240</v>
      </c>
      <c r="G346" s="464">
        <f>C340</f>
        <v>2000</v>
      </c>
      <c r="H346" s="465">
        <v>0</v>
      </c>
      <c r="I346" s="468">
        <f>+G346*H346</f>
        <v>0</v>
      </c>
      <c r="J346" s="464">
        <f>C340</f>
        <v>2000</v>
      </c>
      <c r="K346" s="467">
        <f>'2011 Rate Rider'!C$18</f>
        <v>0.5881</v>
      </c>
      <c r="L346" s="468">
        <f>+J346*K346</f>
        <v>1176.1999999999998</v>
      </c>
      <c r="M346" s="468">
        <f>+L346-I346</f>
        <v>1176.1999999999998</v>
      </c>
      <c r="N346" s="469">
        <v>1</v>
      </c>
      <c r="O346" s="470">
        <f>L346/L353</f>
        <v>0.012398462559752898</v>
      </c>
      <c r="P346" s="71"/>
    </row>
    <row r="347" spans="2:16" ht="18" customHeight="1" thickBot="1">
      <c r="B347" s="78"/>
      <c r="C347" s="29"/>
      <c r="D347" s="29"/>
      <c r="E347" s="29"/>
      <c r="F347" s="219" t="s">
        <v>78</v>
      </c>
      <c r="G347" s="637"/>
      <c r="H347" s="637"/>
      <c r="I347" s="473">
        <f>SUM(I338:I346)</f>
        <v>5906.250000000001</v>
      </c>
      <c r="J347" s="637"/>
      <c r="K347" s="637"/>
      <c r="L347" s="473">
        <f>SUM(L338:L346)</f>
        <v>7103.139999999999</v>
      </c>
      <c r="M347" s="474">
        <f>SUM(M338:M346)</f>
        <v>1196.8899999999994</v>
      </c>
      <c r="N347" s="475">
        <f t="shared" si="30"/>
        <v>0.2026480423280422</v>
      </c>
      <c r="O347" s="476">
        <f>L347/L353</f>
        <v>0.07487503430257031</v>
      </c>
      <c r="P347" s="71"/>
    </row>
    <row r="348" spans="2:16" ht="18" customHeight="1">
      <c r="B348" s="78"/>
      <c r="C348" s="29"/>
      <c r="D348" s="29"/>
      <c r="E348" s="29"/>
      <c r="F348" s="229" t="s">
        <v>79</v>
      </c>
      <c r="G348" s="464">
        <f>+C339*'Other Electriciy Rates'!$N$8</f>
        <v>828480.0000000001</v>
      </c>
      <c r="H348" s="477">
        <f>+'Other Electriciy Rates'!$E$8</f>
        <v>0.0138725</v>
      </c>
      <c r="I348" s="466">
        <f>+G348*H348</f>
        <v>11493.088800000001</v>
      </c>
      <c r="J348" s="464">
        <f>+C339*'Other Electriciy Rates'!$O$8</f>
        <v>827920</v>
      </c>
      <c r="K348" s="477">
        <f>+'Other Electriciy Rates'!$F$8</f>
        <v>0.0138725</v>
      </c>
      <c r="L348" s="468">
        <f>+J348*K348</f>
        <v>11485.3202</v>
      </c>
      <c r="M348" s="468">
        <f>+L348-I348</f>
        <v>-7.768600000001243</v>
      </c>
      <c r="N348" s="469">
        <f aca="true" t="shared" si="31" ref="N348:N353">+M348/I348</f>
        <v>-0.0006759366550792892</v>
      </c>
      <c r="O348" s="470">
        <f>L348/L353</f>
        <v>0.12106811127909682</v>
      </c>
      <c r="P348" s="71"/>
    </row>
    <row r="349" spans="2:16" ht="18" customHeight="1">
      <c r="B349" s="78"/>
      <c r="C349" s="29"/>
      <c r="D349" s="29"/>
      <c r="E349" s="29"/>
      <c r="F349" s="229" t="s">
        <v>86</v>
      </c>
      <c r="G349" s="464">
        <f>+C340*'Other Electriciy Rates'!$N$8</f>
        <v>2071.2000000000003</v>
      </c>
      <c r="H349" s="477">
        <f>+'Other Electriciy Rates'!$J$8</f>
        <v>3.8280000000000003</v>
      </c>
      <c r="I349" s="466">
        <f>+G349*H349</f>
        <v>7928.553600000002</v>
      </c>
      <c r="J349" s="464">
        <f>+C340*'Other Electriciy Rates'!$O$8</f>
        <v>2069.7999999999997</v>
      </c>
      <c r="K349" s="477">
        <f>+'Other Electriciy Rates'!$K$8</f>
        <v>3.8280000000000003</v>
      </c>
      <c r="L349" s="468">
        <f>+J349*K349</f>
        <v>7923.194399999999</v>
      </c>
      <c r="M349" s="468">
        <f>+L349-I349</f>
        <v>-5.359200000002602</v>
      </c>
      <c r="N349" s="469">
        <f t="shared" si="31"/>
        <v>-0.0006759366550795091</v>
      </c>
      <c r="O349" s="470">
        <f>L349/L353</f>
        <v>0.08351932419830287</v>
      </c>
      <c r="P349" s="71"/>
    </row>
    <row r="350" spans="2:16" ht="18" customHeight="1" thickBot="1">
      <c r="B350" s="78"/>
      <c r="C350" s="29"/>
      <c r="D350" s="29"/>
      <c r="E350" s="29"/>
      <c r="F350" s="229" t="s">
        <v>80</v>
      </c>
      <c r="G350" s="464">
        <f>+C339*'Other Electriciy Rates'!$N$8</f>
        <v>828480.0000000001</v>
      </c>
      <c r="H350" s="477">
        <f>+'Other Electriciy Rates'!$L$8</f>
        <v>0.06938</v>
      </c>
      <c r="I350" s="466">
        <f>+G350*H350</f>
        <v>57479.94240000001</v>
      </c>
      <c r="J350" s="464">
        <f>+C339*'Other Electriciy Rates'!$O$8</f>
        <v>827920</v>
      </c>
      <c r="K350" s="477">
        <f>+'Other Electriciy Rates'!$L$8</f>
        <v>0.06938</v>
      </c>
      <c r="L350" s="468">
        <f>+J350*K350</f>
        <v>57441.0896</v>
      </c>
      <c r="M350" s="468">
        <f>+L350-I350</f>
        <v>-38.852800000007846</v>
      </c>
      <c r="N350" s="469">
        <f t="shared" si="31"/>
        <v>-0.0006759366550793175</v>
      </c>
      <c r="O350" s="470">
        <f>L350/L353</f>
        <v>0.6054932824324193</v>
      </c>
      <c r="P350" s="71"/>
    </row>
    <row r="351" spans="2:16" ht="18" customHeight="1" thickBot="1">
      <c r="B351" s="78"/>
      <c r="C351" s="29"/>
      <c r="D351" s="29"/>
      <c r="E351" s="29"/>
      <c r="F351" s="219" t="s">
        <v>172</v>
      </c>
      <c r="G351" s="637"/>
      <c r="H351" s="637"/>
      <c r="I351" s="473">
        <f>SUM(I347:I350)</f>
        <v>82807.83480000001</v>
      </c>
      <c r="J351" s="637"/>
      <c r="K351" s="637"/>
      <c r="L351" s="473">
        <f>SUM(L347:L350)</f>
        <v>83952.7442</v>
      </c>
      <c r="M351" s="473">
        <f>SUM(M347:M350)</f>
        <v>1144.9093999999877</v>
      </c>
      <c r="N351" s="475">
        <f t="shared" si="31"/>
        <v>0.013826099942900422</v>
      </c>
      <c r="O351" s="476">
        <f>L351/L353</f>
        <v>0.8849557522123893</v>
      </c>
      <c r="P351" s="71"/>
    </row>
    <row r="352" spans="2:16" ht="18" customHeight="1" thickBot="1">
      <c r="B352" s="78"/>
      <c r="C352" s="29"/>
      <c r="D352" s="29"/>
      <c r="E352" s="29"/>
      <c r="F352" s="496" t="s">
        <v>252</v>
      </c>
      <c r="G352" s="464"/>
      <c r="H352" s="478">
        <v>0.13</v>
      </c>
      <c r="I352" s="466">
        <f>I351*H352</f>
        <v>10765.018524000001</v>
      </c>
      <c r="J352" s="464"/>
      <c r="K352" s="478">
        <v>0.13</v>
      </c>
      <c r="L352" s="468">
        <f>L351*K352</f>
        <v>10913.856746000001</v>
      </c>
      <c r="M352" s="468">
        <f>+L352-I352</f>
        <v>148.83822200000031</v>
      </c>
      <c r="N352" s="469">
        <f t="shared" si="31"/>
        <v>0.0138260999429006</v>
      </c>
      <c r="O352" s="470">
        <f>L352/L353</f>
        <v>0.11504424778761063</v>
      </c>
      <c r="P352" s="71"/>
    </row>
    <row r="353" spans="2:16" ht="18" customHeight="1" thickBot="1">
      <c r="B353" s="78"/>
      <c r="C353" s="29"/>
      <c r="D353" s="29"/>
      <c r="E353" s="33"/>
      <c r="F353" s="220" t="s">
        <v>81</v>
      </c>
      <c r="G353" s="637"/>
      <c r="H353" s="637"/>
      <c r="I353" s="473">
        <f>SUM(I351:I352)</f>
        <v>93572.85332400001</v>
      </c>
      <c r="J353" s="637"/>
      <c r="K353" s="637"/>
      <c r="L353" s="473">
        <f>SUM(L351:L352)</f>
        <v>94866.600946</v>
      </c>
      <c r="M353" s="473">
        <f>SUM(M351:M352)</f>
        <v>1293.747621999988</v>
      </c>
      <c r="N353" s="475">
        <f t="shared" si="31"/>
        <v>0.013826099942900443</v>
      </c>
      <c r="O353" s="476">
        <f>O351+O352</f>
        <v>1</v>
      </c>
      <c r="P353" s="71"/>
    </row>
    <row r="354" spans="2:16" ht="6.75" customHeight="1" thickBot="1">
      <c r="B354" s="72"/>
      <c r="C354" s="87"/>
      <c r="D354" s="87"/>
      <c r="E354" s="87"/>
      <c r="F354" s="88"/>
      <c r="G354" s="89"/>
      <c r="H354" s="90"/>
      <c r="I354" s="91"/>
      <c r="J354" s="89"/>
      <c r="K354" s="92"/>
      <c r="L354" s="91"/>
      <c r="M354" s="93"/>
      <c r="N354" s="94"/>
      <c r="O354" s="95"/>
      <c r="P354" s="77"/>
    </row>
    <row r="355" spans="3:15" ht="6.75" customHeight="1" thickBot="1">
      <c r="C355" s="29"/>
      <c r="D355" s="29"/>
      <c r="E355" s="29"/>
      <c r="F355" s="41"/>
      <c r="G355" s="42"/>
      <c r="H355" s="43"/>
      <c r="I355" s="44"/>
      <c r="J355" s="42"/>
      <c r="K355" s="45"/>
      <c r="L355" s="44"/>
      <c r="M355" s="46"/>
      <c r="N355" s="84"/>
      <c r="O355" s="85"/>
    </row>
    <row r="356" spans="2:16" ht="6.75" customHeight="1">
      <c r="B356" s="82"/>
      <c r="C356" s="628"/>
      <c r="D356" s="628"/>
      <c r="E356" s="628"/>
      <c r="F356" s="628"/>
      <c r="G356" s="628"/>
      <c r="H356" s="628"/>
      <c r="I356" s="628"/>
      <c r="J356" s="628"/>
      <c r="K356" s="628"/>
      <c r="L356" s="628"/>
      <c r="M356" s="628"/>
      <c r="N356" s="628"/>
      <c r="O356" s="628"/>
      <c r="P356" s="70"/>
    </row>
    <row r="357" spans="2:16" ht="23.25">
      <c r="B357" s="78"/>
      <c r="C357" s="626" t="s">
        <v>246</v>
      </c>
      <c r="D357" s="626"/>
      <c r="E357" s="626"/>
      <c r="F357" s="626"/>
      <c r="G357" s="626"/>
      <c r="H357" s="626"/>
      <c r="I357" s="626"/>
      <c r="J357" s="626"/>
      <c r="K357" s="626"/>
      <c r="L357" s="626"/>
      <c r="M357" s="626"/>
      <c r="N357" s="626"/>
      <c r="O357" s="626"/>
      <c r="P357" s="71"/>
    </row>
    <row r="358" spans="2:16" ht="6.75" customHeight="1" thickBot="1">
      <c r="B358" s="78"/>
      <c r="C358" s="627"/>
      <c r="D358" s="627"/>
      <c r="E358" s="627"/>
      <c r="F358" s="627"/>
      <c r="G358" s="627"/>
      <c r="H358" s="627"/>
      <c r="I358" s="627"/>
      <c r="J358" s="627"/>
      <c r="K358" s="627"/>
      <c r="L358" s="627"/>
      <c r="M358" s="627"/>
      <c r="N358" s="627"/>
      <c r="O358" s="627"/>
      <c r="P358" s="71"/>
    </row>
    <row r="359" spans="2:16" ht="21" thickBot="1">
      <c r="B359" s="78"/>
      <c r="C359" s="80"/>
      <c r="D359" s="80"/>
      <c r="E359" s="29"/>
      <c r="F359" s="35"/>
      <c r="G359" s="633" t="str">
        <f>$G$8</f>
        <v>2010 BILL</v>
      </c>
      <c r="H359" s="634"/>
      <c r="I359" s="635"/>
      <c r="J359" s="633" t="str">
        <f>$J$8</f>
        <v>2011 BILL</v>
      </c>
      <c r="K359" s="634"/>
      <c r="L359" s="635"/>
      <c r="M359" s="633" t="s">
        <v>74</v>
      </c>
      <c r="N359" s="634"/>
      <c r="O359" s="635"/>
      <c r="P359" s="71"/>
    </row>
    <row r="360" spans="2:16" ht="26.25" thickBot="1">
      <c r="B360" s="78"/>
      <c r="C360" s="29"/>
      <c r="D360" s="29"/>
      <c r="E360" s="31"/>
      <c r="F360" s="232"/>
      <c r="G360" s="518" t="s">
        <v>68</v>
      </c>
      <c r="H360" s="519" t="s">
        <v>69</v>
      </c>
      <c r="I360" s="520" t="s">
        <v>70</v>
      </c>
      <c r="J360" s="521" t="s">
        <v>68</v>
      </c>
      <c r="K360" s="519" t="s">
        <v>69</v>
      </c>
      <c r="L360" s="520" t="s">
        <v>70</v>
      </c>
      <c r="M360" s="225" t="s">
        <v>82</v>
      </c>
      <c r="N360" s="226" t="s">
        <v>83</v>
      </c>
      <c r="O360" s="227" t="s">
        <v>77</v>
      </c>
      <c r="P360" s="71"/>
    </row>
    <row r="361" spans="2:16" ht="18" customHeight="1" thickBot="1">
      <c r="B361" s="78"/>
      <c r="C361" s="624" t="s">
        <v>71</v>
      </c>
      <c r="D361" s="625"/>
      <c r="E361" s="29"/>
      <c r="F361" s="228" t="s">
        <v>72</v>
      </c>
      <c r="G361" s="471"/>
      <c r="H361" s="471"/>
      <c r="I361" s="460">
        <f>'2010 Existing Rates'!C$8</f>
        <v>1410.45</v>
      </c>
      <c r="J361" s="471"/>
      <c r="K361" s="471"/>
      <c r="L361" s="461">
        <f>'Distribution Rate Schedule'!C$35</f>
        <v>1418.56</v>
      </c>
      <c r="M361" s="468">
        <f aca="true" t="shared" si="32" ref="M361:M369">+L361-I361</f>
        <v>8.1099999999999</v>
      </c>
      <c r="N361" s="469">
        <f aca="true" t="shared" si="33" ref="N361:N370">+M361/I361</f>
        <v>0.005749937963061363</v>
      </c>
      <c r="O361" s="470">
        <f>L361/L376</f>
        <v>0.007540362126626372</v>
      </c>
      <c r="P361" s="71"/>
    </row>
    <row r="362" spans="2:16" ht="18" customHeight="1" thickBot="1">
      <c r="B362" s="78"/>
      <c r="C362" s="214">
        <v>1600000</v>
      </c>
      <c r="D362" s="222" t="s">
        <v>16</v>
      </c>
      <c r="E362" s="29"/>
      <c r="F362" s="229" t="s">
        <v>73</v>
      </c>
      <c r="G362" s="464">
        <f>+C362</f>
        <v>1600000</v>
      </c>
      <c r="H362" s="465">
        <v>0</v>
      </c>
      <c r="I362" s="466">
        <f>+G362*H362</f>
        <v>0</v>
      </c>
      <c r="J362" s="464">
        <f>+C362</f>
        <v>1600000</v>
      </c>
      <c r="K362" s="467">
        <v>0</v>
      </c>
      <c r="L362" s="468">
        <f>+J362*K362</f>
        <v>0</v>
      </c>
      <c r="M362" s="468">
        <f t="shared" si="32"/>
        <v>0</v>
      </c>
      <c r="N362" s="469">
        <f>IF(I362=0,0,M362/I362)</f>
        <v>0</v>
      </c>
      <c r="O362" s="470">
        <f>L362/L376</f>
        <v>0</v>
      </c>
      <c r="P362" s="71"/>
    </row>
    <row r="363" spans="2:16" ht="18" customHeight="1" thickBot="1">
      <c r="B363" s="78"/>
      <c r="C363" s="214">
        <v>4000</v>
      </c>
      <c r="D363" s="222" t="s">
        <v>17</v>
      </c>
      <c r="E363" s="29"/>
      <c r="F363" s="229" t="s">
        <v>84</v>
      </c>
      <c r="G363" s="464">
        <f>+C363</f>
        <v>4000</v>
      </c>
      <c r="H363" s="465">
        <f>'2010 Existing Rates'!D$8</f>
        <v>3.7355</v>
      </c>
      <c r="I363" s="466">
        <f>+G363*H363</f>
        <v>14942</v>
      </c>
      <c r="J363" s="464">
        <f>+C363</f>
        <v>4000</v>
      </c>
      <c r="K363" s="467">
        <f>'Distribution Rate Schedule'!D$35</f>
        <v>3.7417</v>
      </c>
      <c r="L363" s="468">
        <f>+J363*K363</f>
        <v>14966.8</v>
      </c>
      <c r="M363" s="468">
        <f t="shared" si="32"/>
        <v>24.799999999999272</v>
      </c>
      <c r="N363" s="469">
        <f t="shared" si="33"/>
        <v>0.0016597510373443497</v>
      </c>
      <c r="O363" s="470">
        <f>L363/L376</f>
        <v>0.07955609341641635</v>
      </c>
      <c r="P363" s="71"/>
    </row>
    <row r="364" spans="2:16" ht="18" customHeight="1">
      <c r="B364" s="78"/>
      <c r="C364" s="52"/>
      <c r="D364" s="53"/>
      <c r="E364" s="29"/>
      <c r="F364" s="229" t="s">
        <v>144</v>
      </c>
      <c r="G364" s="471"/>
      <c r="H364" s="471"/>
      <c r="I364" s="466">
        <f>'2010 Existing Rates'!B$65</f>
        <v>1</v>
      </c>
      <c r="J364" s="471"/>
      <c r="K364" s="471"/>
      <c r="L364" s="468">
        <f>'2011 Rate Rider'!D$6</f>
        <v>1.18</v>
      </c>
      <c r="M364" s="468">
        <f t="shared" si="32"/>
        <v>0.17999999999999994</v>
      </c>
      <c r="N364" s="469">
        <f t="shared" si="33"/>
        <v>0.17999999999999994</v>
      </c>
      <c r="O364" s="470">
        <f>L364/L376</f>
        <v>6.272295362493739E-06</v>
      </c>
      <c r="P364" s="71"/>
    </row>
    <row r="365" spans="2:16" ht="18" customHeight="1">
      <c r="B365" s="78"/>
      <c r="C365" s="52"/>
      <c r="D365" s="53"/>
      <c r="E365" s="29"/>
      <c r="F365" s="229" t="s">
        <v>168</v>
      </c>
      <c r="G365" s="464">
        <f>C363</f>
        <v>4000</v>
      </c>
      <c r="H365" s="517">
        <f>'2010 Existing Rates'!D$15</f>
        <v>-0.6</v>
      </c>
      <c r="I365" s="468">
        <f>+G365*H365</f>
        <v>-2400</v>
      </c>
      <c r="J365" s="464">
        <v>4000</v>
      </c>
      <c r="K365" s="517">
        <f>'Distribution Rate Schedule'!D$43</f>
        <v>-0.6</v>
      </c>
      <c r="L365" s="468">
        <f>+J365*K365</f>
        <v>-2400</v>
      </c>
      <c r="M365" s="468">
        <f t="shared" si="32"/>
        <v>0</v>
      </c>
      <c r="N365" s="469">
        <f t="shared" si="33"/>
        <v>0</v>
      </c>
      <c r="O365" s="470">
        <f>L365/L376</f>
        <v>-0.012757210906766929</v>
      </c>
      <c r="P365" s="71"/>
    </row>
    <row r="366" spans="2:16" ht="18" customHeight="1">
      <c r="B366" s="78"/>
      <c r="C366" s="52"/>
      <c r="D366" s="53"/>
      <c r="E366" s="29"/>
      <c r="F366" s="497" t="s">
        <v>245</v>
      </c>
      <c r="G366" s="464">
        <f>C363</f>
        <v>4000</v>
      </c>
      <c r="H366" s="465">
        <v>0</v>
      </c>
      <c r="I366" s="466">
        <f>+G366*H366</f>
        <v>0</v>
      </c>
      <c r="J366" s="464">
        <f>C363</f>
        <v>4000</v>
      </c>
      <c r="K366" s="467">
        <f>'LRAM and SSM Rate Rider'!L$9</f>
        <v>0</v>
      </c>
      <c r="L366" s="468">
        <f>+J366*K366</f>
        <v>0</v>
      </c>
      <c r="M366" s="468">
        <f t="shared" si="32"/>
        <v>0</v>
      </c>
      <c r="N366" s="469">
        <f>IF(I366=0,0,M366/I366)</f>
        <v>0</v>
      </c>
      <c r="O366" s="470">
        <f>L366/L376</f>
        <v>0</v>
      </c>
      <c r="P366" s="71"/>
    </row>
    <row r="367" spans="2:16" ht="18" customHeight="1">
      <c r="B367" s="78"/>
      <c r="C367" s="29"/>
      <c r="D367" s="29"/>
      <c r="E367" s="29"/>
      <c r="F367" s="496" t="s">
        <v>238</v>
      </c>
      <c r="G367" s="464">
        <f>+C363</f>
        <v>4000</v>
      </c>
      <c r="H367" s="517">
        <f>+'2010 Existing Rates'!$D$23</f>
        <v>-0.8881</v>
      </c>
      <c r="I367" s="468">
        <f>+G367*H367</f>
        <v>-3552.4</v>
      </c>
      <c r="J367" s="464">
        <f>+C363</f>
        <v>4000</v>
      </c>
      <c r="K367" s="517">
        <f>+'2011 Rate Rider'!$C$6</f>
        <v>-0.8881</v>
      </c>
      <c r="L367" s="468">
        <f>+J367*K367</f>
        <v>-3552.4</v>
      </c>
      <c r="M367" s="468">
        <f t="shared" si="32"/>
        <v>0</v>
      </c>
      <c r="N367" s="469">
        <f t="shared" si="33"/>
        <v>0</v>
      </c>
      <c r="O367" s="470">
        <f>L367/L376</f>
        <v>-0.018882798343832847</v>
      </c>
      <c r="P367" s="71"/>
    </row>
    <row r="368" spans="2:16" ht="18" customHeight="1">
      <c r="B368" s="78"/>
      <c r="C368" s="29"/>
      <c r="D368" s="29"/>
      <c r="E368" s="29"/>
      <c r="F368" s="496" t="s">
        <v>239</v>
      </c>
      <c r="G368" s="464">
        <f>C363</f>
        <v>4000</v>
      </c>
      <c r="H368" s="465">
        <v>0</v>
      </c>
      <c r="I368" s="468">
        <f>+G368*H368</f>
        <v>0</v>
      </c>
      <c r="J368" s="464">
        <f>C363</f>
        <v>4000</v>
      </c>
      <c r="K368" s="467">
        <f>'2011 Rate Rider'!C$30</f>
        <v>0</v>
      </c>
      <c r="L368" s="468">
        <f>+J368*K368</f>
        <v>0</v>
      </c>
      <c r="M368" s="468">
        <f t="shared" si="32"/>
        <v>0</v>
      </c>
      <c r="N368" s="469">
        <f>IF(I368=0,0,M368/I368)</f>
        <v>0</v>
      </c>
      <c r="O368" s="470">
        <f>L368/L376</f>
        <v>0</v>
      </c>
      <c r="P368" s="71"/>
    </row>
    <row r="369" spans="2:16" ht="18" customHeight="1" thickBot="1">
      <c r="B369" s="78"/>
      <c r="C369" s="29"/>
      <c r="D369" s="29"/>
      <c r="E369" s="29"/>
      <c r="F369" s="496" t="s">
        <v>240</v>
      </c>
      <c r="G369" s="464">
        <f>C363</f>
        <v>4000</v>
      </c>
      <c r="H369" s="465">
        <v>0</v>
      </c>
      <c r="I369" s="468">
        <f>+G369*H369</f>
        <v>0</v>
      </c>
      <c r="J369" s="464">
        <f>C363</f>
        <v>4000</v>
      </c>
      <c r="K369" s="467">
        <f>'2011 Rate Rider'!C$18</f>
        <v>0.5881</v>
      </c>
      <c r="L369" s="468">
        <f>+J369*K369</f>
        <v>2352.3999999999996</v>
      </c>
      <c r="M369" s="468">
        <f t="shared" si="32"/>
        <v>2352.3999999999996</v>
      </c>
      <c r="N369" s="469">
        <v>0.1</v>
      </c>
      <c r="O369" s="470">
        <f>L369/L376</f>
        <v>0.012504192890449382</v>
      </c>
      <c r="P369" s="71"/>
    </row>
    <row r="370" spans="2:16" ht="18" customHeight="1" thickBot="1">
      <c r="B370" s="78"/>
      <c r="C370" s="29"/>
      <c r="D370" s="29"/>
      <c r="E370" s="29"/>
      <c r="F370" s="219" t="s">
        <v>78</v>
      </c>
      <c r="G370" s="637"/>
      <c r="H370" s="637"/>
      <c r="I370" s="473">
        <f>SUM(I361:I369)</f>
        <v>10401.050000000001</v>
      </c>
      <c r="J370" s="637"/>
      <c r="K370" s="637"/>
      <c r="L370" s="473">
        <f>SUM(L361:L369)</f>
        <v>12786.54</v>
      </c>
      <c r="M370" s="474">
        <f>SUM(M361:M369)</f>
        <v>2385.489999999999</v>
      </c>
      <c r="N370" s="475">
        <f t="shared" si="33"/>
        <v>0.22935088284355892</v>
      </c>
      <c r="O370" s="476">
        <f>L370/L376</f>
        <v>0.06796691147825483</v>
      </c>
      <c r="P370" s="71"/>
    </row>
    <row r="371" spans="2:16" ht="18" customHeight="1">
      <c r="B371" s="78"/>
      <c r="C371" s="29"/>
      <c r="D371" s="29"/>
      <c r="E371" s="29"/>
      <c r="F371" s="229" t="s">
        <v>79</v>
      </c>
      <c r="G371" s="464">
        <f>+C362*'Other Electriciy Rates'!$N$8</f>
        <v>1656960.0000000002</v>
      </c>
      <c r="H371" s="477">
        <f>+'Other Electriciy Rates'!$E$8</f>
        <v>0.0138725</v>
      </c>
      <c r="I371" s="466">
        <f>+G371*H371</f>
        <v>22986.177600000003</v>
      </c>
      <c r="J371" s="464">
        <f>+C362*'Other Electriciy Rates'!$O$8</f>
        <v>1655840</v>
      </c>
      <c r="K371" s="477">
        <f>+'Other Electriciy Rates'!$F$8</f>
        <v>0.0138725</v>
      </c>
      <c r="L371" s="468">
        <f>+J371*K371</f>
        <v>22970.6404</v>
      </c>
      <c r="M371" s="468">
        <f>+L371-I371</f>
        <v>-15.537200000002485</v>
      </c>
      <c r="N371" s="469">
        <f aca="true" t="shared" si="34" ref="N371:N376">+M371/I371</f>
        <v>-0.0006759366550792892</v>
      </c>
      <c r="O371" s="470">
        <f>L371/L376</f>
        <v>0.12210054343595876</v>
      </c>
      <c r="P371" s="71"/>
    </row>
    <row r="372" spans="2:16" ht="18" customHeight="1">
      <c r="B372" s="78"/>
      <c r="C372" s="29"/>
      <c r="D372" s="29"/>
      <c r="E372" s="29"/>
      <c r="F372" s="229" t="s">
        <v>86</v>
      </c>
      <c r="G372" s="464">
        <f>+C363*'Other Electriciy Rates'!$N$8</f>
        <v>4142.400000000001</v>
      </c>
      <c r="H372" s="477">
        <f>+'Other Electriciy Rates'!$J$8</f>
        <v>3.8280000000000003</v>
      </c>
      <c r="I372" s="466">
        <f>+G372*H372</f>
        <v>15857.107200000004</v>
      </c>
      <c r="J372" s="464">
        <f>+C363*'Other Electriciy Rates'!$O$8</f>
        <v>4139.599999999999</v>
      </c>
      <c r="K372" s="477">
        <f>+'Other Electriciy Rates'!$K$8</f>
        <v>3.8280000000000003</v>
      </c>
      <c r="L372" s="468">
        <f>+J372*K372</f>
        <v>15846.388799999999</v>
      </c>
      <c r="M372" s="468">
        <f>+L372-I372</f>
        <v>-10.718400000005204</v>
      </c>
      <c r="N372" s="469">
        <f t="shared" si="34"/>
        <v>-0.0006759366550795091</v>
      </c>
      <c r="O372" s="470">
        <f>L372/L376</f>
        <v>0.08423155168009554</v>
      </c>
      <c r="P372" s="71"/>
    </row>
    <row r="373" spans="2:16" ht="18" customHeight="1" thickBot="1">
      <c r="B373" s="78"/>
      <c r="C373" s="29"/>
      <c r="D373" s="29"/>
      <c r="E373" s="29"/>
      <c r="F373" s="229" t="s">
        <v>80</v>
      </c>
      <c r="G373" s="464">
        <f>+C362*'Other Electriciy Rates'!$N$8</f>
        <v>1656960.0000000002</v>
      </c>
      <c r="H373" s="477">
        <f>+'Other Electriciy Rates'!$L$8</f>
        <v>0.06938</v>
      </c>
      <c r="I373" s="466">
        <f>+G373*H373</f>
        <v>114959.88480000001</v>
      </c>
      <c r="J373" s="464">
        <f>+C362*'Other Electriciy Rates'!$O$8</f>
        <v>1655840</v>
      </c>
      <c r="K373" s="477">
        <f>+'Other Electriciy Rates'!$L$8</f>
        <v>0.06938</v>
      </c>
      <c r="L373" s="468">
        <f>+J373*K373</f>
        <v>114882.1792</v>
      </c>
      <c r="M373" s="468">
        <f>+L373-I373</f>
        <v>-77.70560000001569</v>
      </c>
      <c r="N373" s="469">
        <f t="shared" si="34"/>
        <v>-0.0006759366550793175</v>
      </c>
      <c r="O373" s="470">
        <f>L373/L376</f>
        <v>0.6106567456180803</v>
      </c>
      <c r="P373" s="71"/>
    </row>
    <row r="374" spans="2:16" ht="18" customHeight="1" thickBot="1">
      <c r="B374" s="78"/>
      <c r="C374" s="29"/>
      <c r="D374" s="29"/>
      <c r="E374" s="29"/>
      <c r="F374" s="219" t="s">
        <v>172</v>
      </c>
      <c r="G374" s="637"/>
      <c r="H374" s="637"/>
      <c r="I374" s="473">
        <f>SUM(I370:I373)</f>
        <v>164204.2196</v>
      </c>
      <c r="J374" s="637"/>
      <c r="K374" s="637"/>
      <c r="L374" s="473">
        <f>SUM(L370:L373)</f>
        <v>166485.74839999998</v>
      </c>
      <c r="M374" s="473">
        <f>SUM(M370:M373)</f>
        <v>2281.5287999999755</v>
      </c>
      <c r="N374" s="475">
        <f t="shared" si="34"/>
        <v>0.013894459019127272</v>
      </c>
      <c r="O374" s="476">
        <f>L374/L376</f>
        <v>0.8849557522123893</v>
      </c>
      <c r="P374" s="71"/>
    </row>
    <row r="375" spans="2:16" ht="18" customHeight="1" thickBot="1">
      <c r="B375" s="78"/>
      <c r="C375" s="29"/>
      <c r="D375" s="29"/>
      <c r="E375" s="29"/>
      <c r="F375" s="496" t="s">
        <v>252</v>
      </c>
      <c r="G375" s="464"/>
      <c r="H375" s="478">
        <v>0.13</v>
      </c>
      <c r="I375" s="466">
        <f>I374*H375</f>
        <v>21346.548548000002</v>
      </c>
      <c r="J375" s="464"/>
      <c r="K375" s="478">
        <v>0.13</v>
      </c>
      <c r="L375" s="468">
        <f>L374*K375</f>
        <v>21643.147291999998</v>
      </c>
      <c r="M375" s="468">
        <f>+L375-I375</f>
        <v>296.59874399999535</v>
      </c>
      <c r="N375" s="469">
        <f t="shared" si="34"/>
        <v>0.013894459019127203</v>
      </c>
      <c r="O375" s="470">
        <f>L375/L376</f>
        <v>0.11504424778761062</v>
      </c>
      <c r="P375" s="71"/>
    </row>
    <row r="376" spans="2:16" ht="18" customHeight="1" thickBot="1">
      <c r="B376" s="78"/>
      <c r="C376" s="29"/>
      <c r="D376" s="29"/>
      <c r="E376" s="33"/>
      <c r="F376" s="220" t="s">
        <v>81</v>
      </c>
      <c r="G376" s="637"/>
      <c r="H376" s="637"/>
      <c r="I376" s="473">
        <f>SUM(I374:I375)</f>
        <v>185550.768148</v>
      </c>
      <c r="J376" s="637"/>
      <c r="K376" s="637"/>
      <c r="L376" s="473">
        <f>SUM(L374:L375)</f>
        <v>188128.895692</v>
      </c>
      <c r="M376" s="473">
        <f>SUM(M374:M375)</f>
        <v>2578.127543999971</v>
      </c>
      <c r="N376" s="475">
        <f t="shared" si="34"/>
        <v>0.013894459019127265</v>
      </c>
      <c r="O376" s="476">
        <f>O374+O375</f>
        <v>0.9999999999999999</v>
      </c>
      <c r="P376" s="71"/>
    </row>
    <row r="377" spans="2:16" ht="6.75" customHeight="1" thickBot="1">
      <c r="B377" s="72"/>
      <c r="C377" s="87"/>
      <c r="D377" s="87"/>
      <c r="E377" s="87"/>
      <c r="F377" s="88"/>
      <c r="G377" s="89"/>
      <c r="H377" s="90"/>
      <c r="I377" s="91"/>
      <c r="J377" s="89"/>
      <c r="K377" s="92"/>
      <c r="L377" s="91"/>
      <c r="M377" s="93"/>
      <c r="N377" s="94"/>
      <c r="O377" s="95"/>
      <c r="P377" s="77"/>
    </row>
    <row r="378" spans="3:15" ht="6.75" customHeight="1" thickBot="1">
      <c r="C378" s="29"/>
      <c r="D378" s="29"/>
      <c r="E378" s="29"/>
      <c r="F378" s="41"/>
      <c r="G378" s="42"/>
      <c r="H378" s="43"/>
      <c r="I378" s="44"/>
      <c r="J378" s="42"/>
      <c r="K378" s="45"/>
      <c r="L378" s="44"/>
      <c r="M378" s="46"/>
      <c r="N378" s="84"/>
      <c r="O378" s="85"/>
    </row>
    <row r="379" spans="2:16" ht="6.75" customHeight="1">
      <c r="B379" s="82"/>
      <c r="C379" s="628"/>
      <c r="D379" s="628"/>
      <c r="E379" s="628"/>
      <c r="F379" s="628"/>
      <c r="G379" s="628"/>
      <c r="H379" s="628"/>
      <c r="I379" s="628"/>
      <c r="J379" s="628"/>
      <c r="K379" s="628"/>
      <c r="L379" s="628"/>
      <c r="M379" s="628"/>
      <c r="N379" s="628"/>
      <c r="O379" s="628"/>
      <c r="P379" s="70"/>
    </row>
    <row r="380" spans="2:16" ht="23.25">
      <c r="B380" s="78"/>
      <c r="C380" s="626" t="s">
        <v>89</v>
      </c>
      <c r="D380" s="626"/>
      <c r="E380" s="626"/>
      <c r="F380" s="626"/>
      <c r="G380" s="626"/>
      <c r="H380" s="626"/>
      <c r="I380" s="626"/>
      <c r="J380" s="626"/>
      <c r="K380" s="626"/>
      <c r="L380" s="626"/>
      <c r="M380" s="626"/>
      <c r="N380" s="626"/>
      <c r="O380" s="626"/>
      <c r="P380" s="71"/>
    </row>
    <row r="381" spans="2:16" ht="6.75" customHeight="1" thickBot="1">
      <c r="B381" s="78"/>
      <c r="C381" s="627"/>
      <c r="D381" s="627"/>
      <c r="E381" s="627"/>
      <c r="F381" s="627"/>
      <c r="G381" s="627"/>
      <c r="H381" s="627"/>
      <c r="I381" s="627"/>
      <c r="J381" s="627"/>
      <c r="K381" s="627"/>
      <c r="L381" s="627"/>
      <c r="M381" s="627"/>
      <c r="N381" s="627"/>
      <c r="O381" s="627"/>
      <c r="P381" s="71"/>
    </row>
    <row r="382" spans="2:16" ht="21" thickBot="1">
      <c r="B382" s="78"/>
      <c r="C382" s="80"/>
      <c r="D382" s="80"/>
      <c r="E382" s="29"/>
      <c r="F382" s="30"/>
      <c r="G382" s="633" t="str">
        <f>$G$8</f>
        <v>2010 BILL</v>
      </c>
      <c r="H382" s="634"/>
      <c r="I382" s="635"/>
      <c r="J382" s="633" t="str">
        <f>$J$8</f>
        <v>2011 BILL</v>
      </c>
      <c r="K382" s="634"/>
      <c r="L382" s="635"/>
      <c r="M382" s="633" t="s">
        <v>74</v>
      </c>
      <c r="N382" s="634"/>
      <c r="O382" s="635"/>
      <c r="P382" s="71"/>
    </row>
    <row r="383" spans="2:16" ht="26.25" thickBot="1">
      <c r="B383" s="78"/>
      <c r="C383" s="29"/>
      <c r="D383" s="29"/>
      <c r="E383" s="31"/>
      <c r="F383" s="231"/>
      <c r="G383" s="518" t="s">
        <v>68</v>
      </c>
      <c r="H383" s="519" t="s">
        <v>69</v>
      </c>
      <c r="I383" s="520" t="s">
        <v>70</v>
      </c>
      <c r="J383" s="521" t="s">
        <v>68</v>
      </c>
      <c r="K383" s="519" t="s">
        <v>69</v>
      </c>
      <c r="L383" s="520" t="s">
        <v>70</v>
      </c>
      <c r="M383" s="225" t="s">
        <v>75</v>
      </c>
      <c r="N383" s="226" t="s">
        <v>76</v>
      </c>
      <c r="O383" s="227" t="s">
        <v>77</v>
      </c>
      <c r="P383" s="71"/>
    </row>
    <row r="384" spans="2:16" ht="18" customHeight="1" thickBot="1">
      <c r="B384" s="78"/>
      <c r="C384" s="624" t="s">
        <v>71</v>
      </c>
      <c r="D384" s="625"/>
      <c r="E384" s="29"/>
      <c r="F384" s="228" t="s">
        <v>72</v>
      </c>
      <c r="G384" s="471"/>
      <c r="H384" s="471"/>
      <c r="I384" s="466">
        <f>'2010 Existing Rates'!C9</f>
        <v>4722.33</v>
      </c>
      <c r="J384" s="471"/>
      <c r="K384" s="471"/>
      <c r="L384" s="468">
        <f>'Distribution Rate Schedule'!C36</f>
        <v>4749.47</v>
      </c>
      <c r="M384" s="468">
        <f aca="true" t="shared" si="35" ref="M384:M391">+L384-I384</f>
        <v>27.140000000000327</v>
      </c>
      <c r="N384" s="469">
        <f aca="true" t="shared" si="36" ref="N384:N392">+M384/I384</f>
        <v>0.005747162947104571</v>
      </c>
      <c r="O384" s="470">
        <f>L384/L398</f>
        <v>0.01763027022491338</v>
      </c>
      <c r="P384" s="71"/>
    </row>
    <row r="385" spans="2:16" ht="18" customHeight="1" thickBot="1">
      <c r="B385" s="78"/>
      <c r="C385" s="214">
        <v>2400000</v>
      </c>
      <c r="D385" s="222" t="s">
        <v>16</v>
      </c>
      <c r="E385" s="29"/>
      <c r="F385" s="229" t="s">
        <v>73</v>
      </c>
      <c r="G385" s="464">
        <f>+C385</f>
        <v>2400000</v>
      </c>
      <c r="H385" s="465">
        <v>0</v>
      </c>
      <c r="I385" s="466">
        <f>+G385*H385</f>
        <v>0</v>
      </c>
      <c r="J385" s="464">
        <f>+C385</f>
        <v>2400000</v>
      </c>
      <c r="K385" s="467">
        <v>0</v>
      </c>
      <c r="L385" s="468">
        <f>+J385*K385</f>
        <v>0</v>
      </c>
      <c r="M385" s="468">
        <f t="shared" si="35"/>
        <v>0</v>
      </c>
      <c r="N385" s="469">
        <f>IF(I385=0,0,M385/I385)</f>
        <v>0</v>
      </c>
      <c r="O385" s="470">
        <f>L385/L398</f>
        <v>0</v>
      </c>
      <c r="P385" s="71"/>
    </row>
    <row r="386" spans="2:16" ht="18" customHeight="1" thickBot="1">
      <c r="B386" s="78"/>
      <c r="C386" s="214">
        <v>5400</v>
      </c>
      <c r="D386" s="222" t="s">
        <v>17</v>
      </c>
      <c r="E386" s="29"/>
      <c r="F386" s="229" t="s">
        <v>84</v>
      </c>
      <c r="G386" s="464">
        <f>+C386</f>
        <v>5400</v>
      </c>
      <c r="H386" s="465">
        <f>'2010 Existing Rates'!D$9</f>
        <v>2.9023</v>
      </c>
      <c r="I386" s="466">
        <f>+G386*H386</f>
        <v>15672.42</v>
      </c>
      <c r="J386" s="464">
        <f>+C386</f>
        <v>5400</v>
      </c>
      <c r="K386" s="467">
        <f>'Distribution Rate Schedule'!D$36</f>
        <v>2.9005</v>
      </c>
      <c r="L386" s="468">
        <f>+J386*K386</f>
        <v>15662.7</v>
      </c>
      <c r="M386" s="468">
        <f t="shared" si="35"/>
        <v>-9.719999999999345</v>
      </c>
      <c r="N386" s="469">
        <f t="shared" si="36"/>
        <v>-0.0006201977741790575</v>
      </c>
      <c r="O386" s="470">
        <f>L386/L398</f>
        <v>0.058140725902416646</v>
      </c>
      <c r="P386" s="71"/>
    </row>
    <row r="387" spans="2:16" ht="18" customHeight="1">
      <c r="B387" s="78"/>
      <c r="C387" s="52"/>
      <c r="D387" s="53"/>
      <c r="E387" s="29"/>
      <c r="F387" s="229" t="s">
        <v>144</v>
      </c>
      <c r="G387" s="471"/>
      <c r="H387" s="471"/>
      <c r="I387" s="466">
        <f>'2010 Existing Rates'!B$66</f>
        <v>1</v>
      </c>
      <c r="J387" s="471"/>
      <c r="K387" s="471"/>
      <c r="L387" s="468">
        <f>'2011 Rate Rider'!D$7</f>
        <v>1.18</v>
      </c>
      <c r="M387" s="468">
        <f t="shared" si="35"/>
        <v>0.17999999999999994</v>
      </c>
      <c r="N387" s="469">
        <f t="shared" si="36"/>
        <v>0.17999999999999994</v>
      </c>
      <c r="O387" s="470">
        <f>L387/L398</f>
        <v>4.380219027680517E-06</v>
      </c>
      <c r="P387" s="71"/>
    </row>
    <row r="388" spans="2:16" ht="18" customHeight="1">
      <c r="B388" s="78"/>
      <c r="C388" s="52"/>
      <c r="D388" s="53"/>
      <c r="E388" s="29"/>
      <c r="F388" s="229" t="s">
        <v>168</v>
      </c>
      <c r="G388" s="464">
        <f>C386</f>
        <v>5400</v>
      </c>
      <c r="H388" s="517">
        <f>'2010 Existing Rates'!D$15</f>
        <v>-0.6</v>
      </c>
      <c r="I388" s="468">
        <f>+G388*H388</f>
        <v>-3240</v>
      </c>
      <c r="J388" s="464">
        <f>C386</f>
        <v>5400</v>
      </c>
      <c r="K388" s="517">
        <f>'Distribution Rate Schedule'!D$43</f>
        <v>-0.6</v>
      </c>
      <c r="L388" s="468">
        <f>+J388*K388</f>
        <v>-3240</v>
      </c>
      <c r="M388" s="468">
        <f t="shared" si="35"/>
        <v>0</v>
      </c>
      <c r="N388" s="469">
        <f t="shared" si="36"/>
        <v>0</v>
      </c>
      <c r="O388" s="470">
        <f>L388/L398</f>
        <v>-0.012027042076004132</v>
      </c>
      <c r="P388" s="71"/>
    </row>
    <row r="389" spans="2:16" ht="18" customHeight="1">
      <c r="B389" s="78"/>
      <c r="C389" s="29"/>
      <c r="D389" s="29"/>
      <c r="E389" s="29"/>
      <c r="F389" s="496" t="s">
        <v>238</v>
      </c>
      <c r="G389" s="464">
        <f>+C386</f>
        <v>5400</v>
      </c>
      <c r="H389" s="517">
        <f>'2010 Existing Rates'!D$24</f>
        <v>-1.0611</v>
      </c>
      <c r="I389" s="468">
        <f>+G389*H389</f>
        <v>-5729.94</v>
      </c>
      <c r="J389" s="464">
        <f>+C386</f>
        <v>5400</v>
      </c>
      <c r="K389" s="517">
        <f>'2011 Rate Rider'!C$7</f>
        <v>-1.0611</v>
      </c>
      <c r="L389" s="468">
        <f>+J389*K389</f>
        <v>-5729.94</v>
      </c>
      <c r="M389" s="468">
        <f t="shared" si="35"/>
        <v>0</v>
      </c>
      <c r="N389" s="469">
        <f t="shared" si="36"/>
        <v>0</v>
      </c>
      <c r="O389" s="470">
        <f>L389/L398</f>
        <v>-0.021269823911413306</v>
      </c>
      <c r="P389" s="71"/>
    </row>
    <row r="390" spans="2:16" ht="18" customHeight="1">
      <c r="B390" s="78"/>
      <c r="C390" s="29"/>
      <c r="D390" s="29"/>
      <c r="E390" s="29"/>
      <c r="F390" s="496" t="s">
        <v>239</v>
      </c>
      <c r="G390" s="464">
        <f>C386</f>
        <v>5400</v>
      </c>
      <c r="H390" s="465">
        <v>0</v>
      </c>
      <c r="I390" s="468">
        <f>+G390*H390</f>
        <v>0</v>
      </c>
      <c r="J390" s="464">
        <f>C386</f>
        <v>5400</v>
      </c>
      <c r="K390" s="467">
        <f>'2011 Rate Rider'!C$31</f>
        <v>0</v>
      </c>
      <c r="L390" s="468">
        <f>+J390*K390</f>
        <v>0</v>
      </c>
      <c r="M390" s="468">
        <f t="shared" si="35"/>
        <v>0</v>
      </c>
      <c r="N390" s="469">
        <f>IF(I390=0,0,M390/I390)</f>
        <v>0</v>
      </c>
      <c r="O390" s="470">
        <f>L390/L398</f>
        <v>0</v>
      </c>
      <c r="P390" s="71"/>
    </row>
    <row r="391" spans="2:16" ht="18" customHeight="1" thickBot="1">
      <c r="B391" s="78"/>
      <c r="C391" s="29"/>
      <c r="D391" s="29"/>
      <c r="E391" s="29"/>
      <c r="F391" s="496" t="s">
        <v>240</v>
      </c>
      <c r="G391" s="464">
        <f>C386</f>
        <v>5400</v>
      </c>
      <c r="H391" s="465">
        <v>0</v>
      </c>
      <c r="I391" s="468">
        <f>+G391*H391</f>
        <v>0</v>
      </c>
      <c r="J391" s="464">
        <f>C386</f>
        <v>5400</v>
      </c>
      <c r="K391" s="467">
        <f>'2011 Rate Rider'!C$19</f>
        <v>0.7109</v>
      </c>
      <c r="L391" s="468">
        <f>+J391*K391</f>
        <v>3838.8599999999997</v>
      </c>
      <c r="M391" s="468">
        <f t="shared" si="35"/>
        <v>3838.8599999999997</v>
      </c>
      <c r="N391" s="469">
        <v>1</v>
      </c>
      <c r="O391" s="470">
        <f>L391/L398</f>
        <v>0.014250040353052228</v>
      </c>
      <c r="P391" s="71"/>
    </row>
    <row r="392" spans="2:16" ht="18" customHeight="1" thickBot="1">
      <c r="B392" s="78"/>
      <c r="C392" s="29"/>
      <c r="D392" s="29"/>
      <c r="E392" s="29"/>
      <c r="F392" s="219" t="s">
        <v>78</v>
      </c>
      <c r="G392" s="637"/>
      <c r="H392" s="637"/>
      <c r="I392" s="473">
        <f>SUM(I384:I391)</f>
        <v>11425.810000000001</v>
      </c>
      <c r="J392" s="637"/>
      <c r="K392" s="637"/>
      <c r="L392" s="473">
        <f>SUM(L384:L391)</f>
        <v>15282.270000000004</v>
      </c>
      <c r="M392" s="474">
        <f>SUM(M384:M391)</f>
        <v>3856.4600000000005</v>
      </c>
      <c r="N392" s="475">
        <f t="shared" si="36"/>
        <v>0.3375218037058204</v>
      </c>
      <c r="O392" s="476">
        <f>L392/L398</f>
        <v>0.0567285507119925</v>
      </c>
      <c r="P392" s="71"/>
    </row>
    <row r="393" spans="2:16" ht="18" customHeight="1">
      <c r="B393" s="78"/>
      <c r="C393" s="29"/>
      <c r="D393" s="29"/>
      <c r="E393" s="29"/>
      <c r="F393" s="229" t="s">
        <v>79</v>
      </c>
      <c r="G393" s="464">
        <f>+C385*'Other Electriciy Rates'!$N$9</f>
        <v>2410800</v>
      </c>
      <c r="H393" s="477">
        <f>'Other Electriciy Rates'!E$9</f>
        <v>0.0138725</v>
      </c>
      <c r="I393" s="466">
        <f>+G393*H393</f>
        <v>33443.823</v>
      </c>
      <c r="J393" s="464">
        <f>+C385*'Other Electriciy Rates'!$O$9</f>
        <v>2406000</v>
      </c>
      <c r="K393" s="477">
        <f>+'Other Electriciy Rates'!$F$9</f>
        <v>0.0138725</v>
      </c>
      <c r="L393" s="468">
        <f>+J393*K393</f>
        <v>33377.235</v>
      </c>
      <c r="M393" s="468">
        <f>+L393-I393</f>
        <v>-66.5879999999961</v>
      </c>
      <c r="N393" s="469">
        <f aca="true" t="shared" si="37" ref="N393:N398">+M393/I393</f>
        <v>-0.0019910403185663347</v>
      </c>
      <c r="O393" s="470">
        <f>L393/L398</f>
        <v>0.12389796596471536</v>
      </c>
      <c r="P393" s="71"/>
    </row>
    <row r="394" spans="2:16" ht="18" customHeight="1">
      <c r="B394" s="78"/>
      <c r="C394" s="29"/>
      <c r="D394" s="29"/>
      <c r="E394" s="29"/>
      <c r="F394" s="229" t="s">
        <v>86</v>
      </c>
      <c r="G394" s="464">
        <f>+C386*'Other Electriciy Rates'!$N$9</f>
        <v>5424.299999999999</v>
      </c>
      <c r="H394" s="477">
        <f>'Other Electriciy Rates'!J$9</f>
        <v>4.2141</v>
      </c>
      <c r="I394" s="466">
        <f>+G394*H394</f>
        <v>22858.542629999996</v>
      </c>
      <c r="J394" s="464">
        <f>+C386*'Other Electriciy Rates'!$O$9</f>
        <v>5413.5</v>
      </c>
      <c r="K394" s="477">
        <f>+'Other Electriciy Rates'!$K$9</f>
        <v>4.2141</v>
      </c>
      <c r="L394" s="468">
        <f>+J394*K394</f>
        <v>22813.03035</v>
      </c>
      <c r="M394" s="468">
        <f>+L394-I394</f>
        <v>-45.51227999999537</v>
      </c>
      <c r="N394" s="469">
        <f t="shared" si="37"/>
        <v>-0.001991040318566249</v>
      </c>
      <c r="O394" s="470">
        <f>L394/L398</f>
        <v>0.08468310984586706</v>
      </c>
      <c r="P394" s="71"/>
    </row>
    <row r="395" spans="2:16" ht="18" customHeight="1" thickBot="1">
      <c r="B395" s="78"/>
      <c r="C395" s="29"/>
      <c r="D395" s="29"/>
      <c r="E395" s="29"/>
      <c r="F395" s="229" t="s">
        <v>80</v>
      </c>
      <c r="G395" s="464">
        <f>+C385*'Other Electriciy Rates'!$N$9</f>
        <v>2410800</v>
      </c>
      <c r="H395" s="477">
        <f>+'Other Electriciy Rates'!$L$9</f>
        <v>0.06938</v>
      </c>
      <c r="I395" s="466">
        <f>+G395*H395</f>
        <v>167261.304</v>
      </c>
      <c r="J395" s="464">
        <f>+C385*'Other Electriciy Rates'!$O$9</f>
        <v>2406000</v>
      </c>
      <c r="K395" s="477">
        <f>+'Other Electriciy Rates'!$L$9</f>
        <v>0.06938</v>
      </c>
      <c r="L395" s="468">
        <f>+J395*K395</f>
        <v>166928.28</v>
      </c>
      <c r="M395" s="468">
        <f>+L395-I395</f>
        <v>-333.0240000000049</v>
      </c>
      <c r="N395" s="469">
        <f t="shared" si="37"/>
        <v>-0.00199104031856648</v>
      </c>
      <c r="O395" s="470">
        <f>L395/L398</f>
        <v>0.6196461256898145</v>
      </c>
      <c r="P395" s="71"/>
    </row>
    <row r="396" spans="2:16" ht="18" customHeight="1" thickBot="1">
      <c r="B396" s="78"/>
      <c r="C396" s="29"/>
      <c r="D396" s="29"/>
      <c r="E396" s="29"/>
      <c r="F396" s="219" t="s">
        <v>172</v>
      </c>
      <c r="G396" s="637"/>
      <c r="H396" s="637"/>
      <c r="I396" s="473">
        <f>SUM(I392:I395)</f>
        <v>234989.47963000002</v>
      </c>
      <c r="J396" s="637"/>
      <c r="K396" s="637"/>
      <c r="L396" s="473">
        <f>SUM(L392:L395)</f>
        <v>238400.81535</v>
      </c>
      <c r="M396" s="473">
        <f>SUM(M392:M395)</f>
        <v>3411.335720000004</v>
      </c>
      <c r="N396" s="475">
        <f t="shared" si="37"/>
        <v>0.014516972101777848</v>
      </c>
      <c r="O396" s="476">
        <f>L396/L398</f>
        <v>0.8849557522123894</v>
      </c>
      <c r="P396" s="71"/>
    </row>
    <row r="397" spans="2:16" ht="18" customHeight="1" thickBot="1">
      <c r="B397" s="78"/>
      <c r="C397" s="29"/>
      <c r="D397" s="29"/>
      <c r="E397" s="29"/>
      <c r="F397" s="496" t="s">
        <v>252</v>
      </c>
      <c r="G397" s="464"/>
      <c r="H397" s="478">
        <v>0.13</v>
      </c>
      <c r="I397" s="466">
        <f>I396*H397</f>
        <v>30548.632351900003</v>
      </c>
      <c r="J397" s="464"/>
      <c r="K397" s="478">
        <v>0.13</v>
      </c>
      <c r="L397" s="468">
        <f>L396*K397</f>
        <v>30992.1059955</v>
      </c>
      <c r="M397" s="468">
        <f>+L397-I397</f>
        <v>443.47364359999483</v>
      </c>
      <c r="N397" s="469">
        <f t="shared" si="37"/>
        <v>0.01451697210177766</v>
      </c>
      <c r="O397" s="470">
        <f>L397/L398</f>
        <v>0.11504424778761062</v>
      </c>
      <c r="P397" s="71"/>
    </row>
    <row r="398" spans="2:16" ht="18" customHeight="1" thickBot="1">
      <c r="B398" s="78"/>
      <c r="C398" s="29"/>
      <c r="D398" s="29"/>
      <c r="E398" s="33"/>
      <c r="F398" s="220" t="s">
        <v>81</v>
      </c>
      <c r="G398" s="637"/>
      <c r="H398" s="637"/>
      <c r="I398" s="473">
        <f>SUM(I396:I397)</f>
        <v>265538.1119819</v>
      </c>
      <c r="J398" s="637"/>
      <c r="K398" s="637"/>
      <c r="L398" s="473">
        <f>SUM(L396:L397)</f>
        <v>269392.9213455</v>
      </c>
      <c r="M398" s="473">
        <f>SUM(M396:M397)</f>
        <v>3854.809363599999</v>
      </c>
      <c r="N398" s="475">
        <f t="shared" si="37"/>
        <v>0.014516972101777827</v>
      </c>
      <c r="O398" s="476">
        <f>SUM(O396:O397)</f>
        <v>1</v>
      </c>
      <c r="P398" s="71"/>
    </row>
    <row r="399" spans="2:16" ht="6.75" customHeight="1" thickBot="1">
      <c r="B399" s="72"/>
      <c r="C399" s="87"/>
      <c r="D399" s="87"/>
      <c r="E399" s="87"/>
      <c r="F399" s="88"/>
      <c r="G399" s="89"/>
      <c r="H399" s="90"/>
      <c r="I399" s="91"/>
      <c r="J399" s="89"/>
      <c r="K399" s="92"/>
      <c r="L399" s="91"/>
      <c r="M399" s="93"/>
      <c r="N399" s="94"/>
      <c r="O399" s="95"/>
      <c r="P399" s="77"/>
    </row>
    <row r="400" spans="3:15" ht="6.75" customHeight="1" thickBot="1">
      <c r="C400" s="29"/>
      <c r="D400" s="29"/>
      <c r="E400" s="29"/>
      <c r="F400" s="41"/>
      <c r="G400" s="42"/>
      <c r="H400" s="43"/>
      <c r="I400" s="44"/>
      <c r="J400" s="42"/>
      <c r="K400" s="45"/>
      <c r="L400" s="44"/>
      <c r="M400" s="46"/>
      <c r="N400" s="84"/>
      <c r="O400" s="85"/>
    </row>
    <row r="401" spans="2:16" ht="6.75" customHeight="1">
      <c r="B401" s="82"/>
      <c r="C401" s="628"/>
      <c r="D401" s="628"/>
      <c r="E401" s="628"/>
      <c r="F401" s="628"/>
      <c r="G401" s="628"/>
      <c r="H401" s="628"/>
      <c r="I401" s="628"/>
      <c r="J401" s="628"/>
      <c r="K401" s="628"/>
      <c r="L401" s="628"/>
      <c r="M401" s="628"/>
      <c r="N401" s="628"/>
      <c r="O401" s="628"/>
      <c r="P401" s="70"/>
    </row>
    <row r="402" spans="2:16" ht="23.25">
      <c r="B402" s="78"/>
      <c r="C402" s="626" t="s">
        <v>89</v>
      </c>
      <c r="D402" s="626"/>
      <c r="E402" s="626"/>
      <c r="F402" s="626"/>
      <c r="G402" s="626"/>
      <c r="H402" s="626"/>
      <c r="I402" s="626"/>
      <c r="J402" s="626"/>
      <c r="K402" s="626"/>
      <c r="L402" s="626"/>
      <c r="M402" s="626"/>
      <c r="N402" s="626"/>
      <c r="O402" s="626"/>
      <c r="P402" s="71"/>
    </row>
    <row r="403" spans="2:16" ht="6.75" customHeight="1" thickBot="1">
      <c r="B403" s="78"/>
      <c r="C403" s="627"/>
      <c r="D403" s="627"/>
      <c r="E403" s="627"/>
      <c r="F403" s="627"/>
      <c r="G403" s="627"/>
      <c r="H403" s="627"/>
      <c r="I403" s="627"/>
      <c r="J403" s="627"/>
      <c r="K403" s="627"/>
      <c r="L403" s="627"/>
      <c r="M403" s="627"/>
      <c r="N403" s="627"/>
      <c r="O403" s="627"/>
      <c r="P403" s="71"/>
    </row>
    <row r="404" spans="2:16" ht="21" thickBot="1">
      <c r="B404" s="78"/>
      <c r="C404" s="80"/>
      <c r="D404" s="80"/>
      <c r="E404" s="29"/>
      <c r="F404" s="35"/>
      <c r="G404" s="633" t="str">
        <f>$G$8</f>
        <v>2010 BILL</v>
      </c>
      <c r="H404" s="634"/>
      <c r="I404" s="635"/>
      <c r="J404" s="633" t="str">
        <f>$J$8</f>
        <v>2011 BILL</v>
      </c>
      <c r="K404" s="634"/>
      <c r="L404" s="635"/>
      <c r="M404" s="633" t="s">
        <v>74</v>
      </c>
      <c r="N404" s="634"/>
      <c r="O404" s="635"/>
      <c r="P404" s="71"/>
    </row>
    <row r="405" spans="2:16" ht="26.25" thickBot="1">
      <c r="B405" s="78"/>
      <c r="C405" s="29"/>
      <c r="D405" s="29"/>
      <c r="E405" s="31"/>
      <c r="F405" s="232"/>
      <c r="G405" s="518" t="s">
        <v>68</v>
      </c>
      <c r="H405" s="519" t="s">
        <v>69</v>
      </c>
      <c r="I405" s="520" t="s">
        <v>70</v>
      </c>
      <c r="J405" s="521" t="s">
        <v>68</v>
      </c>
      <c r="K405" s="519" t="s">
        <v>69</v>
      </c>
      <c r="L405" s="520" t="s">
        <v>70</v>
      </c>
      <c r="M405" s="225" t="s">
        <v>82</v>
      </c>
      <c r="N405" s="226" t="s">
        <v>83</v>
      </c>
      <c r="O405" s="227" t="s">
        <v>77</v>
      </c>
      <c r="P405" s="71"/>
    </row>
    <row r="406" spans="2:16" ht="18" customHeight="1" thickBot="1">
      <c r="B406" s="78"/>
      <c r="C406" s="624" t="s">
        <v>71</v>
      </c>
      <c r="D406" s="625"/>
      <c r="E406" s="29"/>
      <c r="F406" s="228" t="s">
        <v>72</v>
      </c>
      <c r="G406" s="471"/>
      <c r="H406" s="471"/>
      <c r="I406" s="466">
        <f>'2010 Existing Rates'!C9</f>
        <v>4722.33</v>
      </c>
      <c r="J406" s="471"/>
      <c r="K406" s="471"/>
      <c r="L406" s="468">
        <f>'Distribution Rate Schedule'!C36</f>
        <v>4749.47</v>
      </c>
      <c r="M406" s="468">
        <f aca="true" t="shared" si="38" ref="M406:M413">+L406-I406</f>
        <v>27.140000000000327</v>
      </c>
      <c r="N406" s="469">
        <f aca="true" t="shared" si="39" ref="N406:N414">+M406/I406</f>
        <v>0.005747162947104571</v>
      </c>
      <c r="O406" s="470">
        <f>L406/L420</f>
        <v>0.013567456559855999</v>
      </c>
      <c r="P406" s="71"/>
    </row>
    <row r="407" spans="2:16" ht="18" customHeight="1" thickBot="1">
      <c r="B407" s="78"/>
      <c r="C407" s="214">
        <v>3100000</v>
      </c>
      <c r="D407" s="222" t="s">
        <v>16</v>
      </c>
      <c r="E407" s="29"/>
      <c r="F407" s="229" t="s">
        <v>73</v>
      </c>
      <c r="G407" s="464">
        <f>+C407</f>
        <v>3100000</v>
      </c>
      <c r="H407" s="465">
        <v>0</v>
      </c>
      <c r="I407" s="466">
        <f>+G407*H407</f>
        <v>0</v>
      </c>
      <c r="J407" s="464">
        <f>+C407</f>
        <v>3100000</v>
      </c>
      <c r="K407" s="467">
        <v>0</v>
      </c>
      <c r="L407" s="468">
        <f>+J407*K407</f>
        <v>0</v>
      </c>
      <c r="M407" s="468">
        <f t="shared" si="38"/>
        <v>0</v>
      </c>
      <c r="N407" s="469">
        <f>IF(I407=0,0,M407/I407)</f>
        <v>0</v>
      </c>
      <c r="O407" s="470">
        <f>L407/L420</f>
        <v>0</v>
      </c>
      <c r="P407" s="71"/>
    </row>
    <row r="408" spans="2:16" ht="18" customHeight="1" thickBot="1">
      <c r="B408" s="78"/>
      <c r="C408" s="214">
        <v>7500</v>
      </c>
      <c r="D408" s="222" t="s">
        <v>17</v>
      </c>
      <c r="E408" s="29"/>
      <c r="F408" s="229" t="s">
        <v>84</v>
      </c>
      <c r="G408" s="464">
        <f>+C408</f>
        <v>7500</v>
      </c>
      <c r="H408" s="465">
        <f>'2010 Existing Rates'!D$9</f>
        <v>2.9023</v>
      </c>
      <c r="I408" s="466">
        <f>+G408*H408</f>
        <v>21767.25</v>
      </c>
      <c r="J408" s="464">
        <f>+C408</f>
        <v>7500</v>
      </c>
      <c r="K408" s="467">
        <f>+'Distribution Rate Schedule'!$D$36</f>
        <v>2.9005</v>
      </c>
      <c r="L408" s="468">
        <f>+J408*K408</f>
        <v>21753.75</v>
      </c>
      <c r="M408" s="468">
        <f t="shared" si="38"/>
        <v>-13.5</v>
      </c>
      <c r="N408" s="469">
        <f t="shared" si="39"/>
        <v>-0.0006201977741790994</v>
      </c>
      <c r="O408" s="470">
        <f>L408/L420</f>
        <v>0.062142314434866924</v>
      </c>
      <c r="P408" s="71"/>
    </row>
    <row r="409" spans="2:16" ht="18" customHeight="1">
      <c r="B409" s="78"/>
      <c r="C409" s="52"/>
      <c r="D409" s="53"/>
      <c r="E409" s="29"/>
      <c r="F409" s="229" t="s">
        <v>144</v>
      </c>
      <c r="G409" s="471"/>
      <c r="H409" s="471"/>
      <c r="I409" s="466">
        <f>'2010 Existing Rates'!B$66</f>
        <v>1</v>
      </c>
      <c r="J409" s="471"/>
      <c r="K409" s="471"/>
      <c r="L409" s="468">
        <f>'2011 Rate Rider'!D$7</f>
        <v>1.18</v>
      </c>
      <c r="M409" s="468">
        <f t="shared" si="38"/>
        <v>0.17999999999999994</v>
      </c>
      <c r="N409" s="469">
        <f t="shared" si="39"/>
        <v>0.17999999999999994</v>
      </c>
      <c r="O409" s="470">
        <f>L409/L420</f>
        <v>3.3708179524515527E-06</v>
      </c>
      <c r="P409" s="71"/>
    </row>
    <row r="410" spans="2:16" ht="18" customHeight="1">
      <c r="B410" s="78"/>
      <c r="C410" s="52"/>
      <c r="D410" s="53"/>
      <c r="E410" s="29"/>
      <c r="F410" s="229" t="s">
        <v>168</v>
      </c>
      <c r="G410" s="464">
        <f>C408</f>
        <v>7500</v>
      </c>
      <c r="H410" s="517">
        <f>'2010 Existing Rates'!D$15</f>
        <v>-0.6</v>
      </c>
      <c r="I410" s="468">
        <f>+G410*H410</f>
        <v>-4500</v>
      </c>
      <c r="J410" s="464">
        <f>C408</f>
        <v>7500</v>
      </c>
      <c r="K410" s="517">
        <f>'Distribution Rate Schedule'!D$43</f>
        <v>-0.6</v>
      </c>
      <c r="L410" s="468">
        <f>+J410*K410</f>
        <v>-4500</v>
      </c>
      <c r="M410" s="468">
        <f t="shared" si="38"/>
        <v>0</v>
      </c>
      <c r="N410" s="469">
        <f t="shared" si="39"/>
        <v>0</v>
      </c>
      <c r="O410" s="470">
        <f>L410/L420</f>
        <v>-0.012854814225450838</v>
      </c>
      <c r="P410" s="71"/>
    </row>
    <row r="411" spans="2:16" ht="18" customHeight="1">
      <c r="B411" s="78"/>
      <c r="C411" s="29"/>
      <c r="D411" s="29"/>
      <c r="E411" s="29"/>
      <c r="F411" s="496" t="s">
        <v>238</v>
      </c>
      <c r="G411" s="464">
        <f>+C408</f>
        <v>7500</v>
      </c>
      <c r="H411" s="517">
        <f>'2010 Existing Rates'!D$24</f>
        <v>-1.0611</v>
      </c>
      <c r="I411" s="468">
        <f>+G411*H411</f>
        <v>-7958.249999999999</v>
      </c>
      <c r="J411" s="464">
        <f>+C408</f>
        <v>7500</v>
      </c>
      <c r="K411" s="517">
        <f>'2011 Rate Rider'!C$7</f>
        <v>-1.0611</v>
      </c>
      <c r="L411" s="468">
        <f>+J411*K411</f>
        <v>-7958.249999999999</v>
      </c>
      <c r="M411" s="468">
        <f t="shared" si="38"/>
        <v>0</v>
      </c>
      <c r="N411" s="469">
        <f t="shared" si="39"/>
        <v>0</v>
      </c>
      <c r="O411" s="470">
        <f>L411/L420</f>
        <v>-0.022733738957709804</v>
      </c>
      <c r="P411" s="71"/>
    </row>
    <row r="412" spans="2:16" ht="18" customHeight="1">
      <c r="B412" s="78"/>
      <c r="C412" s="29"/>
      <c r="D412" s="29"/>
      <c r="E412" s="29"/>
      <c r="F412" s="496" t="s">
        <v>239</v>
      </c>
      <c r="G412" s="464">
        <f>C408</f>
        <v>7500</v>
      </c>
      <c r="H412" s="465">
        <v>0</v>
      </c>
      <c r="I412" s="468">
        <f>+G412*H412</f>
        <v>0</v>
      </c>
      <c r="J412" s="464">
        <f>C408</f>
        <v>7500</v>
      </c>
      <c r="K412" s="467">
        <f>'2011 Rate Rider'!C$31</f>
        <v>0</v>
      </c>
      <c r="L412" s="468">
        <f>+J412*K412</f>
        <v>0</v>
      </c>
      <c r="M412" s="468">
        <f t="shared" si="38"/>
        <v>0</v>
      </c>
      <c r="N412" s="469">
        <f>IF(I412=0,0,M412/I412)</f>
        <v>0</v>
      </c>
      <c r="O412" s="470">
        <f>L412/L420</f>
        <v>0</v>
      </c>
      <c r="P412" s="71"/>
    </row>
    <row r="413" spans="2:16" ht="18" customHeight="1" thickBot="1">
      <c r="B413" s="78"/>
      <c r="C413" s="29"/>
      <c r="D413" s="29"/>
      <c r="E413" s="29"/>
      <c r="F413" s="496" t="s">
        <v>240</v>
      </c>
      <c r="G413" s="464">
        <f>C408</f>
        <v>7500</v>
      </c>
      <c r="H413" s="465">
        <v>0</v>
      </c>
      <c r="I413" s="468">
        <f>+G413*H413</f>
        <v>0</v>
      </c>
      <c r="J413" s="464">
        <f>C408</f>
        <v>7500</v>
      </c>
      <c r="K413" s="467">
        <f>'2011 Rate Rider'!C$19</f>
        <v>0.7109</v>
      </c>
      <c r="L413" s="468">
        <f>+J413*K413</f>
        <v>5331.75</v>
      </c>
      <c r="M413" s="468">
        <f t="shared" si="38"/>
        <v>5331.75</v>
      </c>
      <c r="N413" s="469">
        <v>1</v>
      </c>
      <c r="O413" s="470">
        <f>L413/L420</f>
        <v>0.015230812388121667</v>
      </c>
      <c r="P413" s="71"/>
    </row>
    <row r="414" spans="2:16" ht="18" customHeight="1" thickBot="1">
      <c r="B414" s="78"/>
      <c r="C414" s="29"/>
      <c r="D414" s="29"/>
      <c r="E414" s="29"/>
      <c r="F414" s="219" t="s">
        <v>78</v>
      </c>
      <c r="G414" s="637"/>
      <c r="H414" s="637"/>
      <c r="I414" s="473">
        <f>SUM(I406:I413)</f>
        <v>14032.330000000002</v>
      </c>
      <c r="J414" s="637"/>
      <c r="K414" s="637"/>
      <c r="L414" s="473">
        <f>SUM(L406:L413)</f>
        <v>19377.9</v>
      </c>
      <c r="M414" s="474">
        <f>SUM(M406:M413)</f>
        <v>5345.570000000001</v>
      </c>
      <c r="N414" s="475">
        <f t="shared" si="39"/>
        <v>0.3809467137674214</v>
      </c>
      <c r="O414" s="476">
        <f>L414/L420</f>
        <v>0.0553554010176364</v>
      </c>
      <c r="P414" s="71"/>
    </row>
    <row r="415" spans="2:16" ht="18" customHeight="1">
      <c r="B415" s="78"/>
      <c r="C415" s="29"/>
      <c r="D415" s="29"/>
      <c r="E415" s="29"/>
      <c r="F415" s="229" t="s">
        <v>79</v>
      </c>
      <c r="G415" s="464">
        <f>+C407*'Other Electriciy Rates'!$N$9</f>
        <v>3113950</v>
      </c>
      <c r="H415" s="477">
        <f>'Other Electriciy Rates'!E$9</f>
        <v>0.0138725</v>
      </c>
      <c r="I415" s="466">
        <f>+G415*H415</f>
        <v>43198.271375</v>
      </c>
      <c r="J415" s="464">
        <f>+C407*'Other Electriciy Rates'!$O$9</f>
        <v>3107750</v>
      </c>
      <c r="K415" s="477">
        <f>+'Other Electriciy Rates'!$F$9</f>
        <v>0.0138725</v>
      </c>
      <c r="L415" s="468">
        <f>+J415*K415</f>
        <v>43112.261875</v>
      </c>
      <c r="M415" s="468">
        <f>+L415-I415</f>
        <v>-86.00950000000012</v>
      </c>
      <c r="N415" s="469">
        <f aca="true" t="shared" si="40" ref="N415:N420">+M415/I415</f>
        <v>-0.001991040318566454</v>
      </c>
      <c r="O415" s="470">
        <f>L415/L420</f>
        <v>0.12315558160935816</v>
      </c>
      <c r="P415" s="71"/>
    </row>
    <row r="416" spans="2:16" ht="18" customHeight="1">
      <c r="B416" s="78"/>
      <c r="C416" s="29"/>
      <c r="D416" s="29"/>
      <c r="E416" s="29"/>
      <c r="F416" s="229" t="s">
        <v>86</v>
      </c>
      <c r="G416" s="464">
        <f>+C408*'Other Electriciy Rates'!$N$9</f>
        <v>7533.75</v>
      </c>
      <c r="H416" s="477">
        <f>'Other Electriciy Rates'!J$9</f>
        <v>4.2141</v>
      </c>
      <c r="I416" s="466">
        <f>+G416*H416</f>
        <v>31747.975875</v>
      </c>
      <c r="J416" s="464">
        <f>+C408*'Other Electriciy Rates'!$O$9</f>
        <v>7518.75</v>
      </c>
      <c r="K416" s="477">
        <f>+'Other Electriciy Rates'!$K$9</f>
        <v>4.2141</v>
      </c>
      <c r="L416" s="468">
        <f>+J416*K416</f>
        <v>31684.764375000002</v>
      </c>
      <c r="M416" s="468">
        <f>+L416-I416</f>
        <v>-63.21149999999761</v>
      </c>
      <c r="N416" s="469">
        <f t="shared" si="40"/>
        <v>-0.001991040318566376</v>
      </c>
      <c r="O416" s="470">
        <f>L416/L420</f>
        <v>0.09051150218173509</v>
      </c>
      <c r="P416" s="71"/>
    </row>
    <row r="417" spans="2:16" ht="18" customHeight="1" thickBot="1">
      <c r="B417" s="78"/>
      <c r="C417" s="29"/>
      <c r="D417" s="29"/>
      <c r="E417" s="29"/>
      <c r="F417" s="229" t="s">
        <v>80</v>
      </c>
      <c r="G417" s="464">
        <f>+C407*'Other Electriciy Rates'!$N$9</f>
        <v>3113950</v>
      </c>
      <c r="H417" s="477">
        <f>+'Other Electriciy Rates'!$L$9</f>
        <v>0.06938</v>
      </c>
      <c r="I417" s="466">
        <f>+G417*H417</f>
        <v>216045.851</v>
      </c>
      <c r="J417" s="464">
        <f>+C407*'Other Electriciy Rates'!$O$9</f>
        <v>3107750</v>
      </c>
      <c r="K417" s="477">
        <f>+'Other Electriciy Rates'!$L$9</f>
        <v>0.06938</v>
      </c>
      <c r="L417" s="468">
        <f>+J417*K417</f>
        <v>215615.69499999998</v>
      </c>
      <c r="M417" s="468">
        <f>+L417-I417</f>
        <v>-430.15600000001723</v>
      </c>
      <c r="N417" s="469">
        <f t="shared" si="40"/>
        <v>-0.0019910403185665307</v>
      </c>
      <c r="O417" s="470">
        <f>L417/L420</f>
        <v>0.6159332674036597</v>
      </c>
      <c r="P417" s="71"/>
    </row>
    <row r="418" spans="2:16" ht="18" customHeight="1" thickBot="1">
      <c r="B418" s="78"/>
      <c r="C418" s="29"/>
      <c r="D418" s="29"/>
      <c r="E418" s="29"/>
      <c r="F418" s="219" t="s">
        <v>172</v>
      </c>
      <c r="G418" s="637"/>
      <c r="H418" s="637"/>
      <c r="I418" s="473">
        <f>SUM(I414:I417)</f>
        <v>305024.42825</v>
      </c>
      <c r="J418" s="637"/>
      <c r="K418" s="637"/>
      <c r="L418" s="473">
        <f>SUM(L414:L417)</f>
        <v>309790.62124999997</v>
      </c>
      <c r="M418" s="473">
        <f>SUM(M414:M417)</f>
        <v>4766.192999999986</v>
      </c>
      <c r="N418" s="475">
        <f t="shared" si="40"/>
        <v>0.015625610798927825</v>
      </c>
      <c r="O418" s="476">
        <f>L418/L420</f>
        <v>0.8849557522123893</v>
      </c>
      <c r="P418" s="71"/>
    </row>
    <row r="419" spans="2:16" ht="18" customHeight="1" thickBot="1">
      <c r="B419" s="78"/>
      <c r="C419" s="29"/>
      <c r="D419" s="29"/>
      <c r="E419" s="29"/>
      <c r="F419" s="496" t="s">
        <v>252</v>
      </c>
      <c r="G419" s="464"/>
      <c r="H419" s="478">
        <v>0.13</v>
      </c>
      <c r="I419" s="466">
        <f>I418*H419</f>
        <v>39653.1756725</v>
      </c>
      <c r="J419" s="464"/>
      <c r="K419" s="478">
        <v>0.13</v>
      </c>
      <c r="L419" s="468">
        <f>L418*K419</f>
        <v>40272.7807625</v>
      </c>
      <c r="M419" s="468">
        <f>+L419-I419</f>
        <v>619.6050899999973</v>
      </c>
      <c r="N419" s="469">
        <f t="shared" si="40"/>
        <v>0.015625610798927804</v>
      </c>
      <c r="O419" s="470">
        <f>L419/L420</f>
        <v>0.11504424778761062</v>
      </c>
      <c r="P419" s="71"/>
    </row>
    <row r="420" spans="2:16" ht="18" customHeight="1" thickBot="1">
      <c r="B420" s="78"/>
      <c r="C420" s="29"/>
      <c r="D420" s="29"/>
      <c r="E420" s="33"/>
      <c r="F420" s="220" t="s">
        <v>81</v>
      </c>
      <c r="G420" s="637"/>
      <c r="H420" s="637"/>
      <c r="I420" s="473">
        <f>I418+I419</f>
        <v>344677.6039225</v>
      </c>
      <c r="J420" s="637"/>
      <c r="K420" s="637"/>
      <c r="L420" s="473">
        <f>L418+L419</f>
        <v>350063.4020125</v>
      </c>
      <c r="M420" s="473">
        <f>M418+M419</f>
        <v>5385.798089999983</v>
      </c>
      <c r="N420" s="475">
        <f t="shared" si="40"/>
        <v>0.015625610798927825</v>
      </c>
      <c r="O420" s="476">
        <f>O418+O419</f>
        <v>0.9999999999999999</v>
      </c>
      <c r="P420" s="71"/>
    </row>
    <row r="421" spans="2:16" ht="6.75" customHeight="1" thickBot="1">
      <c r="B421" s="72"/>
      <c r="C421" s="87"/>
      <c r="D421" s="87"/>
      <c r="E421" s="87"/>
      <c r="F421" s="88"/>
      <c r="G421" s="89"/>
      <c r="H421" s="90"/>
      <c r="I421" s="91"/>
      <c r="J421" s="89"/>
      <c r="K421" s="92"/>
      <c r="L421" s="91"/>
      <c r="M421" s="93"/>
      <c r="N421" s="94"/>
      <c r="O421" s="95"/>
      <c r="P421" s="77"/>
    </row>
    <row r="422" spans="3:15" ht="6.75" customHeight="1" thickBot="1">
      <c r="C422" s="29"/>
      <c r="D422" s="29"/>
      <c r="E422" s="29"/>
      <c r="F422" s="41"/>
      <c r="G422" s="42"/>
      <c r="H422" s="43"/>
      <c r="I422" s="44"/>
      <c r="J422" s="42"/>
      <c r="K422" s="45"/>
      <c r="L422" s="44"/>
      <c r="M422" s="46"/>
      <c r="N422" s="84"/>
      <c r="O422" s="85"/>
    </row>
    <row r="423" spans="2:16" ht="6.75" customHeight="1">
      <c r="B423" s="82"/>
      <c r="C423" s="628"/>
      <c r="D423" s="628"/>
      <c r="E423" s="628"/>
      <c r="F423" s="628"/>
      <c r="G423" s="628"/>
      <c r="H423" s="628"/>
      <c r="I423" s="628"/>
      <c r="J423" s="628"/>
      <c r="K423" s="628"/>
      <c r="L423" s="628"/>
      <c r="M423" s="628"/>
      <c r="N423" s="628"/>
      <c r="O423" s="628"/>
      <c r="P423" s="70"/>
    </row>
    <row r="424" spans="2:16" ht="23.25">
      <c r="B424" s="78"/>
      <c r="C424" s="626" t="s">
        <v>89</v>
      </c>
      <c r="D424" s="626"/>
      <c r="E424" s="626"/>
      <c r="F424" s="626"/>
      <c r="G424" s="626"/>
      <c r="H424" s="626"/>
      <c r="I424" s="626"/>
      <c r="J424" s="626"/>
      <c r="K424" s="626"/>
      <c r="L424" s="626"/>
      <c r="M424" s="626"/>
      <c r="N424" s="626"/>
      <c r="O424" s="626"/>
      <c r="P424" s="71"/>
    </row>
    <row r="425" spans="2:16" ht="6.75" customHeight="1" thickBot="1">
      <c r="B425" s="78"/>
      <c r="C425" s="627"/>
      <c r="D425" s="627"/>
      <c r="E425" s="627"/>
      <c r="F425" s="627"/>
      <c r="G425" s="627"/>
      <c r="H425" s="627"/>
      <c r="I425" s="627"/>
      <c r="J425" s="627"/>
      <c r="K425" s="627"/>
      <c r="L425" s="627"/>
      <c r="M425" s="627"/>
      <c r="N425" s="627"/>
      <c r="O425" s="627"/>
      <c r="P425" s="71"/>
    </row>
    <row r="426" spans="2:16" ht="21" thickBot="1">
      <c r="B426" s="78"/>
      <c r="C426" s="80"/>
      <c r="D426" s="80"/>
      <c r="E426" s="29"/>
      <c r="F426" s="35"/>
      <c r="G426" s="633" t="str">
        <f>$G$8</f>
        <v>2010 BILL</v>
      </c>
      <c r="H426" s="634"/>
      <c r="I426" s="635"/>
      <c r="J426" s="633" t="str">
        <f>$J$8</f>
        <v>2011 BILL</v>
      </c>
      <c r="K426" s="634"/>
      <c r="L426" s="635"/>
      <c r="M426" s="633" t="s">
        <v>74</v>
      </c>
      <c r="N426" s="634"/>
      <c r="O426" s="635"/>
      <c r="P426" s="71"/>
    </row>
    <row r="427" spans="2:16" ht="26.25" thickBot="1">
      <c r="B427" s="78"/>
      <c r="C427" s="29"/>
      <c r="D427" s="29"/>
      <c r="E427" s="31"/>
      <c r="F427" s="232"/>
      <c r="G427" s="518" t="s">
        <v>68</v>
      </c>
      <c r="H427" s="519" t="s">
        <v>69</v>
      </c>
      <c r="I427" s="520" t="s">
        <v>70</v>
      </c>
      <c r="J427" s="521" t="s">
        <v>68</v>
      </c>
      <c r="K427" s="519" t="s">
        <v>69</v>
      </c>
      <c r="L427" s="520" t="s">
        <v>70</v>
      </c>
      <c r="M427" s="225" t="s">
        <v>82</v>
      </c>
      <c r="N427" s="226" t="s">
        <v>83</v>
      </c>
      <c r="O427" s="227" t="s">
        <v>77</v>
      </c>
      <c r="P427" s="71"/>
    </row>
    <row r="428" spans="2:16" ht="18" customHeight="1" thickBot="1">
      <c r="B428" s="78"/>
      <c r="C428" s="624" t="s">
        <v>71</v>
      </c>
      <c r="D428" s="625"/>
      <c r="E428" s="29"/>
      <c r="F428" s="228" t="s">
        <v>72</v>
      </c>
      <c r="G428" s="471"/>
      <c r="H428" s="471"/>
      <c r="I428" s="466">
        <f>'2010 Existing Rates'!C9</f>
        <v>4722.33</v>
      </c>
      <c r="J428" s="471"/>
      <c r="K428" s="471"/>
      <c r="L428" s="468">
        <f>'Distribution Rate Schedule'!C36</f>
        <v>4749.47</v>
      </c>
      <c r="M428" s="468">
        <f aca="true" t="shared" si="41" ref="M428:M435">+L428-I428</f>
        <v>27.140000000000327</v>
      </c>
      <c r="N428" s="469">
        <f aca="true" t="shared" si="42" ref="N428:N436">+M428/I428</f>
        <v>0.005747162947104571</v>
      </c>
      <c r="O428" s="470">
        <f>L428/L442</f>
        <v>0.010078468920186653</v>
      </c>
      <c r="P428" s="71"/>
    </row>
    <row r="429" spans="2:16" ht="18" customHeight="1" thickBot="1">
      <c r="B429" s="78"/>
      <c r="C429" s="214">
        <v>4200000</v>
      </c>
      <c r="D429" s="222" t="s">
        <v>16</v>
      </c>
      <c r="E429" s="29"/>
      <c r="F429" s="229" t="s">
        <v>73</v>
      </c>
      <c r="G429" s="464">
        <f>+C429</f>
        <v>4200000</v>
      </c>
      <c r="H429" s="465">
        <v>0</v>
      </c>
      <c r="I429" s="466">
        <f>+G429*H429</f>
        <v>0</v>
      </c>
      <c r="J429" s="464">
        <f>+C429</f>
        <v>4200000</v>
      </c>
      <c r="K429" s="467">
        <v>0</v>
      </c>
      <c r="L429" s="468">
        <f>+J429*K429</f>
        <v>0</v>
      </c>
      <c r="M429" s="468">
        <f t="shared" si="41"/>
        <v>0</v>
      </c>
      <c r="N429" s="469">
        <f>IF(I429=0,0,M429/I429)</f>
        <v>0</v>
      </c>
      <c r="O429" s="470">
        <f>L429/L442</f>
        <v>0</v>
      </c>
      <c r="P429" s="71"/>
    </row>
    <row r="430" spans="2:16" ht="18" customHeight="1" thickBot="1">
      <c r="B430" s="78"/>
      <c r="C430" s="214">
        <v>10000</v>
      </c>
      <c r="D430" s="222" t="s">
        <v>17</v>
      </c>
      <c r="E430" s="29"/>
      <c r="F430" s="229" t="s">
        <v>84</v>
      </c>
      <c r="G430" s="464">
        <f>+C430</f>
        <v>10000</v>
      </c>
      <c r="H430" s="465">
        <f>'2010 Existing Rates'!D9</f>
        <v>2.9023</v>
      </c>
      <c r="I430" s="466">
        <f>+G430*H430</f>
        <v>29023</v>
      </c>
      <c r="J430" s="464">
        <f>+C430</f>
        <v>10000</v>
      </c>
      <c r="K430" s="467">
        <f>'Distribution Rate Schedule'!D36</f>
        <v>2.9005</v>
      </c>
      <c r="L430" s="468">
        <f>+J430*K430</f>
        <v>29005</v>
      </c>
      <c r="M430" s="468">
        <f t="shared" si="41"/>
        <v>-18</v>
      </c>
      <c r="N430" s="469">
        <f t="shared" si="42"/>
        <v>-0.0006201977741790994</v>
      </c>
      <c r="O430" s="470">
        <f>L430/L442</f>
        <v>0.061549181493938024</v>
      </c>
      <c r="P430" s="71"/>
    </row>
    <row r="431" spans="2:16" ht="18" customHeight="1">
      <c r="B431" s="78"/>
      <c r="C431" s="52"/>
      <c r="D431" s="53"/>
      <c r="E431" s="29"/>
      <c r="F431" s="229" t="s">
        <v>144</v>
      </c>
      <c r="G431" s="471"/>
      <c r="H431" s="471"/>
      <c r="I431" s="466">
        <f>'2010 Existing Rates'!B$66</f>
        <v>1</v>
      </c>
      <c r="J431" s="471"/>
      <c r="K431" s="471"/>
      <c r="L431" s="468">
        <f>'2011 Rate Rider'!D$7</f>
        <v>1.18</v>
      </c>
      <c r="M431" s="468">
        <f t="shared" si="41"/>
        <v>0.17999999999999994</v>
      </c>
      <c r="N431" s="469">
        <f t="shared" si="42"/>
        <v>0.17999999999999994</v>
      </c>
      <c r="O431" s="470">
        <f>L431/L442</f>
        <v>2.5039832498826708E-06</v>
      </c>
      <c r="P431" s="71"/>
    </row>
    <row r="432" spans="2:16" ht="18" customHeight="1">
      <c r="B432" s="78"/>
      <c r="C432" s="52"/>
      <c r="D432" s="53"/>
      <c r="E432" s="29"/>
      <c r="F432" s="229" t="s">
        <v>168</v>
      </c>
      <c r="G432" s="464">
        <f>C430</f>
        <v>10000</v>
      </c>
      <c r="H432" s="517">
        <f>'2010 Existing Rates'!D$15</f>
        <v>-0.6</v>
      </c>
      <c r="I432" s="468">
        <f>+G432*H432</f>
        <v>-6000</v>
      </c>
      <c r="J432" s="464">
        <f>C430</f>
        <v>10000</v>
      </c>
      <c r="K432" s="517">
        <f>'Distribution Rate Schedule'!D$43</f>
        <v>-0.6</v>
      </c>
      <c r="L432" s="468">
        <f>+J432*K432</f>
        <v>-6000</v>
      </c>
      <c r="M432" s="468">
        <f t="shared" si="41"/>
        <v>0</v>
      </c>
      <c r="N432" s="469">
        <f t="shared" si="42"/>
        <v>0</v>
      </c>
      <c r="O432" s="470">
        <f>L432/L442</f>
        <v>-0.012732118219742395</v>
      </c>
      <c r="P432" s="71"/>
    </row>
    <row r="433" spans="2:16" ht="18" customHeight="1">
      <c r="B433" s="78"/>
      <c r="C433" s="29"/>
      <c r="D433" s="29"/>
      <c r="E433" s="29"/>
      <c r="F433" s="496" t="s">
        <v>238</v>
      </c>
      <c r="G433" s="464">
        <f>+C430</f>
        <v>10000</v>
      </c>
      <c r="H433" s="517">
        <f>'2010 Existing Rates'!D$24</f>
        <v>-1.0611</v>
      </c>
      <c r="I433" s="468">
        <f>+G433*H433</f>
        <v>-10611</v>
      </c>
      <c r="J433" s="464">
        <f>+C430</f>
        <v>10000</v>
      </c>
      <c r="K433" s="517">
        <f>'2011 Rate Rider'!C$7</f>
        <v>-1.0611</v>
      </c>
      <c r="L433" s="468">
        <f>+J433*K433</f>
        <v>-10611</v>
      </c>
      <c r="M433" s="468">
        <f t="shared" si="41"/>
        <v>0</v>
      </c>
      <c r="N433" s="469">
        <f t="shared" si="42"/>
        <v>0</v>
      </c>
      <c r="O433" s="470">
        <f>L433/L442</f>
        <v>-0.022516751071614424</v>
      </c>
      <c r="P433" s="71"/>
    </row>
    <row r="434" spans="2:16" ht="18" customHeight="1">
      <c r="B434" s="78"/>
      <c r="C434" s="29"/>
      <c r="D434" s="29"/>
      <c r="E434" s="29"/>
      <c r="F434" s="496" t="s">
        <v>239</v>
      </c>
      <c r="G434" s="464">
        <f>C430</f>
        <v>10000</v>
      </c>
      <c r="H434" s="465">
        <v>0</v>
      </c>
      <c r="I434" s="466">
        <f>+G434*H434</f>
        <v>0</v>
      </c>
      <c r="J434" s="464">
        <f>C430</f>
        <v>10000</v>
      </c>
      <c r="K434" s="467">
        <f>'2011 Rate Rider'!C$31</f>
        <v>0</v>
      </c>
      <c r="L434" s="468">
        <f>+J434*K434</f>
        <v>0</v>
      </c>
      <c r="M434" s="468">
        <f t="shared" si="41"/>
        <v>0</v>
      </c>
      <c r="N434" s="469">
        <f>IF(I434=0,0,M434/I434)</f>
        <v>0</v>
      </c>
      <c r="O434" s="470">
        <f>L434/L442</f>
        <v>0</v>
      </c>
      <c r="P434" s="71"/>
    </row>
    <row r="435" spans="2:16" ht="18" customHeight="1" thickBot="1">
      <c r="B435" s="78"/>
      <c r="C435" s="29"/>
      <c r="D435" s="29"/>
      <c r="E435" s="29"/>
      <c r="F435" s="496" t="s">
        <v>240</v>
      </c>
      <c r="G435" s="464">
        <f>C430</f>
        <v>10000</v>
      </c>
      <c r="H435" s="465">
        <v>0</v>
      </c>
      <c r="I435" s="466">
        <f>+G435*H435</f>
        <v>0</v>
      </c>
      <c r="J435" s="464">
        <f>C430</f>
        <v>10000</v>
      </c>
      <c r="K435" s="467">
        <f>'2011 Rate Rider'!C$19</f>
        <v>0.7109</v>
      </c>
      <c r="L435" s="468">
        <f>+J435*K435</f>
        <v>7109</v>
      </c>
      <c r="M435" s="468">
        <f t="shared" si="41"/>
        <v>7109</v>
      </c>
      <c r="N435" s="469">
        <v>1</v>
      </c>
      <c r="O435" s="470">
        <f>L435/L442</f>
        <v>0.015085438070691447</v>
      </c>
      <c r="P435" s="71"/>
    </row>
    <row r="436" spans="2:16" ht="18" customHeight="1" thickBot="1">
      <c r="B436" s="78"/>
      <c r="C436" s="16"/>
      <c r="D436" s="16"/>
      <c r="E436" s="16"/>
      <c r="F436" s="219" t="s">
        <v>78</v>
      </c>
      <c r="G436" s="637"/>
      <c r="H436" s="637"/>
      <c r="I436" s="473">
        <f>SUM(I428:I435)</f>
        <v>17135.33</v>
      </c>
      <c r="J436" s="637"/>
      <c r="K436" s="637"/>
      <c r="L436" s="473">
        <f>SUM(L428:L435)</f>
        <v>24253.65</v>
      </c>
      <c r="M436" s="474">
        <f>SUM(M428:M433)</f>
        <v>9.320000000000327</v>
      </c>
      <c r="N436" s="475">
        <f t="shared" si="42"/>
        <v>0.0005439054865007167</v>
      </c>
      <c r="O436" s="476">
        <f>L436/L442</f>
        <v>0.051466723176709195</v>
      </c>
      <c r="P436" s="71"/>
    </row>
    <row r="437" spans="2:16" ht="18" customHeight="1">
      <c r="B437" s="78"/>
      <c r="C437" s="29"/>
      <c r="D437" s="29"/>
      <c r="E437" s="29"/>
      <c r="F437" s="229" t="s">
        <v>79</v>
      </c>
      <c r="G437" s="464">
        <f>+C429*'Other Electriciy Rates'!$N$9</f>
        <v>4218900</v>
      </c>
      <c r="H437" s="477">
        <f>'Other Electriciy Rates'!E$9</f>
        <v>0.0138725</v>
      </c>
      <c r="I437" s="466">
        <f>+G437*H437</f>
        <v>58526.69025</v>
      </c>
      <c r="J437" s="464">
        <f>+C429*'Other Electriciy Rates'!$O$9</f>
        <v>4210500</v>
      </c>
      <c r="K437" s="477">
        <f>+'Other Electriciy Rates'!$F$9</f>
        <v>0.0138725</v>
      </c>
      <c r="L437" s="468">
        <f>+J437*K437</f>
        <v>58410.16125</v>
      </c>
      <c r="M437" s="468">
        <f>+L437-I437</f>
        <v>-116.52900000000227</v>
      </c>
      <c r="N437" s="469">
        <f aca="true" t="shared" si="43" ref="N437:N442">+M437/I437</f>
        <v>-0.00199104031856649</v>
      </c>
      <c r="O437" s="470">
        <f>L437/L442</f>
        <v>0.12394751304486937</v>
      </c>
      <c r="P437" s="71"/>
    </row>
    <row r="438" spans="2:16" ht="18" customHeight="1">
      <c r="B438" s="78"/>
      <c r="C438" s="29"/>
      <c r="D438" s="29"/>
      <c r="E438" s="29"/>
      <c r="F438" s="229" t="s">
        <v>86</v>
      </c>
      <c r="G438" s="464">
        <f>+C430*'Other Electriciy Rates'!$N$9</f>
        <v>10045</v>
      </c>
      <c r="H438" s="477">
        <f>'Other Electriciy Rates'!J$9</f>
        <v>4.2141</v>
      </c>
      <c r="I438" s="466">
        <f>+G438*H438</f>
        <v>42330.6345</v>
      </c>
      <c r="J438" s="464">
        <f>+C430*'Other Electriciy Rates'!$O$9</f>
        <v>10025</v>
      </c>
      <c r="K438" s="477">
        <f>+'Other Electriciy Rates'!$K$9</f>
        <v>4.2141</v>
      </c>
      <c r="L438" s="468">
        <f>+J438*K438</f>
        <v>42246.3525</v>
      </c>
      <c r="M438" s="468">
        <f>+L438-I438</f>
        <v>-84.28199999999924</v>
      </c>
      <c r="N438" s="469">
        <f t="shared" si="43"/>
        <v>-0.001991040318566433</v>
      </c>
      <c r="O438" s="470">
        <f>L438/L442</f>
        <v>0.08964759239715162</v>
      </c>
      <c r="P438" s="71"/>
    </row>
    <row r="439" spans="2:16" ht="18" customHeight="1" thickBot="1">
      <c r="B439" s="78"/>
      <c r="C439" s="29"/>
      <c r="D439" s="29"/>
      <c r="E439" s="29"/>
      <c r="F439" s="229" t="s">
        <v>80</v>
      </c>
      <c r="G439" s="464">
        <f>+C429*'Other Electriciy Rates'!$N$9</f>
        <v>4218900</v>
      </c>
      <c r="H439" s="477">
        <f>+'Other Electriciy Rates'!$L$9</f>
        <v>0.06938</v>
      </c>
      <c r="I439" s="466">
        <f>+G439*H439</f>
        <v>292707.282</v>
      </c>
      <c r="J439" s="464">
        <f>+C429*'Other Electriciy Rates'!$O$9</f>
        <v>4210500</v>
      </c>
      <c r="K439" s="477">
        <f>+'Other Electriciy Rates'!$L$9</f>
        <v>0.06938</v>
      </c>
      <c r="L439" s="468">
        <f>+J439*K439</f>
        <v>292124.49</v>
      </c>
      <c r="M439" s="468">
        <f>+L439-I439</f>
        <v>-582.7920000000158</v>
      </c>
      <c r="N439" s="469">
        <f t="shared" si="43"/>
        <v>-0.001991040318566505</v>
      </c>
      <c r="O439" s="470">
        <f>L439/L442</f>
        <v>0.6198939235936591</v>
      </c>
      <c r="P439" s="71"/>
    </row>
    <row r="440" spans="2:16" ht="18" customHeight="1" thickBot="1">
      <c r="B440" s="78"/>
      <c r="C440" s="29"/>
      <c r="D440" s="29"/>
      <c r="E440" s="29"/>
      <c r="F440" s="219" t="s">
        <v>172</v>
      </c>
      <c r="G440" s="637"/>
      <c r="H440" s="637"/>
      <c r="I440" s="473">
        <f>SUM(I436:I439)</f>
        <v>410699.93675</v>
      </c>
      <c r="J440" s="637"/>
      <c r="K440" s="637"/>
      <c r="L440" s="473">
        <f>SUM(L436:L439)</f>
        <v>417034.65375</v>
      </c>
      <c r="M440" s="473">
        <f>SUM(M436:M439)</f>
        <v>-774.283000000017</v>
      </c>
      <c r="N440" s="475">
        <f t="shared" si="43"/>
        <v>-0.0018852766477812635</v>
      </c>
      <c r="O440" s="476">
        <f>L440/L442</f>
        <v>0.8849557522123893</v>
      </c>
      <c r="P440" s="71"/>
    </row>
    <row r="441" spans="2:16" ht="18" customHeight="1" thickBot="1">
      <c r="B441" s="78"/>
      <c r="C441" s="29"/>
      <c r="D441" s="29"/>
      <c r="E441" s="29"/>
      <c r="F441" s="496" t="s">
        <v>252</v>
      </c>
      <c r="G441" s="464"/>
      <c r="H441" s="478">
        <v>0.13</v>
      </c>
      <c r="I441" s="466">
        <f>I440*H441</f>
        <v>53390.9917775</v>
      </c>
      <c r="J441" s="464"/>
      <c r="K441" s="478">
        <v>0.13</v>
      </c>
      <c r="L441" s="468">
        <f>L440*K441</f>
        <v>54214.504987500004</v>
      </c>
      <c r="M441" s="468">
        <f>+L441-I441</f>
        <v>823.5132100000046</v>
      </c>
      <c r="N441" s="469">
        <f t="shared" si="43"/>
        <v>0.015424197651766586</v>
      </c>
      <c r="O441" s="470">
        <f>L441/L442</f>
        <v>0.11504424778761062</v>
      </c>
      <c r="P441" s="71"/>
    </row>
    <row r="442" spans="2:16" ht="18" customHeight="1" thickBot="1">
      <c r="B442" s="78"/>
      <c r="C442" s="23"/>
      <c r="D442" s="79"/>
      <c r="E442" s="79"/>
      <c r="F442" s="220" t="s">
        <v>81</v>
      </c>
      <c r="G442" s="637"/>
      <c r="H442" s="637"/>
      <c r="I442" s="473">
        <f>SUM(I440:I441)</f>
        <v>464090.9285275</v>
      </c>
      <c r="J442" s="637"/>
      <c r="K442" s="637"/>
      <c r="L442" s="473">
        <f>SUM(L440:L441)</f>
        <v>471249.1587375</v>
      </c>
      <c r="M442" s="473">
        <f>SUM(M440:M441)</f>
        <v>49.230209999987665</v>
      </c>
      <c r="N442" s="475">
        <f t="shared" si="43"/>
        <v>0.00010607880260919708</v>
      </c>
      <c r="O442" s="476">
        <f>O440+O441</f>
        <v>0.9999999999999999</v>
      </c>
      <c r="P442" s="71"/>
    </row>
    <row r="443" spans="2:16" ht="6.75" customHeight="1" thickBot="1">
      <c r="B443" s="72"/>
      <c r="C443" s="73"/>
      <c r="D443" s="81"/>
      <c r="E443" s="81"/>
      <c r="F443" s="88"/>
      <c r="G443" s="89"/>
      <c r="H443" s="90"/>
      <c r="I443" s="91"/>
      <c r="J443" s="89"/>
      <c r="K443" s="92"/>
      <c r="L443" s="91"/>
      <c r="M443" s="93"/>
      <c r="N443" s="94"/>
      <c r="O443" s="95"/>
      <c r="P443" s="77"/>
    </row>
    <row r="444" spans="4:15" ht="6.75" customHeight="1" thickBot="1">
      <c r="D444" s="28"/>
      <c r="E444" s="28"/>
      <c r="F444" s="41"/>
      <c r="G444" s="42"/>
      <c r="H444" s="43"/>
      <c r="I444" s="44"/>
      <c r="J444" s="42"/>
      <c r="K444" s="45"/>
      <c r="L444" s="44"/>
      <c r="M444" s="46"/>
      <c r="N444" s="84"/>
      <c r="O444" s="85"/>
    </row>
    <row r="445" spans="2:16" ht="6.75" customHeight="1">
      <c r="B445" s="82"/>
      <c r="C445" s="628"/>
      <c r="D445" s="628"/>
      <c r="E445" s="628"/>
      <c r="F445" s="628"/>
      <c r="G445" s="628"/>
      <c r="H445" s="628"/>
      <c r="I445" s="628"/>
      <c r="J445" s="628"/>
      <c r="K445" s="628"/>
      <c r="L445" s="628"/>
      <c r="M445" s="628"/>
      <c r="N445" s="628"/>
      <c r="O445" s="628"/>
      <c r="P445" s="70"/>
    </row>
    <row r="446" spans="2:16" ht="23.25">
      <c r="B446" s="78"/>
      <c r="C446" s="626" t="s">
        <v>89</v>
      </c>
      <c r="D446" s="626"/>
      <c r="E446" s="626"/>
      <c r="F446" s="626"/>
      <c r="G446" s="626"/>
      <c r="H446" s="626"/>
      <c r="I446" s="626"/>
      <c r="J446" s="626"/>
      <c r="K446" s="626"/>
      <c r="L446" s="626"/>
      <c r="M446" s="626"/>
      <c r="N446" s="626"/>
      <c r="O446" s="626"/>
      <c r="P446" s="71"/>
    </row>
    <row r="447" spans="2:16" ht="6.75" customHeight="1" thickBot="1">
      <c r="B447" s="78"/>
      <c r="C447" s="627"/>
      <c r="D447" s="627"/>
      <c r="E447" s="627"/>
      <c r="F447" s="627"/>
      <c r="G447" s="627"/>
      <c r="H447" s="627"/>
      <c r="I447" s="627"/>
      <c r="J447" s="627"/>
      <c r="K447" s="627"/>
      <c r="L447" s="627"/>
      <c r="M447" s="627"/>
      <c r="N447" s="627"/>
      <c r="O447" s="627"/>
      <c r="P447" s="71"/>
    </row>
    <row r="448" spans="2:16" ht="21" thickBot="1">
      <c r="B448" s="78"/>
      <c r="C448" s="80"/>
      <c r="D448" s="80"/>
      <c r="E448" s="29"/>
      <c r="F448" s="35"/>
      <c r="G448" s="633" t="str">
        <f>$G$8</f>
        <v>2010 BILL</v>
      </c>
      <c r="H448" s="634"/>
      <c r="I448" s="635"/>
      <c r="J448" s="633" t="str">
        <f>$J$8</f>
        <v>2011 BILL</v>
      </c>
      <c r="K448" s="634"/>
      <c r="L448" s="635"/>
      <c r="M448" s="633" t="s">
        <v>74</v>
      </c>
      <c r="N448" s="634"/>
      <c r="O448" s="635"/>
      <c r="P448" s="71"/>
    </row>
    <row r="449" spans="2:16" ht="26.25" thickBot="1">
      <c r="B449" s="78"/>
      <c r="C449" s="29"/>
      <c r="D449" s="29"/>
      <c r="E449" s="31"/>
      <c r="F449" s="232"/>
      <c r="G449" s="518" t="s">
        <v>68</v>
      </c>
      <c r="H449" s="519" t="s">
        <v>69</v>
      </c>
      <c r="I449" s="520" t="s">
        <v>70</v>
      </c>
      <c r="J449" s="521" t="s">
        <v>68</v>
      </c>
      <c r="K449" s="519" t="s">
        <v>69</v>
      </c>
      <c r="L449" s="520" t="s">
        <v>70</v>
      </c>
      <c r="M449" s="225" t="s">
        <v>82</v>
      </c>
      <c r="N449" s="226" t="s">
        <v>83</v>
      </c>
      <c r="O449" s="227" t="s">
        <v>77</v>
      </c>
      <c r="P449" s="71"/>
    </row>
    <row r="450" spans="2:16" ht="18" customHeight="1" thickBot="1">
      <c r="B450" s="78"/>
      <c r="C450" s="624" t="s">
        <v>71</v>
      </c>
      <c r="D450" s="625"/>
      <c r="E450" s="29"/>
      <c r="F450" s="228" t="s">
        <v>72</v>
      </c>
      <c r="G450" s="471"/>
      <c r="H450" s="471"/>
      <c r="I450" s="466">
        <f>'2010 Existing Rates'!C9</f>
        <v>4722.33</v>
      </c>
      <c r="J450" s="471"/>
      <c r="K450" s="471"/>
      <c r="L450" s="468">
        <f>'Distribution Rate Schedule'!C36</f>
        <v>4749.47</v>
      </c>
      <c r="M450" s="468">
        <f aca="true" t="shared" si="44" ref="M450:M457">+L450-I450</f>
        <v>27.140000000000327</v>
      </c>
      <c r="N450" s="469">
        <f aca="true" t="shared" si="45" ref="N450:N458">+M450/I450</f>
        <v>0.005747162947104571</v>
      </c>
      <c r="O450" s="470">
        <f>L450/L464</f>
        <v>0.00870476343196132</v>
      </c>
      <c r="P450" s="71"/>
    </row>
    <row r="451" spans="2:16" ht="18" customHeight="1" thickBot="1">
      <c r="B451" s="78"/>
      <c r="C451" s="214">
        <v>4700000</v>
      </c>
      <c r="D451" s="222" t="s">
        <v>16</v>
      </c>
      <c r="E451" s="29"/>
      <c r="F451" s="229" t="s">
        <v>73</v>
      </c>
      <c r="G451" s="464">
        <f>+C451</f>
        <v>4700000</v>
      </c>
      <c r="H451" s="465">
        <v>0</v>
      </c>
      <c r="I451" s="466">
        <f>+G451*H451</f>
        <v>0</v>
      </c>
      <c r="J451" s="464">
        <f>+C451</f>
        <v>4700000</v>
      </c>
      <c r="K451" s="467">
        <v>0</v>
      </c>
      <c r="L451" s="468">
        <f>+J451*K451</f>
        <v>0</v>
      </c>
      <c r="M451" s="468">
        <f t="shared" si="44"/>
        <v>0</v>
      </c>
      <c r="N451" s="469">
        <f>IF(I451=0,0,M451/I451)</f>
        <v>0</v>
      </c>
      <c r="O451" s="470">
        <f>L451/L464</f>
        <v>0</v>
      </c>
      <c r="P451" s="71"/>
    </row>
    <row r="452" spans="2:16" ht="18" customHeight="1" thickBot="1">
      <c r="B452" s="78"/>
      <c r="C452" s="214">
        <v>13900</v>
      </c>
      <c r="D452" s="222" t="s">
        <v>17</v>
      </c>
      <c r="E452" s="29"/>
      <c r="F452" s="229" t="s">
        <v>84</v>
      </c>
      <c r="G452" s="464">
        <f>+C452</f>
        <v>13900</v>
      </c>
      <c r="H452" s="465">
        <f>'2010 Existing Rates'!D9</f>
        <v>2.9023</v>
      </c>
      <c r="I452" s="466">
        <f>+G452*H452</f>
        <v>40341.97</v>
      </c>
      <c r="J452" s="464">
        <f>+C452</f>
        <v>13900</v>
      </c>
      <c r="K452" s="467">
        <f>'Distribution Rate Schedule'!D36</f>
        <v>2.9005</v>
      </c>
      <c r="L452" s="468">
        <f>+J452*K452</f>
        <v>40316.950000000004</v>
      </c>
      <c r="M452" s="468">
        <f t="shared" si="44"/>
        <v>-25.0199999999968</v>
      </c>
      <c r="N452" s="469">
        <f t="shared" si="45"/>
        <v>-0.00062019777417902</v>
      </c>
      <c r="O452" s="470">
        <f>L452/L464</f>
        <v>0.07389235263054887</v>
      </c>
      <c r="P452" s="71"/>
    </row>
    <row r="453" spans="2:16" ht="18" customHeight="1">
      <c r="B453" s="78"/>
      <c r="C453" s="52"/>
      <c r="D453" s="53"/>
      <c r="E453" s="29"/>
      <c r="F453" s="229" t="s">
        <v>144</v>
      </c>
      <c r="G453" s="471"/>
      <c r="H453" s="471"/>
      <c r="I453" s="466">
        <f>'2010 Existing Rates'!B$66</f>
        <v>1</v>
      </c>
      <c r="J453" s="471"/>
      <c r="K453" s="471"/>
      <c r="L453" s="468">
        <f>'2011 Rate Rider'!D$7</f>
        <v>1.18</v>
      </c>
      <c r="M453" s="468">
        <f t="shared" si="44"/>
        <v>0.17999999999999994</v>
      </c>
      <c r="N453" s="469">
        <f t="shared" si="45"/>
        <v>0.17999999999999994</v>
      </c>
      <c r="O453" s="470">
        <f>L453/L464</f>
        <v>2.1626878051054867E-06</v>
      </c>
      <c r="P453" s="71"/>
    </row>
    <row r="454" spans="2:16" ht="18" customHeight="1">
      <c r="B454" s="78"/>
      <c r="C454" s="52"/>
      <c r="D454" s="53"/>
      <c r="E454" s="29"/>
      <c r="F454" s="229" t="s">
        <v>168</v>
      </c>
      <c r="G454" s="464">
        <f>C452</f>
        <v>13900</v>
      </c>
      <c r="H454" s="517">
        <f>'2010 Existing Rates'!D$15</f>
        <v>-0.6</v>
      </c>
      <c r="I454" s="468">
        <f>+G454*H454</f>
        <v>-8340</v>
      </c>
      <c r="J454" s="464">
        <f>C452</f>
        <v>13900</v>
      </c>
      <c r="K454" s="517">
        <f>'Distribution Rate Schedule'!D43</f>
        <v>-0.6</v>
      </c>
      <c r="L454" s="468">
        <f>+J454*K454</f>
        <v>-8340</v>
      </c>
      <c r="M454" s="468">
        <f t="shared" si="44"/>
        <v>0</v>
      </c>
      <c r="N454" s="469">
        <f t="shared" si="45"/>
        <v>0</v>
      </c>
      <c r="O454" s="470">
        <f>L454/L464</f>
        <v>-0.015285437537779459</v>
      </c>
      <c r="P454" s="71"/>
    </row>
    <row r="455" spans="2:16" ht="18" customHeight="1">
      <c r="B455" s="78"/>
      <c r="C455" s="29"/>
      <c r="D455" s="29"/>
      <c r="E455" s="29"/>
      <c r="F455" s="496" t="s">
        <v>238</v>
      </c>
      <c r="G455" s="464">
        <f>+C452</f>
        <v>13900</v>
      </c>
      <c r="H455" s="517">
        <f>'2010 Existing Rates'!D$24</f>
        <v>-1.0611</v>
      </c>
      <c r="I455" s="468">
        <f>+G455*H455</f>
        <v>-14749.289999999999</v>
      </c>
      <c r="J455" s="464">
        <f>+C452</f>
        <v>13900</v>
      </c>
      <c r="K455" s="517">
        <f>'2011 Rate Rider'!C$7</f>
        <v>-1.0611</v>
      </c>
      <c r="L455" s="468">
        <f>+J455*K455</f>
        <v>-14749.289999999999</v>
      </c>
      <c r="M455" s="468">
        <f t="shared" si="44"/>
        <v>0</v>
      </c>
      <c r="N455" s="469">
        <f t="shared" si="45"/>
        <v>0</v>
      </c>
      <c r="O455" s="470">
        <f>L455/L464</f>
        <v>-0.02703229628556297</v>
      </c>
      <c r="P455" s="71"/>
    </row>
    <row r="456" spans="2:16" ht="18" customHeight="1">
      <c r="B456" s="78"/>
      <c r="C456" s="29"/>
      <c r="D456" s="29"/>
      <c r="E456" s="29"/>
      <c r="F456" s="496" t="s">
        <v>239</v>
      </c>
      <c r="G456" s="464">
        <f>C452</f>
        <v>13900</v>
      </c>
      <c r="H456" s="465">
        <v>0</v>
      </c>
      <c r="I456" s="468">
        <f>+G456*H456</f>
        <v>0</v>
      </c>
      <c r="J456" s="464">
        <f>C452</f>
        <v>13900</v>
      </c>
      <c r="K456" s="517">
        <f>'2011 Rate Rider'!C$31</f>
        <v>0</v>
      </c>
      <c r="L456" s="468">
        <f>+J456*K456</f>
        <v>0</v>
      </c>
      <c r="M456" s="468">
        <f t="shared" si="44"/>
        <v>0</v>
      </c>
      <c r="N456" s="469">
        <f>IF(I456=0,0,M456/I456)</f>
        <v>0</v>
      </c>
      <c r="O456" s="470">
        <f>L456/L464</f>
        <v>0</v>
      </c>
      <c r="P456" s="71"/>
    </row>
    <row r="457" spans="2:16" ht="18" customHeight="1" thickBot="1">
      <c r="B457" s="78"/>
      <c r="C457" s="29"/>
      <c r="D457" s="29"/>
      <c r="E457" s="29"/>
      <c r="F457" s="496" t="s">
        <v>240</v>
      </c>
      <c r="G457" s="464">
        <f>C452</f>
        <v>13900</v>
      </c>
      <c r="H457" s="465">
        <v>0</v>
      </c>
      <c r="I457" s="468">
        <f>+G457*H457</f>
        <v>0</v>
      </c>
      <c r="J457" s="464">
        <f>C452</f>
        <v>13900</v>
      </c>
      <c r="K457" s="517">
        <f>'2011 Rate Rider'!C$19</f>
        <v>0.7109</v>
      </c>
      <c r="L457" s="468">
        <f>+J457*K457</f>
        <v>9881.51</v>
      </c>
      <c r="M457" s="468">
        <f t="shared" si="44"/>
        <v>9881.51</v>
      </c>
      <c r="N457" s="469">
        <v>1</v>
      </c>
      <c r="O457" s="470">
        <f>L457/L464</f>
        <v>0.018110695909345696</v>
      </c>
      <c r="P457" s="71"/>
    </row>
    <row r="458" spans="2:16" ht="18" customHeight="1" thickBot="1">
      <c r="B458" s="78"/>
      <c r="C458" s="29"/>
      <c r="D458" s="29"/>
      <c r="E458" s="29"/>
      <c r="F458" s="219" t="s">
        <v>78</v>
      </c>
      <c r="G458" s="637"/>
      <c r="H458" s="637"/>
      <c r="I458" s="473">
        <f>SUM(I450:I457)</f>
        <v>21976.010000000002</v>
      </c>
      <c r="J458" s="637"/>
      <c r="K458" s="637"/>
      <c r="L458" s="473">
        <f>SUM(L450:L457)</f>
        <v>31859.820000000007</v>
      </c>
      <c r="M458" s="473">
        <f>SUM(M450:M457)</f>
        <v>9883.810000000003</v>
      </c>
      <c r="N458" s="475">
        <f t="shared" si="45"/>
        <v>0.44975452777824554</v>
      </c>
      <c r="O458" s="476">
        <f>L458/L464</f>
        <v>0.05839224083631857</v>
      </c>
      <c r="P458" s="71"/>
    </row>
    <row r="459" spans="2:16" ht="18" customHeight="1">
      <c r="B459" s="78"/>
      <c r="C459" s="29"/>
      <c r="D459" s="29"/>
      <c r="E459" s="29"/>
      <c r="F459" s="229" t="s">
        <v>79</v>
      </c>
      <c r="G459" s="464">
        <f>+C451*'Other Electriciy Rates'!$N$9</f>
        <v>4721150</v>
      </c>
      <c r="H459" s="477">
        <f>'Other Electriciy Rates'!E$9</f>
        <v>0.0138725</v>
      </c>
      <c r="I459" s="466">
        <f>+G459*H459</f>
        <v>65494.153374999994</v>
      </c>
      <c r="J459" s="464">
        <f>+C451*'Other Electriciy Rates'!$O$9</f>
        <v>4711750</v>
      </c>
      <c r="K459" s="477">
        <f>+'Other Electriciy Rates'!$F$9</f>
        <v>0.0138725</v>
      </c>
      <c r="L459" s="468">
        <f>+J459*K459</f>
        <v>65363.751874999994</v>
      </c>
      <c r="M459" s="468">
        <f>+L459-I459</f>
        <v>-130.40149999999994</v>
      </c>
      <c r="N459" s="469">
        <f aca="true" t="shared" si="46" ref="N459:N464">+M459/I459</f>
        <v>-0.00199104031856645</v>
      </c>
      <c r="O459" s="470">
        <f>L459/L464</f>
        <v>0.11979778735254525</v>
      </c>
      <c r="P459" s="71"/>
    </row>
    <row r="460" spans="2:16" ht="18" customHeight="1">
      <c r="B460" s="78"/>
      <c r="C460" s="29"/>
      <c r="D460" s="29"/>
      <c r="E460" s="29"/>
      <c r="F460" s="229" t="s">
        <v>86</v>
      </c>
      <c r="G460" s="464">
        <f>+C452*'Other Electriciy Rates'!$N$9</f>
        <v>13962.55</v>
      </c>
      <c r="H460" s="477">
        <f>'Other Electriciy Rates'!J$9</f>
        <v>4.2141</v>
      </c>
      <c r="I460" s="466">
        <f>+G460*H460</f>
        <v>58839.581955</v>
      </c>
      <c r="J460" s="464">
        <f>+C452*'Other Electriciy Rates'!$O$9</f>
        <v>13934.75</v>
      </c>
      <c r="K460" s="477">
        <f>+'Other Electriciy Rates'!$K$9</f>
        <v>4.2141</v>
      </c>
      <c r="L460" s="468">
        <f>+J460*K460</f>
        <v>58722.429975</v>
      </c>
      <c r="M460" s="468">
        <f>+L460-I460</f>
        <v>-117.15198000000237</v>
      </c>
      <c r="N460" s="469">
        <f t="shared" si="46"/>
        <v>-0.0019910403185664912</v>
      </c>
      <c r="O460" s="470">
        <f>L460/L464</f>
        <v>0.10762566372296051</v>
      </c>
      <c r="P460" s="71"/>
    </row>
    <row r="461" spans="2:16" ht="18" customHeight="1" thickBot="1">
      <c r="B461" s="78"/>
      <c r="C461" s="29"/>
      <c r="D461" s="29"/>
      <c r="E461" s="29"/>
      <c r="F461" s="229" t="s">
        <v>80</v>
      </c>
      <c r="G461" s="464">
        <f>+C451*'Other Electriciy Rates'!$N$9</f>
        <v>4721150</v>
      </c>
      <c r="H461" s="477">
        <f>+'Other Electriciy Rates'!$L$9</f>
        <v>0.06938</v>
      </c>
      <c r="I461" s="466">
        <f>+G461*H461</f>
        <v>327553.387</v>
      </c>
      <c r="J461" s="464">
        <f>+C451*'Other Electriciy Rates'!$O$9</f>
        <v>4711750</v>
      </c>
      <c r="K461" s="477">
        <f>+'Other Electriciy Rates'!$L$9</f>
        <v>0.06938</v>
      </c>
      <c r="L461" s="468">
        <f>+J461*K461</f>
        <v>326901.21499999997</v>
      </c>
      <c r="M461" s="468">
        <f>+L461-I461</f>
        <v>-652.1720000000205</v>
      </c>
      <c r="N461" s="469">
        <f t="shared" si="46"/>
        <v>-0.001991040318566514</v>
      </c>
      <c r="O461" s="470">
        <f>L461/L464</f>
        <v>0.5991400603005651</v>
      </c>
      <c r="P461" s="71"/>
    </row>
    <row r="462" spans="2:16" ht="18" customHeight="1" thickBot="1">
      <c r="B462" s="78"/>
      <c r="C462" s="29"/>
      <c r="D462" s="29"/>
      <c r="E462" s="29"/>
      <c r="F462" s="219" t="s">
        <v>172</v>
      </c>
      <c r="G462" s="637"/>
      <c r="H462" s="637"/>
      <c r="I462" s="473">
        <f>SUM(I458:I461)</f>
        <v>473863.13233</v>
      </c>
      <c r="J462" s="637"/>
      <c r="K462" s="637"/>
      <c r="L462" s="473">
        <f>SUM(L458:L461)</f>
        <v>482847.21684999997</v>
      </c>
      <c r="M462" s="473">
        <f>SUM(M458:M461)</f>
        <v>8984.08451999998</v>
      </c>
      <c r="N462" s="475">
        <f t="shared" si="46"/>
        <v>0.018959239297273354</v>
      </c>
      <c r="O462" s="476">
        <f>L462/L464</f>
        <v>0.8849557522123894</v>
      </c>
      <c r="P462" s="71"/>
    </row>
    <row r="463" spans="2:16" ht="18" customHeight="1" thickBot="1">
      <c r="B463" s="78"/>
      <c r="C463" s="29"/>
      <c r="D463" s="29"/>
      <c r="E463" s="29"/>
      <c r="F463" s="496" t="s">
        <v>252</v>
      </c>
      <c r="G463" s="464"/>
      <c r="H463" s="478">
        <v>0.13</v>
      </c>
      <c r="I463" s="466">
        <f>I462*H463</f>
        <v>61602.207202900005</v>
      </c>
      <c r="J463" s="464"/>
      <c r="K463" s="478">
        <v>0.13</v>
      </c>
      <c r="L463" s="468">
        <f>L462*K463</f>
        <v>62770.138190499994</v>
      </c>
      <c r="M463" s="468">
        <f>+L463-I463</f>
        <v>1167.9309875999897</v>
      </c>
      <c r="N463" s="469">
        <f t="shared" si="46"/>
        <v>0.01895923929727323</v>
      </c>
      <c r="O463" s="470">
        <f>L463/L464</f>
        <v>0.11504424778761062</v>
      </c>
      <c r="P463" s="71"/>
    </row>
    <row r="464" spans="2:16" ht="18" customHeight="1" thickBot="1">
      <c r="B464" s="78"/>
      <c r="C464" s="29"/>
      <c r="D464" s="29"/>
      <c r="E464" s="29"/>
      <c r="F464" s="220" t="s">
        <v>81</v>
      </c>
      <c r="G464" s="637"/>
      <c r="H464" s="637"/>
      <c r="I464" s="473">
        <f>SUM(I462:I463)</f>
        <v>535465.3395329</v>
      </c>
      <c r="J464" s="637"/>
      <c r="K464" s="637"/>
      <c r="L464" s="473">
        <f>SUM(L462:L463)</f>
        <v>545617.3550404999</v>
      </c>
      <c r="M464" s="473">
        <f>SUM(M462:M463)</f>
        <v>10152.01550759997</v>
      </c>
      <c r="N464" s="475">
        <f t="shared" si="46"/>
        <v>0.01895923929727334</v>
      </c>
      <c r="O464" s="476">
        <f>O462+O463</f>
        <v>1</v>
      </c>
      <c r="P464" s="71"/>
    </row>
    <row r="465" spans="2:16" ht="6.75" customHeight="1" thickBot="1">
      <c r="B465" s="72"/>
      <c r="C465" s="87"/>
      <c r="D465" s="87"/>
      <c r="E465" s="87"/>
      <c r="F465" s="88"/>
      <c r="G465" s="89"/>
      <c r="H465" s="90"/>
      <c r="I465" s="91"/>
      <c r="J465" s="89"/>
      <c r="K465" s="92"/>
      <c r="L465" s="91"/>
      <c r="M465" s="93"/>
      <c r="N465" s="94"/>
      <c r="O465" s="95"/>
      <c r="P465" s="77"/>
    </row>
    <row r="466" spans="3:15" ht="6.75" customHeight="1" thickBot="1">
      <c r="C466" s="29"/>
      <c r="D466" s="29"/>
      <c r="E466" s="29"/>
      <c r="F466" s="41"/>
      <c r="G466" s="42"/>
      <c r="H466" s="43"/>
      <c r="I466" s="44"/>
      <c r="J466" s="42"/>
      <c r="K466" s="45"/>
      <c r="L466" s="44"/>
      <c r="M466" s="46"/>
      <c r="N466" s="84"/>
      <c r="O466" s="85"/>
    </row>
    <row r="467" spans="2:16" ht="6.75" customHeight="1">
      <c r="B467" s="82"/>
      <c r="C467" s="628"/>
      <c r="D467" s="628"/>
      <c r="E467" s="628"/>
      <c r="F467" s="628"/>
      <c r="G467" s="628"/>
      <c r="H467" s="628"/>
      <c r="I467" s="628"/>
      <c r="J467" s="628"/>
      <c r="K467" s="628"/>
      <c r="L467" s="628"/>
      <c r="M467" s="628"/>
      <c r="N467" s="628"/>
      <c r="O467" s="628"/>
      <c r="P467" s="70"/>
    </row>
    <row r="468" spans="2:16" ht="23.25">
      <c r="B468" s="78"/>
      <c r="C468" s="626" t="s">
        <v>88</v>
      </c>
      <c r="D468" s="626"/>
      <c r="E468" s="626"/>
      <c r="F468" s="626"/>
      <c r="G468" s="626"/>
      <c r="H468" s="626"/>
      <c r="I468" s="626"/>
      <c r="J468" s="626"/>
      <c r="K468" s="626"/>
      <c r="L468" s="626"/>
      <c r="M468" s="626"/>
      <c r="N468" s="626"/>
      <c r="O468" s="626"/>
      <c r="P468" s="71"/>
    </row>
    <row r="469" spans="2:16" ht="6.75" customHeight="1" thickBot="1">
      <c r="B469" s="78"/>
      <c r="C469" s="627"/>
      <c r="D469" s="627"/>
      <c r="E469" s="627"/>
      <c r="F469" s="627"/>
      <c r="G469" s="627"/>
      <c r="H469" s="627"/>
      <c r="I469" s="627"/>
      <c r="J469" s="627"/>
      <c r="K469" s="627"/>
      <c r="L469" s="627"/>
      <c r="M469" s="627"/>
      <c r="N469" s="627"/>
      <c r="O469" s="627"/>
      <c r="P469" s="71"/>
    </row>
    <row r="470" spans="2:16" ht="21" thickBot="1">
      <c r="B470" s="78"/>
      <c r="C470" s="80"/>
      <c r="D470" s="80"/>
      <c r="E470" s="29"/>
      <c r="F470" s="30"/>
      <c r="G470" s="633" t="str">
        <f>$G$8</f>
        <v>2010 BILL</v>
      </c>
      <c r="H470" s="634"/>
      <c r="I470" s="635"/>
      <c r="J470" s="633" t="str">
        <f>$J$8</f>
        <v>2011 BILL</v>
      </c>
      <c r="K470" s="634"/>
      <c r="L470" s="635"/>
      <c r="M470" s="633" t="s">
        <v>74</v>
      </c>
      <c r="N470" s="634"/>
      <c r="O470" s="635"/>
      <c r="P470" s="71"/>
    </row>
    <row r="471" spans="2:16" ht="26.25" thickBot="1">
      <c r="B471" s="78"/>
      <c r="C471" s="29"/>
      <c r="D471" s="29"/>
      <c r="E471" s="31"/>
      <c r="F471" s="231"/>
      <c r="G471" s="208" t="s">
        <v>68</v>
      </c>
      <c r="H471" s="209" t="s">
        <v>69</v>
      </c>
      <c r="I471" s="210" t="s">
        <v>70</v>
      </c>
      <c r="J471" s="230" t="s">
        <v>68</v>
      </c>
      <c r="K471" s="209" t="s">
        <v>69</v>
      </c>
      <c r="L471" s="210" t="s">
        <v>70</v>
      </c>
      <c r="M471" s="211" t="s">
        <v>75</v>
      </c>
      <c r="N471" s="212" t="s">
        <v>76</v>
      </c>
      <c r="O471" s="213" t="s">
        <v>77</v>
      </c>
      <c r="P471" s="71"/>
    </row>
    <row r="472" spans="2:16" ht="18" customHeight="1" thickBot="1">
      <c r="B472" s="78"/>
      <c r="C472" s="624" t="s">
        <v>114</v>
      </c>
      <c r="D472" s="625"/>
      <c r="E472" s="29"/>
      <c r="F472" s="228" t="s">
        <v>72</v>
      </c>
      <c r="G472" s="480">
        <f>+C473</f>
        <v>6677</v>
      </c>
      <c r="H472" s="528">
        <v>0</v>
      </c>
      <c r="I472" s="460">
        <f>+H472*G472</f>
        <v>0</v>
      </c>
      <c r="J472" s="480">
        <f>+C473</f>
        <v>6677</v>
      </c>
      <c r="K472" s="527">
        <f>'Distribution Rate Schedule'!B37</f>
        <v>0.07</v>
      </c>
      <c r="L472" s="461">
        <f>+J472*K472</f>
        <v>467.39000000000004</v>
      </c>
      <c r="M472" s="461">
        <f>+L472-I472</f>
        <v>467.39000000000004</v>
      </c>
      <c r="N472" s="469">
        <v>1</v>
      </c>
      <c r="O472" s="463">
        <f>L472/L485</f>
        <v>0.009892765679843438</v>
      </c>
      <c r="P472" s="71"/>
    </row>
    <row r="473" spans="2:16" ht="18" customHeight="1" thickBot="1">
      <c r="B473" s="78"/>
      <c r="C473" s="214">
        <v>6677</v>
      </c>
      <c r="D473" s="222" t="s">
        <v>113</v>
      </c>
      <c r="E473" s="29"/>
      <c r="F473" s="229" t="s">
        <v>73</v>
      </c>
      <c r="G473" s="464">
        <f>+C474</f>
        <v>417140</v>
      </c>
      <c r="H473" s="465">
        <v>0</v>
      </c>
      <c r="I473" s="466">
        <f>+G473*H473</f>
        <v>0</v>
      </c>
      <c r="J473" s="464">
        <f>+C474</f>
        <v>417140</v>
      </c>
      <c r="K473" s="467">
        <v>0</v>
      </c>
      <c r="L473" s="468">
        <f>+J473*K473</f>
        <v>0</v>
      </c>
      <c r="M473" s="468">
        <f>+L473-I473</f>
        <v>0</v>
      </c>
      <c r="N473" s="469">
        <f>IF(I473=0,0,M473/I473)</f>
        <v>0</v>
      </c>
      <c r="O473" s="470">
        <f>L473/L485</f>
        <v>0</v>
      </c>
      <c r="P473" s="71"/>
    </row>
    <row r="474" spans="2:16" ht="18" customHeight="1" thickBot="1">
      <c r="B474" s="78"/>
      <c r="C474" s="214">
        <v>417140</v>
      </c>
      <c r="D474" s="222" t="s">
        <v>16</v>
      </c>
      <c r="E474" s="29"/>
      <c r="F474" s="229" t="s">
        <v>84</v>
      </c>
      <c r="G474" s="464">
        <f>+C475</f>
        <v>1106</v>
      </c>
      <c r="H474" s="465">
        <f>'2010 Existing Rates'!D10</f>
        <v>2.2046</v>
      </c>
      <c r="I474" s="466">
        <f>+G474*H474</f>
        <v>2438.2876</v>
      </c>
      <c r="J474" s="464">
        <f>+C475</f>
        <v>1106</v>
      </c>
      <c r="K474" s="467">
        <f>'Distribution Rate Schedule'!D$37</f>
        <v>1.8085</v>
      </c>
      <c r="L474" s="468">
        <f>+J474*K474</f>
        <v>2000.201</v>
      </c>
      <c r="M474" s="468">
        <f>+L474-I474</f>
        <v>-438.0866000000001</v>
      </c>
      <c r="N474" s="469">
        <f aca="true" t="shared" si="47" ref="N474:N485">+M474/I474</f>
        <v>-0.17966978136623427</v>
      </c>
      <c r="O474" s="470">
        <f>L474/L485</f>
        <v>0.04233620703392996</v>
      </c>
      <c r="P474" s="71"/>
    </row>
    <row r="475" spans="2:16" ht="18" customHeight="1">
      <c r="B475" s="78"/>
      <c r="C475" s="525">
        <v>1106</v>
      </c>
      <c r="D475" s="526" t="s">
        <v>17</v>
      </c>
      <c r="E475" s="29"/>
      <c r="F475" s="496" t="s">
        <v>238</v>
      </c>
      <c r="G475" s="464">
        <f>+C475</f>
        <v>1106</v>
      </c>
      <c r="H475" s="517">
        <f>'2010 Existing Rates'!D$25</f>
        <v>-0.6678</v>
      </c>
      <c r="I475" s="468">
        <f>+G475*H475</f>
        <v>-738.5867999999999</v>
      </c>
      <c r="J475" s="464">
        <f>+C475</f>
        <v>1106</v>
      </c>
      <c r="K475" s="517">
        <f>'2011 Rate Rider'!C$8</f>
        <v>-0.6678</v>
      </c>
      <c r="L475" s="468">
        <f>+J475*K475</f>
        <v>-738.5867999999999</v>
      </c>
      <c r="M475" s="468">
        <f>+L475-I475</f>
        <v>0</v>
      </c>
      <c r="N475" s="469">
        <f>IF(I475=0,0,M475/I475)</f>
        <v>0</v>
      </c>
      <c r="O475" s="470">
        <f>L475/L485</f>
        <v>-0.01563291073113543</v>
      </c>
      <c r="P475" s="71"/>
    </row>
    <row r="476" spans="2:16" ht="18" customHeight="1">
      <c r="B476" s="78"/>
      <c r="C476" s="524"/>
      <c r="D476" s="523"/>
      <c r="E476" s="29"/>
      <c r="F476" s="496" t="s">
        <v>239</v>
      </c>
      <c r="G476" s="464">
        <f>C475</f>
        <v>1106</v>
      </c>
      <c r="H476" s="465">
        <v>0</v>
      </c>
      <c r="I476" s="468">
        <f>+G476*H476</f>
        <v>0</v>
      </c>
      <c r="J476" s="464">
        <f>C475</f>
        <v>1106</v>
      </c>
      <c r="K476" s="467">
        <f>'2011 Rate Rider'!C$32</f>
        <v>0</v>
      </c>
      <c r="L476" s="468">
        <f>+J476*K476</f>
        <v>0</v>
      </c>
      <c r="M476" s="468">
        <f>+L476-I476</f>
        <v>0</v>
      </c>
      <c r="N476" s="469">
        <f>IF(I476=0,0,M476/I476)</f>
        <v>0</v>
      </c>
      <c r="O476" s="470">
        <f>L476/L485</f>
        <v>0</v>
      </c>
      <c r="P476" s="71"/>
    </row>
    <row r="477" spans="2:16" ht="18" customHeight="1" thickBot="1">
      <c r="B477" s="78"/>
      <c r="C477" s="524"/>
      <c r="D477" s="523"/>
      <c r="E477" s="29"/>
      <c r="F477" s="496" t="s">
        <v>240</v>
      </c>
      <c r="G477" s="464">
        <f>C475</f>
        <v>1106</v>
      </c>
      <c r="H477" s="465">
        <v>0</v>
      </c>
      <c r="I477" s="468">
        <f>+G477*H477</f>
        <v>0</v>
      </c>
      <c r="J477" s="464">
        <f>C475</f>
        <v>1106</v>
      </c>
      <c r="K477" s="467">
        <f>'2011 Rate Rider'!C$20</f>
        <v>0.4461</v>
      </c>
      <c r="L477" s="468">
        <f>+J477*K477</f>
        <v>493.3866</v>
      </c>
      <c r="M477" s="468">
        <f>+L477-I477</f>
        <v>493.3866</v>
      </c>
      <c r="N477" s="469">
        <v>1</v>
      </c>
      <c r="O477" s="470">
        <f>L477/L485</f>
        <v>0.010443009100268815</v>
      </c>
      <c r="P477" s="71"/>
    </row>
    <row r="478" spans="2:16" ht="18" customHeight="1" thickBot="1">
      <c r="B478" s="78"/>
      <c r="C478" s="29"/>
      <c r="D478" s="29"/>
      <c r="E478" s="29"/>
      <c r="F478" s="219" t="s">
        <v>78</v>
      </c>
      <c r="G478" s="637"/>
      <c r="H478" s="637"/>
      <c r="I478" s="473">
        <f>SUM(I472:I477)</f>
        <v>1699.7008</v>
      </c>
      <c r="J478" s="637"/>
      <c r="K478" s="637"/>
      <c r="L478" s="473">
        <f>SUM(L472:L477)</f>
        <v>2222.3907999999997</v>
      </c>
      <c r="M478" s="474">
        <f>SUM(M472:M477)</f>
        <v>522.6899999999999</v>
      </c>
      <c r="N478" s="475">
        <f t="shared" si="47"/>
        <v>0.3075188291962914</v>
      </c>
      <c r="O478" s="476">
        <f>L478/L485</f>
        <v>0.04703907108290677</v>
      </c>
      <c r="P478" s="71"/>
    </row>
    <row r="479" spans="2:16" ht="18" customHeight="1">
      <c r="B479" s="78"/>
      <c r="C479" s="29"/>
      <c r="D479" s="29"/>
      <c r="E479" s="29"/>
      <c r="F479" s="229" t="s">
        <v>79</v>
      </c>
      <c r="G479" s="464">
        <f>+C474*'Other Electriciy Rates'!$N$10</f>
        <v>431990.184</v>
      </c>
      <c r="H479" s="477">
        <f>'Other Electriciy Rates'!E$10</f>
        <v>0.0138725</v>
      </c>
      <c r="I479" s="466">
        <f>+G479*H479</f>
        <v>5992.78382754</v>
      </c>
      <c r="J479" s="464">
        <f>+C474*'Other Electriciy Rates'!$O$10</f>
        <v>431698.186</v>
      </c>
      <c r="K479" s="477">
        <f>'Other Electriciy Rates'!F$10</f>
        <v>0.0138725</v>
      </c>
      <c r="L479" s="468">
        <f>+J479*K479</f>
        <v>5988.733085285</v>
      </c>
      <c r="M479" s="468">
        <f>+L479-I479</f>
        <v>-4.050742254999932</v>
      </c>
      <c r="N479" s="469">
        <f t="shared" si="47"/>
        <v>-0.0006759366550791698</v>
      </c>
      <c r="O479" s="470">
        <f>L479/L485</f>
        <v>0.12675738276781778</v>
      </c>
      <c r="P479" s="71"/>
    </row>
    <row r="480" spans="2:16" ht="18" customHeight="1">
      <c r="B480" s="78"/>
      <c r="C480" s="29"/>
      <c r="D480" s="29"/>
      <c r="E480" s="29"/>
      <c r="F480" s="229" t="s">
        <v>86</v>
      </c>
      <c r="G480" s="464">
        <f>+C475*'Other Electriciy Rates'!$N$10</f>
        <v>1145.3736000000001</v>
      </c>
      <c r="H480" s="477">
        <f>'Other Electriciy Rates'!J$10</f>
        <v>3.1871</v>
      </c>
      <c r="I480" s="466">
        <f>+G480*H480</f>
        <v>3650.4202005600005</v>
      </c>
      <c r="J480" s="464">
        <f>+C475*'Other Electriciy Rates'!$O$10</f>
        <v>1144.5993999999998</v>
      </c>
      <c r="K480" s="477">
        <f>'Other Electriciy Rates'!K$10</f>
        <v>3.1871</v>
      </c>
      <c r="L480" s="468">
        <f>+J480*K480</f>
        <v>3647.9527477399997</v>
      </c>
      <c r="M480" s="468">
        <f>+L480-I480</f>
        <v>-2.4674528200007444</v>
      </c>
      <c r="N480" s="469">
        <f>IF(I480=0,0,M480/I480)</f>
        <v>-0.000675936655079385</v>
      </c>
      <c r="O480" s="470">
        <f>L480/L485</f>
        <v>0.0772124815347629</v>
      </c>
      <c r="P480" s="71"/>
    </row>
    <row r="481" spans="2:16" ht="18" customHeight="1">
      <c r="B481" s="78"/>
      <c r="C481" s="29"/>
      <c r="D481" s="29"/>
      <c r="E481" s="29"/>
      <c r="F481" s="229" t="s">
        <v>80</v>
      </c>
      <c r="G481" s="464">
        <v>750</v>
      </c>
      <c r="H481" s="477">
        <f>'Other Electriciy Rates'!L$10</f>
        <v>0.06938</v>
      </c>
      <c r="I481" s="466">
        <f>+G481*H481</f>
        <v>52.035</v>
      </c>
      <c r="J481" s="464">
        <v>750</v>
      </c>
      <c r="K481" s="477">
        <f>'Other Electriciy Rates'!L$10</f>
        <v>0.06938</v>
      </c>
      <c r="L481" s="468">
        <f>+J481*K481</f>
        <v>52.035</v>
      </c>
      <c r="M481" s="468">
        <f>+L481-I481</f>
        <v>0</v>
      </c>
      <c r="N481" s="469">
        <f t="shared" si="47"/>
        <v>0</v>
      </c>
      <c r="O481" s="470">
        <f>L481/L485</f>
        <v>0.0011013715786616172</v>
      </c>
      <c r="P481" s="71"/>
    </row>
    <row r="482" spans="2:16" ht="18" customHeight="1" thickBot="1">
      <c r="B482" s="78"/>
      <c r="C482" s="29"/>
      <c r="D482" s="29"/>
      <c r="E482" s="29"/>
      <c r="F482" s="229" t="s">
        <v>80</v>
      </c>
      <c r="G482" s="464">
        <f>+G479-G481</f>
        <v>431240.184</v>
      </c>
      <c r="H482" s="477">
        <f>'Other Electriciy Rates'!L$10</f>
        <v>0.06938</v>
      </c>
      <c r="I482" s="466">
        <f>+G482*H482</f>
        <v>29919.44396592</v>
      </c>
      <c r="J482" s="464">
        <f>+J479-J481</f>
        <v>430948.186</v>
      </c>
      <c r="K482" s="477">
        <f>'Other Electriciy Rates'!L$10</f>
        <v>0.06938</v>
      </c>
      <c r="L482" s="468">
        <f>+J482*K482</f>
        <v>29899.18514468</v>
      </c>
      <c r="M482" s="468">
        <f>+L482-I482</f>
        <v>-20.258821240000543</v>
      </c>
      <c r="N482" s="469">
        <f t="shared" si="47"/>
        <v>-0.0006771122238460222</v>
      </c>
      <c r="O482" s="470">
        <f>L482/L485</f>
        <v>0.6328454452482403</v>
      </c>
      <c r="P482" s="71"/>
    </row>
    <row r="483" spans="2:16" ht="18" customHeight="1" thickBot="1">
      <c r="B483" s="78"/>
      <c r="C483" s="29"/>
      <c r="D483" s="29"/>
      <c r="E483" s="29"/>
      <c r="F483" s="219" t="s">
        <v>172</v>
      </c>
      <c r="G483" s="637"/>
      <c r="H483" s="637"/>
      <c r="I483" s="473">
        <f>SUM(I478:I482)</f>
        <v>41314.38379402</v>
      </c>
      <c r="J483" s="637"/>
      <c r="K483" s="637"/>
      <c r="L483" s="473">
        <f>SUM(L478:L482)</f>
        <v>41810.296777705</v>
      </c>
      <c r="M483" s="473">
        <f>SUM(M478:M482)</f>
        <v>495.9129836849987</v>
      </c>
      <c r="N483" s="475">
        <f t="shared" si="47"/>
        <v>0.012003397803473448</v>
      </c>
      <c r="O483" s="476">
        <f>L483/L485</f>
        <v>0.8849557522123894</v>
      </c>
      <c r="P483" s="71"/>
    </row>
    <row r="484" spans="2:16" ht="18" customHeight="1" thickBot="1">
      <c r="B484" s="78"/>
      <c r="C484" s="29"/>
      <c r="D484" s="29"/>
      <c r="E484" s="29"/>
      <c r="F484" s="496" t="s">
        <v>252</v>
      </c>
      <c r="G484" s="464"/>
      <c r="H484" s="478">
        <v>0.13</v>
      </c>
      <c r="I484" s="466">
        <f>I483*H484</f>
        <v>5370.869893222601</v>
      </c>
      <c r="J484" s="464"/>
      <c r="K484" s="478">
        <v>0.13</v>
      </c>
      <c r="L484" s="468">
        <f>L483*K484</f>
        <v>5435.338581101651</v>
      </c>
      <c r="M484" s="468">
        <f>+L484-I484</f>
        <v>64.46868787904987</v>
      </c>
      <c r="N484" s="469">
        <f>+M484/I484</f>
        <v>0.012003397803473453</v>
      </c>
      <c r="O484" s="470">
        <f>L484/L485</f>
        <v>0.11504424778761063</v>
      </c>
      <c r="P484" s="71"/>
    </row>
    <row r="485" spans="2:16" ht="18" customHeight="1" thickBot="1">
      <c r="B485" s="78"/>
      <c r="C485" s="29"/>
      <c r="D485" s="29"/>
      <c r="E485" s="29"/>
      <c r="F485" s="220" t="s">
        <v>81</v>
      </c>
      <c r="G485" s="637"/>
      <c r="H485" s="637"/>
      <c r="I485" s="473">
        <f>SUM(I483:I484)</f>
        <v>46685.253687242606</v>
      </c>
      <c r="J485" s="637"/>
      <c r="K485" s="637"/>
      <c r="L485" s="473">
        <f>SUM(L483:L484)</f>
        <v>47245.63535880665</v>
      </c>
      <c r="M485" s="473">
        <f>SUM(M483:M484)</f>
        <v>560.3816715640486</v>
      </c>
      <c r="N485" s="475">
        <f t="shared" si="47"/>
        <v>0.012003397803473448</v>
      </c>
      <c r="O485" s="476">
        <f>O483+O484</f>
        <v>1</v>
      </c>
      <c r="P485" s="71"/>
    </row>
    <row r="486" spans="2:16" ht="6.75" customHeight="1" thickBot="1">
      <c r="B486" s="72"/>
      <c r="C486" s="87"/>
      <c r="D486" s="87"/>
      <c r="E486" s="87"/>
      <c r="F486" s="88"/>
      <c r="G486" s="89"/>
      <c r="H486" s="90"/>
      <c r="I486" s="91"/>
      <c r="J486" s="89"/>
      <c r="K486" s="92"/>
      <c r="L486" s="91"/>
      <c r="M486" s="96"/>
      <c r="N486" s="94"/>
      <c r="O486" s="95"/>
      <c r="P486" s="77"/>
    </row>
    <row r="487" spans="3:15" ht="6.75" customHeight="1" thickBot="1">
      <c r="C487" s="29"/>
      <c r="D487" s="29"/>
      <c r="E487" s="29"/>
      <c r="F487" s="41"/>
      <c r="G487" s="42"/>
      <c r="H487" s="43"/>
      <c r="I487" s="44"/>
      <c r="J487" s="42"/>
      <c r="K487" s="45"/>
      <c r="L487" s="44"/>
      <c r="M487" s="86"/>
      <c r="N487" s="84"/>
      <c r="O487" s="85"/>
    </row>
    <row r="488" spans="2:16" ht="15.75" customHeight="1">
      <c r="B488" s="82"/>
      <c r="C488" s="628"/>
      <c r="D488" s="628"/>
      <c r="E488" s="628"/>
      <c r="F488" s="628"/>
      <c r="G488" s="628"/>
      <c r="H488" s="628"/>
      <c r="I488" s="628"/>
      <c r="J488" s="628"/>
      <c r="K488" s="628"/>
      <c r="L488" s="628"/>
      <c r="M488" s="628"/>
      <c r="N488" s="628"/>
      <c r="O488" s="628"/>
      <c r="P488" s="70"/>
    </row>
    <row r="489" spans="2:16" ht="22.5" customHeight="1">
      <c r="B489" s="78"/>
      <c r="C489" s="626" t="s">
        <v>88</v>
      </c>
      <c r="D489" s="626"/>
      <c r="E489" s="626"/>
      <c r="F489" s="626"/>
      <c r="G489" s="626"/>
      <c r="H489" s="626"/>
      <c r="I489" s="626"/>
      <c r="J489" s="626"/>
      <c r="K489" s="626"/>
      <c r="L489" s="626"/>
      <c r="M489" s="626"/>
      <c r="N489" s="626"/>
      <c r="O489" s="626"/>
      <c r="P489" s="71"/>
    </row>
    <row r="490" spans="2:16" ht="10.5" customHeight="1" thickBot="1">
      <c r="B490" s="78"/>
      <c r="C490" s="627"/>
      <c r="D490" s="627"/>
      <c r="E490" s="627"/>
      <c r="F490" s="627"/>
      <c r="G490" s="627"/>
      <c r="H490" s="627"/>
      <c r="I490" s="627"/>
      <c r="J490" s="627"/>
      <c r="K490" s="627"/>
      <c r="L490" s="627"/>
      <c r="M490" s="627"/>
      <c r="N490" s="627"/>
      <c r="O490" s="627"/>
      <c r="P490" s="71"/>
    </row>
    <row r="491" spans="2:16" ht="26.25" customHeight="1" thickBot="1">
      <c r="B491" s="78"/>
      <c r="C491" s="80"/>
      <c r="D491" s="80"/>
      <c r="E491" s="29"/>
      <c r="F491" s="30"/>
      <c r="G491" s="633" t="str">
        <f>$G$8</f>
        <v>2010 BILL</v>
      </c>
      <c r="H491" s="634"/>
      <c r="I491" s="635"/>
      <c r="J491" s="633" t="str">
        <f>$J$8</f>
        <v>2011 BILL</v>
      </c>
      <c r="K491" s="634"/>
      <c r="L491" s="635"/>
      <c r="M491" s="633" t="s">
        <v>74</v>
      </c>
      <c r="N491" s="634"/>
      <c r="O491" s="635"/>
      <c r="P491" s="71"/>
    </row>
    <row r="492" spans="2:16" ht="26.25" customHeight="1" thickBot="1">
      <c r="B492" s="78"/>
      <c r="C492" s="29"/>
      <c r="D492" s="29"/>
      <c r="E492" s="31"/>
      <c r="F492" s="231"/>
      <c r="G492" s="208" t="s">
        <v>68</v>
      </c>
      <c r="H492" s="209" t="s">
        <v>69</v>
      </c>
      <c r="I492" s="210" t="s">
        <v>70</v>
      </c>
      <c r="J492" s="230" t="s">
        <v>68</v>
      </c>
      <c r="K492" s="209" t="s">
        <v>69</v>
      </c>
      <c r="L492" s="210" t="s">
        <v>70</v>
      </c>
      <c r="M492" s="211" t="s">
        <v>75</v>
      </c>
      <c r="N492" s="212" t="s">
        <v>76</v>
      </c>
      <c r="O492" s="213" t="s">
        <v>77</v>
      </c>
      <c r="P492" s="71"/>
    </row>
    <row r="493" spans="2:16" ht="18" customHeight="1" thickBot="1">
      <c r="B493" s="78"/>
      <c r="C493" s="624" t="s">
        <v>114</v>
      </c>
      <c r="D493" s="625"/>
      <c r="E493" s="29"/>
      <c r="F493" s="228" t="s">
        <v>72</v>
      </c>
      <c r="G493" s="480">
        <f>+C494</f>
        <v>1</v>
      </c>
      <c r="H493" s="481">
        <f>+'2010 Existing Rates'!$B$11</f>
        <v>0</v>
      </c>
      <c r="I493" s="460">
        <f>+H493*G493</f>
        <v>0</v>
      </c>
      <c r="J493" s="480">
        <f>+C494</f>
        <v>1</v>
      </c>
      <c r="K493" s="527">
        <f>'Distribution Rate Schedule'!B37</f>
        <v>0.07</v>
      </c>
      <c r="L493" s="461">
        <f aca="true" t="shared" si="48" ref="L493:L498">+J493*K493</f>
        <v>0.07</v>
      </c>
      <c r="M493" s="461">
        <f>+L493-I493</f>
        <v>0.07</v>
      </c>
      <c r="N493" s="469">
        <v>1</v>
      </c>
      <c r="O493" s="463">
        <f>L493/L505</f>
        <v>0.009894515692989755</v>
      </c>
      <c r="P493" s="71"/>
    </row>
    <row r="494" spans="2:16" ht="18" customHeight="1" thickBot="1">
      <c r="B494" s="78"/>
      <c r="C494" s="214">
        <v>1</v>
      </c>
      <c r="D494" s="222" t="s">
        <v>113</v>
      </c>
      <c r="E494" s="29"/>
      <c r="F494" s="229" t="s">
        <v>73</v>
      </c>
      <c r="G494" s="464">
        <f>+C495</f>
        <v>62.47</v>
      </c>
      <c r="H494" s="465">
        <v>0</v>
      </c>
      <c r="I494" s="466">
        <f>+G494*H494</f>
        <v>0</v>
      </c>
      <c r="J494" s="464">
        <f>+C495</f>
        <v>62.47</v>
      </c>
      <c r="K494" s="467">
        <v>0</v>
      </c>
      <c r="L494" s="468">
        <f t="shared" si="48"/>
        <v>0</v>
      </c>
      <c r="M494" s="468">
        <f>+L494-I494</f>
        <v>0</v>
      </c>
      <c r="N494" s="469">
        <f>IF(I494=0,0,M494/I494)</f>
        <v>0</v>
      </c>
      <c r="O494" s="470">
        <f>L494/L505</f>
        <v>0</v>
      </c>
      <c r="P494" s="71"/>
    </row>
    <row r="495" spans="2:16" ht="18" customHeight="1" thickBot="1">
      <c r="B495" s="78"/>
      <c r="C495" s="236">
        <v>62.47</v>
      </c>
      <c r="D495" s="222" t="s">
        <v>16</v>
      </c>
      <c r="E495" s="29"/>
      <c r="F495" s="229" t="s">
        <v>84</v>
      </c>
      <c r="G495" s="494">
        <f>+C496</f>
        <v>0.16549</v>
      </c>
      <c r="H495" s="465">
        <f>'2010 Existing Rates'!D10</f>
        <v>2.2046</v>
      </c>
      <c r="I495" s="466">
        <f>+G495*H495</f>
        <v>0.364839254</v>
      </c>
      <c r="J495" s="494">
        <f>+C496</f>
        <v>0.16549</v>
      </c>
      <c r="K495" s="467">
        <f>'Distribution Rate Schedule'!D$37</f>
        <v>1.8085</v>
      </c>
      <c r="L495" s="468">
        <f t="shared" si="48"/>
        <v>0.299288665</v>
      </c>
      <c r="M495" s="468">
        <f>+L495-I495</f>
        <v>-0.06555058899999999</v>
      </c>
      <c r="N495" s="469">
        <f>IF(I495=0,0,M495/I495)</f>
        <v>-0.1796697813662342</v>
      </c>
      <c r="O495" s="470">
        <f>L495/L505</f>
        <v>0.04230451989394933</v>
      </c>
      <c r="P495" s="71"/>
    </row>
    <row r="496" spans="2:16" ht="18" customHeight="1" thickBot="1">
      <c r="B496" s="78"/>
      <c r="C496" s="236">
        <v>0.16549</v>
      </c>
      <c r="D496" s="222" t="s">
        <v>17</v>
      </c>
      <c r="E496" s="29"/>
      <c r="F496" s="496" t="s">
        <v>238</v>
      </c>
      <c r="G496" s="494">
        <f>+C496</f>
        <v>0.16549</v>
      </c>
      <c r="H496" s="517">
        <f>'2010 Existing Rates'!D$25</f>
        <v>-0.6678</v>
      </c>
      <c r="I496" s="468">
        <f>+G496*H496</f>
        <v>-0.110514222</v>
      </c>
      <c r="J496" s="494">
        <f>+C496</f>
        <v>0.16549</v>
      </c>
      <c r="K496" s="517">
        <f>'2011 Rate Rider'!C8</f>
        <v>-0.6678</v>
      </c>
      <c r="L496" s="468">
        <f t="shared" si="48"/>
        <v>-0.110514222</v>
      </c>
      <c r="M496" s="468">
        <f>+L496-I496</f>
        <v>0</v>
      </c>
      <c r="N496" s="469">
        <f>+M496/I496</f>
        <v>0</v>
      </c>
      <c r="O496" s="470">
        <f>L496/L505</f>
        <v>-0.01562121005539362</v>
      </c>
      <c r="P496" s="71"/>
    </row>
    <row r="497" spans="2:16" ht="18" customHeight="1">
      <c r="B497" s="78"/>
      <c r="C497" s="522"/>
      <c r="D497" s="523"/>
      <c r="E497" s="29"/>
      <c r="F497" s="496" t="s">
        <v>239</v>
      </c>
      <c r="G497" s="494">
        <f>C496</f>
        <v>0.16549</v>
      </c>
      <c r="H497" s="465">
        <v>0</v>
      </c>
      <c r="I497" s="466">
        <f>+G497*H497</f>
        <v>0</v>
      </c>
      <c r="J497" s="494">
        <f>C496</f>
        <v>0.16549</v>
      </c>
      <c r="K497" s="467">
        <f>'2011 Rate Rider'!C$32</f>
        <v>0</v>
      </c>
      <c r="L497" s="468">
        <f t="shared" si="48"/>
        <v>0</v>
      </c>
      <c r="M497" s="468">
        <f>+L497-I497</f>
        <v>0</v>
      </c>
      <c r="N497" s="469">
        <f>IF(I497=0,0,M497/I497)</f>
        <v>0</v>
      </c>
      <c r="O497" s="470">
        <f>L497/L505</f>
        <v>0</v>
      </c>
      <c r="P497" s="71"/>
    </row>
    <row r="498" spans="2:16" ht="18" customHeight="1" thickBot="1">
      <c r="B498" s="78"/>
      <c r="C498" s="522"/>
      <c r="D498" s="523"/>
      <c r="E498" s="29"/>
      <c r="F498" s="496" t="s">
        <v>240</v>
      </c>
      <c r="G498" s="494">
        <f>C496</f>
        <v>0.16549</v>
      </c>
      <c r="H498" s="465">
        <v>0</v>
      </c>
      <c r="I498" s="466">
        <f>+G498*H498</f>
        <v>0</v>
      </c>
      <c r="J498" s="494">
        <f>C496</f>
        <v>0.16549</v>
      </c>
      <c r="K498" s="467">
        <f>'2011 Rate Rider'!C$20</f>
        <v>0.4461</v>
      </c>
      <c r="L498" s="468">
        <f t="shared" si="48"/>
        <v>0.073825089</v>
      </c>
      <c r="M498" s="468">
        <f>+L498-I498</f>
        <v>0.073825089</v>
      </c>
      <c r="N498" s="469">
        <v>1</v>
      </c>
      <c r="O498" s="470">
        <f>L498/L505</f>
        <v>0.010435192880669504</v>
      </c>
      <c r="P498" s="71"/>
    </row>
    <row r="499" spans="2:16" ht="18" customHeight="1" thickBot="1">
      <c r="B499" s="78"/>
      <c r="C499" s="29"/>
      <c r="D499" s="29"/>
      <c r="E499" s="29"/>
      <c r="F499" s="219" t="s">
        <v>78</v>
      </c>
      <c r="G499" s="637"/>
      <c r="H499" s="637"/>
      <c r="I499" s="473">
        <f>SUM(I493:I498)</f>
        <v>0.254325032</v>
      </c>
      <c r="J499" s="637"/>
      <c r="K499" s="637"/>
      <c r="L499" s="473">
        <f>SUM(L493:L498)</f>
        <v>0.33259953200000003</v>
      </c>
      <c r="M499" s="474">
        <f>SUM(M493:M498)</f>
        <v>0.07827450000000001</v>
      </c>
      <c r="N499" s="475">
        <f aca="true" t="shared" si="49" ref="N499:N505">+M499/I499</f>
        <v>0.3077734794111812</v>
      </c>
      <c r="O499" s="476">
        <f>L499/L505</f>
        <v>0.047013018412214974</v>
      </c>
      <c r="P499" s="71"/>
    </row>
    <row r="500" spans="2:16" ht="18" customHeight="1">
      <c r="B500" s="78"/>
      <c r="C500" s="29"/>
      <c r="D500" s="29"/>
      <c r="E500" s="29"/>
      <c r="F500" s="229" t="s">
        <v>79</v>
      </c>
      <c r="G500" s="464">
        <f>+C495*'Other Electriciy Rates'!$N$11</f>
        <v>64.693932</v>
      </c>
      <c r="H500" s="477">
        <f>'Other Electriciy Rates'!E$10</f>
        <v>0.0138725</v>
      </c>
      <c r="I500" s="466">
        <f>+G500*H500</f>
        <v>0.89746657167</v>
      </c>
      <c r="J500" s="464">
        <f>+C495*'Other Electriciy Rates'!$O$11</f>
        <v>64.65020299999999</v>
      </c>
      <c r="K500" s="477">
        <f>'Other Electriciy Rates'!F$10</f>
        <v>0.0138725</v>
      </c>
      <c r="L500" s="468">
        <f>+J500*K500</f>
        <v>0.8968599411174998</v>
      </c>
      <c r="M500" s="468">
        <f>+L500-I500</f>
        <v>-0.0006066305525002091</v>
      </c>
      <c r="N500" s="469">
        <f t="shared" si="49"/>
        <v>-0.0006759366550794142</v>
      </c>
      <c r="O500" s="470">
        <f>L500/L505</f>
        <v>0.12677135374001383</v>
      </c>
      <c r="P500" s="71"/>
    </row>
    <row r="501" spans="2:16" ht="18" customHeight="1">
      <c r="B501" s="78"/>
      <c r="C501" s="29"/>
      <c r="D501" s="29"/>
      <c r="E501" s="29"/>
      <c r="F501" s="229" t="s">
        <v>86</v>
      </c>
      <c r="G501" s="494">
        <f>+C496*'Other Electriciy Rates'!$N$11</f>
        <v>0.17138144400000002</v>
      </c>
      <c r="H501" s="477">
        <f>'Other Electriciy Rates'!J$10</f>
        <v>3.1871</v>
      </c>
      <c r="I501" s="466">
        <f>+G501*H501</f>
        <v>0.5462098001724001</v>
      </c>
      <c r="J501" s="494">
        <f>+C496*'Other Electriciy Rates'!$O$11</f>
        <v>0.171265601</v>
      </c>
      <c r="K501" s="477">
        <f>'Other Electriciy Rates'!K$10</f>
        <v>3.1871</v>
      </c>
      <c r="L501" s="468">
        <f>+J501*K501</f>
        <v>0.5458405969471</v>
      </c>
      <c r="M501" s="468">
        <f>+L501-I501</f>
        <v>-0.0003692032253000965</v>
      </c>
      <c r="N501" s="469">
        <f>IF(I501=0,0,M501/I501)</f>
        <v>-0.0006759366550793578</v>
      </c>
      <c r="O501" s="470">
        <f>L501/L505</f>
        <v>0.0771546907480568</v>
      </c>
      <c r="P501" s="71"/>
    </row>
    <row r="502" spans="2:16" ht="18" customHeight="1" thickBot="1">
      <c r="B502" s="78"/>
      <c r="C502" s="29"/>
      <c r="D502" s="29"/>
      <c r="E502" s="29"/>
      <c r="F502" s="229" t="s">
        <v>80</v>
      </c>
      <c r="G502" s="464">
        <f>G500</f>
        <v>64.693932</v>
      </c>
      <c r="H502" s="477">
        <f>'Other Electriciy Rates'!L$10</f>
        <v>0.06938</v>
      </c>
      <c r="I502" s="466">
        <f>+G502*H502</f>
        <v>4.48846500216</v>
      </c>
      <c r="J502" s="464">
        <f>J500</f>
        <v>64.65020299999999</v>
      </c>
      <c r="K502" s="477">
        <f>'Other Electriciy Rates'!L$10</f>
        <v>0.06938</v>
      </c>
      <c r="L502" s="468">
        <f>+J502*K502</f>
        <v>4.485431084139999</v>
      </c>
      <c r="M502" s="468">
        <f>+L502-I502</f>
        <v>-0.0030339180200007476</v>
      </c>
      <c r="N502" s="469">
        <f t="shared" si="49"/>
        <v>-0.0006759366550793478</v>
      </c>
      <c r="O502" s="470">
        <f>L502/L505</f>
        <v>0.6340166893121038</v>
      </c>
      <c r="P502" s="71"/>
    </row>
    <row r="503" spans="2:16" ht="18" customHeight="1" thickBot="1">
      <c r="B503" s="78"/>
      <c r="C503" s="29"/>
      <c r="D503" s="29"/>
      <c r="E503" s="29"/>
      <c r="F503" s="219" t="s">
        <v>172</v>
      </c>
      <c r="G503" s="637"/>
      <c r="H503" s="637"/>
      <c r="I503" s="473">
        <f>SUM(I499:I502)</f>
        <v>6.1864664060024</v>
      </c>
      <c r="J503" s="637"/>
      <c r="K503" s="637"/>
      <c r="L503" s="473">
        <f>SUM(L499:L502)</f>
        <v>6.260731154204599</v>
      </c>
      <c r="M503" s="473">
        <f>SUM(M499:M502)</f>
        <v>0.07426474820219896</v>
      </c>
      <c r="N503" s="475">
        <f t="shared" si="49"/>
        <v>0.012004388826898634</v>
      </c>
      <c r="O503" s="476">
        <f>L503/L505</f>
        <v>0.8849557522123894</v>
      </c>
      <c r="P503" s="71"/>
    </row>
    <row r="504" spans="2:16" ht="18" customHeight="1" thickBot="1">
      <c r="B504" s="78"/>
      <c r="C504" s="29"/>
      <c r="D504" s="29"/>
      <c r="E504" s="29"/>
      <c r="F504" s="496" t="s">
        <v>252</v>
      </c>
      <c r="G504" s="464"/>
      <c r="H504" s="478">
        <v>0.13</v>
      </c>
      <c r="I504" s="466">
        <f>I503*H504</f>
        <v>0.804240632780312</v>
      </c>
      <c r="J504" s="464"/>
      <c r="K504" s="478">
        <v>0.13</v>
      </c>
      <c r="L504" s="468">
        <f>L503*K504</f>
        <v>0.8138950500465979</v>
      </c>
      <c r="M504" s="468">
        <f>+L504-I504</f>
        <v>0.009654417266285908</v>
      </c>
      <c r="N504" s="469">
        <f>+M504/I504</f>
        <v>0.012004388826898688</v>
      </c>
      <c r="O504" s="470">
        <f>L504/L505</f>
        <v>0.11504424778761063</v>
      </c>
      <c r="P504" s="71"/>
    </row>
    <row r="505" spans="2:16" ht="18" customHeight="1" thickBot="1">
      <c r="B505" s="78"/>
      <c r="C505" s="29"/>
      <c r="D505" s="29"/>
      <c r="E505" s="33"/>
      <c r="F505" s="220" t="s">
        <v>81</v>
      </c>
      <c r="G505" s="637"/>
      <c r="H505" s="637"/>
      <c r="I505" s="473">
        <f>SUM(I503:I504)</f>
        <v>6.990707038782712</v>
      </c>
      <c r="J505" s="637"/>
      <c r="K505" s="637"/>
      <c r="L505" s="473">
        <f>SUM(L503:L504)</f>
        <v>7.074626204251197</v>
      </c>
      <c r="M505" s="473">
        <f>SUM(M503:M504)</f>
        <v>0.08391916546848487</v>
      </c>
      <c r="N505" s="475">
        <f t="shared" si="49"/>
        <v>0.012004388826898641</v>
      </c>
      <c r="O505" s="476">
        <f>O503+O504</f>
        <v>1</v>
      </c>
      <c r="P505" s="71"/>
    </row>
    <row r="506" spans="2:16" ht="6.75" customHeight="1" thickBot="1">
      <c r="B506" s="78"/>
      <c r="C506" s="79"/>
      <c r="D506" s="79"/>
      <c r="E506" s="79"/>
      <c r="F506" s="79"/>
      <c r="G506" s="79"/>
      <c r="H506" s="79"/>
      <c r="I506" s="79"/>
      <c r="J506" s="79"/>
      <c r="K506" s="79"/>
      <c r="L506" s="79"/>
      <c r="M506" s="79"/>
      <c r="N506" s="79"/>
      <c r="O506" s="79"/>
      <c r="P506" s="71"/>
    </row>
    <row r="507" spans="2:16" ht="6.75" customHeight="1" thickBot="1">
      <c r="B507" s="78"/>
      <c r="C507" s="97"/>
      <c r="D507" s="97"/>
      <c r="E507" s="97"/>
      <c r="F507" s="98"/>
      <c r="G507" s="99"/>
      <c r="H507" s="100"/>
      <c r="I507" s="101"/>
      <c r="J507" s="99"/>
      <c r="K507" s="102"/>
      <c r="L507" s="101"/>
      <c r="M507" s="103"/>
      <c r="N507" s="104"/>
      <c r="O507" s="105"/>
      <c r="P507" s="77"/>
    </row>
    <row r="508" spans="2:16" ht="6.75" customHeight="1">
      <c r="B508" s="78"/>
      <c r="C508" s="79"/>
      <c r="D508" s="79"/>
      <c r="E508" s="79"/>
      <c r="F508" s="79"/>
      <c r="G508" s="79"/>
      <c r="H508" s="79"/>
      <c r="I508" s="79"/>
      <c r="J508" s="79"/>
      <c r="K508" s="79"/>
      <c r="L508" s="79"/>
      <c r="M508" s="79"/>
      <c r="N508" s="79"/>
      <c r="O508" s="79"/>
      <c r="P508" s="71"/>
    </row>
    <row r="509" spans="2:16" ht="23.25" hidden="1">
      <c r="B509" s="78"/>
      <c r="C509" s="626" t="s">
        <v>87</v>
      </c>
      <c r="D509" s="626"/>
      <c r="E509" s="626"/>
      <c r="F509" s="626"/>
      <c r="G509" s="626"/>
      <c r="H509" s="626"/>
      <c r="I509" s="626"/>
      <c r="J509" s="626"/>
      <c r="K509" s="626"/>
      <c r="L509" s="626"/>
      <c r="M509" s="626"/>
      <c r="N509" s="626"/>
      <c r="O509" s="626"/>
      <c r="P509" s="71"/>
    </row>
    <row r="510" spans="2:16" ht="6.75" customHeight="1" hidden="1" thickBot="1">
      <c r="B510" s="78"/>
      <c r="C510" s="627"/>
      <c r="D510" s="627"/>
      <c r="E510" s="627"/>
      <c r="F510" s="627"/>
      <c r="G510" s="627"/>
      <c r="H510" s="627"/>
      <c r="I510" s="627"/>
      <c r="J510" s="627"/>
      <c r="K510" s="627"/>
      <c r="L510" s="627"/>
      <c r="M510" s="627"/>
      <c r="N510" s="627"/>
      <c r="O510" s="627"/>
      <c r="P510" s="71"/>
    </row>
    <row r="511" spans="2:16" ht="21" hidden="1" thickBot="1">
      <c r="B511" s="78"/>
      <c r="C511" s="80"/>
      <c r="D511" s="80"/>
      <c r="E511" s="29"/>
      <c r="F511" s="30"/>
      <c r="G511" s="633" t="str">
        <f>$G$8</f>
        <v>2010 BILL</v>
      </c>
      <c r="H511" s="634"/>
      <c r="I511" s="635"/>
      <c r="J511" s="633" t="str">
        <f>$J$8</f>
        <v>2011 BILL</v>
      </c>
      <c r="K511" s="634"/>
      <c r="L511" s="635"/>
      <c r="M511" s="633" t="s">
        <v>74</v>
      </c>
      <c r="N511" s="634"/>
      <c r="O511" s="635"/>
      <c r="P511" s="71"/>
    </row>
    <row r="512" spans="2:16" ht="26.25" hidden="1" thickBot="1">
      <c r="B512" s="78"/>
      <c r="C512" s="29"/>
      <c r="D512" s="29"/>
      <c r="E512" s="31"/>
      <c r="F512" s="231"/>
      <c r="G512" s="208" t="s">
        <v>68</v>
      </c>
      <c r="H512" s="209" t="s">
        <v>69</v>
      </c>
      <c r="I512" s="210" t="s">
        <v>70</v>
      </c>
      <c r="J512" s="230" t="s">
        <v>68</v>
      </c>
      <c r="K512" s="209" t="s">
        <v>69</v>
      </c>
      <c r="L512" s="210" t="s">
        <v>70</v>
      </c>
      <c r="M512" s="211" t="s">
        <v>75</v>
      </c>
      <c r="N512" s="212" t="s">
        <v>76</v>
      </c>
      <c r="O512" s="213" t="s">
        <v>77</v>
      </c>
      <c r="P512" s="71"/>
    </row>
    <row r="513" spans="2:16" ht="18" customHeight="1" hidden="1" thickBot="1">
      <c r="B513" s="78"/>
      <c r="C513" s="624" t="s">
        <v>114</v>
      </c>
      <c r="D513" s="625"/>
      <c r="E513" s="29"/>
      <c r="F513" s="228" t="s">
        <v>72</v>
      </c>
      <c r="G513" s="480">
        <f>+C514</f>
        <v>721</v>
      </c>
      <c r="H513" s="481">
        <f>+'2010 Existing Rates'!$B$10</f>
        <v>0</v>
      </c>
      <c r="I513" s="460">
        <f>+H513*G513</f>
        <v>0</v>
      </c>
      <c r="J513" s="480">
        <f>+C514</f>
        <v>721</v>
      </c>
      <c r="K513" s="482">
        <v>0</v>
      </c>
      <c r="L513" s="461">
        <f>+J513*K513</f>
        <v>0</v>
      </c>
      <c r="M513" s="461">
        <f>+L513-I513</f>
        <v>0</v>
      </c>
      <c r="N513" s="462" t="e">
        <f aca="true" t="shared" si="50" ref="N513:N523">+M513/I513</f>
        <v>#DIV/0!</v>
      </c>
      <c r="O513" s="463" t="e">
        <f>L513/L523</f>
        <v>#DIV/0!</v>
      </c>
      <c r="P513" s="71"/>
    </row>
    <row r="514" spans="2:16" ht="18" customHeight="1" hidden="1" thickBot="1">
      <c r="B514" s="78"/>
      <c r="C514" s="214">
        <v>721</v>
      </c>
      <c r="D514" s="222" t="s">
        <v>113</v>
      </c>
      <c r="E514" s="29"/>
      <c r="F514" s="229" t="s">
        <v>73</v>
      </c>
      <c r="G514" s="464">
        <f>+C515</f>
        <v>97008</v>
      </c>
      <c r="H514" s="465">
        <v>0</v>
      </c>
      <c r="I514" s="466">
        <f>+G514*H514</f>
        <v>0</v>
      </c>
      <c r="J514" s="464">
        <f>+C515</f>
        <v>97008</v>
      </c>
      <c r="K514" s="467">
        <v>0</v>
      </c>
      <c r="L514" s="468">
        <f>+J514*K514</f>
        <v>0</v>
      </c>
      <c r="M514" s="468">
        <f>+L514-I514</f>
        <v>0</v>
      </c>
      <c r="N514" s="469" t="e">
        <f t="shared" si="50"/>
        <v>#DIV/0!</v>
      </c>
      <c r="O514" s="470" t="e">
        <f>L514/L523</f>
        <v>#DIV/0!</v>
      </c>
      <c r="P514" s="71"/>
    </row>
    <row r="515" spans="2:16" ht="18" customHeight="1" hidden="1" thickBot="1">
      <c r="B515" s="78"/>
      <c r="C515" s="214">
        <v>97008</v>
      </c>
      <c r="D515" s="222" t="s">
        <v>16</v>
      </c>
      <c r="E515" s="29"/>
      <c r="F515" s="229" t="s">
        <v>84</v>
      </c>
      <c r="G515" s="464">
        <f>+C516</f>
        <v>216</v>
      </c>
      <c r="H515" s="465">
        <v>0</v>
      </c>
      <c r="I515" s="466">
        <f>+G515*H515</f>
        <v>0</v>
      </c>
      <c r="J515" s="464">
        <f>+C516</f>
        <v>216</v>
      </c>
      <c r="K515" s="467">
        <v>0</v>
      </c>
      <c r="L515" s="468">
        <f>+J515*K515</f>
        <v>0</v>
      </c>
      <c r="M515" s="468">
        <f>+L515-I515</f>
        <v>0</v>
      </c>
      <c r="N515" s="469" t="e">
        <f t="shared" si="50"/>
        <v>#DIV/0!</v>
      </c>
      <c r="O515" s="470" t="e">
        <f>L515/L523</f>
        <v>#DIV/0!</v>
      </c>
      <c r="P515" s="71"/>
    </row>
    <row r="516" spans="2:16" ht="18" customHeight="1" hidden="1" thickBot="1">
      <c r="B516" s="78"/>
      <c r="C516" s="214">
        <v>216</v>
      </c>
      <c r="D516" s="222" t="s">
        <v>17</v>
      </c>
      <c r="E516" s="29"/>
      <c r="F516" s="229" t="s">
        <v>85</v>
      </c>
      <c r="G516" s="464">
        <f>+C516</f>
        <v>216</v>
      </c>
      <c r="H516" s="465">
        <v>0</v>
      </c>
      <c r="I516" s="466">
        <f>+G516*H516</f>
        <v>0</v>
      </c>
      <c r="J516" s="464">
        <f>+C516</f>
        <v>216</v>
      </c>
      <c r="K516" s="467">
        <v>0</v>
      </c>
      <c r="L516" s="468">
        <f>+J516*K516</f>
        <v>0</v>
      </c>
      <c r="M516" s="468">
        <f>+L516-I516</f>
        <v>0</v>
      </c>
      <c r="N516" s="469" t="e">
        <f t="shared" si="50"/>
        <v>#DIV/0!</v>
      </c>
      <c r="O516" s="470" t="e">
        <f>L516/L523</f>
        <v>#DIV/0!</v>
      </c>
      <c r="P516" s="71"/>
    </row>
    <row r="517" spans="2:16" ht="18" customHeight="1" hidden="1" thickBot="1">
      <c r="B517" s="78"/>
      <c r="C517" s="29"/>
      <c r="D517" s="29"/>
      <c r="E517" s="29"/>
      <c r="F517" s="219" t="s">
        <v>78</v>
      </c>
      <c r="G517" s="637"/>
      <c r="H517" s="637"/>
      <c r="I517" s="473">
        <f>SUM(I513:I516)</f>
        <v>0</v>
      </c>
      <c r="J517" s="637"/>
      <c r="K517" s="637"/>
      <c r="L517" s="473">
        <f>SUM(L513:L516)</f>
        <v>0</v>
      </c>
      <c r="M517" s="474">
        <f>SUM(M513:M516)</f>
        <v>0</v>
      </c>
      <c r="N517" s="475" t="e">
        <f t="shared" si="50"/>
        <v>#DIV/0!</v>
      </c>
      <c r="O517" s="476" t="e">
        <f>SUM(O513:O516)</f>
        <v>#DIV/0!</v>
      </c>
      <c r="P517" s="71"/>
    </row>
    <row r="518" spans="2:16" ht="18" customHeight="1" hidden="1">
      <c r="B518" s="78"/>
      <c r="C518" s="29"/>
      <c r="D518" s="29"/>
      <c r="E518" s="29"/>
      <c r="F518" s="229" t="s">
        <v>79</v>
      </c>
      <c r="G518" s="464">
        <f>+C515*'Other Electriciy Rates'!$N$10</f>
        <v>100461.4848</v>
      </c>
      <c r="H518" s="477">
        <v>0</v>
      </c>
      <c r="I518" s="466">
        <f>+G518*H518</f>
        <v>0</v>
      </c>
      <c r="J518" s="464">
        <f>+C515*'Other Electriciy Rates'!$O$11</f>
        <v>100393.5792</v>
      </c>
      <c r="K518" s="477">
        <v>0</v>
      </c>
      <c r="L518" s="468">
        <f>+J518*K518</f>
        <v>0</v>
      </c>
      <c r="M518" s="468">
        <f>+L518-I518</f>
        <v>0</v>
      </c>
      <c r="N518" s="469" t="e">
        <f t="shared" si="50"/>
        <v>#DIV/0!</v>
      </c>
      <c r="O518" s="470" t="e">
        <f>L518/L523</f>
        <v>#DIV/0!</v>
      </c>
      <c r="P518" s="71"/>
    </row>
    <row r="519" spans="2:16" ht="18" customHeight="1" hidden="1">
      <c r="B519" s="78"/>
      <c r="C519" s="29"/>
      <c r="D519" s="29"/>
      <c r="E519" s="29"/>
      <c r="F519" s="229" t="s">
        <v>86</v>
      </c>
      <c r="G519" s="464">
        <f>+C516*'Other Electriciy Rates'!$N$10</f>
        <v>223.6896</v>
      </c>
      <c r="H519" s="477">
        <v>0</v>
      </c>
      <c r="I519" s="466">
        <f>+G519*H519</f>
        <v>0</v>
      </c>
      <c r="J519" s="464">
        <f>+C516*'Other Electriciy Rates'!$O$11</f>
        <v>223.5384</v>
      </c>
      <c r="K519" s="477">
        <v>0</v>
      </c>
      <c r="L519" s="468">
        <f>+J519*K519</f>
        <v>0</v>
      </c>
      <c r="M519" s="468">
        <f>+L519-I519</f>
        <v>0</v>
      </c>
      <c r="N519" s="469" t="e">
        <f t="shared" si="50"/>
        <v>#DIV/0!</v>
      </c>
      <c r="O519" s="470" t="e">
        <f>L519/L523</f>
        <v>#DIV/0!</v>
      </c>
      <c r="P519" s="71"/>
    </row>
    <row r="520" spans="2:16" ht="18" customHeight="1" hidden="1" thickBot="1">
      <c r="B520" s="78"/>
      <c r="C520" s="29"/>
      <c r="D520" s="29"/>
      <c r="E520" s="29"/>
      <c r="F520" s="229" t="s">
        <v>80</v>
      </c>
      <c r="G520" s="464">
        <f>+G518</f>
        <v>100461.4848</v>
      </c>
      <c r="H520" s="477">
        <v>0</v>
      </c>
      <c r="I520" s="466">
        <f>+G520*H520</f>
        <v>0</v>
      </c>
      <c r="J520" s="464">
        <f>+J518</f>
        <v>100393.5792</v>
      </c>
      <c r="K520" s="477">
        <v>0</v>
      </c>
      <c r="L520" s="468">
        <f>+J520*K520</f>
        <v>0</v>
      </c>
      <c r="M520" s="468">
        <f>+L520-I520</f>
        <v>0</v>
      </c>
      <c r="N520" s="469" t="e">
        <f t="shared" si="50"/>
        <v>#DIV/0!</v>
      </c>
      <c r="O520" s="470" t="e">
        <f>L520/L523</f>
        <v>#DIV/0!</v>
      </c>
      <c r="P520" s="71"/>
    </row>
    <row r="521" spans="2:16" ht="18" customHeight="1" hidden="1" thickBot="1">
      <c r="B521" s="78"/>
      <c r="C521" s="29"/>
      <c r="D521" s="29"/>
      <c r="E521" s="29"/>
      <c r="F521" s="219" t="s">
        <v>172</v>
      </c>
      <c r="G521" s="637"/>
      <c r="H521" s="637"/>
      <c r="I521" s="473">
        <f>SUM(I517:I520)</f>
        <v>0</v>
      </c>
      <c r="J521" s="637"/>
      <c r="K521" s="637"/>
      <c r="L521" s="473">
        <f>SUM(L517:L520)</f>
        <v>0</v>
      </c>
      <c r="M521" s="473">
        <f>SUM(M517:M520)</f>
        <v>0</v>
      </c>
      <c r="N521" s="475" t="e">
        <f t="shared" si="50"/>
        <v>#DIV/0!</v>
      </c>
      <c r="O521" s="476" t="e">
        <f>SUM(O517:O520)</f>
        <v>#DIV/0!</v>
      </c>
      <c r="P521" s="71"/>
    </row>
    <row r="522" spans="2:16" ht="18" customHeight="1" hidden="1" thickBot="1">
      <c r="B522" s="78"/>
      <c r="C522" s="29"/>
      <c r="D522" s="29"/>
      <c r="E522" s="29"/>
      <c r="F522" s="107" t="s">
        <v>173</v>
      </c>
      <c r="G522" s="464"/>
      <c r="H522" s="478">
        <v>0.05</v>
      </c>
      <c r="I522" s="466">
        <f>I521*H522</f>
        <v>0</v>
      </c>
      <c r="J522" s="464"/>
      <c r="K522" s="478">
        <v>0.05</v>
      </c>
      <c r="L522" s="468">
        <f>L521*K522</f>
        <v>0</v>
      </c>
      <c r="M522" s="468">
        <f>+L522-I522</f>
        <v>0</v>
      </c>
      <c r="N522" s="469" t="e">
        <f>+M522/I522</f>
        <v>#DIV/0!</v>
      </c>
      <c r="O522" s="470" t="e">
        <f>L522/L523</f>
        <v>#DIV/0!</v>
      </c>
      <c r="P522" s="71"/>
    </row>
    <row r="523" spans="2:16" ht="18" customHeight="1" hidden="1" thickBot="1">
      <c r="B523" s="78"/>
      <c r="C523" s="29"/>
      <c r="D523" s="29"/>
      <c r="E523" s="29"/>
      <c r="F523" s="220" t="s">
        <v>81</v>
      </c>
      <c r="G523" s="637"/>
      <c r="H523" s="637"/>
      <c r="I523" s="473">
        <f>I521+I522</f>
        <v>0</v>
      </c>
      <c r="J523" s="637"/>
      <c r="K523" s="637"/>
      <c r="L523" s="473">
        <f>L521+L522</f>
        <v>0</v>
      </c>
      <c r="M523" s="473">
        <f>M521+M522</f>
        <v>0</v>
      </c>
      <c r="N523" s="475" t="e">
        <f t="shared" si="50"/>
        <v>#DIV/0!</v>
      </c>
      <c r="O523" s="476" t="e">
        <f>O521+O522</f>
        <v>#DIV/0!</v>
      </c>
      <c r="P523" s="71"/>
    </row>
    <row r="524" spans="2:16" ht="6.75" customHeight="1" hidden="1" thickBot="1">
      <c r="B524" s="72"/>
      <c r="C524" s="87"/>
      <c r="D524" s="87"/>
      <c r="E524" s="87"/>
      <c r="F524" s="88"/>
      <c r="G524" s="89"/>
      <c r="H524" s="90"/>
      <c r="I524" s="91"/>
      <c r="J524" s="89"/>
      <c r="K524" s="92"/>
      <c r="L524" s="91"/>
      <c r="M524" s="96"/>
      <c r="N524" s="94"/>
      <c r="O524" s="95"/>
      <c r="P524" s="77"/>
    </row>
    <row r="525" spans="3:15" ht="6.75" customHeight="1" hidden="1" thickBot="1">
      <c r="C525" s="29"/>
      <c r="D525" s="29"/>
      <c r="E525" s="29"/>
      <c r="F525" s="41"/>
      <c r="G525" s="42"/>
      <c r="H525" s="43"/>
      <c r="I525" s="44"/>
      <c r="J525" s="42"/>
      <c r="K525" s="45"/>
      <c r="L525" s="44"/>
      <c r="M525" s="86"/>
      <c r="N525" s="84"/>
      <c r="O525" s="85"/>
    </row>
    <row r="526" spans="2:16" ht="6.75" customHeight="1" hidden="1" thickBot="1">
      <c r="B526" s="82"/>
      <c r="C526" s="628"/>
      <c r="D526" s="628"/>
      <c r="E526" s="628"/>
      <c r="F526" s="628"/>
      <c r="G526" s="628"/>
      <c r="H526" s="628"/>
      <c r="I526" s="628"/>
      <c r="J526" s="628"/>
      <c r="K526" s="628"/>
      <c r="L526" s="628"/>
      <c r="M526" s="628"/>
      <c r="N526" s="628"/>
      <c r="O526" s="628"/>
      <c r="P526" s="70"/>
    </row>
    <row r="527" spans="2:16" ht="24" hidden="1" thickBot="1">
      <c r="B527" s="78"/>
      <c r="C527" s="641" t="s">
        <v>87</v>
      </c>
      <c r="D527" s="642"/>
      <c r="E527" s="642"/>
      <c r="F527" s="642"/>
      <c r="G527" s="642"/>
      <c r="H527" s="642"/>
      <c r="I527" s="642"/>
      <c r="J527" s="642"/>
      <c r="K527" s="642"/>
      <c r="L527" s="642"/>
      <c r="M527" s="642"/>
      <c r="N527" s="642"/>
      <c r="O527" s="643"/>
      <c r="P527" s="71"/>
    </row>
    <row r="528" spans="2:16" ht="6.75" customHeight="1" hidden="1" thickBot="1">
      <c r="B528" s="78"/>
      <c r="C528" s="627"/>
      <c r="D528" s="627"/>
      <c r="E528" s="627"/>
      <c r="F528" s="627"/>
      <c r="G528" s="627"/>
      <c r="H528" s="627"/>
      <c r="I528" s="627"/>
      <c r="J528" s="627"/>
      <c r="K528" s="627"/>
      <c r="L528" s="627"/>
      <c r="M528" s="627"/>
      <c r="N528" s="627"/>
      <c r="O528" s="627"/>
      <c r="P528" s="71"/>
    </row>
    <row r="529" spans="2:16" ht="21" hidden="1" thickBot="1">
      <c r="B529" s="78"/>
      <c r="C529" s="80"/>
      <c r="D529" s="80"/>
      <c r="E529" s="29"/>
      <c r="F529" s="35"/>
      <c r="G529" s="633" t="str">
        <f>$G$8</f>
        <v>2010 BILL</v>
      </c>
      <c r="H529" s="634"/>
      <c r="I529" s="635"/>
      <c r="J529" s="633" t="str">
        <f>$J$8</f>
        <v>2011 BILL</v>
      </c>
      <c r="K529" s="634"/>
      <c r="L529" s="635"/>
      <c r="M529" s="633" t="s">
        <v>74</v>
      </c>
      <c r="N529" s="634"/>
      <c r="O529" s="635"/>
      <c r="P529" s="71"/>
    </row>
    <row r="530" spans="2:16" ht="26.25" hidden="1" thickBot="1">
      <c r="B530" s="78"/>
      <c r="C530" s="29"/>
      <c r="D530" s="29"/>
      <c r="E530" s="31"/>
      <c r="F530" s="232"/>
      <c r="G530" s="208" t="s">
        <v>68</v>
      </c>
      <c r="H530" s="209" t="s">
        <v>69</v>
      </c>
      <c r="I530" s="210" t="s">
        <v>70</v>
      </c>
      <c r="J530" s="230" t="s">
        <v>68</v>
      </c>
      <c r="K530" s="209" t="s">
        <v>69</v>
      </c>
      <c r="L530" s="210" t="s">
        <v>70</v>
      </c>
      <c r="M530" s="211" t="s">
        <v>82</v>
      </c>
      <c r="N530" s="212" t="s">
        <v>83</v>
      </c>
      <c r="O530" s="213" t="s">
        <v>77</v>
      </c>
      <c r="P530" s="71"/>
    </row>
    <row r="531" spans="2:16" ht="18" customHeight="1" hidden="1" thickBot="1">
      <c r="B531" s="78"/>
      <c r="C531" s="624" t="s">
        <v>114</v>
      </c>
      <c r="D531" s="625"/>
      <c r="E531" s="29"/>
      <c r="F531" s="228" t="s">
        <v>72</v>
      </c>
      <c r="G531" s="480">
        <f>+C532</f>
        <v>1</v>
      </c>
      <c r="H531" s="481">
        <v>0</v>
      </c>
      <c r="I531" s="460">
        <f>+H531*G531</f>
        <v>0</v>
      </c>
      <c r="J531" s="480">
        <f>+C532</f>
        <v>1</v>
      </c>
      <c r="K531" s="482">
        <v>0</v>
      </c>
      <c r="L531" s="461">
        <f>+J531*K531</f>
        <v>0</v>
      </c>
      <c r="M531" s="461">
        <f>+L531-I531</f>
        <v>0</v>
      </c>
      <c r="N531" s="462" t="e">
        <f aca="true" t="shared" si="51" ref="N531:N541">+M531/I531</f>
        <v>#DIV/0!</v>
      </c>
      <c r="O531" s="463" t="e">
        <f>L531/L541</f>
        <v>#DIV/0!</v>
      </c>
      <c r="P531" s="71"/>
    </row>
    <row r="532" spans="2:16" ht="18" customHeight="1" hidden="1" thickBot="1">
      <c r="B532" s="78"/>
      <c r="C532" s="214">
        <v>1</v>
      </c>
      <c r="D532" s="222" t="s">
        <v>113</v>
      </c>
      <c r="E532" s="29"/>
      <c r="F532" s="497" t="s">
        <v>73</v>
      </c>
      <c r="G532" s="464">
        <f>+C533</f>
        <v>134.55</v>
      </c>
      <c r="H532" s="465">
        <v>0</v>
      </c>
      <c r="I532" s="466">
        <f>+G532*H532</f>
        <v>0</v>
      </c>
      <c r="J532" s="464">
        <f>+C533</f>
        <v>134.55</v>
      </c>
      <c r="K532" s="467">
        <v>0</v>
      </c>
      <c r="L532" s="468">
        <f>+J532*K532</f>
        <v>0</v>
      </c>
      <c r="M532" s="468">
        <f>+L532-I532</f>
        <v>0</v>
      </c>
      <c r="N532" s="469">
        <v>0</v>
      </c>
      <c r="O532" s="470" t="e">
        <f>L532/L541</f>
        <v>#DIV/0!</v>
      </c>
      <c r="P532" s="71"/>
    </row>
    <row r="533" spans="2:16" ht="18" customHeight="1" hidden="1" thickBot="1">
      <c r="B533" s="78"/>
      <c r="C533" s="236">
        <v>134.55</v>
      </c>
      <c r="D533" s="222" t="s">
        <v>16</v>
      </c>
      <c r="E533" s="29"/>
      <c r="F533" s="229" t="s">
        <v>84</v>
      </c>
      <c r="G533" s="494">
        <f>+C534</f>
        <v>0.3</v>
      </c>
      <c r="H533" s="465">
        <v>0</v>
      </c>
      <c r="I533" s="466">
        <f>+G533*H533</f>
        <v>0</v>
      </c>
      <c r="J533" s="494">
        <f>+C534</f>
        <v>0.3</v>
      </c>
      <c r="K533" s="467">
        <v>0</v>
      </c>
      <c r="L533" s="468">
        <f>+J533*K533</f>
        <v>0</v>
      </c>
      <c r="M533" s="468">
        <f>+L533-I533</f>
        <v>0</v>
      </c>
      <c r="N533" s="469" t="e">
        <f t="shared" si="51"/>
        <v>#DIV/0!</v>
      </c>
      <c r="O533" s="470" t="e">
        <f>L533/L541</f>
        <v>#DIV/0!</v>
      </c>
      <c r="P533" s="71"/>
    </row>
    <row r="534" spans="2:16" ht="18" customHeight="1" hidden="1" thickBot="1">
      <c r="B534" s="78"/>
      <c r="C534" s="236">
        <v>0.3</v>
      </c>
      <c r="D534" s="222" t="s">
        <v>17</v>
      </c>
      <c r="E534" s="29"/>
      <c r="F534" s="229" t="s">
        <v>85</v>
      </c>
      <c r="G534" s="494">
        <f>+C534</f>
        <v>0.3</v>
      </c>
      <c r="H534" s="495">
        <v>0</v>
      </c>
      <c r="I534" s="466">
        <f>+G534*H534</f>
        <v>0</v>
      </c>
      <c r="J534" s="494">
        <f>+C534</f>
        <v>0.3</v>
      </c>
      <c r="K534" s="467">
        <v>0</v>
      </c>
      <c r="L534" s="468">
        <f>+J534*K534</f>
        <v>0</v>
      </c>
      <c r="M534" s="468">
        <f>+L534-I534</f>
        <v>0</v>
      </c>
      <c r="N534" s="469">
        <v>1</v>
      </c>
      <c r="O534" s="470" t="e">
        <f>L534/L541</f>
        <v>#DIV/0!</v>
      </c>
      <c r="P534" s="71"/>
    </row>
    <row r="535" spans="2:16" ht="18" customHeight="1" hidden="1" thickBot="1">
      <c r="B535" s="78"/>
      <c r="C535" s="29"/>
      <c r="D535" s="29"/>
      <c r="E535" s="29"/>
      <c r="F535" s="219" t="s">
        <v>78</v>
      </c>
      <c r="G535" s="637"/>
      <c r="H535" s="637"/>
      <c r="I535" s="473">
        <f>SUM(I531:I534)</f>
        <v>0</v>
      </c>
      <c r="J535" s="637"/>
      <c r="K535" s="637"/>
      <c r="L535" s="473">
        <f>SUM(L531:L534)</f>
        <v>0</v>
      </c>
      <c r="M535" s="474">
        <f>SUM(M531:M534)</f>
        <v>0</v>
      </c>
      <c r="N535" s="475" t="e">
        <f t="shared" si="51"/>
        <v>#DIV/0!</v>
      </c>
      <c r="O535" s="476" t="e">
        <f>SUM(O531:O534)</f>
        <v>#DIV/0!</v>
      </c>
      <c r="P535" s="71"/>
    </row>
    <row r="536" spans="2:16" ht="18" customHeight="1" hidden="1">
      <c r="B536" s="78"/>
      <c r="C536" s="29"/>
      <c r="D536" s="29"/>
      <c r="E536" s="29"/>
      <c r="F536" s="229" t="s">
        <v>79</v>
      </c>
      <c r="G536" s="464">
        <f>+C533*'Other Electriciy Rates'!$N$10</f>
        <v>139.33998000000003</v>
      </c>
      <c r="H536" s="477">
        <v>0</v>
      </c>
      <c r="I536" s="466">
        <f>+G536*H536</f>
        <v>0</v>
      </c>
      <c r="J536" s="464">
        <f>+C533*'Other Electriciy Rates'!$O$11</f>
        <v>139.24579500000002</v>
      </c>
      <c r="K536" s="477">
        <v>0</v>
      </c>
      <c r="L536" s="468">
        <f>+J536*K536</f>
        <v>0</v>
      </c>
      <c r="M536" s="468">
        <f>+L536-I536</f>
        <v>0</v>
      </c>
      <c r="N536" s="469" t="e">
        <f t="shared" si="51"/>
        <v>#DIV/0!</v>
      </c>
      <c r="O536" s="470" t="e">
        <f>L536/L541</f>
        <v>#DIV/0!</v>
      </c>
      <c r="P536" s="71"/>
    </row>
    <row r="537" spans="2:16" ht="18" customHeight="1" hidden="1">
      <c r="B537" s="78"/>
      <c r="C537" s="29"/>
      <c r="D537" s="29"/>
      <c r="E537" s="29"/>
      <c r="F537" s="229" t="s">
        <v>86</v>
      </c>
      <c r="G537" s="494">
        <f>+C534*'Other Electriciy Rates'!$N$10</f>
        <v>0.31068</v>
      </c>
      <c r="H537" s="477">
        <v>0</v>
      </c>
      <c r="I537" s="466">
        <f>+G537*H537</f>
        <v>0</v>
      </c>
      <c r="J537" s="494">
        <f>+C534*'Other Electriciy Rates'!$O$11</f>
        <v>0.31046999999999997</v>
      </c>
      <c r="K537" s="477">
        <v>0</v>
      </c>
      <c r="L537" s="468">
        <f>+J537*K537</f>
        <v>0</v>
      </c>
      <c r="M537" s="468">
        <f>+L537-I537</f>
        <v>0</v>
      </c>
      <c r="N537" s="469" t="e">
        <f t="shared" si="51"/>
        <v>#DIV/0!</v>
      </c>
      <c r="O537" s="470" t="e">
        <f>L537/L541</f>
        <v>#DIV/0!</v>
      </c>
      <c r="P537" s="71"/>
    </row>
    <row r="538" spans="2:16" ht="18" customHeight="1" hidden="1" thickBot="1">
      <c r="B538" s="78"/>
      <c r="C538" s="29"/>
      <c r="D538" s="29"/>
      <c r="E538" s="29"/>
      <c r="F538" s="229" t="s">
        <v>80</v>
      </c>
      <c r="G538" s="464">
        <f>+G536</f>
        <v>139.33998000000003</v>
      </c>
      <c r="H538" s="477">
        <v>0</v>
      </c>
      <c r="I538" s="466">
        <f>+G538*H538</f>
        <v>0</v>
      </c>
      <c r="J538" s="464">
        <f>+J536</f>
        <v>139.24579500000002</v>
      </c>
      <c r="K538" s="477">
        <v>0</v>
      </c>
      <c r="L538" s="468">
        <f>+J538*K538</f>
        <v>0</v>
      </c>
      <c r="M538" s="468">
        <f>+L538-I538</f>
        <v>0</v>
      </c>
      <c r="N538" s="469" t="e">
        <f t="shared" si="51"/>
        <v>#DIV/0!</v>
      </c>
      <c r="O538" s="470" t="e">
        <f>L538/L541</f>
        <v>#DIV/0!</v>
      </c>
      <c r="P538" s="71"/>
    </row>
    <row r="539" spans="2:16" ht="18" customHeight="1" hidden="1" thickBot="1">
      <c r="B539" s="78"/>
      <c r="C539" s="29"/>
      <c r="D539" s="29"/>
      <c r="E539" s="29"/>
      <c r="F539" s="219" t="s">
        <v>172</v>
      </c>
      <c r="G539" s="637"/>
      <c r="H539" s="637"/>
      <c r="I539" s="473">
        <f>SUM(I535:I538)</f>
        <v>0</v>
      </c>
      <c r="J539" s="637"/>
      <c r="K539" s="637"/>
      <c r="L539" s="473">
        <f>SUM(L535:L538)</f>
        <v>0</v>
      </c>
      <c r="M539" s="473">
        <f>SUM(M535:M538)</f>
        <v>0</v>
      </c>
      <c r="N539" s="475" t="e">
        <f t="shared" si="51"/>
        <v>#DIV/0!</v>
      </c>
      <c r="O539" s="476" t="e">
        <f>SUM(O535:O538)</f>
        <v>#DIV/0!</v>
      </c>
      <c r="P539" s="71"/>
    </row>
    <row r="540" spans="2:16" ht="18" customHeight="1" hidden="1" thickBot="1">
      <c r="B540" s="78"/>
      <c r="C540" s="29"/>
      <c r="D540" s="29"/>
      <c r="E540" s="29"/>
      <c r="F540" s="107" t="s">
        <v>173</v>
      </c>
      <c r="G540" s="464"/>
      <c r="H540" s="478">
        <v>0.05</v>
      </c>
      <c r="I540" s="466">
        <f>I539*H540</f>
        <v>0</v>
      </c>
      <c r="J540" s="464"/>
      <c r="K540" s="478">
        <v>0.05</v>
      </c>
      <c r="L540" s="468">
        <f>L539*K540</f>
        <v>0</v>
      </c>
      <c r="M540" s="468">
        <f>+L540-I540</f>
        <v>0</v>
      </c>
      <c r="N540" s="469" t="e">
        <f>+M540/I540</f>
        <v>#DIV/0!</v>
      </c>
      <c r="O540" s="470" t="e">
        <f>L540/L541</f>
        <v>#DIV/0!</v>
      </c>
      <c r="P540" s="71"/>
    </row>
    <row r="541" spans="2:16" ht="18" customHeight="1" hidden="1" thickBot="1">
      <c r="B541" s="78"/>
      <c r="C541" s="29"/>
      <c r="D541" s="29"/>
      <c r="E541" s="29"/>
      <c r="F541" s="220" t="s">
        <v>81</v>
      </c>
      <c r="G541" s="637"/>
      <c r="H541" s="637"/>
      <c r="I541" s="473">
        <f>I539+I540</f>
        <v>0</v>
      </c>
      <c r="J541" s="637"/>
      <c r="K541" s="637"/>
      <c r="L541" s="473">
        <f>L539+L540</f>
        <v>0</v>
      </c>
      <c r="M541" s="473">
        <f>M539+M540</f>
        <v>0</v>
      </c>
      <c r="N541" s="475" t="e">
        <f t="shared" si="51"/>
        <v>#DIV/0!</v>
      </c>
      <c r="O541" s="476" t="e">
        <f>O539+O540</f>
        <v>#DIV/0!</v>
      </c>
      <c r="P541" s="71"/>
    </row>
    <row r="542" spans="2:16" ht="6.75" customHeight="1" hidden="1" thickBot="1">
      <c r="B542" s="72"/>
      <c r="C542" s="87"/>
      <c r="D542" s="87"/>
      <c r="E542" s="87"/>
      <c r="F542" s="88"/>
      <c r="G542" s="89"/>
      <c r="H542" s="90"/>
      <c r="I542" s="91"/>
      <c r="J542" s="89"/>
      <c r="K542" s="92"/>
      <c r="L542" s="91"/>
      <c r="M542" s="96"/>
      <c r="N542" s="94"/>
      <c r="O542" s="95"/>
      <c r="P542" s="77"/>
    </row>
    <row r="543" spans="3:15" ht="6.75" customHeight="1" thickBot="1">
      <c r="C543" s="29"/>
      <c r="D543" s="29"/>
      <c r="E543" s="29"/>
      <c r="F543" s="41"/>
      <c r="G543" s="42"/>
      <c r="H543" s="43"/>
      <c r="I543" s="44"/>
      <c r="J543" s="42"/>
      <c r="K543" s="45"/>
      <c r="L543" s="44"/>
      <c r="M543" s="86"/>
      <c r="N543" s="84"/>
      <c r="O543" s="85"/>
    </row>
    <row r="544" spans="2:16" ht="6.75" customHeight="1">
      <c r="B544" s="82"/>
      <c r="C544" s="628"/>
      <c r="D544" s="628"/>
      <c r="E544" s="628"/>
      <c r="F544" s="628"/>
      <c r="G544" s="628"/>
      <c r="H544" s="628"/>
      <c r="I544" s="628"/>
      <c r="J544" s="628"/>
      <c r="K544" s="628"/>
      <c r="L544" s="628"/>
      <c r="M544" s="628"/>
      <c r="N544" s="628"/>
      <c r="O544" s="628"/>
      <c r="P544" s="70"/>
    </row>
    <row r="545" spans="2:16" ht="23.25">
      <c r="B545" s="78"/>
      <c r="C545" s="626" t="s">
        <v>171</v>
      </c>
      <c r="D545" s="626"/>
      <c r="E545" s="626"/>
      <c r="F545" s="626"/>
      <c r="G545" s="626"/>
      <c r="H545" s="626"/>
      <c r="I545" s="626"/>
      <c r="J545" s="626"/>
      <c r="K545" s="626"/>
      <c r="L545" s="626"/>
      <c r="M545" s="626"/>
      <c r="N545" s="626"/>
      <c r="O545" s="626"/>
      <c r="P545" s="71"/>
    </row>
    <row r="546" spans="2:16" ht="6.75" customHeight="1" thickBot="1">
      <c r="B546" s="78"/>
      <c r="C546" s="627"/>
      <c r="D546" s="627"/>
      <c r="E546" s="627"/>
      <c r="F546" s="627"/>
      <c r="G546" s="627"/>
      <c r="H546" s="627"/>
      <c r="I546" s="627"/>
      <c r="J546" s="627"/>
      <c r="K546" s="627"/>
      <c r="L546" s="627"/>
      <c r="M546" s="627"/>
      <c r="N546" s="627"/>
      <c r="O546" s="627"/>
      <c r="P546" s="71"/>
    </row>
    <row r="547" spans="2:16" ht="21" thickBot="1">
      <c r="B547" s="78"/>
      <c r="C547" s="80"/>
      <c r="D547" s="80"/>
      <c r="E547" s="29"/>
      <c r="F547" s="35"/>
      <c r="G547" s="633" t="str">
        <f>$G$8</f>
        <v>2010 BILL</v>
      </c>
      <c r="H547" s="634"/>
      <c r="I547" s="635"/>
      <c r="J547" s="633" t="str">
        <f>$J$8</f>
        <v>2011 BILL</v>
      </c>
      <c r="K547" s="634"/>
      <c r="L547" s="635"/>
      <c r="M547" s="633" t="s">
        <v>74</v>
      </c>
      <c r="N547" s="634"/>
      <c r="O547" s="635"/>
      <c r="P547" s="71"/>
    </row>
    <row r="548" spans="2:16" ht="26.25" thickBot="1">
      <c r="B548" s="78"/>
      <c r="C548" s="29"/>
      <c r="D548" s="29"/>
      <c r="E548" s="31"/>
      <c r="F548" s="232"/>
      <c r="G548" s="223" t="s">
        <v>68</v>
      </c>
      <c r="H548" s="233" t="s">
        <v>69</v>
      </c>
      <c r="I548" s="234" t="s">
        <v>70</v>
      </c>
      <c r="J548" s="224" t="s">
        <v>68</v>
      </c>
      <c r="K548" s="233" t="s">
        <v>69</v>
      </c>
      <c r="L548" s="234" t="s">
        <v>70</v>
      </c>
      <c r="M548" s="225" t="s">
        <v>82</v>
      </c>
      <c r="N548" s="226" t="s">
        <v>83</v>
      </c>
      <c r="O548" s="227" t="s">
        <v>77</v>
      </c>
      <c r="P548" s="71"/>
    </row>
    <row r="549" spans="2:16" ht="18" customHeight="1" thickBot="1">
      <c r="B549" s="78"/>
      <c r="C549" s="624" t="s">
        <v>71</v>
      </c>
      <c r="D549" s="625"/>
      <c r="E549" s="29"/>
      <c r="F549" s="228" t="s">
        <v>72</v>
      </c>
      <c r="G549" s="471"/>
      <c r="H549" s="471"/>
      <c r="I549" s="466">
        <f>'2010 Existing Rates'!C11</f>
        <v>20.15</v>
      </c>
      <c r="J549" s="471"/>
      <c r="K549" s="471"/>
      <c r="L549" s="468">
        <f>'Distribution Rate Schedule'!B40</f>
        <v>0</v>
      </c>
      <c r="M549" s="468">
        <f>+L549-I549</f>
        <v>-20.15</v>
      </c>
      <c r="N549" s="469">
        <f>+M549/I549</f>
        <v>-1</v>
      </c>
      <c r="O549" s="470">
        <f>L549/L559</f>
        <v>0</v>
      </c>
      <c r="P549" s="71"/>
    </row>
    <row r="550" spans="2:16" ht="18" customHeight="1" thickBot="1">
      <c r="B550" s="78"/>
      <c r="C550" s="214">
        <v>1</v>
      </c>
      <c r="D550" s="222" t="s">
        <v>113</v>
      </c>
      <c r="E550" s="29"/>
      <c r="F550" s="229" t="s">
        <v>72</v>
      </c>
      <c r="G550" s="464">
        <f>C550</f>
        <v>1</v>
      </c>
      <c r="H550" s="529">
        <v>0</v>
      </c>
      <c r="I550" s="466">
        <f>+G550*H550</f>
        <v>0</v>
      </c>
      <c r="J550" s="464">
        <f>C550</f>
        <v>1</v>
      </c>
      <c r="K550" s="529">
        <f>'Distribution Rate Schedule'!B38</f>
        <v>0.97</v>
      </c>
      <c r="L550" s="468">
        <f>+J550*K550</f>
        <v>0.97</v>
      </c>
      <c r="M550" s="468">
        <f>+L550-I550</f>
        <v>0.97</v>
      </c>
      <c r="N550" s="469">
        <v>1</v>
      </c>
      <c r="O550" s="470">
        <f>L550/L559</f>
        <v>0.030753318528486454</v>
      </c>
      <c r="P550" s="71"/>
    </row>
    <row r="551" spans="2:16" ht="18" customHeight="1" thickBot="1">
      <c r="B551" s="78"/>
      <c r="C551" s="214">
        <v>250</v>
      </c>
      <c r="D551" s="222" t="s">
        <v>16</v>
      </c>
      <c r="E551" s="29"/>
      <c r="F551" s="229" t="s">
        <v>73</v>
      </c>
      <c r="G551" s="464">
        <f>+C551</f>
        <v>250</v>
      </c>
      <c r="H551" s="465">
        <f>'2010 Existing Rates'!E11</f>
        <v>0.0178</v>
      </c>
      <c r="I551" s="466">
        <f>+G551*H551</f>
        <v>4.45</v>
      </c>
      <c r="J551" s="464">
        <f>+C551</f>
        <v>250</v>
      </c>
      <c r="K551" s="465">
        <f>'Distribution Rate Schedule'!E38</f>
        <v>0.0179</v>
      </c>
      <c r="L551" s="468">
        <f>+J551*K551</f>
        <v>4.475</v>
      </c>
      <c r="M551" s="468">
        <f>+L551-I551</f>
        <v>0.024999999999999467</v>
      </c>
      <c r="N551" s="469">
        <f>+M551/I551</f>
        <v>0.005617977528089768</v>
      </c>
      <c r="O551" s="470">
        <f>L551/L559</f>
        <v>0.14187742310822357</v>
      </c>
      <c r="P551" s="71"/>
    </row>
    <row r="552" spans="2:16" ht="18" customHeight="1">
      <c r="B552" s="78"/>
      <c r="E552" s="29"/>
      <c r="F552" s="496" t="s">
        <v>241</v>
      </c>
      <c r="G552" s="464">
        <f>+C551</f>
        <v>250</v>
      </c>
      <c r="H552" s="517">
        <f>'2010 Existing Rates'!B$26</f>
        <v>-0.002</v>
      </c>
      <c r="I552" s="468">
        <f>+G552*H552</f>
        <v>-0.5</v>
      </c>
      <c r="J552" s="464">
        <f>C551</f>
        <v>250</v>
      </c>
      <c r="K552" s="517">
        <f>'2011 Rate Rider'!B$9</f>
        <v>-0.002</v>
      </c>
      <c r="L552" s="468">
        <f>+J552*K552</f>
        <v>-0.5</v>
      </c>
      <c r="M552" s="468">
        <f>+L552-I552</f>
        <v>0</v>
      </c>
      <c r="N552" s="469">
        <f>+M552/I552</f>
        <v>0</v>
      </c>
      <c r="O552" s="470">
        <f>L552/L559</f>
        <v>-0.015852226045611574</v>
      </c>
      <c r="P552" s="71"/>
    </row>
    <row r="553" spans="2:16" ht="18" customHeight="1" thickBot="1">
      <c r="B553" s="78"/>
      <c r="E553" s="29"/>
      <c r="F553" s="496" t="s">
        <v>242</v>
      </c>
      <c r="G553" s="464">
        <f>C551</f>
        <v>250</v>
      </c>
      <c r="H553" s="465">
        <v>0</v>
      </c>
      <c r="I553" s="466">
        <f>+G553*H553</f>
        <v>0</v>
      </c>
      <c r="J553" s="464">
        <f>C551</f>
        <v>250</v>
      </c>
      <c r="K553" s="467">
        <f>'2011 Rate Rider'!B33</f>
        <v>0</v>
      </c>
      <c r="L553" s="468">
        <f>+J553*K553</f>
        <v>0</v>
      </c>
      <c r="M553" s="468">
        <f>+L553-I553</f>
        <v>0</v>
      </c>
      <c r="N553" s="469">
        <f>IF(I553=0,0,M553/I553)</f>
        <v>0</v>
      </c>
      <c r="O553" s="470">
        <f>L553/L559</f>
        <v>0</v>
      </c>
      <c r="P553" s="71"/>
    </row>
    <row r="554" spans="2:16" ht="18" customHeight="1" thickBot="1">
      <c r="B554" s="78"/>
      <c r="C554" s="29"/>
      <c r="D554" s="29"/>
      <c r="E554" s="29"/>
      <c r="F554" s="219" t="s">
        <v>78</v>
      </c>
      <c r="G554" s="637"/>
      <c r="H554" s="637"/>
      <c r="I554" s="473">
        <f>SUM(I549:I553)</f>
        <v>24.099999999999998</v>
      </c>
      <c r="J554" s="637"/>
      <c r="K554" s="637"/>
      <c r="L554" s="473">
        <f>SUM(L549:L553)</f>
        <v>4.944999999999999</v>
      </c>
      <c r="M554" s="474">
        <f>SUM(M549:M553)</f>
        <v>-19.155</v>
      </c>
      <c r="N554" s="475">
        <f aca="true" t="shared" si="52" ref="N554:N559">+M554/I554</f>
        <v>-0.7948132780082988</v>
      </c>
      <c r="O554" s="476">
        <f>L554/L559</f>
        <v>0.15677851559109846</v>
      </c>
      <c r="P554" s="71"/>
    </row>
    <row r="555" spans="2:16" ht="18" customHeight="1">
      <c r="B555" s="78"/>
      <c r="C555" s="29"/>
      <c r="D555" s="29"/>
      <c r="E555" s="29"/>
      <c r="F555" s="229" t="s">
        <v>79</v>
      </c>
      <c r="G555" s="464">
        <f>+C551*'Other Electriciy Rates'!$N$11</f>
        <v>258.90000000000003</v>
      </c>
      <c r="H555" s="477">
        <f>'Other Electriciy Rates'!E$11</f>
        <v>0.0237725</v>
      </c>
      <c r="I555" s="466">
        <f>+G555*H555</f>
        <v>6.15470025</v>
      </c>
      <c r="J555" s="464">
        <f>+C551*'Other Electriciy Rates'!$O$11</f>
        <v>258.72499999999997</v>
      </c>
      <c r="K555" s="477">
        <f>'Other Electriciy Rates'!F$11</f>
        <v>0.0237725</v>
      </c>
      <c r="L555" s="468">
        <f>+J555*K555</f>
        <v>6.150540062499998</v>
      </c>
      <c r="M555" s="468">
        <f>+L555-I555</f>
        <v>-0.004160187500001911</v>
      </c>
      <c r="N555" s="469">
        <f>IF(I555=0,0,M555/I555)</f>
        <v>-0.0006759366550794915</v>
      </c>
      <c r="O555" s="470">
        <f>L555/L559</f>
        <v>0.19499950274667982</v>
      </c>
      <c r="P555" s="71"/>
    </row>
    <row r="556" spans="2:16" ht="18" customHeight="1" thickBot="1">
      <c r="B556" s="78"/>
      <c r="C556" s="29"/>
      <c r="D556" s="29"/>
      <c r="E556" s="29"/>
      <c r="F556" s="229" t="s">
        <v>80</v>
      </c>
      <c r="G556" s="464">
        <f>+C551*'Other Electriciy Rates'!$N$11</f>
        <v>258.90000000000003</v>
      </c>
      <c r="H556" s="477">
        <f>'Other Electriciy Rates'!L$11</f>
        <v>0.065</v>
      </c>
      <c r="I556" s="466">
        <f>+G556*H556</f>
        <v>16.828500000000002</v>
      </c>
      <c r="J556" s="464">
        <f>+C551*'Other Electriciy Rates'!$O$11</f>
        <v>258.72499999999997</v>
      </c>
      <c r="K556" s="477">
        <f>'Other Electriciy Rates'!L$11</f>
        <v>0.065</v>
      </c>
      <c r="L556" s="468">
        <f>+J556*K556</f>
        <v>16.817124999999997</v>
      </c>
      <c r="M556" s="468">
        <f>+L556-I556</f>
        <v>-0.011375000000004576</v>
      </c>
      <c r="N556" s="469">
        <f>IF(I556=0,0,M556/I556)</f>
        <v>-0.000675936655079453</v>
      </c>
      <c r="O556" s="470">
        <f>L556/L559</f>
        <v>0.533177733874611</v>
      </c>
      <c r="P556" s="71"/>
    </row>
    <row r="557" spans="2:16" ht="18" customHeight="1" thickBot="1">
      <c r="B557" s="78"/>
      <c r="C557" s="29"/>
      <c r="D557" s="29"/>
      <c r="E557" s="29"/>
      <c r="F557" s="219" t="s">
        <v>172</v>
      </c>
      <c r="G557" s="637"/>
      <c r="H557" s="637"/>
      <c r="I557" s="473">
        <f>SUM(I554:I556)</f>
        <v>47.083200250000004</v>
      </c>
      <c r="J557" s="637"/>
      <c r="K557" s="637"/>
      <c r="L557" s="473">
        <f>SUM(L554:L556)</f>
        <v>27.912665062499997</v>
      </c>
      <c r="M557" s="473">
        <f>SUM(M554:M556)</f>
        <v>-19.170535187500008</v>
      </c>
      <c r="N557" s="475">
        <f>+M557/I557</f>
        <v>-0.40716296015796005</v>
      </c>
      <c r="O557" s="476">
        <f>L557/L559</f>
        <v>0.8849557522123893</v>
      </c>
      <c r="P557" s="71"/>
    </row>
    <row r="558" spans="2:16" ht="18" customHeight="1" thickBot="1">
      <c r="B558" s="78"/>
      <c r="C558" s="29"/>
      <c r="D558" s="29"/>
      <c r="E558" s="29"/>
      <c r="F558" s="496" t="s">
        <v>252</v>
      </c>
      <c r="G558" s="464"/>
      <c r="H558" s="478">
        <v>0.13</v>
      </c>
      <c r="I558" s="466">
        <f>I557*H558</f>
        <v>6.1208160325000005</v>
      </c>
      <c r="J558" s="464"/>
      <c r="K558" s="478">
        <v>0.13</v>
      </c>
      <c r="L558" s="468">
        <f>L557*K558</f>
        <v>3.6286464581249995</v>
      </c>
      <c r="M558" s="468">
        <f>+L558-I558</f>
        <v>-2.492169574375001</v>
      </c>
      <c r="N558" s="469">
        <f t="shared" si="52"/>
        <v>-0.40716296015796005</v>
      </c>
      <c r="O558" s="470">
        <f>L558/L559</f>
        <v>0.11504424778761062</v>
      </c>
      <c r="P558" s="71"/>
    </row>
    <row r="559" spans="2:16" ht="18" customHeight="1" thickBot="1">
      <c r="B559" s="78"/>
      <c r="C559" s="29"/>
      <c r="D559" s="29"/>
      <c r="E559" s="29"/>
      <c r="F559" s="220" t="s">
        <v>81</v>
      </c>
      <c r="G559" s="637"/>
      <c r="H559" s="637"/>
      <c r="I559" s="473">
        <f>SUM(I557:I558)</f>
        <v>53.20401628250001</v>
      </c>
      <c r="J559" s="637"/>
      <c r="K559" s="637"/>
      <c r="L559" s="473">
        <f>SUM(L557:L558)</f>
        <v>31.541311520624998</v>
      </c>
      <c r="M559" s="473">
        <f>SUM(M557:M558)</f>
        <v>-21.66270476187501</v>
      </c>
      <c r="N559" s="475">
        <f t="shared" si="52"/>
        <v>-0.40716296015796005</v>
      </c>
      <c r="O559" s="476">
        <f>O557+O558</f>
        <v>0.9999999999999999</v>
      </c>
      <c r="P559" s="71"/>
    </row>
    <row r="560" spans="2:16" ht="6.75" customHeight="1" thickBot="1">
      <c r="B560" s="72"/>
      <c r="C560" s="87"/>
      <c r="D560" s="87"/>
      <c r="E560" s="87"/>
      <c r="F560" s="88"/>
      <c r="G560" s="89"/>
      <c r="H560" s="90"/>
      <c r="I560" s="91"/>
      <c r="J560" s="89"/>
      <c r="K560" s="92"/>
      <c r="L560" s="91"/>
      <c r="M560" s="93"/>
      <c r="N560" s="94"/>
      <c r="O560" s="95"/>
      <c r="P560" s="77"/>
    </row>
    <row r="561" spans="3:15" ht="6.75" customHeight="1" thickBot="1">
      <c r="C561" s="29"/>
      <c r="D561" s="34"/>
      <c r="E561" s="34"/>
      <c r="F561" s="41"/>
      <c r="G561" s="42"/>
      <c r="H561" s="43"/>
      <c r="I561" s="44"/>
      <c r="J561" s="42"/>
      <c r="K561" s="45"/>
      <c r="L561" s="44"/>
      <c r="M561" s="46"/>
      <c r="N561" s="84"/>
      <c r="O561" s="85"/>
    </row>
    <row r="562" spans="2:16" ht="6.75" customHeight="1">
      <c r="B562" s="82"/>
      <c r="C562" s="628"/>
      <c r="D562" s="628"/>
      <c r="E562" s="628"/>
      <c r="F562" s="628"/>
      <c r="G562" s="628"/>
      <c r="H562" s="628"/>
      <c r="I562" s="628"/>
      <c r="J562" s="628"/>
      <c r="K562" s="628"/>
      <c r="L562" s="628"/>
      <c r="M562" s="628"/>
      <c r="N562" s="628"/>
      <c r="O562" s="628"/>
      <c r="P562" s="70"/>
    </row>
    <row r="563" spans="2:16" ht="23.25">
      <c r="B563" s="78"/>
      <c r="C563" s="626" t="s">
        <v>171</v>
      </c>
      <c r="D563" s="626"/>
      <c r="E563" s="626"/>
      <c r="F563" s="626"/>
      <c r="G563" s="626"/>
      <c r="H563" s="626"/>
      <c r="I563" s="626"/>
      <c r="J563" s="626"/>
      <c r="K563" s="626"/>
      <c r="L563" s="626"/>
      <c r="M563" s="626"/>
      <c r="N563" s="626"/>
      <c r="O563" s="626"/>
      <c r="P563" s="71"/>
    </row>
    <row r="564" spans="2:16" ht="6.75" customHeight="1" thickBot="1">
      <c r="B564" s="78"/>
      <c r="C564" s="627"/>
      <c r="D564" s="627"/>
      <c r="E564" s="627"/>
      <c r="F564" s="627"/>
      <c r="G564" s="627"/>
      <c r="H564" s="627"/>
      <c r="I564" s="627"/>
      <c r="J564" s="627"/>
      <c r="K564" s="627"/>
      <c r="L564" s="627"/>
      <c r="M564" s="627"/>
      <c r="N564" s="627"/>
      <c r="O564" s="627"/>
      <c r="P564" s="71"/>
    </row>
    <row r="565" spans="2:16" ht="21" thickBot="1">
      <c r="B565" s="78"/>
      <c r="C565" s="80"/>
      <c r="D565" s="80"/>
      <c r="E565" s="29"/>
      <c r="F565" s="35"/>
      <c r="G565" s="633" t="str">
        <f>$G$8</f>
        <v>2010 BILL</v>
      </c>
      <c r="H565" s="634"/>
      <c r="I565" s="635"/>
      <c r="J565" s="633" t="str">
        <f>$J$8</f>
        <v>2011 BILL</v>
      </c>
      <c r="K565" s="634"/>
      <c r="L565" s="635"/>
      <c r="M565" s="633" t="s">
        <v>74</v>
      </c>
      <c r="N565" s="634"/>
      <c r="O565" s="635"/>
      <c r="P565" s="71"/>
    </row>
    <row r="566" spans="2:16" ht="26.25" thickBot="1">
      <c r="B566" s="78"/>
      <c r="C566" s="29"/>
      <c r="D566" s="29"/>
      <c r="E566" s="31"/>
      <c r="F566" s="232"/>
      <c r="G566" s="223" t="s">
        <v>68</v>
      </c>
      <c r="H566" s="233" t="s">
        <v>69</v>
      </c>
      <c r="I566" s="234" t="s">
        <v>70</v>
      </c>
      <c r="J566" s="224" t="s">
        <v>68</v>
      </c>
      <c r="K566" s="233" t="s">
        <v>69</v>
      </c>
      <c r="L566" s="234" t="s">
        <v>70</v>
      </c>
      <c r="M566" s="225" t="s">
        <v>82</v>
      </c>
      <c r="N566" s="226" t="s">
        <v>83</v>
      </c>
      <c r="O566" s="227" t="s">
        <v>77</v>
      </c>
      <c r="P566" s="71"/>
    </row>
    <row r="567" spans="2:16" ht="18" customHeight="1" thickBot="1">
      <c r="B567" s="78"/>
      <c r="C567" s="624" t="s">
        <v>71</v>
      </c>
      <c r="D567" s="625"/>
      <c r="E567" s="29"/>
      <c r="F567" s="228" t="s">
        <v>72</v>
      </c>
      <c r="G567" s="471"/>
      <c r="H567" s="471"/>
      <c r="I567" s="466">
        <f>'2010 Existing Rates'!C11</f>
        <v>20.15</v>
      </c>
      <c r="J567" s="471"/>
      <c r="K567" s="471"/>
      <c r="L567" s="468">
        <f>L549</f>
        <v>0</v>
      </c>
      <c r="M567" s="468">
        <f>+L567-I567</f>
        <v>-20.15</v>
      </c>
      <c r="N567" s="469">
        <f>+M567/I567</f>
        <v>-1</v>
      </c>
      <c r="O567" s="470">
        <f>L567/L577</f>
        <v>0</v>
      </c>
      <c r="P567" s="71"/>
    </row>
    <row r="568" spans="2:16" ht="18" customHeight="1" thickBot="1">
      <c r="B568" s="78"/>
      <c r="C568" s="214">
        <v>25</v>
      </c>
      <c r="D568" s="222" t="s">
        <v>113</v>
      </c>
      <c r="E568" s="29"/>
      <c r="F568" s="229" t="s">
        <v>72</v>
      </c>
      <c r="G568" s="464">
        <f>C568</f>
        <v>25</v>
      </c>
      <c r="H568" s="529">
        <v>0</v>
      </c>
      <c r="I568" s="466">
        <f>+G568*H568</f>
        <v>0</v>
      </c>
      <c r="J568" s="464">
        <f>C568</f>
        <v>25</v>
      </c>
      <c r="K568" s="494">
        <f>'Distribution Rate Schedule'!B38</f>
        <v>0.97</v>
      </c>
      <c r="L568" s="468">
        <f>+J568*K568</f>
        <v>24.25</v>
      </c>
      <c r="M568" s="468">
        <f>+L568-I568</f>
        <v>24.25</v>
      </c>
      <c r="N568" s="469">
        <v>1</v>
      </c>
      <c r="O568" s="470">
        <f>L568/L577</f>
        <v>0.2746539492034999</v>
      </c>
      <c r="P568" s="71"/>
    </row>
    <row r="569" spans="2:16" ht="18" customHeight="1" thickBot="1">
      <c r="B569" s="78"/>
      <c r="C569" s="214">
        <v>500</v>
      </c>
      <c r="D569" s="222" t="s">
        <v>16</v>
      </c>
      <c r="E569" s="29"/>
      <c r="F569" s="229" t="s">
        <v>73</v>
      </c>
      <c r="G569" s="464">
        <f>+C569</f>
        <v>500</v>
      </c>
      <c r="H569" s="465">
        <f>'2010 Existing Rates'!E11</f>
        <v>0.0178</v>
      </c>
      <c r="I569" s="466">
        <f>+G569*H569</f>
        <v>8.9</v>
      </c>
      <c r="J569" s="464">
        <f>+C569</f>
        <v>500</v>
      </c>
      <c r="K569" s="467">
        <f>K551</f>
        <v>0.0179</v>
      </c>
      <c r="L569" s="468">
        <f>+J569*K569</f>
        <v>8.95</v>
      </c>
      <c r="M569" s="468">
        <f>+L569-I569</f>
        <v>0.049999999999998934</v>
      </c>
      <c r="N569" s="469">
        <f>+M569/I569</f>
        <v>0.005617977528089768</v>
      </c>
      <c r="O569" s="470">
        <f>L569/L577</f>
        <v>0.1013671276441783</v>
      </c>
      <c r="P569" s="71"/>
    </row>
    <row r="570" spans="2:16" ht="18" customHeight="1">
      <c r="B570" s="78"/>
      <c r="E570" s="29"/>
      <c r="F570" s="496" t="s">
        <v>241</v>
      </c>
      <c r="G570" s="464">
        <f>C569</f>
        <v>500</v>
      </c>
      <c r="H570" s="517">
        <f>'2010 Existing Rates'!B$26</f>
        <v>-0.002</v>
      </c>
      <c r="I570" s="468">
        <f>+G570*H570</f>
        <v>-1</v>
      </c>
      <c r="J570" s="464">
        <f>C569</f>
        <v>500</v>
      </c>
      <c r="K570" s="517">
        <f>K552</f>
        <v>-0.002</v>
      </c>
      <c r="L570" s="468">
        <f>+J570*K570</f>
        <v>-1</v>
      </c>
      <c r="M570" s="468">
        <f>+L570-I570</f>
        <v>0</v>
      </c>
      <c r="N570" s="469">
        <f>+M570/I570</f>
        <v>0</v>
      </c>
      <c r="O570" s="470">
        <f>L570/L577</f>
        <v>-0.011325936049628862</v>
      </c>
      <c r="P570" s="71"/>
    </row>
    <row r="571" spans="2:16" ht="18" customHeight="1" thickBot="1">
      <c r="B571" s="78"/>
      <c r="E571" s="29"/>
      <c r="F571" s="496" t="s">
        <v>242</v>
      </c>
      <c r="G571" s="464">
        <f>C569</f>
        <v>500</v>
      </c>
      <c r="H571" s="465">
        <v>0</v>
      </c>
      <c r="I571" s="466">
        <f>+G571*H571</f>
        <v>0</v>
      </c>
      <c r="J571" s="464">
        <f>C569</f>
        <v>500</v>
      </c>
      <c r="K571" s="467">
        <f>K553</f>
        <v>0</v>
      </c>
      <c r="L571" s="468">
        <f>+J571*K571</f>
        <v>0</v>
      </c>
      <c r="M571" s="468">
        <f>+L571-I571</f>
        <v>0</v>
      </c>
      <c r="N571" s="469">
        <f>IF(I571=0,0,M571/I571)</f>
        <v>0</v>
      </c>
      <c r="O571" s="470">
        <f>L571/L577</f>
        <v>0</v>
      </c>
      <c r="P571" s="71"/>
    </row>
    <row r="572" spans="2:16" ht="18" customHeight="1" thickBot="1">
      <c r="B572" s="78"/>
      <c r="C572" s="29"/>
      <c r="D572" s="29"/>
      <c r="E572" s="29"/>
      <c r="F572" s="219" t="s">
        <v>78</v>
      </c>
      <c r="G572" s="637"/>
      <c r="H572" s="637"/>
      <c r="I572" s="473">
        <f>SUM(I567:I571)</f>
        <v>28.049999999999997</v>
      </c>
      <c r="J572" s="637"/>
      <c r="K572" s="637"/>
      <c r="L572" s="473">
        <f>SUM(L567:L571)</f>
        <v>32.2</v>
      </c>
      <c r="M572" s="473">
        <f>SUM(M567:M571)</f>
        <v>4.15</v>
      </c>
      <c r="N572" s="475">
        <f aca="true" t="shared" si="53" ref="N572:N577">+M572/I572</f>
        <v>0.14795008912655974</v>
      </c>
      <c r="O572" s="476">
        <f>L572/L577</f>
        <v>0.3646951407980494</v>
      </c>
      <c r="P572" s="71"/>
    </row>
    <row r="573" spans="2:16" ht="18" customHeight="1">
      <c r="B573" s="78"/>
      <c r="C573" s="29"/>
      <c r="D573" s="29"/>
      <c r="E573" s="29"/>
      <c r="F573" s="229" t="s">
        <v>79</v>
      </c>
      <c r="G573" s="464">
        <f>+C569*'Other Electriciy Rates'!$N$11</f>
        <v>517.8000000000001</v>
      </c>
      <c r="H573" s="477">
        <f>'Other Electriciy Rates'!E$11</f>
        <v>0.0237725</v>
      </c>
      <c r="I573" s="466">
        <f>+G573*H573</f>
        <v>12.3094005</v>
      </c>
      <c r="J573" s="464">
        <f>+C569*'Other Electriciy Rates'!$O$11</f>
        <v>517.4499999999999</v>
      </c>
      <c r="K573" s="477">
        <f>'Other Electriciy Rates'!F$11</f>
        <v>0.0237725</v>
      </c>
      <c r="L573" s="468">
        <f>+J573*K573</f>
        <v>12.301080124999997</v>
      </c>
      <c r="M573" s="468">
        <f>+L573-I573</f>
        <v>-0.008320375000003821</v>
      </c>
      <c r="N573" s="469">
        <f t="shared" si="53"/>
        <v>-0.0006759366550794915</v>
      </c>
      <c r="O573" s="470">
        <f>L573/L577</f>
        <v>0.13932124683711056</v>
      </c>
      <c r="P573" s="71"/>
    </row>
    <row r="574" spans="2:16" ht="18" customHeight="1" thickBot="1">
      <c r="B574" s="78"/>
      <c r="C574" s="29"/>
      <c r="D574" s="29"/>
      <c r="E574" s="29"/>
      <c r="F574" s="229" t="s">
        <v>80</v>
      </c>
      <c r="G574" s="464">
        <f>+C569*'Other Electriciy Rates'!$N$11</f>
        <v>517.8000000000001</v>
      </c>
      <c r="H574" s="477">
        <f>'Other Electriciy Rates'!L$11</f>
        <v>0.065</v>
      </c>
      <c r="I574" s="466">
        <f>+G574*H574</f>
        <v>33.657000000000004</v>
      </c>
      <c r="J574" s="464">
        <f>+C569*'Other Electriciy Rates'!$O$11</f>
        <v>517.4499999999999</v>
      </c>
      <c r="K574" s="477">
        <f>'Other Electriciy Rates'!L$11</f>
        <v>0.065</v>
      </c>
      <c r="L574" s="468">
        <f>+J574*K574</f>
        <v>33.634249999999994</v>
      </c>
      <c r="M574" s="468">
        <f>+L574-I574</f>
        <v>-0.022750000000009152</v>
      </c>
      <c r="N574" s="469">
        <f t="shared" si="53"/>
        <v>-0.000675936655079453</v>
      </c>
      <c r="O574" s="470">
        <f>L574/L577</f>
        <v>0.3809393645772295</v>
      </c>
      <c r="P574" s="71"/>
    </row>
    <row r="575" spans="2:16" ht="18" customHeight="1" thickBot="1">
      <c r="B575" s="78"/>
      <c r="C575" s="29"/>
      <c r="D575" s="29"/>
      <c r="E575" s="29"/>
      <c r="F575" s="219" t="s">
        <v>172</v>
      </c>
      <c r="G575" s="637"/>
      <c r="H575" s="637"/>
      <c r="I575" s="473">
        <f>SUM(I572:I574)</f>
        <v>74.0164005</v>
      </c>
      <c r="J575" s="637"/>
      <c r="K575" s="637"/>
      <c r="L575" s="473">
        <f>SUM(L572:L574)</f>
        <v>78.135330125</v>
      </c>
      <c r="M575" s="473">
        <f>SUM(M572:M574)</f>
        <v>4.118929624999987</v>
      </c>
      <c r="N575" s="475">
        <f t="shared" si="53"/>
        <v>0.05564887777810794</v>
      </c>
      <c r="O575" s="476">
        <f>L575/L577</f>
        <v>0.8849557522123894</v>
      </c>
      <c r="P575" s="71"/>
    </row>
    <row r="576" spans="2:16" ht="18" customHeight="1" thickBot="1">
      <c r="B576" s="78"/>
      <c r="C576" s="29"/>
      <c r="D576" s="29"/>
      <c r="E576" s="29"/>
      <c r="F576" s="496" t="s">
        <v>252</v>
      </c>
      <c r="G576" s="464"/>
      <c r="H576" s="478">
        <v>0.13</v>
      </c>
      <c r="I576" s="466">
        <f>I575*H576</f>
        <v>9.622132065</v>
      </c>
      <c r="J576" s="464"/>
      <c r="K576" s="478">
        <v>0.13</v>
      </c>
      <c r="L576" s="468">
        <f>L575*K576</f>
        <v>10.15759291625</v>
      </c>
      <c r="M576" s="468">
        <f>+L576-I576</f>
        <v>0.535460851249999</v>
      </c>
      <c r="N576" s="469">
        <f t="shared" si="53"/>
        <v>0.055648877778108</v>
      </c>
      <c r="O576" s="470">
        <f>L576/L577</f>
        <v>0.11504424778761063</v>
      </c>
      <c r="P576" s="71"/>
    </row>
    <row r="577" spans="2:16" ht="18" customHeight="1" thickBot="1">
      <c r="B577" s="78"/>
      <c r="C577" s="29"/>
      <c r="D577" s="29"/>
      <c r="E577" s="29"/>
      <c r="F577" s="220" t="s">
        <v>81</v>
      </c>
      <c r="G577" s="637"/>
      <c r="H577" s="637"/>
      <c r="I577" s="473">
        <f>I575+I576</f>
        <v>83.638532565</v>
      </c>
      <c r="J577" s="637"/>
      <c r="K577" s="637"/>
      <c r="L577" s="473">
        <f>L575+L576</f>
        <v>88.29292304124999</v>
      </c>
      <c r="M577" s="473">
        <f>M575+M576</f>
        <v>4.654390476249986</v>
      </c>
      <c r="N577" s="475">
        <f t="shared" si="53"/>
        <v>0.055648877778107946</v>
      </c>
      <c r="O577" s="476">
        <f>O575+O576</f>
        <v>1</v>
      </c>
      <c r="P577" s="71"/>
    </row>
    <row r="578" spans="2:16" ht="6.75" customHeight="1" thickBot="1">
      <c r="B578" s="72"/>
      <c r="C578" s="73"/>
      <c r="D578" s="73"/>
      <c r="E578" s="73"/>
      <c r="F578" s="73"/>
      <c r="G578" s="73"/>
      <c r="H578" s="73"/>
      <c r="I578" s="73"/>
      <c r="J578" s="73"/>
      <c r="K578" s="73"/>
      <c r="L578" s="73"/>
      <c r="M578" s="73"/>
      <c r="N578" s="73"/>
      <c r="O578" s="73"/>
      <c r="P578" s="77"/>
    </row>
  </sheetData>
  <sheetProtection/>
  <mergeCells count="367">
    <mergeCell ref="G326:H326"/>
    <mergeCell ref="J326:K326"/>
    <mergeCell ref="G328:H328"/>
    <mergeCell ref="J328:K328"/>
    <mergeCell ref="C308:O308"/>
    <mergeCell ref="C309:O309"/>
    <mergeCell ref="C310:O310"/>
    <mergeCell ref="G311:I311"/>
    <mergeCell ref="J311:L311"/>
    <mergeCell ref="M311:O311"/>
    <mergeCell ref="C313:D313"/>
    <mergeCell ref="G322:H322"/>
    <mergeCell ref="J322:K322"/>
    <mergeCell ref="G572:H572"/>
    <mergeCell ref="J572:K572"/>
    <mergeCell ref="G505:H505"/>
    <mergeCell ref="J505:K505"/>
    <mergeCell ref="G521:H521"/>
    <mergeCell ref="J521:K521"/>
    <mergeCell ref="G539:H539"/>
    <mergeCell ref="J539:K539"/>
    <mergeCell ref="G523:H523"/>
    <mergeCell ref="J523:K523"/>
    <mergeCell ref="J541:K541"/>
    <mergeCell ref="G554:H554"/>
    <mergeCell ref="J554:K554"/>
    <mergeCell ref="C526:O526"/>
    <mergeCell ref="G529:I529"/>
    <mergeCell ref="J529:L529"/>
    <mergeCell ref="C549:D549"/>
    <mergeCell ref="C567:D567"/>
    <mergeCell ref="C545:O545"/>
    <mergeCell ref="C527:O527"/>
    <mergeCell ref="C528:O528"/>
    <mergeCell ref="C544:O544"/>
    <mergeCell ref="C546:O546"/>
    <mergeCell ref="C562:O562"/>
    <mergeCell ref="G577:H577"/>
    <mergeCell ref="J577:K577"/>
    <mergeCell ref="G557:H557"/>
    <mergeCell ref="J557:K557"/>
    <mergeCell ref="G575:H575"/>
    <mergeCell ref="J440:K440"/>
    <mergeCell ref="G485:H485"/>
    <mergeCell ref="J485:K485"/>
    <mergeCell ref="G517:H517"/>
    <mergeCell ref="J517:K517"/>
    <mergeCell ref="G503:H503"/>
    <mergeCell ref="J503:K503"/>
    <mergeCell ref="G511:I511"/>
    <mergeCell ref="J511:L511"/>
    <mergeCell ref="C490:O490"/>
    <mergeCell ref="C489:O489"/>
    <mergeCell ref="G491:I491"/>
    <mergeCell ref="J491:L491"/>
    <mergeCell ref="G483:H483"/>
    <mergeCell ref="J483:K483"/>
    <mergeCell ref="C488:O488"/>
    <mergeCell ref="M511:O511"/>
    <mergeCell ref="J575:K575"/>
    <mergeCell ref="M491:O491"/>
    <mergeCell ref="G193:H193"/>
    <mergeCell ref="J193:K193"/>
    <mergeCell ref="G199:H199"/>
    <mergeCell ref="J199:K199"/>
    <mergeCell ref="G197:H197"/>
    <mergeCell ref="J197:K197"/>
    <mergeCell ref="G277:H277"/>
    <mergeCell ref="J277:K277"/>
    <mergeCell ref="G283:H283"/>
    <mergeCell ref="J283:K283"/>
    <mergeCell ref="G281:H281"/>
    <mergeCell ref="J281:K281"/>
    <mergeCell ref="G255:H255"/>
    <mergeCell ref="J255:K255"/>
    <mergeCell ref="G261:H261"/>
    <mergeCell ref="J261:K261"/>
    <mergeCell ref="G259:H259"/>
    <mergeCell ref="J259:K259"/>
    <mergeCell ref="C243:O243"/>
    <mergeCell ref="C242:O242"/>
    <mergeCell ref="G225:I225"/>
    <mergeCell ref="J225:L225"/>
    <mergeCell ref="C247:D247"/>
    <mergeCell ref="C244:O244"/>
    <mergeCell ref="G179:H179"/>
    <mergeCell ref="J179:K179"/>
    <mergeCell ref="G177:H177"/>
    <mergeCell ref="J177:K177"/>
    <mergeCell ref="G153:H153"/>
    <mergeCell ref="J153:K153"/>
    <mergeCell ref="G159:H159"/>
    <mergeCell ref="J159:K159"/>
    <mergeCell ref="G157:H157"/>
    <mergeCell ref="J157:K157"/>
    <mergeCell ref="J16:K16"/>
    <mergeCell ref="G19:H19"/>
    <mergeCell ref="J19:K19"/>
    <mergeCell ref="M145:O145"/>
    <mergeCell ref="G125:I125"/>
    <mergeCell ref="J125:L125"/>
    <mergeCell ref="M125:O125"/>
    <mergeCell ref="G133:H133"/>
    <mergeCell ref="J133:K133"/>
    <mergeCell ref="G139:H139"/>
    <mergeCell ref="J139:K139"/>
    <mergeCell ref="G137:H137"/>
    <mergeCell ref="J137:K137"/>
    <mergeCell ref="J79:K79"/>
    <mergeCell ref="G77:H77"/>
    <mergeCell ref="J77:K77"/>
    <mergeCell ref="C44:O44"/>
    <mergeCell ref="C25:O25"/>
    <mergeCell ref="C26:O26"/>
    <mergeCell ref="C41:O41"/>
    <mergeCell ref="G27:I27"/>
    <mergeCell ref="J113:K113"/>
    <mergeCell ref="G113:H113"/>
    <mergeCell ref="G119:H119"/>
    <mergeCell ref="C334:O334"/>
    <mergeCell ref="C402:O402"/>
    <mergeCell ref="C380:O380"/>
    <mergeCell ref="M225:O225"/>
    <mergeCell ref="G205:I205"/>
    <mergeCell ref="J205:L205"/>
    <mergeCell ref="M205:O205"/>
    <mergeCell ref="G213:H213"/>
    <mergeCell ref="J213:K213"/>
    <mergeCell ref="G219:H219"/>
    <mergeCell ref="J219:K219"/>
    <mergeCell ref="G217:H217"/>
    <mergeCell ref="J217:K217"/>
    <mergeCell ref="C224:O224"/>
    <mergeCell ref="C207:D207"/>
    <mergeCell ref="G233:H233"/>
    <mergeCell ref="J233:K233"/>
    <mergeCell ref="G239:H239"/>
    <mergeCell ref="J239:K239"/>
    <mergeCell ref="G237:H237"/>
    <mergeCell ref="J237:K237"/>
    <mergeCell ref="G392:H392"/>
    <mergeCell ref="J392:K392"/>
    <mergeCell ref="G398:H398"/>
    <mergeCell ref="C335:O335"/>
    <mergeCell ref="C356:O356"/>
    <mergeCell ref="G336:I336"/>
    <mergeCell ref="J336:L336"/>
    <mergeCell ref="M336:O336"/>
    <mergeCell ref="G347:H347"/>
    <mergeCell ref="J347:K347"/>
    <mergeCell ref="G353:H353"/>
    <mergeCell ref="J353:K353"/>
    <mergeCell ref="G351:H351"/>
    <mergeCell ref="J351:K351"/>
    <mergeCell ref="C338:D338"/>
    <mergeCell ref="J414:K414"/>
    <mergeCell ref="G420:H420"/>
    <mergeCell ref="J420:K420"/>
    <mergeCell ref="G418:H418"/>
    <mergeCell ref="J418:K418"/>
    <mergeCell ref="G470:I470"/>
    <mergeCell ref="J470:L470"/>
    <mergeCell ref="M470:O470"/>
    <mergeCell ref="G458:H458"/>
    <mergeCell ref="J458:K458"/>
    <mergeCell ref="G464:H464"/>
    <mergeCell ref="C425:O425"/>
    <mergeCell ref="C445:O445"/>
    <mergeCell ref="G426:I426"/>
    <mergeCell ref="J426:L426"/>
    <mergeCell ref="M426:O426"/>
    <mergeCell ref="G436:H436"/>
    <mergeCell ref="J436:K436"/>
    <mergeCell ref="G442:H442"/>
    <mergeCell ref="J442:K442"/>
    <mergeCell ref="G440:H440"/>
    <mergeCell ref="C424:O424"/>
    <mergeCell ref="C469:O469"/>
    <mergeCell ref="C423:O423"/>
    <mergeCell ref="B4:O4"/>
    <mergeCell ref="C3:O3"/>
    <mergeCell ref="C1:O1"/>
    <mergeCell ref="C2:O2"/>
    <mergeCell ref="C164:O164"/>
    <mergeCell ref="C182:O182"/>
    <mergeCell ref="G85:I85"/>
    <mergeCell ref="J85:L85"/>
    <mergeCell ref="M85:O85"/>
    <mergeCell ref="G93:H93"/>
    <mergeCell ref="J93:K93"/>
    <mergeCell ref="G99:H99"/>
    <mergeCell ref="J99:K99"/>
    <mergeCell ref="G97:H97"/>
    <mergeCell ref="J97:K97"/>
    <mergeCell ref="C62:O62"/>
    <mergeCell ref="C64:O64"/>
    <mergeCell ref="C82:O82"/>
    <mergeCell ref="G73:H73"/>
    <mergeCell ref="J73:K73"/>
    <mergeCell ref="G79:H79"/>
    <mergeCell ref="J21:K21"/>
    <mergeCell ref="G21:H21"/>
    <mergeCell ref="G16:H16"/>
    <mergeCell ref="C143:O143"/>
    <mergeCell ref="C123:O123"/>
    <mergeCell ref="C103:O103"/>
    <mergeCell ref="C124:O124"/>
    <mergeCell ref="C142:O142"/>
    <mergeCell ref="C144:O144"/>
    <mergeCell ref="C184:O184"/>
    <mergeCell ref="C202:O202"/>
    <mergeCell ref="G185:I185"/>
    <mergeCell ref="J185:L185"/>
    <mergeCell ref="M185:O185"/>
    <mergeCell ref="G165:I165"/>
    <mergeCell ref="J165:L165"/>
    <mergeCell ref="M165:O165"/>
    <mergeCell ref="M105:O105"/>
    <mergeCell ref="C147:D147"/>
    <mergeCell ref="C167:D167"/>
    <mergeCell ref="C187:D187"/>
    <mergeCell ref="C163:O163"/>
    <mergeCell ref="J119:K119"/>
    <mergeCell ref="G117:H117"/>
    <mergeCell ref="J117:K117"/>
    <mergeCell ref="G173:H173"/>
    <mergeCell ref="J173:K173"/>
    <mergeCell ref="C84:O84"/>
    <mergeCell ref="C102:O102"/>
    <mergeCell ref="C104:O104"/>
    <mergeCell ref="C122:O122"/>
    <mergeCell ref="G105:I105"/>
    <mergeCell ref="J105:L105"/>
    <mergeCell ref="C87:D87"/>
    <mergeCell ref="C107:D107"/>
    <mergeCell ref="C127:D127"/>
    <mergeCell ref="G414:H414"/>
    <mergeCell ref="C428:D428"/>
    <mergeCell ref="C287:O287"/>
    <mergeCell ref="C265:O265"/>
    <mergeCell ref="C288:O288"/>
    <mergeCell ref="C333:O333"/>
    <mergeCell ref="C266:O266"/>
    <mergeCell ref="C286:O286"/>
    <mergeCell ref="G267:I267"/>
    <mergeCell ref="J267:L267"/>
    <mergeCell ref="M267:O267"/>
    <mergeCell ref="J289:L289"/>
    <mergeCell ref="M289:O289"/>
    <mergeCell ref="G299:H299"/>
    <mergeCell ref="J299:K299"/>
    <mergeCell ref="G305:H305"/>
    <mergeCell ref="J305:K305"/>
    <mergeCell ref="G303:H303"/>
    <mergeCell ref="J303:K303"/>
    <mergeCell ref="C269:D269"/>
    <mergeCell ref="C291:D291"/>
    <mergeCell ref="J359:L359"/>
    <mergeCell ref="M359:O359"/>
    <mergeCell ref="C403:O403"/>
    <mergeCell ref="C564:O564"/>
    <mergeCell ref="C563:O563"/>
    <mergeCell ref="C531:D531"/>
    <mergeCell ref="C450:D450"/>
    <mergeCell ref="C472:D472"/>
    <mergeCell ref="C513:D513"/>
    <mergeCell ref="C446:O446"/>
    <mergeCell ref="C447:O447"/>
    <mergeCell ref="C467:O467"/>
    <mergeCell ref="G448:I448"/>
    <mergeCell ref="J448:L448"/>
    <mergeCell ref="M448:O448"/>
    <mergeCell ref="J464:K464"/>
    <mergeCell ref="G478:H478"/>
    <mergeCell ref="J478:K478"/>
    <mergeCell ref="C493:D493"/>
    <mergeCell ref="G499:H499"/>
    <mergeCell ref="J499:K499"/>
    <mergeCell ref="G462:H462"/>
    <mergeCell ref="J462:K462"/>
    <mergeCell ref="C509:O509"/>
    <mergeCell ref="C468:O468"/>
    <mergeCell ref="C510:O510"/>
    <mergeCell ref="G404:I404"/>
    <mergeCell ref="J404:L404"/>
    <mergeCell ref="M404:O404"/>
    <mergeCell ref="J398:K398"/>
    <mergeCell ref="G396:H396"/>
    <mergeCell ref="J396:K396"/>
    <mergeCell ref="G370:H370"/>
    <mergeCell ref="J370:K370"/>
    <mergeCell ref="G376:H376"/>
    <mergeCell ref="J376:K376"/>
    <mergeCell ref="G374:H374"/>
    <mergeCell ref="J374:K374"/>
    <mergeCell ref="C381:O381"/>
    <mergeCell ref="C401:O401"/>
    <mergeCell ref="G382:I382"/>
    <mergeCell ref="J382:L382"/>
    <mergeCell ref="M382:O382"/>
    <mergeCell ref="C29:D29"/>
    <mergeCell ref="C48:D48"/>
    <mergeCell ref="C67:D67"/>
    <mergeCell ref="G65:I65"/>
    <mergeCell ref="J65:L65"/>
    <mergeCell ref="M65:O65"/>
    <mergeCell ref="G46:I46"/>
    <mergeCell ref="J46:L46"/>
    <mergeCell ref="M46:O46"/>
    <mergeCell ref="J40:K40"/>
    <mergeCell ref="G38:H38"/>
    <mergeCell ref="J38:K38"/>
    <mergeCell ref="G59:H59"/>
    <mergeCell ref="J59:K59"/>
    <mergeCell ref="G54:H54"/>
    <mergeCell ref="J54:K54"/>
    <mergeCell ref="G57:H57"/>
    <mergeCell ref="J57:K57"/>
    <mergeCell ref="C45:O45"/>
    <mergeCell ref="C264:O264"/>
    <mergeCell ref="G245:I245"/>
    <mergeCell ref="J245:L245"/>
    <mergeCell ref="M245:O245"/>
    <mergeCell ref="G289:I289"/>
    <mergeCell ref="M529:O529"/>
    <mergeCell ref="G565:I565"/>
    <mergeCell ref="J565:L565"/>
    <mergeCell ref="M565:O565"/>
    <mergeCell ref="G547:I547"/>
    <mergeCell ref="J547:L547"/>
    <mergeCell ref="M547:O547"/>
    <mergeCell ref="G535:H535"/>
    <mergeCell ref="J535:K535"/>
    <mergeCell ref="G541:H541"/>
    <mergeCell ref="G559:H559"/>
    <mergeCell ref="J559:K559"/>
    <mergeCell ref="C361:D361"/>
    <mergeCell ref="C384:D384"/>
    <mergeCell ref="C406:D406"/>
    <mergeCell ref="C357:O357"/>
    <mergeCell ref="C358:O358"/>
    <mergeCell ref="C379:O379"/>
    <mergeCell ref="G359:I359"/>
    <mergeCell ref="C227:D227"/>
    <mergeCell ref="C223:O223"/>
    <mergeCell ref="C203:O203"/>
    <mergeCell ref="C183:O183"/>
    <mergeCell ref="C204:O204"/>
    <mergeCell ref="C222:O222"/>
    <mergeCell ref="C6:O6"/>
    <mergeCell ref="C7:O7"/>
    <mergeCell ref="C5:O5"/>
    <mergeCell ref="C10:D10"/>
    <mergeCell ref="G8:I8"/>
    <mergeCell ref="J8:L8"/>
    <mergeCell ref="M8:O8"/>
    <mergeCell ref="C162:O162"/>
    <mergeCell ref="C22:O22"/>
    <mergeCell ref="J27:L27"/>
    <mergeCell ref="M27:O27"/>
    <mergeCell ref="G35:H35"/>
    <mergeCell ref="J35:K35"/>
    <mergeCell ref="G40:H40"/>
    <mergeCell ref="G145:I145"/>
    <mergeCell ref="J145:L145"/>
    <mergeCell ref="C83:O83"/>
    <mergeCell ref="C63:O63"/>
  </mergeCells>
  <printOptions/>
  <pageMargins left="0.75" right="0.75" top="1" bottom="1" header="0.5" footer="0.5"/>
  <pageSetup fitToHeight="6" horizontalDpi="600" verticalDpi="600" orientation="landscape" scale="45" r:id="rId1"/>
  <rowBreaks count="6" manualBreakCount="6">
    <brk id="81" max="255" man="1"/>
    <brk id="161" max="255" man="1"/>
    <brk id="240" max="255" man="1"/>
    <brk id="355" max="255" man="1"/>
    <brk id="443" max="255" man="1"/>
    <brk id="508" max="255" man="1"/>
  </rowBreaks>
  <ignoredErrors>
    <ignoredError sqref="I14 I149 N501 N496 N553" formula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0"/>
  <sheetViews>
    <sheetView showGridLines="0" zoomScalePageLayoutView="0" workbookViewId="0" topLeftCell="A1">
      <selection activeCell="E71" sqref="E71"/>
    </sheetView>
  </sheetViews>
  <sheetFormatPr defaultColWidth="9.140625" defaultRowHeight="12.75"/>
  <cols>
    <col min="1" max="1" width="2.7109375" style="117" customWidth="1"/>
    <col min="2" max="2" width="32.28125" style="118" bestFit="1" customWidth="1"/>
    <col min="3" max="3" width="31.28125" style="118" bestFit="1" customWidth="1"/>
    <col min="4" max="4" width="13.00390625" style="118" customWidth="1"/>
    <col min="5" max="5" width="16.28125" style="118" customWidth="1"/>
    <col min="6" max="16384" width="9.140625" style="118" customWidth="1"/>
  </cols>
  <sheetData>
    <row r="1" spans="1:5" ht="19.5" customHeight="1">
      <c r="A1" s="253"/>
      <c r="B1" s="645" t="s">
        <v>95</v>
      </c>
      <c r="C1" s="645"/>
      <c r="D1" s="645"/>
      <c r="E1" s="645"/>
    </row>
    <row r="2" spans="1:5" ht="19.5" customHeight="1">
      <c r="A2" s="254"/>
      <c r="B2" s="646" t="s">
        <v>94</v>
      </c>
      <c r="C2" s="646"/>
      <c r="D2" s="646"/>
      <c r="E2" s="646"/>
    </row>
    <row r="3" spans="1:5" ht="19.5" customHeight="1">
      <c r="A3" s="254"/>
      <c r="B3" s="646" t="s">
        <v>247</v>
      </c>
      <c r="C3" s="646"/>
      <c r="D3" s="646"/>
      <c r="E3" s="646"/>
    </row>
    <row r="4" spans="1:6" ht="11.25" customHeight="1" thickBot="1">
      <c r="A4" s="38"/>
      <c r="B4" s="38"/>
      <c r="C4" s="38"/>
      <c r="D4" s="38"/>
      <c r="E4" s="239"/>
      <c r="F4" s="38"/>
    </row>
    <row r="5" spans="1:6" ht="13.5" thickBot="1">
      <c r="A5" s="240"/>
      <c r="B5" s="255" t="s">
        <v>0</v>
      </c>
      <c r="C5" s="255" t="s">
        <v>90</v>
      </c>
      <c r="D5" s="255" t="s">
        <v>91</v>
      </c>
      <c r="E5" s="255" t="s">
        <v>158</v>
      </c>
      <c r="F5" s="38"/>
    </row>
    <row r="6" spans="1:6" ht="12.75">
      <c r="A6" s="38"/>
      <c r="B6" s="647" t="str">
        <f>'Distribution Rate Schedule'!A6</f>
        <v>Residential</v>
      </c>
      <c r="C6" s="648"/>
      <c r="D6" s="648"/>
      <c r="E6" s="649"/>
      <c r="F6" s="237"/>
    </row>
    <row r="7" spans="1:6" ht="12.75">
      <c r="A7" s="38"/>
      <c r="B7" s="241"/>
      <c r="C7" s="242" t="s">
        <v>72</v>
      </c>
      <c r="D7" s="243" t="s">
        <v>92</v>
      </c>
      <c r="E7" s="244">
        <f>+'Distribution Rate Schedule'!C32</f>
        <v>10.66</v>
      </c>
      <c r="F7" s="237"/>
    </row>
    <row r="8" spans="1:6" ht="12.75">
      <c r="A8" s="38"/>
      <c r="B8" s="241"/>
      <c r="C8" s="242" t="s">
        <v>93</v>
      </c>
      <c r="D8" s="243" t="s">
        <v>57</v>
      </c>
      <c r="E8" s="245">
        <f>+'Distribution Rate Schedule'!E32</f>
        <v>0.0155</v>
      </c>
      <c r="F8" s="237"/>
    </row>
    <row r="9" spans="1:6" ht="12.75">
      <c r="A9" s="38"/>
      <c r="B9" s="241"/>
      <c r="C9" s="242" t="s">
        <v>138</v>
      </c>
      <c r="D9" s="243" t="s">
        <v>57</v>
      </c>
      <c r="E9" s="245">
        <f>'LRAM and SSM Rate Rider'!L6</f>
        <v>0</v>
      </c>
      <c r="F9" s="237"/>
    </row>
    <row r="10" spans="1:6" ht="12.75">
      <c r="A10" s="38"/>
      <c r="B10" s="241"/>
      <c r="C10" s="242" t="s">
        <v>143</v>
      </c>
      <c r="D10" s="243" t="s">
        <v>92</v>
      </c>
      <c r="E10" s="245">
        <f>'2011 Rate Rider'!D3</f>
        <v>1.18</v>
      </c>
      <c r="F10" s="237"/>
    </row>
    <row r="11" spans="1:6" ht="12.75">
      <c r="A11" s="38"/>
      <c r="B11" s="241"/>
      <c r="C11" s="532" t="s">
        <v>248</v>
      </c>
      <c r="D11" s="243" t="s">
        <v>57</v>
      </c>
      <c r="E11" s="245">
        <f>'2011 Rate Rider'!B3</f>
        <v>-0.002</v>
      </c>
      <c r="F11" s="237"/>
    </row>
    <row r="12" spans="1:6" ht="12.75">
      <c r="A12" s="38"/>
      <c r="B12" s="241"/>
      <c r="C12" s="532" t="s">
        <v>249</v>
      </c>
      <c r="D12" s="243" t="s">
        <v>57</v>
      </c>
      <c r="E12" s="245">
        <f>'2011 Rate Rider'!B27</f>
        <v>0</v>
      </c>
      <c r="F12" s="237"/>
    </row>
    <row r="13" spans="1:6" ht="13.5" thickBot="1">
      <c r="A13" s="38"/>
      <c r="B13" s="246"/>
      <c r="C13" s="531" t="s">
        <v>250</v>
      </c>
      <c r="D13" s="248" t="s">
        <v>57</v>
      </c>
      <c r="E13" s="249">
        <f>'2011 Rate Rider'!B15</f>
        <v>0.0013</v>
      </c>
      <c r="F13" s="237"/>
    </row>
    <row r="14" spans="1:6" ht="13.5" thickBot="1">
      <c r="A14" s="38"/>
      <c r="B14" s="250"/>
      <c r="C14" s="242"/>
      <c r="D14" s="243"/>
      <c r="E14" s="251"/>
      <c r="F14" s="237"/>
    </row>
    <row r="15" spans="2:5" ht="15.75" customHeight="1">
      <c r="B15" s="647" t="str">
        <f>'Distribution Rate Schedule'!A7</f>
        <v>GS &lt; 50 kW</v>
      </c>
      <c r="C15" s="648"/>
      <c r="D15" s="648"/>
      <c r="E15" s="649"/>
    </row>
    <row r="16" spans="2:5" ht="12.75">
      <c r="B16" s="241"/>
      <c r="C16" s="242" t="s">
        <v>72</v>
      </c>
      <c r="D16" s="243" t="s">
        <v>92</v>
      </c>
      <c r="E16" s="244">
        <f>+'Distribution Rate Schedule'!C33</f>
        <v>20.39</v>
      </c>
    </row>
    <row r="17" spans="2:5" ht="12.75">
      <c r="B17" s="241"/>
      <c r="C17" s="242" t="s">
        <v>93</v>
      </c>
      <c r="D17" s="243" t="s">
        <v>57</v>
      </c>
      <c r="E17" s="245">
        <f>+'Distribution Rate Schedule'!E33</f>
        <v>0.0179</v>
      </c>
    </row>
    <row r="18" spans="1:5" ht="12.75">
      <c r="A18" s="500"/>
      <c r="B18" s="241"/>
      <c r="C18" s="242" t="s">
        <v>138</v>
      </c>
      <c r="D18" s="243" t="s">
        <v>57</v>
      </c>
      <c r="E18" s="245">
        <f>'LRAM and SSM Rate Rider'!L7</f>
        <v>0</v>
      </c>
    </row>
    <row r="19" spans="2:5" ht="12.75">
      <c r="B19" s="241"/>
      <c r="C19" s="242" t="s">
        <v>143</v>
      </c>
      <c r="D19" s="243" t="s">
        <v>92</v>
      </c>
      <c r="E19" s="245">
        <f>'2011 Rate Rider'!D4</f>
        <v>1.18</v>
      </c>
    </row>
    <row r="20" spans="1:5" ht="12.75">
      <c r="A20" s="500"/>
      <c r="B20" s="241"/>
      <c r="C20" s="532" t="s">
        <v>248</v>
      </c>
      <c r="D20" s="243" t="s">
        <v>57</v>
      </c>
      <c r="E20" s="245">
        <f>'2011 Rate Rider'!B4</f>
        <v>-0.002</v>
      </c>
    </row>
    <row r="21" spans="1:5" ht="12.75">
      <c r="A21" s="500"/>
      <c r="B21" s="241"/>
      <c r="C21" s="532" t="s">
        <v>249</v>
      </c>
      <c r="D21" s="243" t="s">
        <v>57</v>
      </c>
      <c r="E21" s="245">
        <f>'2011 Rate Rider'!B28</f>
        <v>0</v>
      </c>
    </row>
    <row r="22" spans="2:5" ht="13.5" thickBot="1">
      <c r="B22" s="246"/>
      <c r="C22" s="531" t="s">
        <v>250</v>
      </c>
      <c r="D22" s="248" t="s">
        <v>57</v>
      </c>
      <c r="E22" s="249">
        <f>'2011 Rate Rider'!B16</f>
        <v>0.0013</v>
      </c>
    </row>
    <row r="23" spans="2:5" ht="13.5" thickBot="1">
      <c r="B23" s="250"/>
      <c r="C23" s="242"/>
      <c r="D23" s="243"/>
      <c r="E23" s="251"/>
    </row>
    <row r="24" spans="2:5" ht="15.75" customHeight="1">
      <c r="B24" s="647" t="str">
        <f>'Distribution Rate Schedule'!A8</f>
        <v>GS &gt;50 kW - Regular</v>
      </c>
      <c r="C24" s="648"/>
      <c r="D24" s="648"/>
      <c r="E24" s="649"/>
    </row>
    <row r="25" spans="2:5" ht="12.75">
      <c r="B25" s="241"/>
      <c r="C25" s="242" t="s">
        <v>72</v>
      </c>
      <c r="D25" s="243" t="s">
        <v>92</v>
      </c>
      <c r="E25" s="244">
        <f>+'Distribution Rate Schedule'!C34</f>
        <v>102.26</v>
      </c>
    </row>
    <row r="26" spans="2:5" ht="12.75">
      <c r="B26" s="241"/>
      <c r="C26" s="242" t="s">
        <v>93</v>
      </c>
      <c r="D26" s="243" t="s">
        <v>23</v>
      </c>
      <c r="E26" s="245">
        <f>+'Distribution Rate Schedule'!D34</f>
        <v>2.2957</v>
      </c>
    </row>
    <row r="27" spans="1:5" ht="12.75">
      <c r="A27" s="500"/>
      <c r="B27" s="241"/>
      <c r="C27" s="242" t="s">
        <v>138</v>
      </c>
      <c r="D27" s="530" t="s">
        <v>23</v>
      </c>
      <c r="E27" s="245">
        <f>'LRAM and SSM Rate Rider'!L8</f>
        <v>0</v>
      </c>
    </row>
    <row r="28" spans="1:5" ht="12.75">
      <c r="A28" s="500"/>
      <c r="B28" s="241"/>
      <c r="C28" s="242" t="s">
        <v>143</v>
      </c>
      <c r="D28" s="243" t="s">
        <v>92</v>
      </c>
      <c r="E28" s="245">
        <f>'2011 Rate Rider'!D5</f>
        <v>1.18</v>
      </c>
    </row>
    <row r="29" spans="2:5" ht="12.75">
      <c r="B29" s="241"/>
      <c r="C29" s="532" t="s">
        <v>248</v>
      </c>
      <c r="D29" s="243" t="s">
        <v>23</v>
      </c>
      <c r="E29" s="245">
        <f>'2011 Rate Rider'!C5</f>
        <v>-0.7321</v>
      </c>
    </row>
    <row r="30" spans="1:5" ht="12.75">
      <c r="A30" s="500"/>
      <c r="B30" s="241"/>
      <c r="C30" s="532" t="s">
        <v>249</v>
      </c>
      <c r="D30" s="243" t="s">
        <v>23</v>
      </c>
      <c r="E30" s="245">
        <f>'2011 Rate Rider'!C29</f>
        <v>0</v>
      </c>
    </row>
    <row r="31" spans="2:5" ht="13.5" thickBot="1">
      <c r="B31" s="246"/>
      <c r="C31" s="531" t="s">
        <v>250</v>
      </c>
      <c r="D31" s="248" t="s">
        <v>23</v>
      </c>
      <c r="E31" s="249">
        <f>'2011 Rate Rider'!C17</f>
        <v>0.4861</v>
      </c>
    </row>
    <row r="32" spans="2:5" ht="13.5" thickBot="1">
      <c r="B32" s="250"/>
      <c r="C32" s="242"/>
      <c r="D32" s="243"/>
      <c r="E32" s="251"/>
    </row>
    <row r="33" spans="2:5" ht="12.75">
      <c r="B33" s="647" t="str">
        <f>'Distribution Rate Schedule'!A9</f>
        <v>GS &gt; 50 kW - Intermediate</v>
      </c>
      <c r="C33" s="648"/>
      <c r="D33" s="648"/>
      <c r="E33" s="649"/>
    </row>
    <row r="34" spans="2:5" ht="12.75">
      <c r="B34" s="241"/>
      <c r="C34" s="242" t="s">
        <v>72</v>
      </c>
      <c r="D34" s="243" t="s">
        <v>92</v>
      </c>
      <c r="E34" s="244">
        <f>+'Distribution Rate Schedule'!C35</f>
        <v>1418.56</v>
      </c>
    </row>
    <row r="35" spans="2:5" ht="12.75">
      <c r="B35" s="241"/>
      <c r="C35" s="242" t="s">
        <v>93</v>
      </c>
      <c r="D35" s="243" t="s">
        <v>23</v>
      </c>
      <c r="E35" s="245">
        <f>+'Distribution Rate Schedule'!D35</f>
        <v>3.7417</v>
      </c>
    </row>
    <row r="36" spans="1:5" ht="12.75">
      <c r="A36" s="500"/>
      <c r="B36" s="241"/>
      <c r="C36" s="242" t="s">
        <v>138</v>
      </c>
      <c r="D36" s="530" t="s">
        <v>23</v>
      </c>
      <c r="E36" s="245">
        <f>'LRAM and SSM Rate Rider'!L17</f>
        <v>0</v>
      </c>
    </row>
    <row r="37" spans="2:5" ht="12.75">
      <c r="B37" s="241"/>
      <c r="C37" s="242" t="s">
        <v>143</v>
      </c>
      <c r="D37" s="243" t="s">
        <v>92</v>
      </c>
      <c r="E37" s="245">
        <f>'2011 Rate Rider'!D6</f>
        <v>1.18</v>
      </c>
    </row>
    <row r="38" spans="1:5" ht="12.75">
      <c r="A38" s="500"/>
      <c r="B38" s="241"/>
      <c r="C38" s="532" t="s">
        <v>248</v>
      </c>
      <c r="D38" s="243" t="s">
        <v>23</v>
      </c>
      <c r="E38" s="245">
        <f>'2011 Rate Rider'!C6</f>
        <v>-0.8881</v>
      </c>
    </row>
    <row r="39" spans="1:5" ht="12.75">
      <c r="A39" s="500"/>
      <c r="B39" s="241"/>
      <c r="C39" s="532" t="s">
        <v>249</v>
      </c>
      <c r="D39" s="243" t="s">
        <v>23</v>
      </c>
      <c r="E39" s="245">
        <f>'2011 Rate Rider'!C30</f>
        <v>0</v>
      </c>
    </row>
    <row r="40" spans="2:5" ht="13.5" thickBot="1">
      <c r="B40" s="246"/>
      <c r="C40" s="531" t="s">
        <v>250</v>
      </c>
      <c r="D40" s="248" t="s">
        <v>23</v>
      </c>
      <c r="E40" s="249">
        <f>'2011 Rate Rider'!C18</f>
        <v>0.5881</v>
      </c>
    </row>
    <row r="41" spans="1:5" ht="6.75" customHeight="1" thickBot="1">
      <c r="A41" s="376"/>
      <c r="B41" s="250"/>
      <c r="C41" s="242"/>
      <c r="D41" s="243"/>
      <c r="E41" s="251"/>
    </row>
    <row r="42" spans="2:5" ht="15.75" customHeight="1">
      <c r="B42" s="647" t="str">
        <f>'Distribution Rate Schedule'!A10</f>
        <v>Large Use</v>
      </c>
      <c r="C42" s="648"/>
      <c r="D42" s="648"/>
      <c r="E42" s="649"/>
    </row>
    <row r="43" spans="2:5" ht="12.75">
      <c r="B43" s="241"/>
      <c r="C43" s="242" t="s">
        <v>72</v>
      </c>
      <c r="D43" s="243" t="s">
        <v>92</v>
      </c>
      <c r="E43" s="244">
        <f>'Distribution Rate Schedule'!C36</f>
        <v>4749.47</v>
      </c>
    </row>
    <row r="44" spans="2:5" ht="12.75">
      <c r="B44" s="241"/>
      <c r="C44" s="242" t="s">
        <v>93</v>
      </c>
      <c r="D44" s="243" t="s">
        <v>23</v>
      </c>
      <c r="E44" s="245">
        <f>'Distribution Rate Schedule'!D36</f>
        <v>2.9005</v>
      </c>
    </row>
    <row r="45" spans="2:5" ht="12.75">
      <c r="B45" s="241"/>
      <c r="C45" s="242" t="s">
        <v>143</v>
      </c>
      <c r="D45" s="243" t="s">
        <v>92</v>
      </c>
      <c r="E45" s="245">
        <f>'2011 Rate Rider'!D7</f>
        <v>1.18</v>
      </c>
    </row>
    <row r="46" spans="1:5" ht="12.75">
      <c r="A46" s="500"/>
      <c r="B46" s="241"/>
      <c r="C46" s="532" t="s">
        <v>248</v>
      </c>
      <c r="D46" s="243" t="s">
        <v>23</v>
      </c>
      <c r="E46" s="245">
        <f>'2011 Rate Rider'!C7</f>
        <v>-1.0611</v>
      </c>
    </row>
    <row r="47" spans="1:5" ht="12.75">
      <c r="A47" s="500"/>
      <c r="B47" s="241"/>
      <c r="C47" s="532" t="s">
        <v>249</v>
      </c>
      <c r="D47" s="243" t="s">
        <v>23</v>
      </c>
      <c r="E47" s="245">
        <f>'2011 Rate Rider'!C31</f>
        <v>0</v>
      </c>
    </row>
    <row r="48" spans="2:5" ht="13.5" thickBot="1">
      <c r="B48" s="246"/>
      <c r="C48" s="531" t="s">
        <v>250</v>
      </c>
      <c r="D48" s="248" t="s">
        <v>23</v>
      </c>
      <c r="E48" s="249">
        <f>'2011 Rate Rider'!C19</f>
        <v>0.7109</v>
      </c>
    </row>
    <row r="49" spans="2:5" ht="6.75" customHeight="1" thickBot="1">
      <c r="B49" s="250"/>
      <c r="C49" s="242"/>
      <c r="D49" s="243"/>
      <c r="E49" s="251"/>
    </row>
    <row r="50" spans="2:5" ht="12.75">
      <c r="B50" s="647" t="str">
        <f>'Distribution Rate Schedule'!A11</f>
        <v>Street Lighting</v>
      </c>
      <c r="C50" s="648"/>
      <c r="D50" s="648"/>
      <c r="E50" s="649"/>
    </row>
    <row r="51" spans="2:5" ht="12.75">
      <c r="B51" s="241"/>
      <c r="C51" s="242" t="s">
        <v>72</v>
      </c>
      <c r="D51" s="243" t="s">
        <v>92</v>
      </c>
      <c r="E51" s="244">
        <f>'Distribution Rate Schedule'!B37</f>
        <v>0.07</v>
      </c>
    </row>
    <row r="52" spans="2:5" ht="12.75">
      <c r="B52" s="241"/>
      <c r="C52" s="242" t="s">
        <v>93</v>
      </c>
      <c r="D52" s="243" t="s">
        <v>23</v>
      </c>
      <c r="E52" s="245">
        <f>'Distribution Rate Schedule'!D37</f>
        <v>1.8085</v>
      </c>
    </row>
    <row r="53" spans="1:5" ht="12.75">
      <c r="A53" s="500"/>
      <c r="B53" s="241"/>
      <c r="C53" s="532" t="s">
        <v>248</v>
      </c>
      <c r="D53" s="243" t="s">
        <v>23</v>
      </c>
      <c r="E53" s="245">
        <f>'2011 Rate Rider'!C8</f>
        <v>-0.6678</v>
      </c>
    </row>
    <row r="54" spans="1:5" ht="12.75">
      <c r="A54" s="500"/>
      <c r="B54" s="241"/>
      <c r="C54" s="532" t="s">
        <v>249</v>
      </c>
      <c r="D54" s="243" t="s">
        <v>23</v>
      </c>
      <c r="E54" s="245">
        <f>'2011 Rate Rider'!C32</f>
        <v>0</v>
      </c>
    </row>
    <row r="55" spans="2:5" ht="13.5" thickBot="1">
      <c r="B55" s="246"/>
      <c r="C55" s="531" t="s">
        <v>250</v>
      </c>
      <c r="D55" s="248" t="s">
        <v>23</v>
      </c>
      <c r="E55" s="249">
        <f>'2011 Rate Rider'!C20</f>
        <v>0.4461</v>
      </c>
    </row>
    <row r="56" spans="2:5" ht="6.75" customHeight="1" thickBot="1">
      <c r="B56" s="250"/>
      <c r="C56" s="242"/>
      <c r="D56" s="243"/>
      <c r="E56" s="251"/>
    </row>
    <row r="57" spans="2:5" ht="12.75">
      <c r="B57" s="647" t="str">
        <f>'Distribution Rate Schedule'!A12</f>
        <v>Unmetered Scattered Load</v>
      </c>
      <c r="C57" s="648"/>
      <c r="D57" s="648"/>
      <c r="E57" s="649"/>
    </row>
    <row r="58" spans="2:5" ht="12.75">
      <c r="B58" s="241"/>
      <c r="C58" s="242" t="s">
        <v>72</v>
      </c>
      <c r="D58" s="243" t="s">
        <v>92</v>
      </c>
      <c r="E58" s="244">
        <f>+'Distribution Rate Schedule'!B38</f>
        <v>0.97</v>
      </c>
    </row>
    <row r="59" spans="2:5" ht="12.75">
      <c r="B59" s="241"/>
      <c r="C59" s="242" t="s">
        <v>93</v>
      </c>
      <c r="D59" s="530" t="s">
        <v>57</v>
      </c>
      <c r="E59" s="245">
        <f>'Distribution Rate Schedule'!E38</f>
        <v>0.0179</v>
      </c>
    </row>
    <row r="60" spans="1:5" ht="12.75">
      <c r="A60" s="500"/>
      <c r="B60" s="241"/>
      <c r="C60" s="532" t="s">
        <v>248</v>
      </c>
      <c r="D60" s="530" t="s">
        <v>57</v>
      </c>
      <c r="E60" s="245">
        <f>'2011 Rate Rider'!B9</f>
        <v>-0.002</v>
      </c>
    </row>
    <row r="61" spans="1:5" ht="12.75">
      <c r="A61" s="500"/>
      <c r="B61" s="241"/>
      <c r="C61" s="532" t="s">
        <v>249</v>
      </c>
      <c r="D61" s="530" t="s">
        <v>57</v>
      </c>
      <c r="E61" s="245">
        <f>'2011 Rate Rider'!B33</f>
        <v>0</v>
      </c>
    </row>
    <row r="62" spans="2:5" ht="13.5" thickBot="1">
      <c r="B62" s="246"/>
      <c r="C62" s="531" t="s">
        <v>250</v>
      </c>
      <c r="D62" s="533" t="s">
        <v>57</v>
      </c>
      <c r="E62" s="249">
        <f>'2011 Rate Rider'!B21</f>
        <v>0.0013</v>
      </c>
    </row>
    <row r="63" spans="2:5" ht="6.75" customHeight="1" thickBot="1">
      <c r="B63" s="250"/>
      <c r="C63" s="242"/>
      <c r="D63" s="243"/>
      <c r="E63" s="251"/>
    </row>
    <row r="64" spans="2:5" ht="12.75">
      <c r="B64" s="647" t="str">
        <f>'Distribution Rate Schedule'!A13</f>
        <v> </v>
      </c>
      <c r="C64" s="648"/>
      <c r="D64" s="648"/>
      <c r="E64" s="649"/>
    </row>
    <row r="65" spans="2:5" ht="12.75">
      <c r="B65" s="241"/>
      <c r="C65" s="242" t="s">
        <v>72</v>
      </c>
      <c r="D65" s="243" t="s">
        <v>92</v>
      </c>
      <c r="E65" s="244">
        <f>+'Distribution Rate Schedule'!B40</f>
        <v>0</v>
      </c>
    </row>
    <row r="66" spans="2:5" ht="12.75">
      <c r="B66" s="241"/>
      <c r="C66" s="242" t="s">
        <v>93</v>
      </c>
      <c r="D66" s="243" t="s">
        <v>57</v>
      </c>
      <c r="E66" s="245">
        <f>+'Distribution Rate Schedule'!E40</f>
        <v>0</v>
      </c>
    </row>
    <row r="67" spans="2:5" ht="12.75">
      <c r="B67" s="241"/>
      <c r="C67" s="242" t="s">
        <v>138</v>
      </c>
      <c r="D67" s="243" t="s">
        <v>57</v>
      </c>
      <c r="E67" s="245">
        <f>'LRAM and SSM Rate Rider'!L9</f>
        <v>0</v>
      </c>
    </row>
    <row r="68" spans="2:5" ht="13.5" thickBot="1">
      <c r="B68" s="246"/>
      <c r="C68" s="247" t="s">
        <v>127</v>
      </c>
      <c r="D68" s="248" t="s">
        <v>57</v>
      </c>
      <c r="E68" s="249">
        <f>+'2011 Rate Rider'!B10</f>
        <v>0</v>
      </c>
    </row>
    <row r="69" spans="2:5" ht="6.75" customHeight="1" thickBot="1">
      <c r="B69" s="250"/>
      <c r="C69" s="242"/>
      <c r="D69" s="243"/>
      <c r="E69" s="251"/>
    </row>
    <row r="70" spans="2:5" ht="12.75">
      <c r="B70" s="647" t="str">
        <f>'Distribution Rate Schedule'!A15</f>
        <v> </v>
      </c>
      <c r="C70" s="648"/>
      <c r="D70" s="648"/>
      <c r="E70" s="649"/>
    </row>
    <row r="71" spans="2:5" ht="12.75">
      <c r="B71" s="241"/>
      <c r="C71" s="242" t="s">
        <v>159</v>
      </c>
      <c r="D71" s="243" t="s">
        <v>23</v>
      </c>
      <c r="E71" s="244">
        <f>+'Distribution Rate Schedule'!D41</f>
        <v>0</v>
      </c>
    </row>
    <row r="72" spans="2:5" ht="13.5" thickBot="1">
      <c r="B72" s="246"/>
      <c r="C72" s="247" t="s">
        <v>127</v>
      </c>
      <c r="D72" s="248" t="s">
        <v>23</v>
      </c>
      <c r="E72" s="249">
        <v>0</v>
      </c>
    </row>
    <row r="73" spans="2:5" ht="12.75">
      <c r="B73" s="38"/>
      <c r="C73" s="237"/>
      <c r="D73" s="237"/>
      <c r="E73" s="238"/>
    </row>
    <row r="74" ht="12.75">
      <c r="B74" s="117"/>
    </row>
    <row r="75" ht="12.75">
      <c r="B75" s="117"/>
    </row>
    <row r="76" ht="12.75">
      <c r="B76" s="117"/>
    </row>
    <row r="77" ht="12.75">
      <c r="B77" s="117"/>
    </row>
    <row r="78" ht="12.75">
      <c r="B78" s="117"/>
    </row>
    <row r="79" ht="12.75">
      <c r="B79" s="117"/>
    </row>
    <row r="80" ht="12.75">
      <c r="B80" s="117"/>
    </row>
    <row r="81" ht="12.75">
      <c r="B81" s="117"/>
    </row>
    <row r="82" ht="12.75">
      <c r="B82" s="117"/>
    </row>
    <row r="83" ht="12.75">
      <c r="B83" s="117"/>
    </row>
    <row r="84" ht="12.75">
      <c r="B84" s="117"/>
    </row>
    <row r="85" ht="12.75">
      <c r="B85" s="117"/>
    </row>
    <row r="86" ht="12.75">
      <c r="B86" s="117"/>
    </row>
    <row r="87" ht="12.75">
      <c r="B87" s="117"/>
    </row>
    <row r="88" ht="12.75">
      <c r="B88" s="117"/>
    </row>
    <row r="89" ht="12.75">
      <c r="B89" s="117"/>
    </row>
    <row r="90" ht="12.75">
      <c r="B90" s="117"/>
    </row>
    <row r="91" ht="12.75">
      <c r="B91" s="117"/>
    </row>
    <row r="92" ht="12.75">
      <c r="B92" s="117"/>
    </row>
    <row r="93" ht="12.75">
      <c r="B93" s="117"/>
    </row>
    <row r="94" ht="12.75">
      <c r="B94" s="117"/>
    </row>
    <row r="95" ht="12.75">
      <c r="B95" s="117"/>
    </row>
    <row r="96" ht="12.75">
      <c r="B96" s="117"/>
    </row>
    <row r="97" ht="12.75">
      <c r="B97" s="117"/>
    </row>
    <row r="98" ht="12.75">
      <c r="B98" s="117"/>
    </row>
    <row r="99" ht="12.75">
      <c r="B99" s="117"/>
    </row>
    <row r="100" ht="12.75">
      <c r="B100" s="117"/>
    </row>
  </sheetData>
  <sheetProtection/>
  <mergeCells count="12">
    <mergeCell ref="B70:E70"/>
    <mergeCell ref="B33:E33"/>
    <mergeCell ref="B42:E42"/>
    <mergeCell ref="B3:E3"/>
    <mergeCell ref="B57:E57"/>
    <mergeCell ref="B50:E50"/>
    <mergeCell ref="B64:E64"/>
    <mergeCell ref="B1:E1"/>
    <mergeCell ref="B2:E2"/>
    <mergeCell ref="B6:E6"/>
    <mergeCell ref="B15:E15"/>
    <mergeCell ref="B24:E24"/>
  </mergeCells>
  <printOptions/>
  <pageMargins left="0.75" right="0.75" top="1" bottom="1" header="0.5" footer="0.5"/>
  <pageSetup fitToHeight="1" fitToWidth="1" horizontalDpi="355" verticalDpi="355" orientation="portrait" scale="9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2"/>
  <sheetViews>
    <sheetView showGridLines="0" zoomScalePageLayoutView="0" workbookViewId="0" topLeftCell="A1">
      <selection activeCell="F40" sqref="F40"/>
    </sheetView>
  </sheetViews>
  <sheetFormatPr defaultColWidth="9.7109375" defaultRowHeight="12.75"/>
  <cols>
    <col min="1" max="1" width="1.57421875" style="118" customWidth="1"/>
    <col min="2" max="2" width="74.7109375" style="118" customWidth="1"/>
    <col min="3" max="3" width="16.28125" style="118" bestFit="1" customWidth="1"/>
    <col min="4" max="4" width="9.57421875" style="118" bestFit="1" customWidth="1"/>
    <col min="5" max="16384" width="9.7109375" style="118" customWidth="1"/>
  </cols>
  <sheetData>
    <row r="1" spans="1:4" ht="12.75">
      <c r="A1" s="652"/>
      <c r="B1" s="652"/>
      <c r="C1" s="652"/>
      <c r="D1" s="652"/>
    </row>
    <row r="2" spans="1:4" ht="19.5" customHeight="1">
      <c r="A2" s="645" t="s">
        <v>102</v>
      </c>
      <c r="B2" s="645"/>
      <c r="C2" s="645"/>
      <c r="D2" s="645"/>
    </row>
    <row r="3" spans="1:4" ht="19.5" customHeight="1">
      <c r="A3" s="653" t="s">
        <v>94</v>
      </c>
      <c r="B3" s="653"/>
      <c r="C3" s="653"/>
      <c r="D3" s="653"/>
    </row>
    <row r="4" spans="1:4" ht="19.5" customHeight="1">
      <c r="A4" s="653" t="s">
        <v>247</v>
      </c>
      <c r="B4" s="653"/>
      <c r="C4" s="653"/>
      <c r="D4" s="653"/>
    </row>
    <row r="5" spans="1:4" ht="19.5" customHeight="1" thickBot="1">
      <c r="A5" s="654"/>
      <c r="B5" s="654"/>
      <c r="C5" s="654"/>
      <c r="D5" s="654"/>
    </row>
    <row r="6" spans="1:4" ht="30.75" customHeight="1" thickBot="1">
      <c r="A6" s="256"/>
      <c r="B6" s="225" t="s">
        <v>97</v>
      </c>
      <c r="C6" s="266" t="s">
        <v>98</v>
      </c>
      <c r="D6" s="267" t="s">
        <v>158</v>
      </c>
    </row>
    <row r="7" spans="1:4" ht="44.25" customHeight="1">
      <c r="A7" s="537"/>
      <c r="B7" s="263" t="s">
        <v>253</v>
      </c>
      <c r="C7" s="538" t="s">
        <v>99</v>
      </c>
      <c r="D7" s="539">
        <v>15</v>
      </c>
    </row>
    <row r="8" spans="1:4" ht="44.25" customHeight="1">
      <c r="A8" s="537"/>
      <c r="B8" s="263" t="s">
        <v>254</v>
      </c>
      <c r="C8" s="538" t="s">
        <v>99</v>
      </c>
      <c r="D8" s="539">
        <v>15</v>
      </c>
    </row>
    <row r="9" spans="1:4" ht="44.25" customHeight="1">
      <c r="A9" s="537"/>
      <c r="B9" s="263" t="s">
        <v>255</v>
      </c>
      <c r="C9" s="538" t="s">
        <v>99</v>
      </c>
      <c r="D9" s="539">
        <v>15</v>
      </c>
    </row>
    <row r="10" spans="1:4" ht="44.25" customHeight="1">
      <c r="A10" s="537"/>
      <c r="B10" s="263" t="s">
        <v>256</v>
      </c>
      <c r="C10" s="538" t="s">
        <v>99</v>
      </c>
      <c r="D10" s="539">
        <v>15</v>
      </c>
    </row>
    <row r="11" spans="1:4" ht="44.25" customHeight="1">
      <c r="A11" s="537"/>
      <c r="B11" s="263" t="s">
        <v>257</v>
      </c>
      <c r="C11" s="538" t="s">
        <v>99</v>
      </c>
      <c r="D11" s="539">
        <v>15</v>
      </c>
    </row>
    <row r="12" spans="1:4" ht="44.25" customHeight="1">
      <c r="A12" s="537"/>
      <c r="B12" s="263" t="s">
        <v>258</v>
      </c>
      <c r="C12" s="538" t="s">
        <v>99</v>
      </c>
      <c r="D12" s="539">
        <v>15</v>
      </c>
    </row>
    <row r="13" spans="1:4" ht="44.25" customHeight="1">
      <c r="A13" s="537"/>
      <c r="B13" s="263" t="s">
        <v>259</v>
      </c>
      <c r="C13" s="538" t="s">
        <v>99</v>
      </c>
      <c r="D13" s="539">
        <v>15</v>
      </c>
    </row>
    <row r="14" spans="1:4" ht="44.25" customHeight="1">
      <c r="A14" s="537"/>
      <c r="B14" s="263" t="s">
        <v>260</v>
      </c>
      <c r="C14" s="538" t="s">
        <v>99</v>
      </c>
      <c r="D14" s="539">
        <v>15</v>
      </c>
    </row>
    <row r="15" spans="1:4" ht="44.25" customHeight="1">
      <c r="A15" s="537"/>
      <c r="B15" s="263" t="s">
        <v>261</v>
      </c>
      <c r="C15" s="538" t="s">
        <v>99</v>
      </c>
      <c r="D15" s="539">
        <v>15</v>
      </c>
    </row>
    <row r="16" spans="1:4" ht="44.25" customHeight="1">
      <c r="A16" s="537"/>
      <c r="B16" s="263" t="s">
        <v>262</v>
      </c>
      <c r="C16" s="538" t="s">
        <v>99</v>
      </c>
      <c r="D16" s="539">
        <v>30</v>
      </c>
    </row>
    <row r="17" spans="1:4" ht="44.25" customHeight="1">
      <c r="A17" s="537"/>
      <c r="B17" s="263" t="s">
        <v>263</v>
      </c>
      <c r="C17" s="538" t="s">
        <v>99</v>
      </c>
      <c r="D17" s="539">
        <v>30</v>
      </c>
    </row>
    <row r="18" spans="1:4" ht="44.25" customHeight="1">
      <c r="A18" s="537"/>
      <c r="B18" s="263" t="s">
        <v>264</v>
      </c>
      <c r="C18" s="538" t="s">
        <v>99</v>
      </c>
      <c r="D18" s="539">
        <v>125</v>
      </c>
    </row>
    <row r="19" spans="1:4" ht="44.25" customHeight="1">
      <c r="A19" s="537"/>
      <c r="B19" s="263" t="s">
        <v>265</v>
      </c>
      <c r="C19" s="538" t="s">
        <v>99</v>
      </c>
      <c r="D19" s="539">
        <v>25</v>
      </c>
    </row>
    <row r="20" spans="1:4" ht="44.25" customHeight="1">
      <c r="A20" s="537"/>
      <c r="B20" s="263" t="s">
        <v>266</v>
      </c>
      <c r="C20" s="538" t="s">
        <v>99</v>
      </c>
      <c r="D20" s="540">
        <v>0.015</v>
      </c>
    </row>
    <row r="21" spans="1:4" ht="44.25" customHeight="1">
      <c r="A21" s="537"/>
      <c r="B21" s="263" t="s">
        <v>267</v>
      </c>
      <c r="C21" s="538" t="s">
        <v>99</v>
      </c>
      <c r="D21" s="541">
        <v>0.1956</v>
      </c>
    </row>
    <row r="22" spans="1:4" ht="44.25" customHeight="1">
      <c r="A22" s="537"/>
      <c r="B22" s="263" t="s">
        <v>268</v>
      </c>
      <c r="C22" s="538" t="s">
        <v>99</v>
      </c>
      <c r="D22" s="539">
        <v>30</v>
      </c>
    </row>
    <row r="23" spans="1:4" ht="44.25" customHeight="1">
      <c r="A23" s="537"/>
      <c r="B23" s="263" t="s">
        <v>269</v>
      </c>
      <c r="C23" s="538"/>
      <c r="D23" s="539">
        <v>65</v>
      </c>
    </row>
    <row r="24" spans="1:4" ht="44.25" customHeight="1">
      <c r="A24" s="537"/>
      <c r="B24" s="263" t="s">
        <v>270</v>
      </c>
      <c r="C24" s="538"/>
      <c r="D24" s="539">
        <v>185</v>
      </c>
    </row>
    <row r="25" spans="1:4" ht="44.25" customHeight="1">
      <c r="A25" s="537"/>
      <c r="B25" s="263" t="s">
        <v>271</v>
      </c>
      <c r="C25" s="538" t="s">
        <v>99</v>
      </c>
      <c r="D25" s="539">
        <v>185</v>
      </c>
    </row>
    <row r="26" spans="1:4" ht="44.25" customHeight="1">
      <c r="A26" s="537"/>
      <c r="B26" s="263" t="s">
        <v>272</v>
      </c>
      <c r="C26" s="538" t="s">
        <v>99</v>
      </c>
      <c r="D26" s="539">
        <v>415</v>
      </c>
    </row>
    <row r="27" spans="1:4" ht="44.25" customHeight="1">
      <c r="A27" s="537"/>
      <c r="B27" s="263" t="s">
        <v>273</v>
      </c>
      <c r="C27" s="538" t="s">
        <v>99</v>
      </c>
      <c r="D27" s="539">
        <v>60</v>
      </c>
    </row>
    <row r="28" spans="1:4" ht="44.25" customHeight="1">
      <c r="A28" s="537"/>
      <c r="B28" s="263" t="s">
        <v>274</v>
      </c>
      <c r="C28" s="538" t="s">
        <v>99</v>
      </c>
      <c r="D28" s="539">
        <v>155</v>
      </c>
    </row>
    <row r="29" spans="1:4" ht="44.25" customHeight="1">
      <c r="A29" s="537"/>
      <c r="B29" s="263" t="s">
        <v>275</v>
      </c>
      <c r="C29" s="538" t="s">
        <v>99</v>
      </c>
      <c r="D29" s="539">
        <v>120</v>
      </c>
    </row>
    <row r="30" spans="1:4" ht="44.25" customHeight="1" thickBot="1">
      <c r="A30" s="537"/>
      <c r="B30" s="263" t="s">
        <v>276</v>
      </c>
      <c r="C30" s="538" t="s">
        <v>99</v>
      </c>
      <c r="D30" s="539">
        <v>155</v>
      </c>
    </row>
    <row r="31" spans="1:4" ht="44.25" customHeight="1" thickBot="1">
      <c r="A31" s="542"/>
      <c r="B31" s="264" t="s">
        <v>100</v>
      </c>
      <c r="C31" s="265" t="s">
        <v>148</v>
      </c>
      <c r="D31" s="543"/>
    </row>
    <row r="32" spans="1:4" s="117" customFormat="1" ht="12" customHeight="1" thickBot="1">
      <c r="A32" s="258"/>
      <c r="B32" s="235"/>
      <c r="C32" s="259"/>
      <c r="D32" s="260"/>
    </row>
    <row r="33" spans="1:4" ht="12.75">
      <c r="A33" s="257"/>
      <c r="B33" s="655" t="s">
        <v>101</v>
      </c>
      <c r="C33" s="656"/>
      <c r="D33" s="657"/>
    </row>
    <row r="34" spans="2:4" ht="12.75">
      <c r="B34" s="650" t="s">
        <v>58</v>
      </c>
      <c r="C34" s="651"/>
      <c r="D34" s="261">
        <f>+'Other Electriciy Rates'!O19</f>
        <v>1.0025</v>
      </c>
    </row>
    <row r="35" spans="2:4" ht="12.75">
      <c r="B35" s="650" t="s">
        <v>59</v>
      </c>
      <c r="C35" s="651"/>
      <c r="D35" s="261">
        <f>+'Other Electriciy Rates'!O20</f>
        <v>1.03236</v>
      </c>
    </row>
    <row r="36" spans="2:4" ht="12.75">
      <c r="B36" s="650" t="s">
        <v>60</v>
      </c>
      <c r="C36" s="651"/>
      <c r="D36" s="261">
        <f>+'Other Electriciy Rates'!O21</f>
        <v>1.01</v>
      </c>
    </row>
    <row r="37" spans="2:4" ht="12.75">
      <c r="B37" s="650" t="s">
        <v>61</v>
      </c>
      <c r="C37" s="651"/>
      <c r="D37" s="261">
        <f>+'Other Electriciy Rates'!O22</f>
        <v>1.0220364</v>
      </c>
    </row>
    <row r="38" spans="2:4" ht="12.75">
      <c r="B38" s="650" t="s">
        <v>62</v>
      </c>
      <c r="C38" s="651"/>
      <c r="D38" s="261">
        <f>+'Other Electriciy Rates'!O23</f>
        <v>1</v>
      </c>
    </row>
    <row r="39" spans="2:4" ht="12.75">
      <c r="B39" s="650" t="s">
        <v>63</v>
      </c>
      <c r="C39" s="651"/>
      <c r="D39" s="261">
        <f>+'Other Electriciy Rates'!O24</f>
        <v>1.0349408999999998</v>
      </c>
    </row>
    <row r="40" spans="2:4" ht="12.75">
      <c r="B40" s="650" t="s">
        <v>64</v>
      </c>
      <c r="C40" s="651"/>
      <c r="D40" s="261">
        <f>+'Other Electriciy Rates'!O25</f>
        <v>1.012525</v>
      </c>
    </row>
    <row r="41" spans="2:4" ht="12.75">
      <c r="B41" s="650" t="s">
        <v>65</v>
      </c>
      <c r="C41" s="651"/>
      <c r="D41" s="261">
        <f>+'Other Electriciy Rates'!O26</f>
        <v>1.0245914909999998</v>
      </c>
    </row>
    <row r="42" spans="2:4" ht="13.5" thickBot="1">
      <c r="B42" s="658" t="s">
        <v>66</v>
      </c>
      <c r="C42" s="659"/>
      <c r="D42" s="262">
        <f>+'Other Electriciy Rates'!O27</f>
        <v>1.0025</v>
      </c>
    </row>
  </sheetData>
  <sheetProtection/>
  <mergeCells count="15">
    <mergeCell ref="B41:C41"/>
    <mergeCell ref="B42:C42"/>
    <mergeCell ref="B37:C37"/>
    <mergeCell ref="B38:C38"/>
    <mergeCell ref="B39:C39"/>
    <mergeCell ref="B40:C40"/>
    <mergeCell ref="B36:C36"/>
    <mergeCell ref="A1:D1"/>
    <mergeCell ref="A2:D2"/>
    <mergeCell ref="A3:D3"/>
    <mergeCell ref="A4:D4"/>
    <mergeCell ref="A5:D5"/>
    <mergeCell ref="B33:D33"/>
    <mergeCell ref="B34:C34"/>
    <mergeCell ref="B35:C35"/>
  </mergeCells>
  <printOptions/>
  <pageMargins left="0.75" right="0.75" top="1" bottom="1" header="0.5" footer="0.5"/>
  <pageSetup fitToHeight="2" fitToWidth="1" horizontalDpi="355" verticalDpi="355" orientation="portrait" scale="81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showGridLines="0" zoomScalePageLayoutView="0" workbookViewId="0" topLeftCell="A1">
      <selection activeCell="E19" sqref="E19"/>
    </sheetView>
  </sheetViews>
  <sheetFormatPr defaultColWidth="9.140625" defaultRowHeight="12.75"/>
  <cols>
    <col min="1" max="1" width="31.28125" style="0" bestFit="1" customWidth="1"/>
    <col min="2" max="2" width="15.140625" style="0" customWidth="1"/>
    <col min="3" max="3" width="13.7109375" style="0" customWidth="1"/>
    <col min="4" max="4" width="14.00390625" style="0" bestFit="1" customWidth="1"/>
    <col min="5" max="5" width="16.00390625" style="0" customWidth="1"/>
    <col min="6" max="6" width="15.57421875" style="0" customWidth="1"/>
    <col min="7" max="7" width="20.140625" style="0" bestFit="1" customWidth="1"/>
    <col min="8" max="8" width="14.140625" style="0" bestFit="1" customWidth="1"/>
    <col min="9" max="9" width="13.140625" style="0" bestFit="1" customWidth="1"/>
    <col min="10" max="10" width="14.140625" style="0" bestFit="1" customWidth="1"/>
    <col min="11" max="11" width="11.421875" style="0" bestFit="1" customWidth="1"/>
    <col min="12" max="12" width="14.140625" style="0" bestFit="1" customWidth="1"/>
  </cols>
  <sheetData>
    <row r="1" spans="1:6" ht="12.75">
      <c r="A1" s="576"/>
      <c r="B1" s="576"/>
      <c r="C1" s="576"/>
      <c r="D1" s="576"/>
      <c r="E1" s="576"/>
      <c r="F1" s="576"/>
    </row>
    <row r="2" spans="1:6" ht="20.25">
      <c r="A2" s="545" t="s">
        <v>198</v>
      </c>
      <c r="B2" s="545"/>
      <c r="C2" s="545"/>
      <c r="D2" s="545"/>
      <c r="E2" s="545"/>
      <c r="F2" s="545"/>
    </row>
    <row r="3" spans="1:6" ht="13.5" thickBot="1">
      <c r="A3" s="587"/>
      <c r="B3" s="587"/>
      <c r="C3" s="587"/>
      <c r="D3" s="587"/>
      <c r="E3" s="587"/>
      <c r="F3" s="587"/>
    </row>
    <row r="4" spans="1:12" ht="38.25">
      <c r="A4" s="159" t="s">
        <v>0</v>
      </c>
      <c r="B4" s="138" t="s">
        <v>11</v>
      </c>
      <c r="C4" s="138" t="s">
        <v>12</v>
      </c>
      <c r="D4" s="138" t="s">
        <v>32</v>
      </c>
      <c r="E4" s="138" t="s">
        <v>29</v>
      </c>
      <c r="F4" s="272" t="s">
        <v>34</v>
      </c>
      <c r="G4" s="11"/>
      <c r="H4" s="11"/>
      <c r="I4" s="11"/>
      <c r="J4" s="11"/>
      <c r="K4" s="11"/>
      <c r="L4" s="11"/>
    </row>
    <row r="5" spans="1:12" ht="18.75" customHeight="1">
      <c r="A5" s="273" t="str">
        <f>'Other Electriciy Rates'!A5</f>
        <v>Residential</v>
      </c>
      <c r="B5" s="12">
        <f>+'Distribution Rate Schedule'!C32*'Forecast Data For 2011'!I4*12</f>
        <v>15818583.765316559</v>
      </c>
      <c r="C5" s="12">
        <f>+'Distribution Rate Schedule'!E32*'Forecast Data For 2011'!I5</f>
        <v>17170428.5055</v>
      </c>
      <c r="D5" s="274"/>
      <c r="E5" s="12">
        <f>+B5+C5+D5</f>
        <v>32989012.270816557</v>
      </c>
      <c r="F5" s="275">
        <f>+'Rates By Rate Class'!K4-'Rates By Rate Class'!H4</f>
        <v>32977678.37010964</v>
      </c>
      <c r="G5" s="12"/>
      <c r="H5" s="12"/>
      <c r="I5" s="13"/>
      <c r="J5" s="14"/>
      <c r="K5" s="14"/>
      <c r="L5" s="14"/>
    </row>
    <row r="6" spans="1:12" ht="18.75" customHeight="1">
      <c r="A6" s="273" t="str">
        <f>'Other Electriciy Rates'!A6</f>
        <v>GS &lt; 50 kW</v>
      </c>
      <c r="B6" s="12">
        <f>+'Distribution Rate Schedule'!C33*'Forecast Data For 2011'!I6*12</f>
        <v>1931247.8762451322</v>
      </c>
      <c r="C6" s="12">
        <f>+'Distribution Rate Schedule'!E33*'Forecast Data For 2011'!I7</f>
        <v>5203985.3044</v>
      </c>
      <c r="D6" s="274"/>
      <c r="E6" s="12">
        <f>+B6+C6+D6</f>
        <v>7135233.180645132</v>
      </c>
      <c r="F6" s="275">
        <f>+'Rates By Rate Class'!K5-'Rates By Rate Class'!H5</f>
        <v>7135576.944357224</v>
      </c>
      <c r="G6" s="12"/>
      <c r="H6" s="12"/>
      <c r="I6" s="13"/>
      <c r="J6" s="14"/>
      <c r="K6" s="14"/>
      <c r="L6" s="14"/>
    </row>
    <row r="7" spans="1:12" ht="18.75" customHeight="1">
      <c r="A7" s="273" t="str">
        <f>'Other Electriciy Rates'!A7</f>
        <v>GS &gt;50 kW - Regular</v>
      </c>
      <c r="B7" s="12">
        <f>+'Distribution Rate Schedule'!C34*'Forecast Data For 2011'!I8*12</f>
        <v>1904751.7106515684</v>
      </c>
      <c r="C7" s="12">
        <f>+'Distribution Rate Schedule'!D34*'Forecast Data For 2011'!I9</f>
        <v>7070572.3440000005</v>
      </c>
      <c r="D7" s="274">
        <f>'Transformer Allowance'!C7</f>
        <v>-158133.1967870871</v>
      </c>
      <c r="E7" s="12">
        <f>+B7+C7+D7</f>
        <v>8817190.857864482</v>
      </c>
      <c r="F7" s="275">
        <f>+'Rates By Rate Class'!K6-'Rates By Rate Class'!H6</f>
        <v>8817048.809983812</v>
      </c>
      <c r="G7" s="12"/>
      <c r="H7" s="12"/>
      <c r="I7" s="12"/>
      <c r="J7" s="14"/>
      <c r="K7" s="14"/>
      <c r="L7" s="14"/>
    </row>
    <row r="8" spans="1:12" ht="18.75" customHeight="1">
      <c r="A8" s="273" t="str">
        <f>'Other Electriciy Rates'!A8</f>
        <v>GS &gt; 50 kW - Intermediate</v>
      </c>
      <c r="B8" s="12">
        <f>+'Distribution Rate Schedule'!C35*'Forecast Data For 2011'!I11*12</f>
        <v>1803613.1083732322</v>
      </c>
      <c r="C8" s="12">
        <f>+'Distribution Rate Schedule'!D35*'Forecast Data For 2011'!I12</f>
        <v>7031286.647299999</v>
      </c>
      <c r="D8" s="274">
        <f>'Transformer Allowance'!C8</f>
        <v>-927677.8556877767</v>
      </c>
      <c r="E8" s="12">
        <f>+B8+C8+D8</f>
        <v>7907221.899985455</v>
      </c>
      <c r="F8" s="275">
        <f>+'Rates By Rate Class'!K7-'Rates By Rate Class'!H7</f>
        <v>7907149.9357720055</v>
      </c>
      <c r="G8" s="12"/>
      <c r="H8" s="12"/>
      <c r="I8" s="12"/>
      <c r="J8" s="14"/>
      <c r="K8" s="14"/>
      <c r="L8" s="14"/>
    </row>
    <row r="9" spans="1:12" ht="18.75" customHeight="1">
      <c r="A9" s="273" t="str">
        <f>'Other Electriciy Rates'!A9</f>
        <v>Large Use</v>
      </c>
      <c r="B9" s="12">
        <f>+'Distribution Rate Schedule'!C36*'Forecast Data For 2011'!I14*12</f>
        <v>341961.83999999997</v>
      </c>
      <c r="C9" s="12">
        <f>+'Distribution Rate Schedule'!D36*'Forecast Data For 2011'!I15</f>
        <v>2022956.6255</v>
      </c>
      <c r="D9" s="274">
        <f>'Transformer Allowance'!C9</f>
        <v>-418470.6</v>
      </c>
      <c r="E9" s="12">
        <f>+B9+C9+D9</f>
        <v>1946447.8654999998</v>
      </c>
      <c r="F9" s="275">
        <f>+'Rates By Rate Class'!K8-'Rates By Rate Class'!H8</f>
        <v>1946481.9596254234</v>
      </c>
      <c r="G9" s="12"/>
      <c r="H9" s="12"/>
      <c r="I9" s="12"/>
      <c r="J9" s="14"/>
      <c r="K9" s="14"/>
      <c r="L9" s="14"/>
    </row>
    <row r="10" spans="1:12" ht="18.75" customHeight="1">
      <c r="A10" s="273" t="str">
        <f>'Other Electriciy Rates'!A10</f>
        <v>Street Lighting</v>
      </c>
      <c r="B10" s="12">
        <f>+'Distribution Rate Schedule'!B37*'Forecast Data For 2011'!I17*12</f>
        <v>35412.91487526082</v>
      </c>
      <c r="C10" s="12">
        <f>+'Distribution Rate Schedule'!D37*'Forecast Data For 2011'!I18</f>
        <v>160300.0145</v>
      </c>
      <c r="D10" s="274"/>
      <c r="E10" s="12">
        <f>+B10+C10+D10</f>
        <v>195712.9293752608</v>
      </c>
      <c r="F10" s="275">
        <f>+'Rates By Rate Class'!K9-'Rates By Rate Class'!H9</f>
        <v>195712.22932185495</v>
      </c>
      <c r="G10" s="12"/>
      <c r="H10" s="12"/>
      <c r="I10" s="13"/>
      <c r="J10" s="14"/>
      <c r="K10" s="14"/>
      <c r="L10" s="14"/>
    </row>
    <row r="11" spans="1:12" ht="18.75" customHeight="1">
      <c r="A11" s="273" t="str">
        <f>'Other Electriciy Rates'!A11</f>
        <v>Unmetered Scattered Load</v>
      </c>
      <c r="B11" s="12">
        <f>+'Distribution Rate Schedule'!B38*'Forecast Data For 2011'!I21*12</f>
        <v>15136.716196118063</v>
      </c>
      <c r="C11" s="12">
        <f>+'Distribution Rate Schedule'!E38*'Forecast Data For 2011'!I22</f>
        <v>87707.7804</v>
      </c>
      <c r="D11" s="274"/>
      <c r="E11" s="12">
        <f>+B11+C11+D11</f>
        <v>102844.49659611807</v>
      </c>
      <c r="F11" s="275">
        <f>+'Rates By Rate Class'!K10-'Rates By Rate Class'!H10</f>
        <v>102796.91083004154</v>
      </c>
      <c r="G11" s="12"/>
      <c r="H11" s="12"/>
      <c r="I11" s="13"/>
      <c r="J11" s="14"/>
      <c r="K11" s="14"/>
      <c r="L11" s="14"/>
    </row>
    <row r="12" spans="1:12" ht="18.75" customHeight="1">
      <c r="A12" s="448" t="str">
        <f>IF(+'Forecast Data For 2011'!$A$23=0," ",+'Forecast Data For 2011'!$A$23)</f>
        <v> </v>
      </c>
      <c r="B12" s="12"/>
      <c r="C12" s="12"/>
      <c r="D12" s="274"/>
      <c r="E12" s="12"/>
      <c r="F12" s="275"/>
      <c r="G12" s="12"/>
      <c r="H12" s="12"/>
      <c r="I12" s="13"/>
      <c r="J12" s="14"/>
      <c r="K12" s="14"/>
      <c r="L12" s="14"/>
    </row>
    <row r="13" spans="1:6" ht="18.75" customHeight="1">
      <c r="A13" s="448" t="str">
        <f>IF(+'Forecast Data For 2011'!$A$25=0," ",+'Forecast Data For 2011'!$A$25)</f>
        <v> </v>
      </c>
      <c r="F13" s="275"/>
    </row>
    <row r="14" spans="1:12" ht="18.75" customHeight="1" thickBot="1">
      <c r="A14" s="131" t="str">
        <f>IF(+'Forecast Data For 2011'!$A$27=0," ",+'Forecast Data For 2011'!$A$27)</f>
        <v> </v>
      </c>
      <c r="B14" s="143"/>
      <c r="C14" s="143"/>
      <c r="D14" s="276"/>
      <c r="E14" s="143"/>
      <c r="F14" s="277"/>
      <c r="G14" s="12"/>
      <c r="H14" s="12"/>
      <c r="I14" s="13"/>
      <c r="J14" s="14"/>
      <c r="K14" s="14"/>
      <c r="L14" s="14"/>
    </row>
    <row r="15" spans="1:12" ht="31.5" customHeight="1" thickBot="1">
      <c r="A15" s="48" t="s">
        <v>33</v>
      </c>
      <c r="B15" s="270">
        <f>SUM(B5:B14)</f>
        <v>21850707.931657873</v>
      </c>
      <c r="C15" s="270">
        <f>SUM(C5:C14)</f>
        <v>38747237.2216</v>
      </c>
      <c r="D15" s="271">
        <f>SUM(D5:D14)</f>
        <v>-1504281.652474864</v>
      </c>
      <c r="E15" s="270">
        <f>SUM(E5:E14)</f>
        <v>59093663.50078301</v>
      </c>
      <c r="F15" s="270">
        <f>SUM(F5:F14)</f>
        <v>59082445.160000004</v>
      </c>
      <c r="G15" s="15"/>
      <c r="H15" s="15"/>
      <c r="I15" s="15"/>
      <c r="J15" s="15"/>
      <c r="K15" s="15"/>
      <c r="L15" s="15"/>
    </row>
    <row r="16" spans="6:12" ht="13.5" thickTop="1">
      <c r="F16" s="9"/>
      <c r="G16" s="16"/>
      <c r="H16" s="16"/>
      <c r="I16" s="16"/>
      <c r="J16" s="16"/>
      <c r="K16" s="16"/>
      <c r="L16" s="16"/>
    </row>
    <row r="17" spans="5:7" ht="12.75">
      <c r="E17" s="660" t="s">
        <v>145</v>
      </c>
      <c r="F17" s="660"/>
      <c r="G17" s="8"/>
    </row>
    <row r="18" spans="5:6" ht="12.75">
      <c r="E18" s="268"/>
      <c r="F18" s="115"/>
    </row>
    <row r="19" spans="5:6" ht="13.5" thickBot="1">
      <c r="E19" s="269">
        <f>+F15-E15</f>
        <v>-11218.340783007443</v>
      </c>
      <c r="F19" s="115"/>
    </row>
    <row r="22" ht="12.75">
      <c r="E22" s="9"/>
    </row>
  </sheetData>
  <sheetProtection/>
  <mergeCells count="4">
    <mergeCell ref="A3:F3"/>
    <mergeCell ref="E17:F17"/>
    <mergeCell ref="A2:F2"/>
    <mergeCell ref="A1:F1"/>
  </mergeCells>
  <printOptions/>
  <pageMargins left="0.7480314960629921" right="0.7480314960629921" top="0.984251968503937" bottom="0.984251968503937" header="0.5118110236220472" footer="0.5118110236220472"/>
  <pageSetup fitToHeight="1" fitToWidth="1" horizontalDpi="355" verticalDpi="355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showGridLines="0" zoomScale="88" zoomScaleNormal="88" zoomScalePageLayoutView="0" workbookViewId="0" topLeftCell="A7">
      <selection activeCell="D33" sqref="D33"/>
    </sheetView>
  </sheetViews>
  <sheetFormatPr defaultColWidth="9.140625" defaultRowHeight="12.75"/>
  <cols>
    <col min="1" max="1" width="41.8515625" style="0" bestFit="1" customWidth="1"/>
    <col min="2" max="2" width="16.00390625" style="0" bestFit="1" customWidth="1"/>
    <col min="3" max="4" width="12.7109375" style="0" customWidth="1"/>
    <col min="5" max="5" width="13.140625" style="0" customWidth="1"/>
    <col min="6" max="6" width="12.28125" style="0" customWidth="1"/>
    <col min="7" max="8" width="15.57421875" style="0" bestFit="1" customWidth="1"/>
    <col min="9" max="9" width="16.00390625" style="0" bestFit="1" customWidth="1"/>
    <col min="11" max="12" width="14.00390625" style="0" bestFit="1" customWidth="1"/>
  </cols>
  <sheetData>
    <row r="1" spans="1:9" ht="7.5" customHeight="1">
      <c r="A1" s="576"/>
      <c r="B1" s="576"/>
      <c r="C1" s="576"/>
      <c r="D1" s="576"/>
      <c r="E1" s="576"/>
      <c r="F1" s="576"/>
      <c r="G1" s="576"/>
      <c r="H1" s="576"/>
      <c r="I1" s="576"/>
    </row>
    <row r="2" spans="1:9" ht="15.75">
      <c r="A2" s="591" t="s">
        <v>210</v>
      </c>
      <c r="B2" s="591"/>
      <c r="C2" s="591"/>
      <c r="D2" s="591"/>
      <c r="E2" s="591"/>
      <c r="F2" s="591"/>
      <c r="G2" s="591"/>
      <c r="H2" s="591"/>
      <c r="I2" s="591"/>
    </row>
    <row r="3" spans="1:9" ht="8.25" customHeight="1">
      <c r="A3" s="661"/>
      <c r="B3" s="661"/>
      <c r="C3" s="661"/>
      <c r="D3" s="661"/>
      <c r="E3" s="661"/>
      <c r="F3" s="661"/>
      <c r="G3" s="661"/>
      <c r="H3" s="661"/>
      <c r="I3" s="661"/>
    </row>
    <row r="4" spans="1:9" ht="39" thickBot="1">
      <c r="A4" s="278" t="s">
        <v>0</v>
      </c>
      <c r="B4" s="130" t="s">
        <v>7</v>
      </c>
      <c r="C4" s="130" t="s">
        <v>8</v>
      </c>
      <c r="D4" s="130" t="s">
        <v>9</v>
      </c>
      <c r="E4" s="130" t="s">
        <v>10</v>
      </c>
      <c r="F4" s="130" t="s">
        <v>27</v>
      </c>
      <c r="G4" s="130" t="s">
        <v>11</v>
      </c>
      <c r="H4" s="130" t="s">
        <v>12</v>
      </c>
      <c r="I4" s="130" t="s">
        <v>103</v>
      </c>
    </row>
    <row r="5" spans="1:12" ht="20.25" customHeight="1">
      <c r="A5" s="279" t="str">
        <f>'Dist. Rev. Reconciliation'!A5</f>
        <v>Residential</v>
      </c>
      <c r="B5" s="320">
        <f>+'Forecast Data For 2011'!$I$5</f>
        <v>1107769581</v>
      </c>
      <c r="C5" s="320"/>
      <c r="D5" s="320"/>
      <c r="E5" s="320">
        <f>+'Forecast Data For 2011'!$I$4*12</f>
        <v>1483919.6777970504</v>
      </c>
      <c r="F5" s="320"/>
      <c r="G5" s="321">
        <f>+E5*'2010 Existing Rates'!$C$5</f>
        <v>15729548.584648734</v>
      </c>
      <c r="H5" s="321">
        <f>+B5*('2010 Existing Rates'!$E$5-'2010 Existing Rates'!B48)</f>
        <v>17059651.5474</v>
      </c>
      <c r="I5" s="322">
        <f>+G5+H5</f>
        <v>32789200.132048734</v>
      </c>
      <c r="K5" s="3"/>
      <c r="L5" s="3"/>
    </row>
    <row r="6" spans="1:12" ht="20.25" customHeight="1">
      <c r="A6" s="280" t="str">
        <f>'Dist. Rev. Reconciliation'!A6</f>
        <v>GS &lt; 50 kW</v>
      </c>
      <c r="B6" s="323">
        <f>+'Forecast Data For 2011'!$I$7</f>
        <v>290725436</v>
      </c>
      <c r="C6" s="323"/>
      <c r="D6" s="323"/>
      <c r="E6" s="323">
        <f>+'Forecast Data For 2011'!$I$6*12</f>
        <v>94715.44267999667</v>
      </c>
      <c r="F6" s="323"/>
      <c r="G6" s="324">
        <f>+E6*'2010 Existing Rates'!$C$6</f>
        <v>1919882.0231235325</v>
      </c>
      <c r="H6" s="324">
        <f>+B6*('2010 Existing Rates'!$E$6-'2010 Existing Rates'!B49)</f>
        <v>5174912.7608</v>
      </c>
      <c r="I6" s="325">
        <f aca="true" t="shared" si="0" ref="I6:I11">+G6+H6</f>
        <v>7094794.783923533</v>
      </c>
      <c r="K6" s="3"/>
      <c r="L6" s="3"/>
    </row>
    <row r="7" spans="1:12" ht="20.25" customHeight="1">
      <c r="A7" s="280" t="str">
        <f>'Dist. Rev. Reconciliation'!A7</f>
        <v>GS &gt;50 kW - Regular</v>
      </c>
      <c r="B7" s="323">
        <f>+'Forecast Data For 2011'!$I$10</f>
        <v>1123789074</v>
      </c>
      <c r="C7" s="323">
        <f>+'Forecast Data For 2011'!$I$9</f>
        <v>3079920</v>
      </c>
      <c r="D7" s="323">
        <f>'Transformer Allowance'!B7</f>
        <v>263555.3279784785</v>
      </c>
      <c r="E7" s="323">
        <f>+'Forecast Data For 2011'!$I$8*12</f>
        <v>18626.556920120947</v>
      </c>
      <c r="F7" s="323"/>
      <c r="G7" s="324">
        <f>+E7*'2010 Existing Rates'!$C$7</f>
        <v>1893948.307637898</v>
      </c>
      <c r="H7" s="324">
        <f>+C7*('2010 Existing Rates'!$D$7-'2010 Existing Rates'!D50)</f>
        <v>7030841.376</v>
      </c>
      <c r="I7" s="325">
        <f t="shared" si="0"/>
        <v>8924789.683637898</v>
      </c>
      <c r="K7" s="3"/>
      <c r="L7" s="3"/>
    </row>
    <row r="8" spans="1:12" ht="20.25" customHeight="1">
      <c r="A8" s="280" t="str">
        <f>'Dist. Rev. Reconciliation'!A8</f>
        <v>GS &gt; 50 kW - Intermediate</v>
      </c>
      <c r="B8" s="323">
        <f>+'Forecast Data For 2011'!$I$13</f>
        <v>832077628</v>
      </c>
      <c r="C8" s="323">
        <f>+'Forecast Data For 2011'!$I$12</f>
        <v>1879169</v>
      </c>
      <c r="D8" s="323">
        <f>'Transformer Allowance'!B8</f>
        <v>1546129.759479628</v>
      </c>
      <c r="E8" s="323">
        <f>+'Forecast Data For 2011'!$I$11*12</f>
        <v>1271.4394233400296</v>
      </c>
      <c r="F8" s="323"/>
      <c r="G8" s="324">
        <f>+E8*'2010 Existing Rates'!$C$8</f>
        <v>1793301.7346499448</v>
      </c>
      <c r="H8" s="324">
        <f>+C8*('2010 Existing Rates'!$D$8-'2010 Existing Rates'!D51)</f>
        <v>6996334.1039</v>
      </c>
      <c r="I8" s="325">
        <f>+G8+H8</f>
        <v>8789635.838549946</v>
      </c>
      <c r="K8" s="3"/>
      <c r="L8" s="3"/>
    </row>
    <row r="9" spans="1:12" ht="20.25" customHeight="1">
      <c r="A9" s="280" t="str">
        <f>'Dist. Rev. Reconciliation'!A9</f>
        <v>Large Use</v>
      </c>
      <c r="B9" s="323">
        <f>'Forecast Data For 2011'!I16</f>
        <v>383275616</v>
      </c>
      <c r="C9" s="323">
        <f>+'Forecast Data For 2011'!$I$15</f>
        <v>697451</v>
      </c>
      <c r="D9" s="323">
        <f>'Transformer Allowance'!B9</f>
        <v>697451</v>
      </c>
      <c r="E9" s="323">
        <f>+'Forecast Data For 2011'!$I$14*12</f>
        <v>72</v>
      </c>
      <c r="F9" s="323"/>
      <c r="G9" s="324">
        <f>+E9*'2010 Existing Rates'!$C$9</f>
        <v>340007.76</v>
      </c>
      <c r="H9" s="324">
        <f>+C9*('2010 Existing Rates'!$D$9-'2010 Existing Rates'!D52)</f>
        <v>2013820.0174</v>
      </c>
      <c r="I9" s="325">
        <f t="shared" si="0"/>
        <v>2353827.7774</v>
      </c>
      <c r="K9" s="3"/>
      <c r="L9" s="3"/>
    </row>
    <row r="10" spans="1:12" ht="20.25" customHeight="1">
      <c r="A10" s="280" t="str">
        <f>'Dist. Rev. Reconciliation'!A10</f>
        <v>Street Lighting</v>
      </c>
      <c r="B10" s="323">
        <f>+'Forecast Data For 2011'!$I$19</f>
        <v>29780031</v>
      </c>
      <c r="C10" s="323">
        <f>+'Forecast Data For 2011'!$I$18</f>
        <v>88637</v>
      </c>
      <c r="D10" s="323"/>
      <c r="E10" s="323"/>
      <c r="F10" s="323">
        <f>+'Forecast Data For 2011'!$I$17*12</f>
        <v>505898.7839322974</v>
      </c>
      <c r="G10" s="324">
        <f>+F10*'2010 Existing Rates'!$B$10</f>
        <v>0</v>
      </c>
      <c r="H10" s="324">
        <f>+C10*('2010 Existing Rates'!$D$10-'2010 Existing Rates'!D53)</f>
        <v>194593.66980000003</v>
      </c>
      <c r="I10" s="325">
        <f>+G10+H10</f>
        <v>194593.66980000003</v>
      </c>
      <c r="K10" s="3"/>
      <c r="L10" s="3"/>
    </row>
    <row r="11" spans="1:12" ht="20.25" customHeight="1">
      <c r="A11" s="280" t="str">
        <f>'Dist. Rev. Reconciliation'!A11</f>
        <v>Unmetered Scattered Load</v>
      </c>
      <c r="B11" s="323">
        <f>+'Forecast Data For 2011'!$I$22</f>
        <v>4899876</v>
      </c>
      <c r="C11" s="323"/>
      <c r="D11" s="323"/>
      <c r="E11" s="323"/>
      <c r="F11" s="323">
        <f>+'Forecast Data For 2011'!$I$20*12</f>
        <v>744</v>
      </c>
      <c r="G11" s="324">
        <f>+F11*'2010 Existing Rates'!$C$11</f>
        <v>14991.599999999999</v>
      </c>
      <c r="H11" s="324">
        <f>+B11*('2010 Existing Rates'!$E$11-'2010 Existing Rates'!B54)</f>
        <v>87217.7928</v>
      </c>
      <c r="I11" s="325">
        <f t="shared" si="0"/>
        <v>102209.3928</v>
      </c>
      <c r="K11" s="3"/>
      <c r="L11" s="3"/>
    </row>
    <row r="12" spans="1:12" ht="20.25" customHeight="1">
      <c r="A12" s="448" t="str">
        <f>IF(+'Forecast Data For 2011'!$A$23=0," ",+'Forecast Data For 2011'!$A$23)</f>
        <v> </v>
      </c>
      <c r="B12" s="323"/>
      <c r="C12" s="323"/>
      <c r="D12" s="323"/>
      <c r="E12" s="323"/>
      <c r="F12" s="323"/>
      <c r="G12" s="324"/>
      <c r="H12" s="324"/>
      <c r="I12" s="325"/>
      <c r="K12" s="3"/>
      <c r="L12" s="3"/>
    </row>
    <row r="13" spans="1:12" ht="20.25" customHeight="1">
      <c r="A13" s="448" t="str">
        <f>IF(+'Forecast Data For 2011'!$A$25=0," ",+'Forecast Data For 2011'!$A$25)</f>
        <v> </v>
      </c>
      <c r="B13" s="323"/>
      <c r="C13" s="326"/>
      <c r="D13" s="326"/>
      <c r="E13" s="326"/>
      <c r="F13" s="323"/>
      <c r="G13" s="324"/>
      <c r="H13" s="324"/>
      <c r="I13" s="325"/>
      <c r="K13" s="3"/>
      <c r="L13" s="3"/>
    </row>
    <row r="14" spans="1:12" ht="20.25" customHeight="1" thickBot="1">
      <c r="A14" s="131" t="str">
        <f>IF(+'Forecast Data For 2011'!$A$27=0," ",+'Forecast Data For 2011'!$A$27)</f>
        <v> </v>
      </c>
      <c r="B14" s="327"/>
      <c r="C14" s="327"/>
      <c r="D14" s="327"/>
      <c r="E14" s="327"/>
      <c r="F14" s="327"/>
      <c r="G14" s="328"/>
      <c r="H14" s="328"/>
      <c r="I14" s="329"/>
      <c r="K14" s="3"/>
      <c r="L14" s="3"/>
    </row>
    <row r="15" spans="1:12" ht="24.75" customHeight="1" thickBot="1">
      <c r="A15" s="48" t="s">
        <v>41</v>
      </c>
      <c r="B15" s="330">
        <f aca="true" t="shared" si="1" ref="B15:I15">SUM(B5:B14)</f>
        <v>3772317242</v>
      </c>
      <c r="C15" s="330">
        <f t="shared" si="1"/>
        <v>5745177</v>
      </c>
      <c r="D15" s="330">
        <f t="shared" si="1"/>
        <v>2507136.0874581067</v>
      </c>
      <c r="E15" s="330">
        <f t="shared" si="1"/>
        <v>1598605.1168205081</v>
      </c>
      <c r="F15" s="330">
        <f t="shared" si="1"/>
        <v>506642.7839322974</v>
      </c>
      <c r="G15" s="331">
        <f t="shared" si="1"/>
        <v>21691680.010060113</v>
      </c>
      <c r="H15" s="331">
        <f t="shared" si="1"/>
        <v>38557371.2681</v>
      </c>
      <c r="I15" s="331">
        <f t="shared" si="1"/>
        <v>60249051.27816011</v>
      </c>
      <c r="K15" s="3"/>
      <c r="L15" s="3"/>
    </row>
    <row r="16" spans="1:9" ht="9.75" customHeight="1" thickTop="1">
      <c r="A16" s="576"/>
      <c r="B16" s="576"/>
      <c r="C16" s="576"/>
      <c r="D16" s="576"/>
      <c r="E16" s="576"/>
      <c r="F16" s="576"/>
      <c r="G16" s="576"/>
      <c r="H16" s="576"/>
      <c r="I16" s="576"/>
    </row>
    <row r="17" spans="1:9" ht="18" customHeight="1">
      <c r="A17" s="662" t="s">
        <v>120</v>
      </c>
      <c r="B17" s="576"/>
      <c r="C17" s="576"/>
      <c r="D17" s="576"/>
      <c r="E17" s="576"/>
      <c r="F17" s="576"/>
      <c r="G17" s="576"/>
      <c r="H17" s="576"/>
      <c r="I17" s="332"/>
    </row>
    <row r="18" spans="1:9" ht="18" customHeight="1">
      <c r="A18" s="663" t="str">
        <f>A7</f>
        <v>GS &gt;50 kW - Regular</v>
      </c>
      <c r="B18" s="576"/>
      <c r="C18" s="576"/>
      <c r="D18" s="576"/>
      <c r="E18" s="576"/>
      <c r="F18" s="576"/>
      <c r="G18" s="576"/>
      <c r="H18" s="576"/>
      <c r="I18" s="333">
        <f>'Transformer Allowance'!C7</f>
        <v>-158133.1967870871</v>
      </c>
    </row>
    <row r="19" spans="1:9" ht="18" customHeight="1">
      <c r="A19" s="663" t="str">
        <f>A9</f>
        <v>Large Use</v>
      </c>
      <c r="B19" s="576"/>
      <c r="C19" s="576"/>
      <c r="D19" s="576"/>
      <c r="E19" s="576"/>
      <c r="F19" s="576"/>
      <c r="G19" s="576"/>
      <c r="H19" s="576"/>
      <c r="I19" s="333">
        <f>'Transformer Allowance'!C9</f>
        <v>-418470.6</v>
      </c>
    </row>
    <row r="20" spans="1:9" ht="18" customHeight="1">
      <c r="A20" s="663" t="str">
        <f>A8</f>
        <v>GS &gt; 50 kW - Intermediate</v>
      </c>
      <c r="B20" s="576"/>
      <c r="C20" s="576"/>
      <c r="D20" s="576"/>
      <c r="E20" s="576"/>
      <c r="F20" s="576"/>
      <c r="G20" s="576"/>
      <c r="H20" s="576"/>
      <c r="I20" s="333">
        <f>'Transformer Allowance'!C8</f>
        <v>-927677.8556877767</v>
      </c>
    </row>
    <row r="21" spans="1:9" ht="7.5" customHeight="1">
      <c r="A21" s="576"/>
      <c r="B21" s="576"/>
      <c r="C21" s="576"/>
      <c r="D21" s="576"/>
      <c r="E21" s="576"/>
      <c r="F21" s="576"/>
      <c r="G21" s="576"/>
      <c r="H21" s="576"/>
      <c r="I21" s="333"/>
    </row>
    <row r="22" spans="1:9" ht="18" customHeight="1" thickBot="1">
      <c r="A22" s="565" t="s">
        <v>121</v>
      </c>
      <c r="B22" s="565"/>
      <c r="C22" s="565"/>
      <c r="D22" s="565"/>
      <c r="E22" s="565"/>
      <c r="F22" s="565"/>
      <c r="G22" s="565"/>
      <c r="H22" s="565"/>
      <c r="I22" s="334">
        <f>+I15+I18+I19+I20</f>
        <v>58744769.625685245</v>
      </c>
    </row>
    <row r="23" spans="1:9" ht="7.5" customHeight="1" thickTop="1">
      <c r="A23" s="576"/>
      <c r="B23" s="576"/>
      <c r="C23" s="576"/>
      <c r="D23" s="576"/>
      <c r="E23" s="576"/>
      <c r="F23" s="576"/>
      <c r="G23" s="576"/>
      <c r="H23" s="576"/>
      <c r="I23" s="332"/>
    </row>
    <row r="24" spans="1:9" ht="18" customHeight="1">
      <c r="A24" s="587" t="s">
        <v>118</v>
      </c>
      <c r="B24" s="587"/>
      <c r="C24" s="587"/>
      <c r="D24" s="587"/>
      <c r="E24" s="587"/>
      <c r="F24" s="587"/>
      <c r="G24" s="587"/>
      <c r="H24" s="587"/>
      <c r="I24" s="335">
        <f>+'Revenue Input'!B6</f>
        <v>3986411.82</v>
      </c>
    </row>
    <row r="25" spans="1:9" ht="18" customHeight="1" thickBot="1">
      <c r="A25" s="565" t="s">
        <v>119</v>
      </c>
      <c r="B25" s="565"/>
      <c r="C25" s="565"/>
      <c r="D25" s="565"/>
      <c r="E25" s="565"/>
      <c r="F25" s="565"/>
      <c r="G25" s="565"/>
      <c r="H25" s="565"/>
      <c r="I25" s="336">
        <f>+I22+I24</f>
        <v>62731181.445685245</v>
      </c>
    </row>
    <row r="26" spans="1:9" ht="7.5" customHeight="1">
      <c r="A26" s="576"/>
      <c r="B26" s="576"/>
      <c r="C26" s="576"/>
      <c r="D26" s="576"/>
      <c r="E26" s="576"/>
      <c r="F26" s="576"/>
      <c r="G26" s="576"/>
      <c r="H26" s="576"/>
      <c r="I26" s="332"/>
    </row>
    <row r="27" spans="1:9" ht="18" customHeight="1" thickBot="1">
      <c r="A27" s="565" t="s">
        <v>116</v>
      </c>
      <c r="B27" s="565"/>
      <c r="C27" s="565"/>
      <c r="D27" s="565"/>
      <c r="E27" s="565"/>
      <c r="F27" s="565"/>
      <c r="G27" s="565"/>
      <c r="H27" s="565"/>
      <c r="I27" s="336">
        <f>+'Revenue Input'!B5</f>
        <v>63068856.98</v>
      </c>
    </row>
    <row r="28" spans="1:9" ht="7.5" customHeight="1">
      <c r="A28" s="576"/>
      <c r="B28" s="576"/>
      <c r="C28" s="576"/>
      <c r="D28" s="576"/>
      <c r="E28" s="576"/>
      <c r="F28" s="576"/>
      <c r="G28" s="576"/>
      <c r="H28" s="576"/>
      <c r="I28" s="337"/>
    </row>
    <row r="29" spans="1:9" ht="18" customHeight="1" thickBot="1">
      <c r="A29" s="565" t="s">
        <v>117</v>
      </c>
      <c r="B29" s="565"/>
      <c r="C29" s="565"/>
      <c r="D29" s="565"/>
      <c r="E29" s="565"/>
      <c r="F29" s="565"/>
      <c r="G29" s="565"/>
      <c r="H29" s="565"/>
      <c r="I29" s="338">
        <f>+I27-I25</f>
        <v>337675.5343147516</v>
      </c>
    </row>
    <row r="30" ht="13.5" thickTop="1"/>
    <row r="31" spans="7:11" ht="12.75">
      <c r="G31" s="16"/>
      <c r="H31" s="16"/>
      <c r="I31" s="16"/>
      <c r="J31" s="16"/>
      <c r="K31" s="16"/>
    </row>
    <row r="32" spans="7:11" ht="12.75">
      <c r="G32" s="16"/>
      <c r="H32" s="16"/>
      <c r="I32" s="16"/>
      <c r="J32" s="16"/>
      <c r="K32" s="16"/>
    </row>
    <row r="33" ht="12.75">
      <c r="I33" s="9"/>
    </row>
  </sheetData>
  <sheetProtection/>
  <mergeCells count="17">
    <mergeCell ref="A22:H22"/>
    <mergeCell ref="A23:H23"/>
    <mergeCell ref="A24:H24"/>
    <mergeCell ref="A29:H29"/>
    <mergeCell ref="A25:H25"/>
    <mergeCell ref="A26:H26"/>
    <mergeCell ref="A27:H27"/>
    <mergeCell ref="A28:H28"/>
    <mergeCell ref="A21:H21"/>
    <mergeCell ref="A2:I2"/>
    <mergeCell ref="A3:I3"/>
    <mergeCell ref="A1:I1"/>
    <mergeCell ref="A16:I16"/>
    <mergeCell ref="A17:H17"/>
    <mergeCell ref="A18:H18"/>
    <mergeCell ref="A20:H20"/>
    <mergeCell ref="A19:H19"/>
  </mergeCells>
  <printOptions/>
  <pageMargins left="0.75" right="0.75" top="1" bottom="1" header="0.5" footer="0.5"/>
  <pageSetup fitToHeight="1" fitToWidth="1" horizontalDpi="355" verticalDpi="355" orientation="landscape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showGridLines="0" zoomScalePageLayoutView="0" workbookViewId="0" topLeftCell="A1">
      <selection activeCell="B8" sqref="B8"/>
    </sheetView>
  </sheetViews>
  <sheetFormatPr defaultColWidth="9.140625" defaultRowHeight="12.75"/>
  <cols>
    <col min="1" max="1" width="40.8515625" style="0" customWidth="1"/>
    <col min="2" max="2" width="15.7109375" style="0" customWidth="1"/>
    <col min="3" max="3" width="17.57421875" style="0" bestFit="1" customWidth="1"/>
    <col min="4" max="4" width="15.7109375" style="0" customWidth="1"/>
    <col min="5" max="5" width="17.57421875" style="0" bestFit="1" customWidth="1"/>
    <col min="6" max="6" width="15.7109375" style="0" customWidth="1"/>
    <col min="7" max="7" width="17.57421875" style="0" bestFit="1" customWidth="1"/>
    <col min="8" max="8" width="15.7109375" style="0" customWidth="1"/>
    <col min="9" max="9" width="17.57421875" style="0" bestFit="1" customWidth="1"/>
  </cols>
  <sheetData>
    <row r="1" spans="1:9" ht="17.25" customHeight="1">
      <c r="A1" s="8"/>
      <c r="B1" s="8"/>
      <c r="C1" s="8"/>
      <c r="D1" s="8"/>
      <c r="E1" s="8"/>
      <c r="F1" s="8"/>
      <c r="G1" s="8"/>
      <c r="H1" s="8"/>
      <c r="I1" s="8"/>
    </row>
    <row r="2" spans="1:3" ht="15" customHeight="1">
      <c r="A2" s="551" t="s">
        <v>38</v>
      </c>
      <c r="B2" s="551"/>
      <c r="C2" s="551"/>
    </row>
    <row r="3" spans="1:3" ht="15" customHeight="1" thickBot="1">
      <c r="A3" s="552"/>
      <c r="B3" s="552"/>
      <c r="C3" s="552"/>
    </row>
    <row r="4" spans="1:3" ht="15.75">
      <c r="A4" s="549" t="s">
        <v>154</v>
      </c>
      <c r="B4" s="547" t="s">
        <v>209</v>
      </c>
      <c r="C4" s="548"/>
    </row>
    <row r="5" spans="1:3" ht="15.75">
      <c r="A5" s="550"/>
      <c r="B5" s="252" t="s">
        <v>35</v>
      </c>
      <c r="C5" s="291" t="s">
        <v>208</v>
      </c>
    </row>
    <row r="6" spans="1:3" ht="15.75">
      <c r="A6" s="292" t="s">
        <v>36</v>
      </c>
      <c r="B6" s="16"/>
      <c r="C6" s="217"/>
    </row>
    <row r="7" spans="1:9" ht="15.75">
      <c r="A7" s="293" t="str">
        <f>'Forecast Data For 2011'!A8</f>
        <v>GS &gt;50 kW - Regular</v>
      </c>
      <c r="B7" s="290">
        <f>+'[1]KW'!$AY$20</f>
        <v>263555.3279784785</v>
      </c>
      <c r="C7" s="294">
        <f>+B7*$B$12</f>
        <v>-158133.1967870871</v>
      </c>
      <c r="E7" s="47"/>
      <c r="F7" s="47"/>
      <c r="G7" s="47"/>
      <c r="H7" s="8"/>
      <c r="I7" s="8"/>
    </row>
    <row r="8" spans="1:9" ht="15.75">
      <c r="A8" s="293" t="str">
        <f>'Forecast Data For 2011'!A11</f>
        <v>GS &gt; 50 kW - Intermediate</v>
      </c>
      <c r="B8" s="290">
        <f>+'[1]KW'!$AZ$20</f>
        <v>1546129.759479628</v>
      </c>
      <c r="C8" s="294">
        <f>+B8*$B$12</f>
        <v>-927677.8556877767</v>
      </c>
      <c r="E8" s="309"/>
      <c r="F8" s="309"/>
      <c r="G8" s="309"/>
      <c r="H8" s="310"/>
      <c r="I8" s="310"/>
    </row>
    <row r="9" spans="1:9" ht="15.75">
      <c r="A9" s="293" t="str">
        <f>'Forecast Data For 2011'!A14</f>
        <v>Large Use</v>
      </c>
      <c r="B9" s="290">
        <f>+'[1]KW'!$BA$20</f>
        <v>697451</v>
      </c>
      <c r="C9" s="294">
        <f>+B9*$B$12</f>
        <v>-418470.6</v>
      </c>
      <c r="E9" s="47"/>
      <c r="F9" s="47"/>
      <c r="G9" s="47"/>
      <c r="H9" s="8"/>
      <c r="I9" s="8"/>
    </row>
    <row r="10" spans="1:3" ht="16.5" thickBot="1">
      <c r="A10" s="295" t="s">
        <v>37</v>
      </c>
      <c r="B10" s="296">
        <f>SUM(B7:B9)</f>
        <v>2507136.0874581067</v>
      </c>
      <c r="C10" s="297">
        <f>SUM(C7:C9)</f>
        <v>-1504281.652474864</v>
      </c>
    </row>
    <row r="11" ht="13.5" thickBot="1"/>
    <row r="12" spans="1:2" ht="16.5" thickBot="1">
      <c r="A12" s="5" t="s">
        <v>155</v>
      </c>
      <c r="B12" s="355">
        <v>-0.6</v>
      </c>
    </row>
    <row r="13" ht="15">
      <c r="A13" s="4"/>
    </row>
    <row r="14" ht="15.75">
      <c r="A14" s="5"/>
    </row>
    <row r="15" ht="15">
      <c r="A15" s="4"/>
    </row>
    <row r="16" ht="15">
      <c r="A16" s="4"/>
    </row>
    <row r="17" ht="15">
      <c r="A17" s="4"/>
    </row>
    <row r="19" ht="15.75">
      <c r="A19" s="5"/>
    </row>
    <row r="20" ht="15">
      <c r="A20" s="4"/>
    </row>
    <row r="21" ht="15.75">
      <c r="A21" s="5"/>
    </row>
    <row r="22" ht="15">
      <c r="A22" s="4"/>
    </row>
    <row r="23" ht="15">
      <c r="A23" s="4"/>
    </row>
    <row r="24" ht="15">
      <c r="A24" s="4"/>
    </row>
    <row r="26" ht="15.75">
      <c r="A26" s="5"/>
    </row>
    <row r="27" ht="15">
      <c r="A27" s="4"/>
    </row>
    <row r="28" ht="15.75">
      <c r="A28" s="5"/>
    </row>
    <row r="29" ht="15">
      <c r="A29" s="4"/>
    </row>
    <row r="30" ht="15">
      <c r="A30" s="4"/>
    </row>
    <row r="31" ht="15">
      <c r="A31" s="4"/>
    </row>
  </sheetData>
  <sheetProtection/>
  <mergeCells count="4">
    <mergeCell ref="B4:C4"/>
    <mergeCell ref="A4:A5"/>
    <mergeCell ref="A2:C2"/>
    <mergeCell ref="A3:C3"/>
  </mergeCells>
  <printOptions/>
  <pageMargins left="0.75" right="0.75" top="1" bottom="1" header="0.5" footer="0.5"/>
  <pageSetup fitToHeight="1" fitToWidth="1" horizontalDpi="355" verticalDpi="35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showGridLines="0" zoomScalePageLayoutView="0" workbookViewId="0" topLeftCell="A1">
      <pane xSplit="2" ySplit="3" topLeftCell="C7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24" sqref="A24"/>
    </sheetView>
  </sheetViews>
  <sheetFormatPr defaultColWidth="9.140625" defaultRowHeight="12.75"/>
  <cols>
    <col min="1" max="1" width="35.7109375" style="0" customWidth="1"/>
    <col min="2" max="2" width="16.140625" style="0" bestFit="1" customWidth="1"/>
    <col min="3" max="5" width="13.421875" style="0" bestFit="1" customWidth="1"/>
    <col min="6" max="7" width="13.421875" style="0" customWidth="1"/>
    <col min="8" max="10" width="13.421875" style="0" bestFit="1" customWidth="1"/>
    <col min="11" max="11" width="13.8515625" style="0" customWidth="1"/>
    <col min="12" max="16" width="10.140625" style="0" customWidth="1"/>
  </cols>
  <sheetData>
    <row r="1" spans="1:9" ht="27" customHeight="1">
      <c r="A1" s="553" t="s">
        <v>207</v>
      </c>
      <c r="B1" s="554"/>
      <c r="C1" s="554"/>
      <c r="D1" s="554"/>
      <c r="E1" s="554"/>
      <c r="F1" s="554"/>
      <c r="G1" s="554"/>
      <c r="H1" s="554"/>
      <c r="I1" s="555"/>
    </row>
    <row r="2" spans="1:9" ht="18.75" customHeight="1">
      <c r="A2" s="286" t="s">
        <v>30</v>
      </c>
      <c r="B2" s="286"/>
      <c r="C2" s="553" t="s">
        <v>31</v>
      </c>
      <c r="D2" s="554"/>
      <c r="E2" s="554"/>
      <c r="F2" s="554"/>
      <c r="G2" s="554"/>
      <c r="H2" s="554"/>
      <c r="I2" s="555"/>
    </row>
    <row r="3" spans="1:16" ht="39" thickBot="1">
      <c r="A3" s="288" t="s">
        <v>24</v>
      </c>
      <c r="B3" s="287" t="s">
        <v>151</v>
      </c>
      <c r="C3" s="288" t="s">
        <v>200</v>
      </c>
      <c r="D3" s="288" t="s">
        <v>201</v>
      </c>
      <c r="E3" s="288" t="s">
        <v>202</v>
      </c>
      <c r="F3" s="288" t="s">
        <v>203</v>
      </c>
      <c r="G3" s="289" t="s">
        <v>204</v>
      </c>
      <c r="H3" s="288" t="s">
        <v>205</v>
      </c>
      <c r="I3" s="288" t="s">
        <v>206</v>
      </c>
      <c r="K3" s="16"/>
      <c r="L3" s="16"/>
      <c r="M3" s="16"/>
      <c r="N3" s="16"/>
      <c r="O3" s="16"/>
      <c r="P3" s="16"/>
    </row>
    <row r="4" spans="1:16" ht="15" customHeight="1">
      <c r="A4" s="127" t="s">
        <v>184</v>
      </c>
      <c r="B4" s="58" t="s">
        <v>152</v>
      </c>
      <c r="C4" s="356">
        <f>'[1]Customers'!$V$15</f>
        <v>104821.5</v>
      </c>
      <c r="D4" s="357">
        <f>'[1]Customers'!$AE$15</f>
        <v>109778.16666666667</v>
      </c>
      <c r="E4" s="357">
        <f>'[1]Customers'!$AN$15</f>
        <v>114118.83333333333</v>
      </c>
      <c r="F4" s="357">
        <f>'[1]Customers'!$AW$15</f>
        <v>119060</v>
      </c>
      <c r="G4" s="357">
        <f>'[1]Customers'!$BF$15</f>
        <v>121040.83333333333</v>
      </c>
      <c r="H4" s="357">
        <f>'[1]Customers'!$D$47</f>
        <v>122376.57063286903</v>
      </c>
      <c r="I4" s="358">
        <f>'[1]Customers'!$M$47</f>
        <v>123659.97314975421</v>
      </c>
      <c r="J4" s="3"/>
      <c r="K4" s="54"/>
      <c r="L4" s="16"/>
      <c r="M4" s="16"/>
      <c r="N4" s="16"/>
      <c r="O4" s="16"/>
      <c r="P4" s="16"/>
    </row>
    <row r="5" spans="1:16" ht="15" customHeight="1" thickBot="1">
      <c r="A5" s="60"/>
      <c r="B5" s="61" t="s">
        <v>16</v>
      </c>
      <c r="C5" s="359">
        <f>'[1]kWh'!$V$79</f>
        <v>1066310557</v>
      </c>
      <c r="D5" s="360">
        <f>'[1]kWh'!$AE$79</f>
        <v>1041609066.9531491</v>
      </c>
      <c r="E5" s="360">
        <f>'[1]kWh'!$AN$79</f>
        <v>1102238845.1530476</v>
      </c>
      <c r="F5" s="360">
        <f>'[1]kWh'!$AW$79</f>
        <v>1093569511.9108763</v>
      </c>
      <c r="G5" s="360">
        <f>'[1]kWh'!$BF$79</f>
        <v>1088557819</v>
      </c>
      <c r="H5" s="360">
        <f>'[1]kWh'!$BO$79</f>
        <v>1099386750.7095263</v>
      </c>
      <c r="I5" s="361">
        <f>'[1]kWh'!$BX$79</f>
        <v>1107769581</v>
      </c>
      <c r="K5" s="16"/>
      <c r="L5" s="16"/>
      <c r="M5" s="16"/>
      <c r="N5" s="16"/>
      <c r="O5" s="16"/>
      <c r="P5" s="16"/>
    </row>
    <row r="6" spans="1:16" ht="15" customHeight="1">
      <c r="A6" s="127" t="s">
        <v>185</v>
      </c>
      <c r="B6" s="58" t="s">
        <v>152</v>
      </c>
      <c r="C6" s="356">
        <f>'[1]Customers'!$X$15</f>
        <v>6891.666666666667</v>
      </c>
      <c r="D6" s="357">
        <f>'[1]Customers'!$AG$15</f>
        <v>7075.333333333333</v>
      </c>
      <c r="E6" s="357">
        <f>'[1]Customers'!$AP$15</f>
        <v>7294.333333333333</v>
      </c>
      <c r="F6" s="357">
        <f>'[1]Customers'!$AY$15</f>
        <v>7436.75</v>
      </c>
      <c r="G6" s="357">
        <f>'[1]Customers'!$BH$15</f>
        <v>7528.75</v>
      </c>
      <c r="H6" s="357">
        <f>'[1]Customers'!$F$47</f>
        <v>7727.996361147564</v>
      </c>
      <c r="I6" s="358">
        <f>'[1]Customers'!$O$47</f>
        <v>7892.95355666639</v>
      </c>
      <c r="K6" s="54"/>
      <c r="L6" s="16"/>
      <c r="M6" s="16"/>
      <c r="N6" s="16"/>
      <c r="O6" s="16"/>
      <c r="P6" s="16"/>
    </row>
    <row r="7" spans="1:16" ht="15" customHeight="1" thickBot="1">
      <c r="A7" s="60"/>
      <c r="B7" s="61" t="s">
        <v>16</v>
      </c>
      <c r="C7" s="359">
        <f>'[1]kWh'!$X$79</f>
        <v>288084105.89146394</v>
      </c>
      <c r="D7" s="359">
        <f>'[1]kWh'!$AG$79</f>
        <v>282703765.9841937</v>
      </c>
      <c r="E7" s="359">
        <f>'[1]kWh'!$AP$79</f>
        <v>298781693.0369566</v>
      </c>
      <c r="F7" s="359">
        <f>'[1]kWh'!$AY$79</f>
        <v>288052193.27834255</v>
      </c>
      <c r="G7" s="359">
        <f>'[1]kWh'!$BH$79</f>
        <v>278899780.4499807</v>
      </c>
      <c r="H7" s="359">
        <f>'[1]kWh'!$BQ$79</f>
        <v>285620803.02129936</v>
      </c>
      <c r="I7" s="361">
        <f>'[1]kWh'!$BZ$79</f>
        <v>290725436</v>
      </c>
      <c r="K7" s="16"/>
      <c r="L7" s="16"/>
      <c r="M7" s="16"/>
      <c r="N7" s="16"/>
      <c r="O7" s="16"/>
      <c r="P7" s="16"/>
    </row>
    <row r="8" spans="1:16" ht="15" customHeight="1">
      <c r="A8" s="127" t="s">
        <v>218</v>
      </c>
      <c r="B8" s="58" t="s">
        <v>152</v>
      </c>
      <c r="C8" s="356">
        <f>'[1]Customers'!$Y$15</f>
        <v>1363.75</v>
      </c>
      <c r="D8" s="357">
        <f>'[1]Customers'!$AH$15</f>
        <v>1402.0833333333333</v>
      </c>
      <c r="E8" s="357">
        <f>'[1]Customers'!$AQ$15</f>
        <v>1416.8333333333333</v>
      </c>
      <c r="F8" s="357">
        <f>'[1]Customers'!$AZ$15</f>
        <v>1491.1666666666667</v>
      </c>
      <c r="G8" s="357">
        <f>'[1]Customers'!$BI$15</f>
        <v>1553.6666666666667</v>
      </c>
      <c r="H8" s="357">
        <f>'[1]Customers'!$G$47</f>
        <v>1543.6910838752199</v>
      </c>
      <c r="I8" s="358">
        <f>'[1]Customers'!$P$47</f>
        <v>1552.2130766767457</v>
      </c>
      <c r="K8" s="16"/>
      <c r="L8" s="16"/>
      <c r="M8" s="16"/>
      <c r="N8" s="16"/>
      <c r="O8" s="16"/>
      <c r="P8" s="16"/>
    </row>
    <row r="9" spans="1:16" ht="15" customHeight="1">
      <c r="A9" s="59"/>
      <c r="B9" s="57" t="s">
        <v>17</v>
      </c>
      <c r="C9" s="362">
        <f>'[1]KW'!$O$16</f>
        <v>2901457</v>
      </c>
      <c r="D9" s="362">
        <f>'[1]KW'!$U$16</f>
        <v>2962866</v>
      </c>
      <c r="E9" s="362">
        <f>'[1]KW'!$AA$16</f>
        <v>3039974</v>
      </c>
      <c r="F9" s="362">
        <f>'[1]KW'!$AG$16</f>
        <v>3064109</v>
      </c>
      <c r="G9" s="362">
        <f>'[1]KW'!$AM$16</f>
        <v>3049119</v>
      </c>
      <c r="H9" s="362">
        <f>'[1]KW'!$AS$16</f>
        <v>3008017.2379130363</v>
      </c>
      <c r="I9" s="363">
        <f>'[1]KW'!$AY$16</f>
        <v>3079920</v>
      </c>
      <c r="K9" s="16"/>
      <c r="L9" s="16"/>
      <c r="M9" s="16"/>
      <c r="N9" s="16"/>
      <c r="O9" s="16"/>
      <c r="P9" s="16"/>
    </row>
    <row r="10" spans="1:9" ht="15" customHeight="1" thickBot="1">
      <c r="A10" s="60"/>
      <c r="B10" s="61" t="s">
        <v>16</v>
      </c>
      <c r="C10" s="359">
        <f>'[1]kWh'!$Y$79</f>
        <v>1083191856</v>
      </c>
      <c r="D10" s="359">
        <f>'[1]kWh'!$AH$79</f>
        <v>1080817873.5867229</v>
      </c>
      <c r="E10" s="359">
        <f>'[1]kWh'!$AQ$79</f>
        <v>1109791373.6344707</v>
      </c>
      <c r="F10" s="359">
        <f>'[1]kWh'!$AZ$79</f>
        <v>1116951693.2864387</v>
      </c>
      <c r="G10" s="359">
        <f>'[1]kWh'!$BI$79</f>
        <v>1081007720</v>
      </c>
      <c r="H10" s="359">
        <f>'[1]kWh'!$BR$79</f>
        <v>1097553563.9581668</v>
      </c>
      <c r="I10" s="361">
        <f>'[1]kWh'!$CA$79</f>
        <v>1123789074</v>
      </c>
    </row>
    <row r="11" spans="1:9" ht="15" customHeight="1">
      <c r="A11" s="127" t="s">
        <v>219</v>
      </c>
      <c r="B11" s="58" t="s">
        <v>152</v>
      </c>
      <c r="C11" s="356">
        <f>'[1]Customers'!$Z$15</f>
        <v>120.5</v>
      </c>
      <c r="D11" s="357">
        <f>'[1]Customers'!$AI$15</f>
        <v>118.66666666666667</v>
      </c>
      <c r="E11" s="357">
        <f>'[1]Customers'!$AR$15</f>
        <v>116.83333333333333</v>
      </c>
      <c r="F11" s="357">
        <f>'[1]Customers'!$BA$15</f>
        <v>115.66666666666667</v>
      </c>
      <c r="G11" s="357">
        <f>'[1]Customers'!$BJ$15</f>
        <v>113.91666666666667</v>
      </c>
      <c r="H11" s="357">
        <f>'[1]Customers'!$H$47</f>
        <v>110.29141195348073</v>
      </c>
      <c r="I11" s="358">
        <f>'[1]Customers'!$Q$47</f>
        <v>105.9532852783358</v>
      </c>
    </row>
    <row r="12" spans="1:9" ht="15" customHeight="1">
      <c r="A12" s="59"/>
      <c r="B12" s="57" t="s">
        <v>17</v>
      </c>
      <c r="C12" s="362">
        <f>'[1]KW'!$P$16</f>
        <v>2167872</v>
      </c>
      <c r="D12" s="362">
        <f>'[1]KW'!$V$16</f>
        <v>2137488</v>
      </c>
      <c r="E12" s="362">
        <f>'[1]KW'!$AB$16</f>
        <v>2106615</v>
      </c>
      <c r="F12" s="362">
        <f>'[1]KW'!$AH$16</f>
        <v>1976551</v>
      </c>
      <c r="G12" s="362">
        <f>'[1]KW'!$AN$16</f>
        <v>1839970</v>
      </c>
      <c r="H12" s="362">
        <f>'[1]KW'!$AT$16</f>
        <v>1844198.136368158</v>
      </c>
      <c r="I12" s="363">
        <f>'[1]KW'!$AZ$16</f>
        <v>1879169</v>
      </c>
    </row>
    <row r="13" spans="1:9" ht="15" customHeight="1" thickBot="1">
      <c r="A13" s="60"/>
      <c r="B13" s="61" t="s">
        <v>16</v>
      </c>
      <c r="C13" s="359">
        <f>'[1]kWh'!$Z$79</f>
        <v>954061083</v>
      </c>
      <c r="D13" s="359">
        <f>'[1]kWh'!$AI$79</f>
        <v>950418593.1900728</v>
      </c>
      <c r="E13" s="359">
        <f>'[1]kWh'!$AR$79</f>
        <v>942048351.1472753</v>
      </c>
      <c r="F13" s="359">
        <f>'[1]kWh'!$BA$79</f>
        <v>872587042.1161599</v>
      </c>
      <c r="G13" s="359">
        <f>'[1]kWh'!$BJ$79</f>
        <v>788185444</v>
      </c>
      <c r="H13" s="359">
        <f>'[1]kWh'!$BS$79</f>
        <v>816592993.5144728</v>
      </c>
      <c r="I13" s="361">
        <f>'[1]kWh'!$CB$79</f>
        <v>832077628</v>
      </c>
    </row>
    <row r="14" spans="1:16" ht="15" customHeight="1">
      <c r="A14" s="127" t="s">
        <v>186</v>
      </c>
      <c r="B14" s="58" t="s">
        <v>152</v>
      </c>
      <c r="C14" s="356">
        <f>'[1]Customers'!$AA$15</f>
        <v>3</v>
      </c>
      <c r="D14" s="357">
        <f>'[1]Customers'!$AJ$15</f>
        <v>3.9166666666666665</v>
      </c>
      <c r="E14" s="357">
        <f>'[1]Customers'!$AS$15</f>
        <v>4.916666666666667</v>
      </c>
      <c r="F14" s="357">
        <f>'[1]Customers'!$BB$15</f>
        <v>6</v>
      </c>
      <c r="G14" s="357">
        <f>'[1]Customers'!$BK$15</f>
        <v>6</v>
      </c>
      <c r="H14" s="357">
        <f>'[1]Customers'!$I$47</f>
        <v>6</v>
      </c>
      <c r="I14" s="358">
        <f>'[1]Customers'!$R$47</f>
        <v>6</v>
      </c>
      <c r="K14" s="16"/>
      <c r="L14" s="16"/>
      <c r="M14" s="16"/>
      <c r="N14" s="16"/>
      <c r="O14" s="16"/>
      <c r="P14" s="16"/>
    </row>
    <row r="15" spans="1:16" ht="15" customHeight="1">
      <c r="A15" s="59"/>
      <c r="B15" s="57" t="s">
        <v>17</v>
      </c>
      <c r="C15" s="362">
        <f>'[1]KW'!$Q$16</f>
        <v>515785</v>
      </c>
      <c r="D15" s="362">
        <f>'[1]KW'!$W$16</f>
        <v>589471</v>
      </c>
      <c r="E15" s="362">
        <f>'[1]KW'!$AC$16</f>
        <v>639861</v>
      </c>
      <c r="F15" s="362">
        <f>'[1]KW'!$AI$16</f>
        <v>712935</v>
      </c>
      <c r="G15" s="362">
        <f>'[1]KW'!$AO$16</f>
        <v>696851</v>
      </c>
      <c r="H15" s="362">
        <f>'[1]KW'!$AU$16</f>
        <v>664898.687305483</v>
      </c>
      <c r="I15" s="363">
        <f>'[1]KW'!$BA$16</f>
        <v>697451</v>
      </c>
      <c r="K15" s="16"/>
      <c r="L15" s="16"/>
      <c r="M15" s="16"/>
      <c r="N15" s="16"/>
      <c r="O15" s="16"/>
      <c r="P15" s="16"/>
    </row>
    <row r="16" spans="1:9" ht="15" customHeight="1" thickBot="1">
      <c r="A16" s="60"/>
      <c r="B16" s="61" t="s">
        <v>16</v>
      </c>
      <c r="C16" s="359">
        <f>'[1]kWh'!$AA$79</f>
        <v>304422360</v>
      </c>
      <c r="D16" s="359">
        <f>'[1]kWh'!$AJ$79</f>
        <v>334087721.73003125</v>
      </c>
      <c r="E16" s="359">
        <f>'[1]kWh'!$AS$79</f>
        <v>355306259.56106627</v>
      </c>
      <c r="F16" s="359">
        <f>'[1]kWh'!$BB$79</f>
        <v>388700963.20286673</v>
      </c>
      <c r="G16" s="359">
        <f>'[1]kWh'!$BK$79</f>
        <v>342523390</v>
      </c>
      <c r="H16" s="359">
        <f>'[1]kWh'!$BT$79</f>
        <v>365387028.7308235</v>
      </c>
      <c r="I16" s="361">
        <f>'[1]kWh'!$CC$79</f>
        <v>383275616</v>
      </c>
    </row>
    <row r="17" spans="1:9" ht="15" customHeight="1">
      <c r="A17" s="127" t="s">
        <v>187</v>
      </c>
      <c r="B17" s="58" t="s">
        <v>153</v>
      </c>
      <c r="C17" s="356">
        <f>'[1]Customers'!$AB$15</f>
        <v>32938.02151158248</v>
      </c>
      <c r="D17" s="357">
        <f>'[1]Customers'!$AK$15</f>
        <v>34321.07884283633</v>
      </c>
      <c r="E17" s="357">
        <f>'[1]Customers'!$AT$15</f>
        <v>35762.47657845333</v>
      </c>
      <c r="F17" s="357">
        <f>'[1]Customers'!$BC$15</f>
        <v>37264.5405222961</v>
      </c>
      <c r="G17" s="357">
        <f>'[1]Customers'!$BL$15</f>
        <v>38829.21003807814</v>
      </c>
      <c r="H17" s="357">
        <f>'[1]Customers'!$J$47</f>
        <v>40459.427703839814</v>
      </c>
      <c r="I17" s="358">
        <f>'[1]Customers'!$S$47</f>
        <v>42158.23199435812</v>
      </c>
    </row>
    <row r="18" spans="1:9" ht="15" customHeight="1">
      <c r="A18" s="59"/>
      <c r="B18" s="57" t="s">
        <v>17</v>
      </c>
      <c r="C18" s="362">
        <f>'[1]KW'!$R$16</f>
        <v>65522</v>
      </c>
      <c r="D18" s="362">
        <f>'[1]KW'!$X$16</f>
        <v>70150</v>
      </c>
      <c r="E18" s="362">
        <f>'[1]KW'!$AD$16</f>
        <v>76385</v>
      </c>
      <c r="F18" s="362">
        <f>'[1]KW'!$AJ$16</f>
        <v>79929</v>
      </c>
      <c r="G18" s="362">
        <f>'[1]KW'!$AP$16</f>
        <v>81921</v>
      </c>
      <c r="H18" s="362">
        <f>'[1]KW'!$AV$16</f>
        <v>84877.64649331334</v>
      </c>
      <c r="I18" s="363">
        <f>'[1]KW'!$BB$16</f>
        <v>88637</v>
      </c>
    </row>
    <row r="19" spans="1:9" ht="15" customHeight="1" thickBot="1">
      <c r="A19" s="60"/>
      <c r="B19" s="61" t="s">
        <v>16</v>
      </c>
      <c r="C19" s="359">
        <f>'[1]kWh'!$AB$79</f>
        <v>21908421</v>
      </c>
      <c r="D19" s="359">
        <f>'[1]kWh'!$AK$79</f>
        <v>23791244.91483907</v>
      </c>
      <c r="E19" s="359">
        <f>'[1]kWh'!$AT$79</f>
        <v>25786193.119400337</v>
      </c>
      <c r="F19" s="359">
        <f>'[1]kWh'!$BC$79</f>
        <v>26793083.865717456</v>
      </c>
      <c r="G19" s="359">
        <f>'[1]kWh'!$BL$79</f>
        <v>27343426</v>
      </c>
      <c r="H19" s="359">
        <f>'[1]kWh'!$BU$79</f>
        <v>28517119.953197297</v>
      </c>
      <c r="I19" s="361">
        <f>'[1]kWh'!$CD$79</f>
        <v>29780031</v>
      </c>
    </row>
    <row r="20" spans="1:9" ht="15" customHeight="1">
      <c r="A20" s="311" t="s">
        <v>212</v>
      </c>
      <c r="B20" s="58" t="s">
        <v>152</v>
      </c>
      <c r="C20" s="356">
        <f>+'[1]USL Customers'!$B$16</f>
        <v>72.25</v>
      </c>
      <c r="D20" s="357">
        <f>+'[1]USL Customers'!$C$16</f>
        <v>71.91666666666667</v>
      </c>
      <c r="E20" s="357">
        <f>+'[1]USL Customers'!$D$16</f>
        <v>69.66666666666667</v>
      </c>
      <c r="F20" s="357">
        <f>+'[1]USL Customers'!$E$16</f>
        <v>67</v>
      </c>
      <c r="G20" s="357">
        <f>+'[1]USL Customers'!$F$16</f>
        <v>66.16666666666667</v>
      </c>
      <c r="H20" s="357">
        <f>+'[1]USL Customers'!$G$16</f>
        <v>62.5</v>
      </c>
      <c r="I20" s="358">
        <f>+'[1]USL Customers'!$H$16</f>
        <v>62</v>
      </c>
    </row>
    <row r="21" spans="1:9" ht="15" customHeight="1">
      <c r="A21" s="313"/>
      <c r="B21" s="57" t="s">
        <v>153</v>
      </c>
      <c r="C21" s="362">
        <f>'[1]Customers'!$W$15</f>
        <v>1159</v>
      </c>
      <c r="D21" s="364">
        <f>'[1]Customers'!$AF$15</f>
        <v>1207</v>
      </c>
      <c r="E21" s="364">
        <f>'[1]Customers'!$AO$15</f>
        <v>1250</v>
      </c>
      <c r="F21" s="364">
        <f>'[1]Customers'!$AX$15</f>
        <v>1267</v>
      </c>
      <c r="G21" s="364">
        <f>'[1]Customers'!$BG$15</f>
        <v>1280</v>
      </c>
      <c r="H21" s="364">
        <f>'[1]Customers'!$E$47</f>
        <v>1287.1362723368832</v>
      </c>
      <c r="I21" s="363">
        <f>'[1]Customers'!$N$47</f>
        <v>1300.4051714878062</v>
      </c>
    </row>
    <row r="22" spans="1:9" ht="15" customHeight="1" thickBot="1">
      <c r="A22" s="312"/>
      <c r="B22" s="61" t="s">
        <v>16</v>
      </c>
      <c r="C22" s="359">
        <f>'[1]kWh'!$W$79</f>
        <v>5528171.108536116</v>
      </c>
      <c r="D22" s="359">
        <f>'[1]kWh'!$AF$79</f>
        <v>5294846.640991666</v>
      </c>
      <c r="E22" s="359">
        <f>'[1]kWh'!$AO$79</f>
        <v>5047284.347783278</v>
      </c>
      <c r="F22" s="359">
        <f>'[1]kWh'!$AX$79</f>
        <v>5109078.339598986</v>
      </c>
      <c r="G22" s="359">
        <f>'[1]kWh'!$BG$79</f>
        <v>5104984.550019313</v>
      </c>
      <c r="H22" s="359">
        <f>'[1]kWh'!$BP$79</f>
        <v>5013040.354278895</v>
      </c>
      <c r="I22" s="361">
        <f>'[1]kWh'!$BY$79</f>
        <v>4899876</v>
      </c>
    </row>
    <row r="23" spans="1:9" ht="15" customHeight="1">
      <c r="A23" s="127"/>
      <c r="B23" s="58"/>
      <c r="C23" s="356"/>
      <c r="D23" s="357"/>
      <c r="E23" s="357"/>
      <c r="F23" s="357"/>
      <c r="G23" s="357"/>
      <c r="H23" s="357"/>
      <c r="I23" s="358"/>
    </row>
    <row r="24" spans="1:9" ht="15" customHeight="1" thickBot="1">
      <c r="A24" s="60"/>
      <c r="B24" s="61"/>
      <c r="C24" s="359"/>
      <c r="D24" s="360"/>
      <c r="E24" s="360"/>
      <c r="F24" s="360"/>
      <c r="G24" s="360"/>
      <c r="H24" s="360"/>
      <c r="I24" s="361"/>
    </row>
    <row r="25" spans="1:10" ht="12.75">
      <c r="A25" s="127"/>
      <c r="B25" s="58"/>
      <c r="C25" s="356"/>
      <c r="D25" s="357"/>
      <c r="E25" s="357"/>
      <c r="F25" s="357"/>
      <c r="G25" s="357"/>
      <c r="H25" s="357"/>
      <c r="I25" s="358"/>
      <c r="J25" s="3"/>
    </row>
    <row r="26" spans="1:9" ht="13.5" thickBot="1">
      <c r="A26" s="60"/>
      <c r="B26" s="61"/>
      <c r="C26" s="359"/>
      <c r="D26" s="360"/>
      <c r="E26" s="360"/>
      <c r="F26" s="360"/>
      <c r="G26" s="360"/>
      <c r="H26" s="360"/>
      <c r="I26" s="361"/>
    </row>
    <row r="27" spans="1:9" ht="15" customHeight="1">
      <c r="A27" s="127"/>
      <c r="B27" s="58"/>
      <c r="C27" s="356"/>
      <c r="D27" s="357"/>
      <c r="E27" s="357"/>
      <c r="F27" s="357"/>
      <c r="G27" s="357"/>
      <c r="H27" s="357"/>
      <c r="I27" s="358"/>
    </row>
    <row r="28" spans="1:9" ht="15" customHeight="1" thickBot="1">
      <c r="A28" s="60"/>
      <c r="B28" s="61"/>
      <c r="C28" s="359"/>
      <c r="D28" s="360"/>
      <c r="E28" s="360"/>
      <c r="F28" s="360"/>
      <c r="G28" s="360"/>
      <c r="H28" s="360"/>
      <c r="I28" s="361"/>
    </row>
    <row r="29" ht="12.75">
      <c r="K29" s="3"/>
    </row>
    <row r="30" spans="9:10" ht="12.75">
      <c r="I30" s="22"/>
      <c r="J30" s="22"/>
    </row>
    <row r="31" spans="9:10" ht="12.75">
      <c r="I31" s="22"/>
      <c r="J31" s="22"/>
    </row>
    <row r="32" spans="9:10" ht="12.75">
      <c r="I32" s="22"/>
      <c r="J32" s="22"/>
    </row>
  </sheetData>
  <sheetProtection/>
  <mergeCells count="2">
    <mergeCell ref="C2:I2"/>
    <mergeCell ref="A1:I1"/>
  </mergeCells>
  <printOptions/>
  <pageMargins left="0.7480314960629921" right="0.7480314960629921" top="0.984251968503937" bottom="0.984251968503937" header="0.5118110236220472" footer="0.5118110236220472"/>
  <pageSetup fitToHeight="1" fitToWidth="1" horizontalDpi="355" verticalDpi="355" orientation="landscape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5"/>
  <sheetViews>
    <sheetView showGridLines="0" zoomScalePageLayoutView="0" workbookViewId="0" topLeftCell="A1">
      <selection activeCell="D67" sqref="D67"/>
    </sheetView>
  </sheetViews>
  <sheetFormatPr defaultColWidth="9.28125" defaultRowHeight="12.75"/>
  <cols>
    <col min="1" max="1" width="32.7109375" style="0" bestFit="1" customWidth="1"/>
    <col min="2" max="2" width="16.421875" style="0" customWidth="1"/>
    <col min="3" max="3" width="15.140625" style="0" customWidth="1"/>
    <col min="4" max="4" width="16.421875" style="0" customWidth="1"/>
    <col min="5" max="5" width="13.421875" style="0" bestFit="1" customWidth="1"/>
  </cols>
  <sheetData>
    <row r="1" spans="1:5" ht="12.75">
      <c r="A1" s="565"/>
      <c r="B1" s="565"/>
      <c r="C1" s="565"/>
      <c r="D1" s="565"/>
      <c r="E1" s="565"/>
    </row>
    <row r="2" spans="1:5" s="8" customFormat="1" ht="48.75" customHeight="1">
      <c r="A2" s="573" t="s">
        <v>199</v>
      </c>
      <c r="B2" s="573"/>
      <c r="C2" s="573"/>
      <c r="D2" s="573"/>
      <c r="E2" s="573"/>
    </row>
    <row r="3" spans="1:5" s="8" customFormat="1" ht="13.5" thickBot="1">
      <c r="A3" s="575"/>
      <c r="B3" s="575"/>
      <c r="C3" s="575"/>
      <c r="D3" s="575"/>
      <c r="E3" s="575"/>
    </row>
    <row r="4" spans="1:5" ht="13.5" thickBot="1">
      <c r="A4" s="281" t="s">
        <v>0</v>
      </c>
      <c r="B4" s="282" t="s">
        <v>25</v>
      </c>
      <c r="C4" s="282" t="s">
        <v>26</v>
      </c>
      <c r="D4" s="282" t="s">
        <v>17</v>
      </c>
      <c r="E4" s="283" t="s">
        <v>16</v>
      </c>
    </row>
    <row r="5" spans="1:9" ht="12.75">
      <c r="A5" s="128" t="str">
        <f>IF(+'Forecast Data For 2011'!A4=0," ",+'Forecast Data For 2011'!A4)</f>
        <v>Residential</v>
      </c>
      <c r="B5" s="302"/>
      <c r="C5" s="303">
        <f>'[1]Rates Schedule'!$G$6+0.12</f>
        <v>10.6</v>
      </c>
      <c r="D5" s="307"/>
      <c r="E5" s="304">
        <f>'[1]Rates Schedule'!$G$5</f>
        <v>0.0154</v>
      </c>
      <c r="F5" s="47"/>
      <c r="G5" s="8"/>
      <c r="H5" s="8"/>
      <c r="I5" s="8"/>
    </row>
    <row r="6" spans="1:9" ht="12.75">
      <c r="A6" s="128" t="str">
        <f>IF(+'Forecast Data For 2011'!A6=0," ",+'Forecast Data For 2011'!A6)</f>
        <v>GS &lt; 50 kW</v>
      </c>
      <c r="B6" s="302"/>
      <c r="C6" s="303">
        <f>'[1]Rates Schedule'!$G$9+0.12</f>
        <v>20.27</v>
      </c>
      <c r="D6" s="307"/>
      <c r="E6" s="304">
        <f>'[1]Rates Schedule'!$G$8</f>
        <v>0.0178</v>
      </c>
      <c r="F6" s="8"/>
      <c r="G6" s="8"/>
      <c r="H6" s="8"/>
      <c r="I6" s="8"/>
    </row>
    <row r="7" spans="1:9" ht="12.75">
      <c r="A7" s="128" t="str">
        <f>IF(+'Forecast Data For 2011'!A8=0," ",+'Forecast Data For 2011'!A8)</f>
        <v>GS &gt;50 kW - Regular</v>
      </c>
      <c r="B7" s="302"/>
      <c r="C7" s="303">
        <f>'[1]Rates Schedule'!$G$13+0.12</f>
        <v>101.68</v>
      </c>
      <c r="D7" s="302">
        <f>'[1]Rates Schedule'!$G$11</f>
        <v>2.2935</v>
      </c>
      <c r="E7" s="304"/>
      <c r="F7" s="8"/>
      <c r="G7" s="8"/>
      <c r="H7" s="8"/>
      <c r="I7" s="8"/>
    </row>
    <row r="8" spans="1:9" ht="12.75">
      <c r="A8" s="128" t="str">
        <f>IF(+'Forecast Data For 2011'!A11=0," ",+'Forecast Data For 2011'!A11)</f>
        <v>GS &gt; 50 kW - Intermediate</v>
      </c>
      <c r="B8" s="302"/>
      <c r="C8" s="303">
        <f>'[1]Rates Schedule'!$G$17+0.12</f>
        <v>1410.45</v>
      </c>
      <c r="D8" s="302">
        <f>'[1]Rates Schedule'!$G$15</f>
        <v>3.7355</v>
      </c>
      <c r="E8" s="304"/>
      <c r="F8" s="374"/>
      <c r="G8" s="8"/>
      <c r="H8" s="8"/>
      <c r="I8" s="8"/>
    </row>
    <row r="9" spans="1:9" ht="12.75">
      <c r="A9" s="128" t="str">
        <f>IF(+'Forecast Data For 2011'!A14=0," ",+'Forecast Data For 2011'!A14)</f>
        <v>Large Use</v>
      </c>
      <c r="B9" s="302"/>
      <c r="C9" s="303">
        <f>'[1]Rates Schedule'!$G$21+0.12</f>
        <v>4722.33</v>
      </c>
      <c r="D9" s="302">
        <f>'[1]Rates Schedule'!$G$19</f>
        <v>2.9023</v>
      </c>
      <c r="E9" s="304"/>
      <c r="F9" s="374"/>
      <c r="G9" s="8"/>
      <c r="H9" s="8"/>
      <c r="I9" s="8"/>
    </row>
    <row r="10" spans="1:9" ht="12.75">
      <c r="A10" s="128" t="str">
        <f>IF(+'Forecast Data For 2011'!A17=0," ",+'Forecast Data For 2011'!A17)</f>
        <v>Street Lighting</v>
      </c>
      <c r="B10" s="307">
        <f>'[1]Rates Schedule'!$G$32</f>
        <v>0</v>
      </c>
      <c r="C10" s="303"/>
      <c r="D10" s="302">
        <f>'[1]Rates Schedule'!$G$30</f>
        <v>2.2046</v>
      </c>
      <c r="E10" s="304"/>
      <c r="F10" s="374"/>
      <c r="G10" s="8"/>
      <c r="H10" s="8"/>
      <c r="I10" s="8"/>
    </row>
    <row r="11" spans="1:9" ht="12.75">
      <c r="A11" s="128" t="str">
        <f>IF(+'Forecast Data For 2011'!A20=0," ",+'Forecast Data For 2011'!A20)</f>
        <v>Unmetered Scattered Load</v>
      </c>
      <c r="B11" s="307"/>
      <c r="C11" s="303">
        <f>'[1]Rates Schedule'!$G$24</f>
        <v>20.15</v>
      </c>
      <c r="D11" s="302"/>
      <c r="E11" s="304">
        <f>'[1]Rates Schedule'!$G$23</f>
        <v>0.0178</v>
      </c>
      <c r="F11" s="374"/>
      <c r="G11" s="8"/>
      <c r="H11" s="8"/>
      <c r="I11" s="8"/>
    </row>
    <row r="12" spans="1:9" ht="12.75">
      <c r="A12" s="448" t="str">
        <f>IF(+'Forecast Data For 2011'!$A$23=0," ",+'Forecast Data For 2011'!$A$23)</f>
        <v> </v>
      </c>
      <c r="B12" s="303"/>
      <c r="C12" s="307"/>
      <c r="D12" s="302"/>
      <c r="E12" s="304"/>
      <c r="F12" s="8"/>
      <c r="G12" s="8"/>
      <c r="H12" s="8"/>
      <c r="I12" s="8"/>
    </row>
    <row r="13" spans="1:5" ht="12.75">
      <c r="A13" s="448" t="str">
        <f>IF(+'Forecast Data For 2011'!$A$25=0," ",+'Forecast Data For 2011'!$A$25)</f>
        <v> </v>
      </c>
      <c r="B13" s="303"/>
      <c r="C13" s="307"/>
      <c r="D13" s="302"/>
      <c r="E13" s="304"/>
    </row>
    <row r="14" spans="1:9" ht="12.75">
      <c r="A14" s="128" t="str">
        <f>IF(+'Forecast Data For 2011'!$A$27=0," ",+'Forecast Data For 2011'!$A$27)</f>
        <v> </v>
      </c>
      <c r="B14" s="302"/>
      <c r="C14" s="307"/>
      <c r="D14" s="302"/>
      <c r="E14" s="304"/>
      <c r="F14" s="8"/>
      <c r="G14" s="8"/>
      <c r="H14" s="8"/>
      <c r="I14" s="8"/>
    </row>
    <row r="15" spans="1:9" ht="13.5" thickBot="1">
      <c r="A15" s="131" t="s">
        <v>6</v>
      </c>
      <c r="B15" s="305"/>
      <c r="C15" s="308"/>
      <c r="D15" s="305">
        <v>-0.6</v>
      </c>
      <c r="E15" s="306"/>
      <c r="F15" s="8"/>
      <c r="G15" s="8"/>
      <c r="H15" s="8"/>
      <c r="I15" s="8"/>
    </row>
    <row r="16" spans="1:5" s="8" customFormat="1" ht="12.75">
      <c r="A16" s="576"/>
      <c r="B16" s="576"/>
      <c r="C16" s="576"/>
      <c r="D16" s="576"/>
      <c r="E16" s="576"/>
    </row>
    <row r="17" spans="1:5" s="8" customFormat="1" ht="18">
      <c r="A17" s="566" t="s">
        <v>237</v>
      </c>
      <c r="B17" s="566"/>
      <c r="C17" s="566"/>
      <c r="D17" s="566"/>
      <c r="E17" s="566"/>
    </row>
    <row r="18" spans="1:5" s="8" customFormat="1" ht="13.5" thickBot="1">
      <c r="A18" s="565"/>
      <c r="B18" s="565"/>
      <c r="C18" s="565"/>
      <c r="D18" s="565"/>
      <c r="E18" s="565"/>
    </row>
    <row r="19" spans="1:9" ht="51.75" customHeight="1" thickBot="1">
      <c r="A19" s="281" t="s">
        <v>0</v>
      </c>
      <c r="B19" s="567" t="s">
        <v>233</v>
      </c>
      <c r="C19" s="567"/>
      <c r="D19" s="567" t="s">
        <v>234</v>
      </c>
      <c r="E19" s="574"/>
      <c r="F19" s="8"/>
      <c r="G19" s="8"/>
      <c r="H19" s="8"/>
      <c r="I19" s="8"/>
    </row>
    <row r="20" spans="1:5" ht="12.75">
      <c r="A20" s="128" t="str">
        <f>A5</f>
        <v>Residential</v>
      </c>
      <c r="B20" s="560">
        <v>-0.002</v>
      </c>
      <c r="C20" s="560"/>
      <c r="D20" s="560"/>
      <c r="E20" s="561"/>
    </row>
    <row r="21" spans="1:5" ht="12.75">
      <c r="A21" s="128" t="str">
        <f>A6</f>
        <v>GS &lt; 50 kW</v>
      </c>
      <c r="B21" s="560">
        <v>-0.002</v>
      </c>
      <c r="C21" s="560"/>
      <c r="D21" s="560"/>
      <c r="E21" s="561"/>
    </row>
    <row r="22" spans="1:5" ht="12.75">
      <c r="A22" s="128" t="str">
        <f>A7</f>
        <v>GS &gt;50 kW - Regular</v>
      </c>
      <c r="B22" s="572"/>
      <c r="C22" s="572"/>
      <c r="D22" s="560">
        <v>-0.7321</v>
      </c>
      <c r="E22" s="562"/>
    </row>
    <row r="23" spans="1:5" ht="12.75">
      <c r="A23" s="128" t="str">
        <f>A8</f>
        <v>GS &gt; 50 kW - Intermediate</v>
      </c>
      <c r="B23" s="572"/>
      <c r="C23" s="572"/>
      <c r="D23" s="560">
        <v>-0.8881</v>
      </c>
      <c r="E23" s="562"/>
    </row>
    <row r="24" spans="1:5" ht="12.75">
      <c r="A24" s="128" t="str">
        <f>A9</f>
        <v>Large Use</v>
      </c>
      <c r="B24" s="560"/>
      <c r="C24" s="560"/>
      <c r="D24" s="560">
        <v>-1.0611</v>
      </c>
      <c r="E24" s="562"/>
    </row>
    <row r="25" spans="1:5" ht="12.75">
      <c r="A25" s="128" t="str">
        <f>A10</f>
        <v>Street Lighting</v>
      </c>
      <c r="B25" s="572"/>
      <c r="C25" s="572"/>
      <c r="D25" s="560">
        <v>-0.6678</v>
      </c>
      <c r="E25" s="562"/>
    </row>
    <row r="26" spans="1:5" ht="12.75">
      <c r="A26" s="128" t="str">
        <f>A11</f>
        <v>Unmetered Scattered Load</v>
      </c>
      <c r="B26" s="560">
        <v>-0.002</v>
      </c>
      <c r="C26" s="560"/>
      <c r="D26" s="560"/>
      <c r="E26" s="562"/>
    </row>
    <row r="27" spans="1:5" ht="12.75">
      <c r="A27" s="448" t="str">
        <f>IF(+'Forecast Data For 2011'!$A$23=0," ",+'Forecast Data For 2011'!$A$23)</f>
        <v> </v>
      </c>
      <c r="B27" s="560"/>
      <c r="C27" s="560"/>
      <c r="D27" s="560"/>
      <c r="E27" s="561"/>
    </row>
    <row r="28" spans="1:5" ht="12.75">
      <c r="A28" s="128" t="str">
        <f>IF(+'Forecast Data For 2011'!$A$25=0," ",+'Forecast Data For 2011'!$A$25)</f>
        <v> </v>
      </c>
      <c r="B28" s="560"/>
      <c r="C28" s="560"/>
      <c r="D28" s="560"/>
      <c r="E28" s="561"/>
    </row>
    <row r="29" spans="1:5" ht="13.5" thickBot="1">
      <c r="A29" s="131" t="str">
        <f>IF(+'Forecast Data For 2011'!$A$27=0," ",+'Forecast Data For 2011'!$A$27)</f>
        <v> </v>
      </c>
      <c r="B29" s="580"/>
      <c r="C29" s="580"/>
      <c r="D29" s="580"/>
      <c r="E29" s="581"/>
    </row>
    <row r="30" spans="1:5" ht="12.75">
      <c r="A30" s="54"/>
      <c r="B30" s="54"/>
      <c r="C30" s="54"/>
      <c r="D30" s="54"/>
      <c r="E30" s="54"/>
    </row>
    <row r="31" spans="1:5" ht="18">
      <c r="A31" s="566" t="s">
        <v>229</v>
      </c>
      <c r="B31" s="566"/>
      <c r="C31" s="566"/>
      <c r="D31" s="566"/>
      <c r="E31" s="566"/>
    </row>
    <row r="32" spans="1:5" ht="13.5" thickBot="1">
      <c r="A32" s="565"/>
      <c r="B32" s="565"/>
      <c r="C32" s="565"/>
      <c r="D32" s="565"/>
      <c r="E32" s="565"/>
    </row>
    <row r="33" spans="1:5" ht="44.25" customHeight="1" thickBot="1">
      <c r="A33" s="281" t="s">
        <v>0</v>
      </c>
      <c r="B33" s="567" t="s">
        <v>46</v>
      </c>
      <c r="C33" s="567"/>
      <c r="D33" s="567" t="s">
        <v>47</v>
      </c>
      <c r="E33" s="574"/>
    </row>
    <row r="34" spans="1:5" ht="12.75">
      <c r="A34" s="128" t="str">
        <f>A20</f>
        <v>Residential</v>
      </c>
      <c r="B34" s="560">
        <v>0.0013</v>
      </c>
      <c r="C34" s="560"/>
      <c r="D34" s="560"/>
      <c r="E34" s="561"/>
    </row>
    <row r="35" spans="1:5" ht="12.75">
      <c r="A35" s="128" t="str">
        <f aca="true" t="shared" si="0" ref="A35:A40">A21</f>
        <v>GS &lt; 50 kW</v>
      </c>
      <c r="B35" s="560">
        <v>0.0013</v>
      </c>
      <c r="C35" s="560"/>
      <c r="D35" s="560"/>
      <c r="E35" s="561"/>
    </row>
    <row r="36" spans="1:5" ht="12.75">
      <c r="A36" s="128" t="str">
        <f t="shared" si="0"/>
        <v>GS &gt;50 kW - Regular</v>
      </c>
      <c r="B36" s="572"/>
      <c r="C36" s="572"/>
      <c r="D36" s="560">
        <v>0.4861</v>
      </c>
      <c r="E36" s="562"/>
    </row>
    <row r="37" spans="1:5" ht="12.75">
      <c r="A37" s="128" t="str">
        <f t="shared" si="0"/>
        <v>GS &gt; 50 kW - Intermediate</v>
      </c>
      <c r="B37" s="572"/>
      <c r="C37" s="572"/>
      <c r="D37" s="560">
        <v>0.5881</v>
      </c>
      <c r="E37" s="562"/>
    </row>
    <row r="38" spans="1:5" ht="12.75">
      <c r="A38" s="128" t="str">
        <f t="shared" si="0"/>
        <v>Large Use</v>
      </c>
      <c r="B38" s="560"/>
      <c r="C38" s="560"/>
      <c r="D38" s="560">
        <v>0.7109</v>
      </c>
      <c r="E38" s="562"/>
    </row>
    <row r="39" spans="1:5" ht="12.75">
      <c r="A39" s="128" t="str">
        <f t="shared" si="0"/>
        <v>Street Lighting</v>
      </c>
      <c r="B39" s="572"/>
      <c r="C39" s="572"/>
      <c r="D39" s="560">
        <v>0.4461</v>
      </c>
      <c r="E39" s="562"/>
    </row>
    <row r="40" spans="1:5" ht="12.75">
      <c r="A40" s="128" t="str">
        <f t="shared" si="0"/>
        <v>Unmetered Scattered Load</v>
      </c>
      <c r="B40" s="572">
        <v>0.0013</v>
      </c>
      <c r="C40" s="572"/>
      <c r="D40" s="560"/>
      <c r="E40" s="562"/>
    </row>
    <row r="41" spans="1:5" ht="12.75">
      <c r="A41" s="448" t="str">
        <f>IF(+'Forecast Data For 2011'!$A$23=0," ",+'Forecast Data For 2011'!$A$23)</f>
        <v> </v>
      </c>
      <c r="B41" s="560"/>
      <c r="C41" s="560"/>
      <c r="D41" s="560"/>
      <c r="E41" s="561"/>
    </row>
    <row r="42" spans="1:5" ht="12.75">
      <c r="A42" s="128" t="str">
        <f>IF(+'Forecast Data For 2011'!$A$25=0," ",+'Forecast Data For 2011'!$A$25)</f>
        <v> </v>
      </c>
      <c r="B42" s="560"/>
      <c r="C42" s="560"/>
      <c r="D42" s="560"/>
      <c r="E42" s="561"/>
    </row>
    <row r="43" spans="1:5" ht="13.5" thickBot="1">
      <c r="A43" s="131" t="str">
        <f>IF(+'Forecast Data For 2011'!$A$27=0," ",+'Forecast Data For 2011'!$A$27)</f>
        <v> </v>
      </c>
      <c r="B43" s="580"/>
      <c r="C43" s="580"/>
      <c r="D43" s="580"/>
      <c r="E43" s="581"/>
    </row>
    <row r="44" spans="1:5" ht="13.5" thickBot="1">
      <c r="A44" s="54"/>
      <c r="B44" s="54"/>
      <c r="C44" s="54"/>
      <c r="D44" s="54"/>
      <c r="E44" s="54"/>
    </row>
    <row r="45" spans="1:5" ht="18">
      <c r="A45" s="582" t="s">
        <v>213</v>
      </c>
      <c r="B45" s="583"/>
      <c r="C45" s="583"/>
      <c r="D45" s="583"/>
      <c r="E45" s="584"/>
    </row>
    <row r="46" spans="1:5" ht="12.75">
      <c r="A46" s="577"/>
      <c r="B46" s="578"/>
      <c r="C46" s="578"/>
      <c r="D46" s="578"/>
      <c r="E46" s="579"/>
    </row>
    <row r="47" spans="1:5" ht="40.5" customHeight="1" thickBot="1">
      <c r="A47" s="284" t="s">
        <v>0</v>
      </c>
      <c r="B47" s="570" t="s">
        <v>149</v>
      </c>
      <c r="C47" s="585"/>
      <c r="D47" s="570" t="s">
        <v>150</v>
      </c>
      <c r="E47" s="571"/>
    </row>
    <row r="48" spans="1:5" ht="12.75">
      <c r="A48" s="128" t="str">
        <f aca="true" t="shared" si="1" ref="A48:A54">A20</f>
        <v>Residential</v>
      </c>
      <c r="B48" s="560">
        <v>0</v>
      </c>
      <c r="C48" s="560"/>
      <c r="D48" s="560"/>
      <c r="E48" s="561"/>
    </row>
    <row r="49" spans="1:5" ht="12.75">
      <c r="A49" s="128" t="str">
        <f t="shared" si="1"/>
        <v>GS &lt; 50 kW</v>
      </c>
      <c r="B49" s="560">
        <v>0</v>
      </c>
      <c r="C49" s="560"/>
      <c r="D49" s="560"/>
      <c r="E49" s="562"/>
    </row>
    <row r="50" spans="1:5" ht="12.75">
      <c r="A50" s="128" t="str">
        <f t="shared" si="1"/>
        <v>GS &gt;50 kW - Regular</v>
      </c>
      <c r="B50" s="560"/>
      <c r="C50" s="560"/>
      <c r="D50" s="560">
        <f>+'[1]Charges'!$H$13</f>
        <v>0.0107</v>
      </c>
      <c r="E50" s="562"/>
    </row>
    <row r="51" spans="1:5" ht="12.75">
      <c r="A51" s="128" t="str">
        <f t="shared" si="1"/>
        <v>GS &gt; 50 kW - Intermediate</v>
      </c>
      <c r="B51" s="560"/>
      <c r="C51" s="560"/>
      <c r="D51" s="560">
        <f>+'[1]Charges'!$H$14</f>
        <v>0.0124</v>
      </c>
      <c r="E51" s="562"/>
    </row>
    <row r="52" spans="1:5" ht="12.75">
      <c r="A52" s="128" t="str">
        <f t="shared" si="1"/>
        <v>Large Use</v>
      </c>
      <c r="B52" s="560"/>
      <c r="C52" s="560"/>
      <c r="D52" s="560">
        <f>+'[1]Charges'!$H$15</f>
        <v>0.0149</v>
      </c>
      <c r="E52" s="562"/>
    </row>
    <row r="53" spans="1:5" ht="12.75">
      <c r="A53" s="128" t="str">
        <f t="shared" si="1"/>
        <v>Street Lighting</v>
      </c>
      <c r="B53" s="560"/>
      <c r="C53" s="560"/>
      <c r="D53" s="560">
        <f>+'[1]Charges'!$H$16</f>
        <v>0.009199999999999998</v>
      </c>
      <c r="E53" s="562"/>
    </row>
    <row r="54" spans="1:5" ht="12.75">
      <c r="A54" s="128" t="str">
        <f t="shared" si="1"/>
        <v>Unmetered Scattered Load</v>
      </c>
      <c r="B54" s="560">
        <v>0</v>
      </c>
      <c r="C54" s="560"/>
      <c r="D54" s="560"/>
      <c r="E54" s="562"/>
    </row>
    <row r="55" spans="1:5" ht="12.75">
      <c r="A55" s="448" t="str">
        <f>IF(+'Forecast Data For 2011'!$A$23=0," ",+'Forecast Data For 2011'!$A$23)</f>
        <v> </v>
      </c>
      <c r="B55" s="560"/>
      <c r="C55" s="560"/>
      <c r="D55" s="560"/>
      <c r="E55" s="561"/>
    </row>
    <row r="56" spans="1:5" ht="12.75">
      <c r="A56" s="448" t="str">
        <f>IF(+'Forecast Data For 2011'!$A$25=0," ",+'Forecast Data For 2011'!$A$25)</f>
        <v> </v>
      </c>
      <c r="B56" s="560"/>
      <c r="C56" s="560"/>
      <c r="D56" s="560"/>
      <c r="E56" s="561"/>
    </row>
    <row r="57" spans="1:5" ht="12.75">
      <c r="A57" s="128" t="str">
        <f>IF(+'Forecast Data For 2011'!$A$27=0," ",+'Forecast Data For 2011'!$A$27)</f>
        <v> </v>
      </c>
      <c r="B57" s="560"/>
      <c r="C57" s="560"/>
      <c r="D57" s="560"/>
      <c r="E57" s="561"/>
    </row>
    <row r="59" spans="1:5" ht="18">
      <c r="A59" s="566" t="s">
        <v>214</v>
      </c>
      <c r="B59" s="566"/>
      <c r="C59" s="116"/>
      <c r="D59" s="116"/>
      <c r="E59" s="116"/>
    </row>
    <row r="60" spans="1:5" ht="13.5" thickBot="1">
      <c r="A60" s="565"/>
      <c r="B60" s="565"/>
      <c r="C60" s="565"/>
      <c r="D60" s="565"/>
      <c r="E60" s="565"/>
    </row>
    <row r="61" spans="1:2" ht="13.5" thickBot="1">
      <c r="A61" s="281" t="s">
        <v>0</v>
      </c>
      <c r="B61" s="285" t="s">
        <v>167</v>
      </c>
    </row>
    <row r="62" spans="1:2" ht="12.75">
      <c r="A62" s="128" t="str">
        <f>A48</f>
        <v>Residential</v>
      </c>
      <c r="B62" s="544">
        <v>1</v>
      </c>
    </row>
    <row r="63" spans="1:2" ht="12.75">
      <c r="A63" s="128" t="str">
        <f>A49</f>
        <v>GS &lt; 50 kW</v>
      </c>
      <c r="B63" s="544">
        <v>1</v>
      </c>
    </row>
    <row r="64" spans="1:2" ht="12.75">
      <c r="A64" s="128" t="str">
        <f>A50</f>
        <v>GS &gt;50 kW - Regular</v>
      </c>
      <c r="B64" s="544">
        <v>1</v>
      </c>
    </row>
    <row r="65" spans="1:2" ht="12.75">
      <c r="A65" s="128" t="str">
        <f>A51</f>
        <v>GS &gt; 50 kW - Intermediate</v>
      </c>
      <c r="B65" s="544">
        <v>1</v>
      </c>
    </row>
    <row r="66" spans="1:2" ht="12.75">
      <c r="A66" s="128" t="str">
        <f>A52</f>
        <v>Large Use</v>
      </c>
      <c r="B66" s="544">
        <v>1</v>
      </c>
    </row>
    <row r="67" spans="1:2" ht="12.75">
      <c r="A67" s="128"/>
      <c r="B67" s="365"/>
    </row>
    <row r="68" spans="1:2" ht="12.75">
      <c r="A68" s="128"/>
      <c r="B68" s="365"/>
    </row>
    <row r="69" spans="1:2" ht="12.75">
      <c r="A69" s="128"/>
      <c r="B69" s="365"/>
    </row>
    <row r="70" spans="1:2" ht="13.5" thickBot="1">
      <c r="A70" s="131"/>
      <c r="B70" s="366"/>
    </row>
    <row r="73" spans="1:5" s="8" customFormat="1" ht="18">
      <c r="A73" s="566" t="s">
        <v>215</v>
      </c>
      <c r="B73" s="566"/>
      <c r="C73" s="566"/>
      <c r="D73" s="566"/>
      <c r="E73" s="566"/>
    </row>
    <row r="74" spans="1:5" ht="13.5" thickBot="1">
      <c r="A74" s="565"/>
      <c r="B74" s="565"/>
      <c r="C74" s="565"/>
      <c r="D74" s="565"/>
      <c r="E74" s="565"/>
    </row>
    <row r="75" spans="1:5" ht="13.5" thickBot="1">
      <c r="A75" s="281" t="s">
        <v>0</v>
      </c>
      <c r="B75" s="567" t="s">
        <v>57</v>
      </c>
      <c r="C75" s="568"/>
      <c r="D75" s="567" t="s">
        <v>23</v>
      </c>
      <c r="E75" s="569"/>
    </row>
    <row r="76" spans="1:5" ht="12.75">
      <c r="A76" s="127" t="str">
        <f aca="true" t="shared" si="2" ref="A76:A82">A48</f>
        <v>Residential</v>
      </c>
      <c r="B76" s="563">
        <f aca="true" t="shared" si="3" ref="B76:B82">E5-B48</f>
        <v>0.0154</v>
      </c>
      <c r="C76" s="563"/>
      <c r="D76" s="563">
        <f aca="true" t="shared" si="4" ref="D76:D82">D5-D48</f>
        <v>0</v>
      </c>
      <c r="E76" s="564"/>
    </row>
    <row r="77" spans="1:5" ht="12.75">
      <c r="A77" s="128" t="str">
        <f t="shared" si="2"/>
        <v>GS &lt; 50 kW</v>
      </c>
      <c r="B77" s="558">
        <f t="shared" si="3"/>
        <v>0.0178</v>
      </c>
      <c r="C77" s="558"/>
      <c r="D77" s="558">
        <f t="shared" si="4"/>
        <v>0</v>
      </c>
      <c r="E77" s="559"/>
    </row>
    <row r="78" spans="1:5" ht="12.75">
      <c r="A78" s="128" t="str">
        <f t="shared" si="2"/>
        <v>GS &gt;50 kW - Regular</v>
      </c>
      <c r="B78" s="558">
        <f t="shared" si="3"/>
        <v>0</v>
      </c>
      <c r="C78" s="558"/>
      <c r="D78" s="558">
        <f t="shared" si="4"/>
        <v>2.2828</v>
      </c>
      <c r="E78" s="559"/>
    </row>
    <row r="79" spans="1:5" ht="12.75">
      <c r="A79" s="128" t="str">
        <f t="shared" si="2"/>
        <v>GS &gt; 50 kW - Intermediate</v>
      </c>
      <c r="B79" s="558">
        <f t="shared" si="3"/>
        <v>0</v>
      </c>
      <c r="C79" s="558"/>
      <c r="D79" s="558">
        <f t="shared" si="4"/>
        <v>3.7231</v>
      </c>
      <c r="E79" s="559"/>
    </row>
    <row r="80" spans="1:5" ht="12.75">
      <c r="A80" s="128" t="str">
        <f t="shared" si="2"/>
        <v>Large Use</v>
      </c>
      <c r="B80" s="558">
        <f t="shared" si="3"/>
        <v>0</v>
      </c>
      <c r="C80" s="558"/>
      <c r="D80" s="558">
        <f t="shared" si="4"/>
        <v>2.8874</v>
      </c>
      <c r="E80" s="559"/>
    </row>
    <row r="81" spans="1:5" ht="12.75">
      <c r="A81" s="128" t="str">
        <f t="shared" si="2"/>
        <v>Street Lighting</v>
      </c>
      <c r="B81" s="558">
        <f t="shared" si="3"/>
        <v>0</v>
      </c>
      <c r="C81" s="558"/>
      <c r="D81" s="558">
        <f t="shared" si="4"/>
        <v>2.1954000000000002</v>
      </c>
      <c r="E81" s="559"/>
    </row>
    <row r="82" spans="1:5" ht="12.75">
      <c r="A82" s="128" t="str">
        <f t="shared" si="2"/>
        <v>Unmetered Scattered Load</v>
      </c>
      <c r="B82" s="558">
        <f t="shared" si="3"/>
        <v>0.0178</v>
      </c>
      <c r="C82" s="558"/>
      <c r="D82" s="558">
        <f t="shared" si="4"/>
        <v>0</v>
      </c>
      <c r="E82" s="559"/>
    </row>
    <row r="83" spans="1:5" ht="12.75">
      <c r="A83" s="448" t="str">
        <f>IF(+'Forecast Data For 2011'!$A$23=0," ",+'Forecast Data For 2011'!$A$23)</f>
        <v> </v>
      </c>
      <c r="B83" s="558"/>
      <c r="C83" s="558"/>
      <c r="D83" s="558"/>
      <c r="E83" s="559"/>
    </row>
    <row r="84" spans="1:5" ht="12.75">
      <c r="A84" s="448" t="str">
        <f>IF(+'Forecast Data For 2011'!$A$25=0," ",+'Forecast Data For 2011'!$A$25)</f>
        <v> </v>
      </c>
      <c r="B84" s="558"/>
      <c r="C84" s="558"/>
      <c r="D84" s="558"/>
      <c r="E84" s="559"/>
    </row>
    <row r="85" spans="1:5" ht="13.5" thickBot="1">
      <c r="A85" s="131" t="str">
        <f>IF(+'Forecast Data For 2011'!$A$27=0," ",+'Forecast Data For 2011'!$A$27)</f>
        <v> </v>
      </c>
      <c r="B85" s="556"/>
      <c r="C85" s="556"/>
      <c r="D85" s="556"/>
      <c r="E85" s="557"/>
    </row>
  </sheetData>
  <sheetProtection/>
  <mergeCells count="102">
    <mergeCell ref="B43:C43"/>
    <mergeCell ref="D43:E43"/>
    <mergeCell ref="B38:C38"/>
    <mergeCell ref="D38:E38"/>
    <mergeCell ref="B39:C39"/>
    <mergeCell ref="D39:E39"/>
    <mergeCell ref="B40:C40"/>
    <mergeCell ref="D40:E40"/>
    <mergeCell ref="A32:E32"/>
    <mergeCell ref="B33:C33"/>
    <mergeCell ref="D33:E33"/>
    <mergeCell ref="B34:C34"/>
    <mergeCell ref="D34:E34"/>
    <mergeCell ref="B41:C41"/>
    <mergeCell ref="D41:E41"/>
    <mergeCell ref="B42:C42"/>
    <mergeCell ref="D42:E42"/>
    <mergeCell ref="A46:E46"/>
    <mergeCell ref="D51:E51"/>
    <mergeCell ref="B51:C51"/>
    <mergeCell ref="B19:C19"/>
    <mergeCell ref="B25:C25"/>
    <mergeCell ref="D23:E23"/>
    <mergeCell ref="D24:E24"/>
    <mergeCell ref="D20:E20"/>
    <mergeCell ref="D21:E21"/>
    <mergeCell ref="D22:E22"/>
    <mergeCell ref="B27:C27"/>
    <mergeCell ref="B29:C29"/>
    <mergeCell ref="D25:E25"/>
    <mergeCell ref="D27:E27"/>
    <mergeCell ref="D29:E29"/>
    <mergeCell ref="A45:E45"/>
    <mergeCell ref="B47:C47"/>
    <mergeCell ref="B35:C35"/>
    <mergeCell ref="D35:E35"/>
    <mergeCell ref="B36:C36"/>
    <mergeCell ref="D36:E36"/>
    <mergeCell ref="B37:C37"/>
    <mergeCell ref="D37:E37"/>
    <mergeCell ref="A31:E31"/>
    <mergeCell ref="A1:E1"/>
    <mergeCell ref="B26:C26"/>
    <mergeCell ref="B20:C20"/>
    <mergeCell ref="B21:C21"/>
    <mergeCell ref="B22:C22"/>
    <mergeCell ref="B23:C23"/>
    <mergeCell ref="B24:C24"/>
    <mergeCell ref="D26:E26"/>
    <mergeCell ref="A2:E2"/>
    <mergeCell ref="A17:E17"/>
    <mergeCell ref="D19:E19"/>
    <mergeCell ref="A3:E3"/>
    <mergeCell ref="A16:E16"/>
    <mergeCell ref="A18:E18"/>
    <mergeCell ref="D54:E54"/>
    <mergeCell ref="D53:E53"/>
    <mergeCell ref="B50:C50"/>
    <mergeCell ref="D47:E47"/>
    <mergeCell ref="D48:E48"/>
    <mergeCell ref="D49:E49"/>
    <mergeCell ref="D50:E50"/>
    <mergeCell ref="B48:C48"/>
    <mergeCell ref="B49:C49"/>
    <mergeCell ref="B54:C54"/>
    <mergeCell ref="B53:C53"/>
    <mergeCell ref="A59:B59"/>
    <mergeCell ref="D55:E55"/>
    <mergeCell ref="D57:E57"/>
    <mergeCell ref="B55:C55"/>
    <mergeCell ref="B56:C56"/>
    <mergeCell ref="D56:E56"/>
    <mergeCell ref="B77:C77"/>
    <mergeCell ref="D77:E77"/>
    <mergeCell ref="A73:E73"/>
    <mergeCell ref="A74:E74"/>
    <mergeCell ref="B75:C75"/>
    <mergeCell ref="D75:E75"/>
    <mergeCell ref="B85:C85"/>
    <mergeCell ref="D85:E85"/>
    <mergeCell ref="B82:C82"/>
    <mergeCell ref="D82:E82"/>
    <mergeCell ref="B81:C81"/>
    <mergeCell ref="D81:E81"/>
    <mergeCell ref="B28:C28"/>
    <mergeCell ref="D28:E28"/>
    <mergeCell ref="B84:C84"/>
    <mergeCell ref="D84:E84"/>
    <mergeCell ref="B52:C52"/>
    <mergeCell ref="D52:E52"/>
    <mergeCell ref="B80:C80"/>
    <mergeCell ref="D80:E80"/>
    <mergeCell ref="B83:C83"/>
    <mergeCell ref="D83:E83"/>
    <mergeCell ref="B78:C78"/>
    <mergeCell ref="D78:E78"/>
    <mergeCell ref="B79:C79"/>
    <mergeCell ref="D79:E79"/>
    <mergeCell ref="B76:C76"/>
    <mergeCell ref="D76:E76"/>
    <mergeCell ref="B57:C57"/>
    <mergeCell ref="A60:E60"/>
  </mergeCells>
  <printOptions headings="1"/>
  <pageMargins left="0.7480314960629921" right="0.7480314960629921" top="0.984251968503937" bottom="0.984251968503937" header="0.5118110236220472" footer="0.5118110236220472"/>
  <pageSetup fitToHeight="0" fitToWidth="1" orientation="portrait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showGridLines="0" zoomScale="90" zoomScaleNormal="90" zoomScalePageLayoutView="0" workbookViewId="0" topLeftCell="E1">
      <selection activeCell="K16" sqref="K16"/>
    </sheetView>
  </sheetViews>
  <sheetFormatPr defaultColWidth="9.140625" defaultRowHeight="12.75"/>
  <cols>
    <col min="1" max="1" width="33.140625" style="118" bestFit="1" customWidth="1"/>
    <col min="2" max="2" width="16.140625" style="118" customWidth="1"/>
    <col min="3" max="3" width="12.7109375" style="118" customWidth="1"/>
    <col min="4" max="4" width="13.28125" style="118" customWidth="1"/>
    <col min="5" max="6" width="13.00390625" style="118" customWidth="1"/>
    <col min="7" max="11" width="14.7109375" style="118" customWidth="1"/>
    <col min="12" max="12" width="17.57421875" style="118" customWidth="1"/>
    <col min="13" max="13" width="15.00390625" style="118" customWidth="1"/>
    <col min="14" max="16384" width="9.140625" style="118" customWidth="1"/>
  </cols>
  <sheetData>
    <row r="1" spans="1:12" ht="12.75">
      <c r="A1" s="587"/>
      <c r="B1" s="587"/>
      <c r="C1" s="587"/>
      <c r="D1" s="587"/>
      <c r="E1" s="587"/>
      <c r="F1" s="587"/>
      <c r="G1" s="587"/>
      <c r="H1" s="587"/>
      <c r="I1" s="587"/>
      <c r="J1" s="587"/>
      <c r="K1" s="587"/>
      <c r="L1" s="587"/>
    </row>
    <row r="2" spans="1:12" ht="18" customHeight="1">
      <c r="A2" s="566" t="s">
        <v>211</v>
      </c>
      <c r="B2" s="566"/>
      <c r="C2" s="566"/>
      <c r="D2" s="566"/>
      <c r="E2" s="566"/>
      <c r="F2" s="566"/>
      <c r="G2" s="566"/>
      <c r="H2" s="566"/>
      <c r="I2" s="566"/>
      <c r="J2" s="566"/>
      <c r="K2" s="566"/>
      <c r="L2" s="112"/>
    </row>
    <row r="3" spans="1:12" ht="18" customHeight="1">
      <c r="A3" s="566" t="s">
        <v>28</v>
      </c>
      <c r="B3" s="566"/>
      <c r="C3" s="566"/>
      <c r="D3" s="566"/>
      <c r="E3" s="566"/>
      <c r="F3" s="566"/>
      <c r="G3" s="566"/>
      <c r="H3" s="566"/>
      <c r="I3" s="566"/>
      <c r="J3" s="566"/>
      <c r="K3" s="566"/>
      <c r="L3" s="112"/>
    </row>
    <row r="4" spans="1:12" ht="18" customHeight="1">
      <c r="A4" s="586"/>
      <c r="B4" s="586"/>
      <c r="C4" s="586"/>
      <c r="D4" s="586"/>
      <c r="E4" s="586"/>
      <c r="F4" s="586"/>
      <c r="G4" s="586"/>
      <c r="H4" s="586"/>
      <c r="I4" s="586"/>
      <c r="J4" s="586"/>
      <c r="K4" s="586"/>
      <c r="L4" s="586"/>
    </row>
    <row r="5" spans="1:11" s="2" customFormat="1" ht="39" thickBot="1">
      <c r="A5" s="130" t="s">
        <v>24</v>
      </c>
      <c r="B5" s="130" t="s">
        <v>7</v>
      </c>
      <c r="C5" s="130" t="s">
        <v>8</v>
      </c>
      <c r="D5" s="130" t="s">
        <v>10</v>
      </c>
      <c r="E5" s="130" t="s">
        <v>27</v>
      </c>
      <c r="F5" s="130" t="s">
        <v>11</v>
      </c>
      <c r="G5" s="130" t="s">
        <v>12</v>
      </c>
      <c r="H5" s="130" t="s">
        <v>169</v>
      </c>
      <c r="I5" s="130" t="s">
        <v>6</v>
      </c>
      <c r="J5" s="130" t="s">
        <v>170</v>
      </c>
      <c r="K5" s="130" t="s">
        <v>104</v>
      </c>
    </row>
    <row r="6" spans="1:12" ht="18" customHeight="1">
      <c r="A6" s="127" t="str">
        <f>'Cost Allocation Study'!A4</f>
        <v>Residential</v>
      </c>
      <c r="B6" s="367">
        <f>+'Forecast Data For 2011'!$I$5</f>
        <v>1107769581</v>
      </c>
      <c r="C6" s="367"/>
      <c r="D6" s="367">
        <f>+'Forecast Data For 2011'!$I$4*12</f>
        <v>1483919.6777970504</v>
      </c>
      <c r="E6" s="367"/>
      <c r="F6" s="367">
        <f>+D6*'2010 Existing Rates'!$C$5</f>
        <v>15729548.584648734</v>
      </c>
      <c r="G6" s="367">
        <f>+B6*'2010 Existing Rates'!$B$76</f>
        <v>17059651.5474</v>
      </c>
      <c r="H6" s="367">
        <f aca="true" t="shared" si="0" ref="H6:H12">+F6+G6</f>
        <v>32789200.132048734</v>
      </c>
      <c r="I6" s="367"/>
      <c r="J6" s="367">
        <f>H6-I6</f>
        <v>32789200.132048734</v>
      </c>
      <c r="K6" s="368">
        <f aca="true" t="shared" si="1" ref="K6:K12">+J6/$J$16</f>
        <v>0.5581637368054664</v>
      </c>
      <c r="L6" s="120"/>
    </row>
    <row r="7" spans="1:12" ht="18" customHeight="1">
      <c r="A7" s="128" t="str">
        <f>'Cost Allocation Study'!A5</f>
        <v>GS &lt; 50 kW</v>
      </c>
      <c r="B7" s="369">
        <f>+'Forecast Data For 2011'!$I$7</f>
        <v>290725436</v>
      </c>
      <c r="C7" s="369"/>
      <c r="D7" s="369">
        <f>+'Forecast Data For 2011'!$I$6*12</f>
        <v>94715.44267999667</v>
      </c>
      <c r="E7" s="369"/>
      <c r="F7" s="369">
        <f>+D7*'2010 Existing Rates'!$C$6</f>
        <v>1919882.0231235325</v>
      </c>
      <c r="G7" s="369">
        <f>+B7*'2010 Existing Rates'!$B$77</f>
        <v>5174912.7608</v>
      </c>
      <c r="H7" s="369">
        <f t="shared" si="0"/>
        <v>7094794.783923533</v>
      </c>
      <c r="I7" s="369"/>
      <c r="J7" s="369">
        <f aca="true" t="shared" si="2" ref="J7:J12">H7-I7</f>
        <v>7094794.783923533</v>
      </c>
      <c r="K7" s="370">
        <f t="shared" si="1"/>
        <v>0.12077321656261025</v>
      </c>
      <c r="L7" s="120"/>
    </row>
    <row r="8" spans="1:12" ht="18" customHeight="1">
      <c r="A8" s="128" t="str">
        <f>'Cost Allocation Study'!A6</f>
        <v>GS &gt;50 kW - Regular</v>
      </c>
      <c r="B8" s="369">
        <f>+'Forecast Data For 2011'!$I$10</f>
        <v>1123789074</v>
      </c>
      <c r="C8" s="369">
        <f>+'Forecast Data For 2011'!$I$9</f>
        <v>3079920</v>
      </c>
      <c r="D8" s="369">
        <f>+'Forecast Data For 2011'!$I$8*12</f>
        <v>18626.556920120947</v>
      </c>
      <c r="E8" s="369"/>
      <c r="F8" s="369">
        <f>+D8*'2010 Existing Rates'!$C$7</f>
        <v>1893948.307637898</v>
      </c>
      <c r="G8" s="369">
        <f>+C8*'2010 Existing Rates'!$D$78</f>
        <v>7030841.376</v>
      </c>
      <c r="H8" s="369">
        <f t="shared" si="0"/>
        <v>8924789.683637898</v>
      </c>
      <c r="I8" s="369">
        <f>-'Transformer Allowance'!C7</f>
        <v>158133.1967870871</v>
      </c>
      <c r="J8" s="369">
        <f>H8-I8</f>
        <v>8766656.486850811</v>
      </c>
      <c r="K8" s="370">
        <f t="shared" si="1"/>
        <v>0.14923297074294298</v>
      </c>
      <c r="L8" s="120"/>
    </row>
    <row r="9" spans="1:12" ht="18" customHeight="1">
      <c r="A9" s="128" t="str">
        <f>'Cost Allocation Study'!A7</f>
        <v>GS &gt; 50 kW - Intermediate</v>
      </c>
      <c r="B9" s="369">
        <f>+'Forecast Data For 2011'!$I$13</f>
        <v>832077628</v>
      </c>
      <c r="C9" s="369">
        <f>+'Forecast Data For 2011'!$I$12</f>
        <v>1879169</v>
      </c>
      <c r="D9" s="369">
        <f>+'Forecast Data For 2011'!$I$11*12</f>
        <v>1271.4394233400296</v>
      </c>
      <c r="E9" s="369"/>
      <c r="F9" s="369">
        <f>+D9*'2010 Existing Rates'!$C$8</f>
        <v>1793301.7346499448</v>
      </c>
      <c r="G9" s="369">
        <f>+C9*'2010 Existing Rates'!$D$79</f>
        <v>6996334.1039</v>
      </c>
      <c r="H9" s="369">
        <f>+F9+G9</f>
        <v>8789635.838549946</v>
      </c>
      <c r="I9" s="369">
        <f>-'Transformer Allowance'!C8</f>
        <v>927677.8556877767</v>
      </c>
      <c r="J9" s="369">
        <f t="shared" si="2"/>
        <v>7861957.982862169</v>
      </c>
      <c r="K9" s="370">
        <f t="shared" si="1"/>
        <v>0.13383247620099015</v>
      </c>
      <c r="L9" s="120"/>
    </row>
    <row r="10" spans="1:12" ht="18" customHeight="1">
      <c r="A10" s="128" t="str">
        <f>'Cost Allocation Study'!A8</f>
        <v>Large Use</v>
      </c>
      <c r="B10" s="369">
        <f>'Forecast Data For 2011'!$I$16</f>
        <v>383275616</v>
      </c>
      <c r="C10" s="369">
        <f>'Forecast Data For 2011'!$I$15</f>
        <v>697451</v>
      </c>
      <c r="D10" s="369">
        <f>'Forecast Data For 2011'!I14*12</f>
        <v>72</v>
      </c>
      <c r="E10" s="369"/>
      <c r="F10" s="369">
        <f>+D10*'2010 Existing Rates'!$C$9</f>
        <v>340007.76</v>
      </c>
      <c r="G10" s="369">
        <f>+C10*'2010 Existing Rates'!$D$80</f>
        <v>2013820.0174</v>
      </c>
      <c r="H10" s="369">
        <f t="shared" si="0"/>
        <v>2353827.7774</v>
      </c>
      <c r="I10" s="369">
        <f>-'Transformer Allowance'!C9</f>
        <v>418470.6</v>
      </c>
      <c r="J10" s="369">
        <f t="shared" si="2"/>
        <v>1935357.1774</v>
      </c>
      <c r="K10" s="370">
        <f t="shared" si="1"/>
        <v>0.03294518286022514</v>
      </c>
      <c r="L10" s="120"/>
    </row>
    <row r="11" spans="1:12" ht="18" customHeight="1">
      <c r="A11" s="128" t="str">
        <f>'Cost Allocation Study'!A9</f>
        <v>Street Lighting</v>
      </c>
      <c r="B11" s="369">
        <f>+'Forecast Data For 2011'!$I$19</f>
        <v>29780031</v>
      </c>
      <c r="C11" s="369">
        <f>+'Forecast Data For 2011'!$I$18</f>
        <v>88637</v>
      </c>
      <c r="D11" s="369">
        <f>'Forecast Data For 2011'!I15*12</f>
        <v>8369412</v>
      </c>
      <c r="E11" s="369">
        <f>+'Forecast Data For 2011'!$I$17*12</f>
        <v>505898.7839322974</v>
      </c>
      <c r="F11" s="369">
        <f>+E11*'2010 Existing Rates'!$B$10</f>
        <v>0</v>
      </c>
      <c r="G11" s="369">
        <f>+C11*'2010 Existing Rates'!$D$81</f>
        <v>194593.66980000003</v>
      </c>
      <c r="H11" s="369">
        <f>+F11+G11</f>
        <v>194593.66980000003</v>
      </c>
      <c r="I11" s="369"/>
      <c r="J11" s="369">
        <f t="shared" si="2"/>
        <v>194593.66980000003</v>
      </c>
      <c r="K11" s="370">
        <f t="shared" si="1"/>
        <v>0.003312527583986251</v>
      </c>
      <c r="L11" s="120"/>
    </row>
    <row r="12" spans="1:12" ht="18" customHeight="1">
      <c r="A12" s="128" t="str">
        <f>'Cost Allocation Study'!A10</f>
        <v>Unmetered Scattered Load</v>
      </c>
      <c r="B12" s="369">
        <f>+'Forecast Data For 2011'!$I$22</f>
        <v>4899876</v>
      </c>
      <c r="C12" s="369">
        <f>+'Forecast Data For 2011'!$I$21</f>
        <v>1300.4051714878062</v>
      </c>
      <c r="D12" s="369">
        <f>+'Forecast Data For 2011'!$I$20*12</f>
        <v>744</v>
      </c>
      <c r="E12" s="369"/>
      <c r="F12" s="369">
        <f>+D12*'2010 Existing Rates'!$C$11</f>
        <v>14991.599999999999</v>
      </c>
      <c r="G12" s="369">
        <f>+B12*'2010 Existing Rates'!$B$82</f>
        <v>87217.7928</v>
      </c>
      <c r="H12" s="369">
        <f t="shared" si="0"/>
        <v>102209.3928</v>
      </c>
      <c r="I12" s="369"/>
      <c r="J12" s="369">
        <f t="shared" si="2"/>
        <v>102209.3928</v>
      </c>
      <c r="K12" s="370">
        <f t="shared" si="1"/>
        <v>0.0017398892437789138</v>
      </c>
      <c r="L12" s="120"/>
    </row>
    <row r="13" spans="1:11" ht="18" customHeight="1">
      <c r="A13" s="448" t="str">
        <f>IF(+'Forecast Data For 2011'!$A$23=0," ",+'Forecast Data For 2011'!$A$23)</f>
        <v> </v>
      </c>
      <c r="B13" s="369"/>
      <c r="C13" s="369"/>
      <c r="D13" s="369"/>
      <c r="E13" s="369"/>
      <c r="F13" s="369"/>
      <c r="G13" s="369"/>
      <c r="H13" s="369"/>
      <c r="I13" s="369"/>
      <c r="J13" s="369"/>
      <c r="K13" s="370"/>
    </row>
    <row r="14" spans="1:11" ht="18" customHeight="1">
      <c r="A14" s="448" t="str">
        <f>IF(+'Forecast Data For 2011'!$A$25=0," ",+'Forecast Data For 2011'!$A$25)</f>
        <v> </v>
      </c>
      <c r="B14" s="369"/>
      <c r="C14" s="369"/>
      <c r="D14" s="369"/>
      <c r="E14" s="369"/>
      <c r="F14" s="369"/>
      <c r="G14" s="369"/>
      <c r="H14" s="369"/>
      <c r="I14" s="369"/>
      <c r="J14" s="369"/>
      <c r="K14" s="370"/>
    </row>
    <row r="15" spans="1:11" ht="18" customHeight="1" thickBot="1">
      <c r="A15" s="131" t="str">
        <f>IF(+'Forecast Data For 2011'!$A$27=0," ",+'Forecast Data For 2011'!$A$27)</f>
        <v> </v>
      </c>
      <c r="B15" s="371"/>
      <c r="C15" s="371"/>
      <c r="D15" s="371"/>
      <c r="E15" s="371"/>
      <c r="F15" s="371"/>
      <c r="G15" s="371"/>
      <c r="H15" s="371"/>
      <c r="I15" s="371"/>
      <c r="J15" s="371"/>
      <c r="K15" s="372"/>
    </row>
    <row r="16" spans="1:11" ht="18" customHeight="1" thickBot="1">
      <c r="A16" s="114"/>
      <c r="B16" s="373">
        <f aca="true" t="shared" si="3" ref="B16:K16">SUM(B6:B15)</f>
        <v>3772317242</v>
      </c>
      <c r="C16" s="373">
        <f t="shared" si="3"/>
        <v>5746477.4051714875</v>
      </c>
      <c r="D16" s="373">
        <f t="shared" si="3"/>
        <v>9968761.116820509</v>
      </c>
      <c r="E16" s="373">
        <f t="shared" si="3"/>
        <v>505898.7839322974</v>
      </c>
      <c r="F16" s="373">
        <f t="shared" si="3"/>
        <v>21691680.010060113</v>
      </c>
      <c r="G16" s="373">
        <f t="shared" si="3"/>
        <v>38557371.2681</v>
      </c>
      <c r="H16" s="373">
        <f t="shared" si="3"/>
        <v>60249051.27816011</v>
      </c>
      <c r="I16" s="373">
        <f t="shared" si="3"/>
        <v>1504281.652474864</v>
      </c>
      <c r="J16" s="373">
        <f t="shared" si="3"/>
        <v>58744769.625685245</v>
      </c>
      <c r="K16" s="503">
        <f t="shared" si="3"/>
        <v>1.0000000000000002</v>
      </c>
    </row>
    <row r="17" ht="13.5" thickTop="1">
      <c r="I17" s="314"/>
    </row>
    <row r="18" spans="7:12" ht="12.75">
      <c r="G18" s="119"/>
      <c r="H18" s="119"/>
      <c r="I18" s="119"/>
      <c r="J18" s="119"/>
      <c r="K18" s="119"/>
      <c r="L18" s="119"/>
    </row>
    <row r="19" spans="7:12" ht="12.75">
      <c r="G19" s="120"/>
      <c r="H19" s="121"/>
      <c r="I19" s="121"/>
      <c r="J19" s="121"/>
      <c r="K19" s="122"/>
      <c r="L19" s="122"/>
    </row>
    <row r="20" spans="8:12" ht="12.75">
      <c r="H20" s="120"/>
      <c r="I20" s="120"/>
      <c r="J20" s="120"/>
      <c r="K20" s="120"/>
      <c r="L20" s="120"/>
    </row>
  </sheetData>
  <sheetProtection/>
  <mergeCells count="4">
    <mergeCell ref="A4:L4"/>
    <mergeCell ref="A1:L1"/>
    <mergeCell ref="A2:K2"/>
    <mergeCell ref="A3:K3"/>
  </mergeCells>
  <printOptions/>
  <pageMargins left="0.75" right="0.75" top="1" bottom="1" header="0.5" footer="0.5"/>
  <pageSetup fitToHeight="1" fitToWidth="1" horizontalDpi="355" verticalDpi="355" orientation="landscape" paperSize="5" scale="8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"/>
  <sheetViews>
    <sheetView showGridLines="0" zoomScale="80" zoomScaleNormal="80" zoomScalePageLayoutView="0" workbookViewId="0" topLeftCell="A1">
      <selection activeCell="C4" sqref="C4"/>
    </sheetView>
  </sheetViews>
  <sheetFormatPr defaultColWidth="9.140625" defaultRowHeight="12.75"/>
  <cols>
    <col min="1" max="1" width="33.140625" style="0" bestFit="1" customWidth="1"/>
    <col min="2" max="2" width="15.8515625" style="109" customWidth="1"/>
    <col min="3" max="3" width="16.140625" style="0" customWidth="1"/>
    <col min="4" max="4" width="20.421875" style="0" customWidth="1"/>
    <col min="5" max="5" width="17.57421875" style="0" customWidth="1"/>
    <col min="6" max="6" width="17.8515625" style="0" customWidth="1"/>
    <col min="7" max="8" width="15.7109375" style="0" customWidth="1"/>
    <col min="9" max="9" width="16.7109375" style="0" bestFit="1" customWidth="1"/>
    <col min="10" max="10" width="15.57421875" style="0" customWidth="1"/>
    <col min="11" max="11" width="13.8515625" style="0" customWidth="1"/>
    <col min="12" max="12" width="15.00390625" style="0" customWidth="1"/>
    <col min="13" max="13" width="13.28125" style="0" customWidth="1"/>
  </cols>
  <sheetData>
    <row r="1" spans="1:14" ht="26.25">
      <c r="A1" s="588" t="s">
        <v>162</v>
      </c>
      <c r="B1" s="588"/>
      <c r="C1" s="588"/>
      <c r="D1" s="588"/>
      <c r="E1" s="588"/>
      <c r="F1" s="588"/>
      <c r="G1" s="588"/>
      <c r="H1" s="588"/>
      <c r="I1" s="588"/>
      <c r="J1" s="588"/>
      <c r="K1" s="588"/>
      <c r="N1" s="106"/>
    </row>
    <row r="2" spans="1:14" s="118" customFormat="1" ht="13.5" thickBot="1">
      <c r="A2" s="132"/>
      <c r="B2" s="132"/>
      <c r="C2" s="132"/>
      <c r="D2" s="132"/>
      <c r="E2" s="132"/>
      <c r="F2" s="132"/>
      <c r="G2" s="132"/>
      <c r="H2" s="132"/>
      <c r="I2" s="132"/>
      <c r="J2" s="132"/>
      <c r="K2" s="132"/>
      <c r="N2" s="2"/>
    </row>
    <row r="3" spans="1:13" ht="93" customHeight="1" thickBot="1">
      <c r="A3" s="123" t="s">
        <v>24</v>
      </c>
      <c r="B3" s="124" t="s">
        <v>251</v>
      </c>
      <c r="C3" s="125" t="s">
        <v>217</v>
      </c>
      <c r="D3" s="125" t="s">
        <v>175</v>
      </c>
      <c r="E3" s="125" t="s">
        <v>176</v>
      </c>
      <c r="F3" s="125" t="s">
        <v>177</v>
      </c>
      <c r="G3" s="125" t="s">
        <v>216</v>
      </c>
      <c r="H3" s="125" t="s">
        <v>178</v>
      </c>
      <c r="I3" s="125" t="s">
        <v>179</v>
      </c>
      <c r="J3" s="125" t="s">
        <v>180</v>
      </c>
      <c r="K3" s="126" t="s">
        <v>181</v>
      </c>
      <c r="M3" s="377" t="s">
        <v>223</v>
      </c>
    </row>
    <row r="4" spans="1:13" ht="17.25" customHeight="1">
      <c r="A4" s="127" t="str">
        <f>'2010 Existing Rates'!A5</f>
        <v>Residential</v>
      </c>
      <c r="B4" s="339">
        <f>+'[2]O1 Revenue to cost|RR'!$D$35</f>
        <v>35666185.28190811</v>
      </c>
      <c r="C4" s="341">
        <f>'2011 Test Yr On Existing Rates'!K6*'Revenue Input'!$B$7</f>
        <v>32977678.37010964</v>
      </c>
      <c r="D4" s="340">
        <f>+'[2]O1 Revenue to cost|RR'!$D$19</f>
        <v>2763163.6614645272</v>
      </c>
      <c r="E4" s="341">
        <f>C4+D4</f>
        <v>35740842.03157417</v>
      </c>
      <c r="F4" s="316">
        <f aca="true" t="shared" si="0" ref="F4:F10">IF(ISERR(E4/B4)=TRUE,0,E4/B4)</f>
        <v>1.002093208148726</v>
      </c>
      <c r="G4" s="379">
        <f>+'[2]O1 Revenue to cost|RR'!$D$70</f>
        <v>1.0020932081487257</v>
      </c>
      <c r="H4" s="379">
        <f aca="true" t="shared" si="1" ref="H4:H10">+F4</f>
        <v>1.002093208148726</v>
      </c>
      <c r="I4" s="342">
        <f aca="true" t="shared" si="2" ref="I4:I10">B4*H4</f>
        <v>35740842.03157417</v>
      </c>
      <c r="J4" s="342">
        <f aca="true" t="shared" si="3" ref="J4:J10">D4</f>
        <v>2763163.6614645272</v>
      </c>
      <c r="K4" s="343">
        <f aca="true" t="shared" si="4" ref="K4:K10">I4-J4</f>
        <v>32977678.37010964</v>
      </c>
      <c r="L4" s="382"/>
      <c r="M4" s="10" t="s">
        <v>220</v>
      </c>
    </row>
    <row r="5" spans="1:13" ht="17.25" customHeight="1">
      <c r="A5" s="128" t="str">
        <f>'2010 Existing Rates'!A6</f>
        <v>GS &lt; 50 kW</v>
      </c>
      <c r="B5" s="344">
        <f>+'[2]O1 Revenue to cost|RR'!$E$35</f>
        <v>5958974.103283079</v>
      </c>
      <c r="C5" s="347">
        <f>'2011 Test Yr On Existing Rates'!K7*'Revenue Input'!$B$7</f>
        <v>7135576.944357224</v>
      </c>
      <c r="D5" s="346">
        <f>+'[2]O1 Revenue to cost|RR'!$E$19</f>
        <v>410554.3539818328</v>
      </c>
      <c r="E5" s="347">
        <f aca="true" t="shared" si="5" ref="E5:E10">C5+D5</f>
        <v>7546131.298339057</v>
      </c>
      <c r="F5" s="316">
        <f t="shared" si="0"/>
        <v>1.2663473892564054</v>
      </c>
      <c r="G5" s="380">
        <f>+'[2]O1 Revenue to cost|RR'!$E$70</f>
        <v>1.2663473892564054</v>
      </c>
      <c r="H5" s="380">
        <f t="shared" si="1"/>
        <v>1.2663473892564054</v>
      </c>
      <c r="I5" s="142">
        <f t="shared" si="2"/>
        <v>7546131.298339057</v>
      </c>
      <c r="J5" s="142">
        <f t="shared" si="3"/>
        <v>410554.3539818328</v>
      </c>
      <c r="K5" s="349">
        <f t="shared" si="4"/>
        <v>7135576.944357224</v>
      </c>
      <c r="L5" s="382"/>
      <c r="M5" s="10" t="s">
        <v>221</v>
      </c>
    </row>
    <row r="6" spans="1:13" ht="17.25" customHeight="1">
      <c r="A6" s="128" t="str">
        <f>'2010 Existing Rates'!A7</f>
        <v>GS &gt;50 kW - Regular</v>
      </c>
      <c r="B6" s="344">
        <f>+'[2]O1 Revenue to cost|RR'!$F$35</f>
        <v>13492427.55594072</v>
      </c>
      <c r="C6" s="347">
        <f>('2011 Test Yr On Existing Rates'!K8*'Revenue Input'!$B$7)-'Transformer Allowance'!C7</f>
        <v>8975182.0067709</v>
      </c>
      <c r="D6" s="346">
        <f>+'[2]O1 Revenue to cost|RR'!$F$19</f>
        <v>515925.8543700191</v>
      </c>
      <c r="E6" s="347">
        <f t="shared" si="5"/>
        <v>9491107.861140918</v>
      </c>
      <c r="F6" s="316">
        <f t="shared" si="0"/>
        <v>0.7034396013460144</v>
      </c>
      <c r="G6" s="380">
        <f>+'[2]O1 Revenue to cost|RR'!$F$70</f>
        <v>0.7034396013460144</v>
      </c>
      <c r="H6" s="380">
        <f t="shared" si="1"/>
        <v>0.7034396013460144</v>
      </c>
      <c r="I6" s="142">
        <f t="shared" si="2"/>
        <v>9491107.861140918</v>
      </c>
      <c r="J6" s="142">
        <f t="shared" si="3"/>
        <v>515925.8543700191</v>
      </c>
      <c r="K6" s="349">
        <f t="shared" si="4"/>
        <v>8975182.0067709</v>
      </c>
      <c r="L6" s="382"/>
      <c r="M6" s="10" t="s">
        <v>222</v>
      </c>
    </row>
    <row r="7" spans="1:13" ht="17.25" customHeight="1">
      <c r="A7" s="128" t="str">
        <f>'2010 Existing Rates'!A8</f>
        <v>GS &gt; 50 kW - Intermediate</v>
      </c>
      <c r="B7" s="344">
        <f>+'[2]O1 Revenue to cost|RR'!$H$35</f>
        <v>5420037.966696994</v>
      </c>
      <c r="C7" s="347">
        <f>('2011 Test Yr On Existing Rates'!K9*'Revenue Input'!$B$7)-'Transformer Allowance'!C8</f>
        <v>8834827.791459782</v>
      </c>
      <c r="D7" s="346">
        <f>+'[2]O1 Revenue to cost|RR'!$H$19</f>
        <v>174314.8621011544</v>
      </c>
      <c r="E7" s="347">
        <f>C7+D7</f>
        <v>9009142.653560936</v>
      </c>
      <c r="F7" s="316">
        <f t="shared" si="0"/>
        <v>1.662191798086456</v>
      </c>
      <c r="G7" s="380">
        <f>+'[2]O1 Revenue to cost|RR'!$H$70</f>
        <v>1.662191798086456</v>
      </c>
      <c r="H7" s="380">
        <f t="shared" si="1"/>
        <v>1.662191798086456</v>
      </c>
      <c r="I7" s="142">
        <f>B7*H7</f>
        <v>9009142.653560936</v>
      </c>
      <c r="J7" s="142">
        <f t="shared" si="3"/>
        <v>174314.8621011544</v>
      </c>
      <c r="K7" s="349">
        <f>I7-J7</f>
        <v>8834827.791459782</v>
      </c>
      <c r="L7" s="382"/>
      <c r="M7" t="s">
        <v>222</v>
      </c>
    </row>
    <row r="8" spans="1:13" ht="17.25" customHeight="1">
      <c r="A8" s="128" t="str">
        <f>'2010 Existing Rates'!A9</f>
        <v>Large Use</v>
      </c>
      <c r="B8" s="344">
        <f>+'[2]O1 Revenue to cost|RR'!$I$35</f>
        <v>2019074.6215698202</v>
      </c>
      <c r="C8" s="347">
        <f>('2011 Test Yr On Existing Rates'!K10*'Revenue Input'!$B$7)-'Transformer Allowance'!C9</f>
        <v>2364952.5596254235</v>
      </c>
      <c r="D8" s="346">
        <f>+'[2]O1 Revenue to cost|RR'!$I$19</f>
        <v>88377.97314463924</v>
      </c>
      <c r="E8" s="347">
        <f t="shared" si="5"/>
        <v>2453330.532770063</v>
      </c>
      <c r="F8" s="316">
        <f t="shared" si="0"/>
        <v>1.2150767022481868</v>
      </c>
      <c r="G8" s="380">
        <f>+'[2]O1 Revenue to cost|RR'!$I$70</f>
        <v>1.2150767022481868</v>
      </c>
      <c r="H8" s="380">
        <f t="shared" si="1"/>
        <v>1.2150767022481868</v>
      </c>
      <c r="I8" s="142">
        <f t="shared" si="2"/>
        <v>2453330.532770063</v>
      </c>
      <c r="J8" s="142">
        <f t="shared" si="3"/>
        <v>88377.97314463924</v>
      </c>
      <c r="K8" s="349">
        <f t="shared" si="4"/>
        <v>2364952.5596254235</v>
      </c>
      <c r="L8" s="382"/>
      <c r="M8" t="s">
        <v>220</v>
      </c>
    </row>
    <row r="9" spans="1:13" ht="17.25" customHeight="1">
      <c r="A9" s="128" t="str">
        <f>'2010 Existing Rates'!A10</f>
        <v>Street Lighting</v>
      </c>
      <c r="B9" s="344">
        <f>+'[2]O1 Revenue to cost|RR'!$J$35</f>
        <v>1869017.2283115564</v>
      </c>
      <c r="C9" s="347">
        <f>'2011 Test Yr On Existing Rates'!K11*'Revenue Input'!$B$7</f>
        <v>195712.22932185495</v>
      </c>
      <c r="D9" s="346">
        <f>+'[2]O1 Revenue to cost|RR'!$J$19</f>
        <v>26230.006509829742</v>
      </c>
      <c r="E9" s="347">
        <f>C9+D9</f>
        <v>221942.2358316847</v>
      </c>
      <c r="F9" s="316">
        <f t="shared" si="0"/>
        <v>0.11874809523943455</v>
      </c>
      <c r="G9" s="380">
        <f>+'[2]O1 Revenue to cost|RR'!$J$70</f>
        <v>0.11874809523943455</v>
      </c>
      <c r="H9" s="380">
        <f t="shared" si="1"/>
        <v>0.11874809523943455</v>
      </c>
      <c r="I9" s="142">
        <f>B9*H9</f>
        <v>221942.2358316847</v>
      </c>
      <c r="J9" s="142">
        <f t="shared" si="3"/>
        <v>26230.006509829742</v>
      </c>
      <c r="K9" s="349">
        <f>I9-J9</f>
        <v>195712.22932185495</v>
      </c>
      <c r="L9" s="382"/>
      <c r="M9" s="10" t="s">
        <v>224</v>
      </c>
    </row>
    <row r="10" spans="1:13" ht="17.25" customHeight="1">
      <c r="A10" s="128" t="str">
        <f>'2010 Existing Rates'!A11</f>
        <v>Unmetered Scattered Load</v>
      </c>
      <c r="B10" s="344">
        <f>+'[2]O1 Revenue to cost|RR'!$L$35</f>
        <v>147421.8747645769</v>
      </c>
      <c r="C10" s="347">
        <f>'2011 Test Yr On Existing Rates'!K12*'Revenue Input'!$B$7</f>
        <v>102796.91083004154</v>
      </c>
      <c r="D10" s="346">
        <f>+'[2]O1 Revenue to cost|RR'!$L$19</f>
        <v>7845.111011973909</v>
      </c>
      <c r="E10" s="347">
        <f t="shared" si="5"/>
        <v>110642.02184201544</v>
      </c>
      <c r="F10" s="316">
        <f t="shared" si="0"/>
        <v>0.7505129209535798</v>
      </c>
      <c r="G10" s="380">
        <f>+'[2]O1 Revenue to cost|RR'!$L$70</f>
        <v>0.7505129209535798</v>
      </c>
      <c r="H10" s="380">
        <f t="shared" si="1"/>
        <v>0.7505129209535798</v>
      </c>
      <c r="I10" s="142">
        <f t="shared" si="2"/>
        <v>110642.02184201544</v>
      </c>
      <c r="J10" s="142">
        <f t="shared" si="3"/>
        <v>7845.111011973909</v>
      </c>
      <c r="K10" s="349">
        <f t="shared" si="4"/>
        <v>102796.91083004154</v>
      </c>
      <c r="L10" s="382"/>
      <c r="M10" s="10" t="s">
        <v>221</v>
      </c>
    </row>
    <row r="11" spans="1:12" ht="17.25" customHeight="1">
      <c r="A11" s="448" t="str">
        <f>IF(+'Forecast Data For 2011'!$A$23=0," ",+'Forecast Data For 2011'!$A$23)</f>
        <v> </v>
      </c>
      <c r="B11" s="344"/>
      <c r="C11" s="345"/>
      <c r="D11" s="346"/>
      <c r="E11" s="347"/>
      <c r="F11" s="316"/>
      <c r="G11" s="380"/>
      <c r="H11" s="348"/>
      <c r="I11" s="142"/>
      <c r="J11" s="142"/>
      <c r="K11" s="349"/>
      <c r="L11" s="382"/>
    </row>
    <row r="12" spans="1:12" ht="17.25" customHeight="1">
      <c r="A12" s="448" t="str">
        <f>IF(+'Forecast Data For 2011'!$A$25=0," ",+'Forecast Data For 2011'!$A$25)</f>
        <v> </v>
      </c>
      <c r="B12" s="344"/>
      <c r="C12" s="345"/>
      <c r="D12" s="346"/>
      <c r="E12" s="347"/>
      <c r="F12" s="316"/>
      <c r="G12" s="380"/>
      <c r="H12" s="348"/>
      <c r="I12" s="142"/>
      <c r="J12" s="142"/>
      <c r="K12" s="349"/>
      <c r="L12" s="382"/>
    </row>
    <row r="13" spans="1:12" ht="17.25" customHeight="1">
      <c r="A13" s="128" t="str">
        <f>IF(+'Forecast Data For 2011'!$A$27=0," ",+'Forecast Data For 2011'!$A$27)</f>
        <v> </v>
      </c>
      <c r="B13" s="344"/>
      <c r="C13" s="345"/>
      <c r="D13" s="346"/>
      <c r="E13" s="347"/>
      <c r="F13" s="316"/>
      <c r="G13" s="380"/>
      <c r="H13" s="348"/>
      <c r="I13" s="142"/>
      <c r="J13" s="142"/>
      <c r="K13" s="349"/>
      <c r="L13" s="382"/>
    </row>
    <row r="14" spans="1:11" ht="18" customHeight="1" thickBot="1">
      <c r="A14" s="129" t="s">
        <v>1</v>
      </c>
      <c r="B14" s="350">
        <f>SUM(B4:B13)</f>
        <v>64573138.63247485</v>
      </c>
      <c r="C14" s="351">
        <f>SUM(C4:C13)</f>
        <v>60586726.81247487</v>
      </c>
      <c r="D14" s="351">
        <f>SUM(D4:D13)</f>
        <v>3986411.8225839767</v>
      </c>
      <c r="E14" s="351">
        <f>SUM(E4:E13)</f>
        <v>64573138.635058835</v>
      </c>
      <c r="F14" s="534">
        <f>+E14/B14</f>
        <v>1.0000000000400164</v>
      </c>
      <c r="G14" s="381"/>
      <c r="H14" s="352"/>
      <c r="I14" s="351">
        <f>SUM(I4:I13)</f>
        <v>64573138.635058835</v>
      </c>
      <c r="J14" s="351">
        <f>SUM(J4:J13)</f>
        <v>3986411.8225839767</v>
      </c>
      <c r="K14" s="353">
        <f>SUM(K4:K13)</f>
        <v>60586726.81247487</v>
      </c>
    </row>
    <row r="15" spans="2:11" ht="13.5" customHeight="1">
      <c r="B15" s="418"/>
      <c r="C15" s="326"/>
      <c r="D15" s="326"/>
      <c r="E15" s="326"/>
      <c r="F15" s="326"/>
      <c r="G15" s="326"/>
      <c r="H15" s="326"/>
      <c r="I15" s="326"/>
      <c r="J15" s="326"/>
      <c r="K15" s="326"/>
    </row>
    <row r="16" spans="2:11" ht="12.75">
      <c r="B16" s="418">
        <f>'Revenue Input'!B5+'Revenue Input'!B10</f>
        <v>64573138.63247486</v>
      </c>
      <c r="C16" s="326"/>
      <c r="D16" s="326"/>
      <c r="E16" s="326"/>
      <c r="F16" s="326"/>
      <c r="G16" s="326"/>
      <c r="H16" s="326"/>
      <c r="I16" s="326"/>
      <c r="J16" s="326"/>
      <c r="K16" s="418">
        <f>'Revenue Input'!B7+'Revenue Input'!B10</f>
        <v>60586726.81247486</v>
      </c>
    </row>
    <row r="17" spans="2:11" ht="13.5" thickBot="1">
      <c r="B17" s="418"/>
      <c r="C17" s="326"/>
      <c r="D17" s="326"/>
      <c r="E17" s="326"/>
      <c r="F17" s="326"/>
      <c r="G17" s="326"/>
      <c r="H17" s="326"/>
      <c r="I17" s="326"/>
      <c r="J17" s="326"/>
      <c r="K17" s="326"/>
    </row>
    <row r="18" spans="2:11" ht="13.5" thickBot="1">
      <c r="B18" s="535">
        <f>B14-B16</f>
        <v>0</v>
      </c>
      <c r="C18" s="49" t="s">
        <v>226</v>
      </c>
      <c r="D18" s="326"/>
      <c r="E18" s="326"/>
      <c r="F18" s="326"/>
      <c r="G18" s="326"/>
      <c r="H18" s="326"/>
      <c r="I18" s="589" t="s">
        <v>225</v>
      </c>
      <c r="J18" s="590"/>
      <c r="K18" s="419">
        <f>K14-K16</f>
        <v>0</v>
      </c>
    </row>
  </sheetData>
  <sheetProtection/>
  <mergeCells count="2">
    <mergeCell ref="A1:K1"/>
    <mergeCell ref="I18:J18"/>
  </mergeCells>
  <printOptions/>
  <pageMargins left="0.75" right="0.75" top="1" bottom="1" header="0.5" footer="0.5"/>
  <pageSetup fitToHeight="1" fitToWidth="1" horizontalDpi="355" verticalDpi="355" orientation="landscape" paperSize="5" scale="7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8"/>
  <sheetViews>
    <sheetView showGridLines="0" zoomScale="90" zoomScaleNormal="90" zoomScalePageLayoutView="0" workbookViewId="0" topLeftCell="B1">
      <selection activeCell="F14" sqref="F14:H14"/>
    </sheetView>
  </sheetViews>
  <sheetFormatPr defaultColWidth="9.140625" defaultRowHeight="12.75"/>
  <cols>
    <col min="1" max="1" width="32.7109375" style="0" bestFit="1" customWidth="1"/>
    <col min="2" max="2" width="18.57421875" style="110" bestFit="1" customWidth="1"/>
    <col min="3" max="3" width="14.8515625" style="0" bestFit="1" customWidth="1"/>
    <col min="4" max="4" width="14.00390625" style="0" customWidth="1"/>
    <col min="5" max="5" width="19.28125" style="0" customWidth="1"/>
    <col min="6" max="6" width="15.140625" style="0" customWidth="1"/>
    <col min="7" max="7" width="15.00390625" style="0" customWidth="1"/>
    <col min="8" max="8" width="14.00390625" style="0" customWidth="1"/>
    <col min="9" max="9" width="14.140625" style="0" bestFit="1" customWidth="1"/>
    <col min="10" max="10" width="11.421875" style="0" bestFit="1" customWidth="1"/>
    <col min="11" max="11" width="14.140625" style="0" bestFit="1" customWidth="1"/>
  </cols>
  <sheetData>
    <row r="1" spans="1:11" ht="15.75">
      <c r="A1" s="591" t="s">
        <v>188</v>
      </c>
      <c r="B1" s="591"/>
      <c r="C1" s="591"/>
      <c r="D1" s="591"/>
      <c r="E1" s="591"/>
      <c r="F1" s="591"/>
      <c r="G1" s="591"/>
      <c r="H1" s="591"/>
      <c r="I1" s="591"/>
      <c r="J1" s="591"/>
      <c r="K1" s="591"/>
    </row>
    <row r="2" spans="1:11" ht="13.5" thickBot="1">
      <c r="A2" s="592"/>
      <c r="B2" s="592"/>
      <c r="C2" s="592"/>
      <c r="D2" s="592"/>
      <c r="E2" s="592"/>
      <c r="F2" s="592"/>
      <c r="G2" s="592"/>
      <c r="H2" s="592"/>
      <c r="I2" s="592"/>
      <c r="J2" s="592"/>
      <c r="K2" s="592"/>
    </row>
    <row r="3" spans="1:11" s="133" customFormat="1" ht="38.25">
      <c r="A3" s="136" t="s">
        <v>0</v>
      </c>
      <c r="B3" s="137" t="s">
        <v>124</v>
      </c>
      <c r="C3" s="138" t="s">
        <v>105</v>
      </c>
      <c r="D3" s="138" t="s">
        <v>2</v>
      </c>
      <c r="E3" s="138" t="s">
        <v>3</v>
      </c>
      <c r="F3" s="138" t="s">
        <v>4</v>
      </c>
      <c r="G3" s="138" t="s">
        <v>5</v>
      </c>
      <c r="H3" s="138" t="s">
        <v>6</v>
      </c>
      <c r="I3" s="138" t="s">
        <v>125</v>
      </c>
      <c r="J3" s="138" t="s">
        <v>42</v>
      </c>
      <c r="K3" s="139" t="s">
        <v>41</v>
      </c>
    </row>
    <row r="4" spans="1:11" ht="20.25" customHeight="1">
      <c r="A4" s="140" t="str">
        <f>'Cost Allocation Study'!A4</f>
        <v>Residential</v>
      </c>
      <c r="B4" s="142">
        <f>'Cost Allocation Study'!K4</f>
        <v>32977678.37010964</v>
      </c>
      <c r="C4" s="394">
        <f aca="true" t="shared" si="0" ref="C4:C10">+B4/$B$14</f>
        <v>0.5581637368054664</v>
      </c>
      <c r="D4" s="395">
        <f>E23</f>
        <v>10.66</v>
      </c>
      <c r="E4" s="396">
        <f>ROUND(+G4/'Forecast Data For 2011'!I5,4)</f>
        <v>0.0155</v>
      </c>
      <c r="F4" s="397">
        <f>+D4*'Forecast Data For 2011'!I4*12</f>
        <v>15818583.765316559</v>
      </c>
      <c r="G4" s="397">
        <f>+B4-F4</f>
        <v>17159094.60479308</v>
      </c>
      <c r="H4" s="398"/>
      <c r="I4" s="399">
        <f>+F4+G4+H4</f>
        <v>32977678.37010964</v>
      </c>
      <c r="J4" s="399">
        <f>+'Allocation Low Voltage Costs'!F4</f>
        <v>0</v>
      </c>
      <c r="K4" s="400">
        <f>+I4+J4</f>
        <v>32977678.37010964</v>
      </c>
    </row>
    <row r="5" spans="1:11" ht="20.25" customHeight="1">
      <c r="A5" s="140" t="str">
        <f>'Cost Allocation Study'!A5</f>
        <v>GS &lt; 50 kW</v>
      </c>
      <c r="B5" s="142">
        <f>'Cost Allocation Study'!K5</f>
        <v>7135576.944357224</v>
      </c>
      <c r="C5" s="394">
        <f t="shared" si="0"/>
        <v>0.12077321656261024</v>
      </c>
      <c r="D5" s="395">
        <f>E24</f>
        <v>20.39</v>
      </c>
      <c r="E5" s="396">
        <f>ROUND(+G5/'Forecast Data For 2011'!I7,4)</f>
        <v>0.0179</v>
      </c>
      <c r="F5" s="397">
        <f>+D5*'Forecast Data For 2011'!I6*12</f>
        <v>1931247.8762451322</v>
      </c>
      <c r="G5" s="397">
        <f>+B5-F5</f>
        <v>5204329.068112092</v>
      </c>
      <c r="H5" s="398"/>
      <c r="I5" s="399">
        <f>+F5+G5+H5</f>
        <v>7135576.944357224</v>
      </c>
      <c r="J5" s="399">
        <f>+'Allocation Low Voltage Costs'!F5</f>
        <v>0</v>
      </c>
      <c r="K5" s="400">
        <f>+I5+J5</f>
        <v>7135576.944357224</v>
      </c>
    </row>
    <row r="6" spans="1:11" ht="20.25" customHeight="1">
      <c r="A6" s="140" t="str">
        <f>'Cost Allocation Study'!A6</f>
        <v>GS &gt;50 kW - Regular</v>
      </c>
      <c r="B6" s="142">
        <f>'Cost Allocation Study'!K6+'Transformer Allowance'!C7</f>
        <v>8817048.809983812</v>
      </c>
      <c r="C6" s="394">
        <f t="shared" si="0"/>
        <v>0.14923297074294295</v>
      </c>
      <c r="D6" s="395">
        <f>E25</f>
        <v>102.26</v>
      </c>
      <c r="E6" s="396">
        <f>ROUND((+G6+H6)/'Forecast Data For 2011'!I9,4)</f>
        <v>2.2957</v>
      </c>
      <c r="F6" s="397">
        <f>+D6*'Forecast Data For 2011'!I8*12</f>
        <v>1904751.7106515684</v>
      </c>
      <c r="G6" s="397">
        <f>+B6-F6</f>
        <v>6912297.099332244</v>
      </c>
      <c r="H6" s="397">
        <f>-'Transformer Allowance'!C7</f>
        <v>158133.1967870871</v>
      </c>
      <c r="I6" s="399">
        <f>+F6+G6+H6</f>
        <v>8975182.0067709</v>
      </c>
      <c r="J6" s="399">
        <f>+'Allocation Low Voltage Costs'!F6</f>
        <v>0</v>
      </c>
      <c r="K6" s="400">
        <f>+I6+J6</f>
        <v>8975182.0067709</v>
      </c>
    </row>
    <row r="7" spans="1:11" ht="20.25" customHeight="1">
      <c r="A7" s="140" t="str">
        <f>'Cost Allocation Study'!A7</f>
        <v>GS &gt; 50 kW - Intermediate</v>
      </c>
      <c r="B7" s="142">
        <f>'Cost Allocation Study'!K7+'Transformer Allowance'!C8</f>
        <v>7907149.9357720055</v>
      </c>
      <c r="C7" s="394">
        <f t="shared" si="0"/>
        <v>0.13383247620099015</v>
      </c>
      <c r="D7" s="395">
        <f>E26</f>
        <v>1418.56</v>
      </c>
      <c r="E7" s="396">
        <f>ROUND((+G7+H7)/'Forecast Data For 2011'!I12,4)</f>
        <v>3.7417</v>
      </c>
      <c r="F7" s="397">
        <f>+D7*'Forecast Data For 2011'!I11*12</f>
        <v>1803613.1083732322</v>
      </c>
      <c r="G7" s="397">
        <f>+B7-F7</f>
        <v>6103536.827398773</v>
      </c>
      <c r="H7" s="397">
        <f>-'Transformer Allowance'!C8</f>
        <v>927677.8556877767</v>
      </c>
      <c r="I7" s="399">
        <f>+F7+G7+H7</f>
        <v>8834827.791459782</v>
      </c>
      <c r="J7" s="399">
        <f>+'Allocation Low Voltage Costs'!F7</f>
        <v>0</v>
      </c>
      <c r="K7" s="400">
        <f>+I7+J7</f>
        <v>8834827.791459782</v>
      </c>
    </row>
    <row r="8" spans="1:11" ht="20.25" customHeight="1">
      <c r="A8" s="140" t="str">
        <f>'Cost Allocation Study'!A8</f>
        <v>Large Use</v>
      </c>
      <c r="B8" s="142">
        <f>'Cost Allocation Study'!K8+'Transformer Allowance'!C9</f>
        <v>1946481.9596254234</v>
      </c>
      <c r="C8" s="394">
        <f t="shared" si="0"/>
        <v>0.03294518286022513</v>
      </c>
      <c r="D8" s="395">
        <f>E27</f>
        <v>4749.47</v>
      </c>
      <c r="E8" s="396">
        <f>ROUND((+G8+H8)/'Forecast Data For 2011'!I15,4)</f>
        <v>2.9005</v>
      </c>
      <c r="F8" s="397">
        <f>+D8*'Forecast Data For 2011'!I14*12</f>
        <v>341961.83999999997</v>
      </c>
      <c r="G8" s="397">
        <f>+B8-F8</f>
        <v>1604520.1196254236</v>
      </c>
      <c r="H8" s="397">
        <f>-'Transformer Allowance'!C9</f>
        <v>418470.6</v>
      </c>
      <c r="I8" s="399">
        <f>+F8+G8+H8</f>
        <v>2364952.5596254235</v>
      </c>
      <c r="J8" s="399">
        <f>+'Allocation Low Voltage Costs'!F8</f>
        <v>0</v>
      </c>
      <c r="K8" s="400">
        <f>+I8+J8</f>
        <v>2364952.5596254235</v>
      </c>
    </row>
    <row r="9" spans="1:11" ht="20.25" customHeight="1">
      <c r="A9" s="140" t="str">
        <f>'Cost Allocation Study'!A9</f>
        <v>Street Lighting</v>
      </c>
      <c r="B9" s="142">
        <f>'Cost Allocation Study'!K9</f>
        <v>195712.22932185495</v>
      </c>
      <c r="C9" s="394">
        <f t="shared" si="0"/>
        <v>0.0033125275839862504</v>
      </c>
      <c r="D9" s="395">
        <f>E28</f>
        <v>0.07</v>
      </c>
      <c r="E9" s="396">
        <f>ROUND(+G9/'Forecast Data For 2011'!I18,4)</f>
        <v>1.8085</v>
      </c>
      <c r="F9" s="397">
        <f>+D9*'Forecast Data For 2011'!I17*12</f>
        <v>35412.91487526082</v>
      </c>
      <c r="G9" s="397">
        <f>+B9-F9</f>
        <v>160299.31444659413</v>
      </c>
      <c r="H9" s="398"/>
      <c r="I9" s="399">
        <f>+F9+G9+H9</f>
        <v>195712.22932185495</v>
      </c>
      <c r="J9" s="399">
        <f>+'Allocation Low Voltage Costs'!F9</f>
        <v>0</v>
      </c>
      <c r="K9" s="400">
        <f>+I9+J9</f>
        <v>195712.22932185495</v>
      </c>
    </row>
    <row r="10" spans="1:11" ht="20.25" customHeight="1">
      <c r="A10" s="140" t="str">
        <f>'Cost Allocation Study'!A10</f>
        <v>Unmetered Scattered Load</v>
      </c>
      <c r="B10" s="142">
        <f>'Cost Allocation Study'!K10</f>
        <v>102796.91083004154</v>
      </c>
      <c r="C10" s="394">
        <f t="shared" si="0"/>
        <v>0.0017398892437789136</v>
      </c>
      <c r="D10" s="395">
        <f>E29</f>
        <v>0.97</v>
      </c>
      <c r="E10" s="396">
        <f>ROUND(+G10/'Forecast Data For 2011'!I22,4)</f>
        <v>0.0179</v>
      </c>
      <c r="F10" s="397">
        <f>+D10*'Forecast Data For 2011'!I21*12</f>
        <v>15136.716196118063</v>
      </c>
      <c r="G10" s="397">
        <f>+B10-F10</f>
        <v>87660.19463392347</v>
      </c>
      <c r="H10" s="398"/>
      <c r="I10" s="399">
        <f>+F10+G10+H10</f>
        <v>102796.91083004154</v>
      </c>
      <c r="J10" s="399">
        <f>+'Allocation Low Voltage Costs'!F10</f>
        <v>0</v>
      </c>
      <c r="K10" s="400">
        <f>+I10+J10</f>
        <v>102796.91083004154</v>
      </c>
    </row>
    <row r="11" spans="1:11" ht="20.25" customHeight="1">
      <c r="A11" s="448" t="str">
        <f>IF(+'Forecast Data For 2011'!$A$23=0," ",+'Forecast Data For 2011'!$A$23)</f>
        <v> </v>
      </c>
      <c r="B11" s="142"/>
      <c r="C11" s="394"/>
      <c r="D11" s="395"/>
      <c r="E11" s="396"/>
      <c r="F11" s="397"/>
      <c r="G11" s="397"/>
      <c r="H11" s="398"/>
      <c r="I11" s="399"/>
      <c r="J11" s="399"/>
      <c r="K11" s="400"/>
    </row>
    <row r="12" spans="1:11" ht="20.25" customHeight="1">
      <c r="A12" s="448" t="str">
        <f>IF(+'Forecast Data For 2011'!$A$25=0," ",+'Forecast Data For 2011'!$A$25)</f>
        <v> </v>
      </c>
      <c r="B12" s="142"/>
      <c r="C12" s="394"/>
      <c r="D12" s="395"/>
      <c r="E12" s="401"/>
      <c r="F12" s="401"/>
      <c r="G12" s="401"/>
      <c r="H12" s="401"/>
      <c r="I12" s="401"/>
      <c r="J12" s="401"/>
      <c r="K12" s="400"/>
    </row>
    <row r="13" spans="1:11" ht="20.25" customHeight="1" thickBot="1">
      <c r="A13" s="131" t="str">
        <f>IF(+'Forecast Data For 2011'!$A$27=0," ",+'Forecast Data For 2011'!$A$27)</f>
        <v> </v>
      </c>
      <c r="B13" s="144"/>
      <c r="C13" s="402"/>
      <c r="D13" s="403"/>
      <c r="E13" s="404"/>
      <c r="F13" s="405"/>
      <c r="G13" s="405"/>
      <c r="H13" s="406"/>
      <c r="I13" s="407"/>
      <c r="J13" s="407"/>
      <c r="K13" s="408"/>
    </row>
    <row r="14" spans="1:11" ht="18" customHeight="1" thickBot="1">
      <c r="A14" s="135" t="s">
        <v>1</v>
      </c>
      <c r="B14" s="354">
        <f>SUM(B4:B13)</f>
        <v>59082445.160000004</v>
      </c>
      <c r="C14" s="409">
        <f>SUM(C4:C13)</f>
        <v>0.9999999999999999</v>
      </c>
      <c r="D14" s="410"/>
      <c r="E14" s="411"/>
      <c r="F14" s="412">
        <f aca="true" t="shared" si="1" ref="F14:K14">SUM(F4:F13)</f>
        <v>21850707.931657873</v>
      </c>
      <c r="G14" s="412">
        <f t="shared" si="1"/>
        <v>37231737.22834212</v>
      </c>
      <c r="H14" s="412">
        <f t="shared" si="1"/>
        <v>1504281.652474864</v>
      </c>
      <c r="I14" s="412">
        <f t="shared" si="1"/>
        <v>60586726.81247487</v>
      </c>
      <c r="J14" s="412">
        <f t="shared" si="1"/>
        <v>0</v>
      </c>
      <c r="K14" s="412">
        <f t="shared" si="1"/>
        <v>60586726.81247487</v>
      </c>
    </row>
    <row r="15" spans="3:11" ht="18" customHeight="1" thickBot="1" thickTop="1">
      <c r="C15" s="401"/>
      <c r="D15" s="413" t="s">
        <v>115</v>
      </c>
      <c r="E15" s="413"/>
      <c r="F15" s="414">
        <f>+F14/I14</f>
        <v>0.36065173151355634</v>
      </c>
      <c r="G15" s="414">
        <f>+G14/I14</f>
        <v>0.6145197007189381</v>
      </c>
      <c r="H15" s="414">
        <f>+H14/I14</f>
        <v>0.02482856776750532</v>
      </c>
      <c r="I15" s="414">
        <f>F15+G15+H15</f>
        <v>0.9999999999999998</v>
      </c>
      <c r="J15" s="401"/>
      <c r="K15" s="401"/>
    </row>
    <row r="16" spans="4:10" ht="18" customHeight="1">
      <c r="D16" s="16"/>
      <c r="E16" s="16"/>
      <c r="F16" s="108"/>
      <c r="G16" s="108"/>
      <c r="H16" s="108"/>
      <c r="I16" s="108"/>
      <c r="J16" s="8"/>
    </row>
    <row r="17" spans="4:9" ht="12.75">
      <c r="D17" s="449" t="s">
        <v>228</v>
      </c>
      <c r="F17" s="450">
        <f>SUM(F4:F8)+F10</f>
        <v>21815295.01678261</v>
      </c>
      <c r="G17" s="450">
        <f>SUM(G4:G8)+G10</f>
        <v>37071437.91389553</v>
      </c>
      <c r="H17" s="452">
        <f>SUM(H4:H8)+H10</f>
        <v>1504281.652474864</v>
      </c>
      <c r="I17" s="452">
        <f>SUM(I4:I8)+I10</f>
        <v>60391014.58315302</v>
      </c>
    </row>
    <row r="18" spans="4:9" ht="13.5" thickBot="1">
      <c r="D18" s="383" t="s">
        <v>227</v>
      </c>
      <c r="E18" s="47"/>
      <c r="F18" s="451">
        <f>+F17/I17</f>
        <v>0.3612341201313137</v>
      </c>
      <c r="G18" s="451">
        <f>(+G17+H17)/I17</f>
        <v>0.6387658798686863</v>
      </c>
      <c r="H18" s="17"/>
      <c r="I18" s="17"/>
    </row>
    <row r="19" ht="13.5" thickTop="1"/>
    <row r="20" ht="12.75"/>
    <row r="21" spans="1:8" ht="18">
      <c r="A21" s="593" t="s">
        <v>163</v>
      </c>
      <c r="B21" s="593"/>
      <c r="C21" s="593"/>
      <c r="D21" s="593"/>
      <c r="E21" s="593"/>
      <c r="F21" s="593"/>
      <c r="G21" s="593"/>
      <c r="H21" s="134"/>
    </row>
    <row r="22" spans="1:8" ht="115.5" thickBot="1">
      <c r="A22" s="130" t="s">
        <v>0</v>
      </c>
      <c r="B22" s="145" t="s">
        <v>164</v>
      </c>
      <c r="C22" s="130" t="s">
        <v>165</v>
      </c>
      <c r="D22" s="130" t="s">
        <v>41</v>
      </c>
      <c r="E22" s="130" t="s">
        <v>166</v>
      </c>
      <c r="F22" s="130" t="s">
        <v>189</v>
      </c>
      <c r="G22" s="130" t="s">
        <v>126</v>
      </c>
      <c r="H22" s="23"/>
    </row>
    <row r="23" spans="1:7" ht="18.75" customHeight="1">
      <c r="A23" s="146" t="str">
        <f>A4</f>
        <v>Residential</v>
      </c>
      <c r="B23" s="415">
        <f>('2011 Test Yr On Existing Rates'!G6-'2011 Test Yr On Existing Rates'!I6)/'2011 Test Yr On Existing Rates'!J6</f>
        <v>0.5202826381460157</v>
      </c>
      <c r="C23" s="415">
        <f>1-B23</f>
        <v>0.4797173618539843</v>
      </c>
      <c r="D23" s="415">
        <f>SUM(B23:C23)</f>
        <v>1</v>
      </c>
      <c r="E23" s="453">
        <f>ROUND(+B4*C23/'Forecast Data For 2011'!I4/12,2)</f>
        <v>10.66</v>
      </c>
      <c r="F23" s="416">
        <f>+'2010 Existing Rates'!C5</f>
        <v>10.6</v>
      </c>
      <c r="G23" s="147"/>
    </row>
    <row r="24" spans="1:7" ht="18.75" customHeight="1">
      <c r="A24" s="140" t="str">
        <f>A5</f>
        <v>GS &lt; 50 kW</v>
      </c>
      <c r="B24" s="417">
        <f>('2011 Test Yr On Existing Rates'!G7-'2011 Test Yr On Existing Rates'!I7)/'2011 Test Yr On Existing Rates'!J7</f>
        <v>0.7293956933787721</v>
      </c>
      <c r="C24" s="417">
        <f aca="true" t="shared" si="2" ref="C24:C29">1-B24</f>
        <v>0.2706043066212279</v>
      </c>
      <c r="D24" s="417">
        <f aca="true" t="shared" si="3" ref="D24:D29">SUM(B24:C24)</f>
        <v>1</v>
      </c>
      <c r="E24" s="454">
        <f>ROUND(+B5*C24/'Forecast Data For 2011'!I6/12,2)</f>
        <v>20.39</v>
      </c>
      <c r="F24" s="416">
        <f>+'2010 Existing Rates'!C6</f>
        <v>20.27</v>
      </c>
      <c r="G24" s="150"/>
    </row>
    <row r="25" spans="1:7" ht="18.75" customHeight="1">
      <c r="A25" s="140" t="str">
        <f>A6</f>
        <v>GS &gt;50 kW - Regular</v>
      </c>
      <c r="B25" s="417">
        <f>('2011 Test Yr On Existing Rates'!G8-'2011 Test Yr On Existing Rates'!I8)/'2011 Test Yr On Existing Rates'!J8</f>
        <v>0.7839600182260308</v>
      </c>
      <c r="C25" s="417">
        <f t="shared" si="2"/>
        <v>0.21603998177396921</v>
      </c>
      <c r="D25" s="417">
        <f t="shared" si="3"/>
        <v>1</v>
      </c>
      <c r="E25" s="454">
        <f>ROUND(+B6*C25/'Forecast Data For 2011'!I8/12,2)</f>
        <v>102.26</v>
      </c>
      <c r="F25" s="416">
        <f>+'2010 Existing Rates'!C7</f>
        <v>101.68</v>
      </c>
      <c r="G25" s="150"/>
    </row>
    <row r="26" spans="1:7" ht="18.75" customHeight="1">
      <c r="A26" s="140" t="str">
        <f>A7</f>
        <v>GS &gt; 50 kW - Intermediate</v>
      </c>
      <c r="B26" s="417">
        <f>('2011 Test Yr On Existing Rates'!G9-'2011 Test Yr On Existing Rates'!I9)/'2011 Test Yr On Existing Rates'!J9</f>
        <v>0.7719013840370222</v>
      </c>
      <c r="C26" s="417">
        <f t="shared" si="2"/>
        <v>0.22809861596297776</v>
      </c>
      <c r="D26" s="417">
        <f t="shared" si="3"/>
        <v>1</v>
      </c>
      <c r="E26" s="454">
        <f>ROUND(+B7*C26/'Forecast Data For 2011'!I11/12,2)</f>
        <v>1418.56</v>
      </c>
      <c r="F26" s="416">
        <f>+'2010 Existing Rates'!C8</f>
        <v>1410.45</v>
      </c>
      <c r="G26" s="150"/>
    </row>
    <row r="27" spans="1:7" ht="18.75" customHeight="1">
      <c r="A27" s="140" t="str">
        <f aca="true" t="shared" si="4" ref="A27:A32">A8</f>
        <v>Large Use</v>
      </c>
      <c r="B27" s="417">
        <f>('2011 Test Yr On Existing Rates'!G10-'2011 Test Yr On Existing Rates'!I10)/'2011 Test Yr On Existing Rates'!J10</f>
        <v>0.8243178241358149</v>
      </c>
      <c r="C27" s="417">
        <f t="shared" si="2"/>
        <v>0.1756821758641851</v>
      </c>
      <c r="D27" s="417">
        <f t="shared" si="3"/>
        <v>1</v>
      </c>
      <c r="E27" s="454">
        <f>ROUND(+B8*C27/'Forecast Data For 2011'!I14/12,2)</f>
        <v>4749.47</v>
      </c>
      <c r="F27" s="416">
        <f>+'2010 Existing Rates'!C9</f>
        <v>4722.33</v>
      </c>
      <c r="G27" s="150"/>
    </row>
    <row r="28" spans="1:7" ht="18.75" customHeight="1">
      <c r="A28" s="140" t="str">
        <f>A9</f>
        <v>Street Lighting</v>
      </c>
      <c r="B28" s="417">
        <f>+G18</f>
        <v>0.6387658798686863</v>
      </c>
      <c r="C28" s="417">
        <f t="shared" si="2"/>
        <v>0.36123412013131373</v>
      </c>
      <c r="D28" s="417">
        <f t="shared" si="3"/>
        <v>1</v>
      </c>
      <c r="E28" s="454">
        <f>ROUND(+B9*C28/'Forecast Data For 2011'!I18/12,2)</f>
        <v>0.07</v>
      </c>
      <c r="F28" s="416">
        <f>+'2010 Existing Rates'!C10</f>
        <v>0</v>
      </c>
      <c r="G28" s="150"/>
    </row>
    <row r="29" spans="1:7" ht="18.75" customHeight="1">
      <c r="A29" s="140" t="str">
        <f t="shared" si="4"/>
        <v>Unmetered Scattered Load</v>
      </c>
      <c r="B29" s="417">
        <f>('2011 Test Yr On Existing Rates'!G12-'2011 Test Yr On Existing Rates'!I12)/'2011 Test Yr On Existing Rates'!J12</f>
        <v>0.8533246349546848</v>
      </c>
      <c r="C29" s="417">
        <f t="shared" si="2"/>
        <v>0.1466753650453152</v>
      </c>
      <c r="D29" s="417">
        <f t="shared" si="3"/>
        <v>1</v>
      </c>
      <c r="E29" s="454">
        <f>ROUND(+B10*C29/'Forecast Data For 2011'!I21/12,2)</f>
        <v>0.97</v>
      </c>
      <c r="F29" s="416">
        <f>+'2010 Existing Rates'!C11</f>
        <v>20.15</v>
      </c>
      <c r="G29" s="150"/>
    </row>
    <row r="30" spans="1:7" ht="18.75" customHeight="1">
      <c r="A30" s="140" t="str">
        <f>A11</f>
        <v> </v>
      </c>
      <c r="B30" s="148"/>
      <c r="C30" s="148"/>
      <c r="D30" s="148"/>
      <c r="E30" s="315"/>
      <c r="F30" s="149"/>
      <c r="G30" s="150"/>
    </row>
    <row r="31" spans="1:7" ht="18.75" customHeight="1">
      <c r="A31" s="140" t="str">
        <f>A12</f>
        <v> </v>
      </c>
      <c r="B31" s="148"/>
      <c r="C31" s="148"/>
      <c r="D31" s="148"/>
      <c r="E31" s="315"/>
      <c r="F31" s="149"/>
      <c r="G31" s="150"/>
    </row>
    <row r="32" spans="1:7" ht="18.75" customHeight="1">
      <c r="A32" s="140" t="str">
        <f t="shared" si="4"/>
        <v> </v>
      </c>
      <c r="B32" s="148"/>
      <c r="C32" s="148"/>
      <c r="D32" s="148"/>
      <c r="E32" s="315"/>
      <c r="F32" s="149"/>
      <c r="G32" s="150"/>
    </row>
    <row r="33" spans="1:7" ht="18" customHeight="1" thickBot="1">
      <c r="A33" s="129" t="s">
        <v>1</v>
      </c>
      <c r="B33" s="151"/>
      <c r="C33" s="152"/>
      <c r="D33" s="152"/>
      <c r="E33" s="152"/>
      <c r="F33" s="152"/>
      <c r="G33" s="153"/>
    </row>
    <row r="34" ht="12.75">
      <c r="F34" s="1"/>
    </row>
    <row r="35" spans="3:6" ht="12.75">
      <c r="C35" s="10"/>
      <c r="F35" s="56"/>
    </row>
    <row r="36" ht="12.75">
      <c r="F36" s="56"/>
    </row>
    <row r="37" spans="3:6" ht="12.75">
      <c r="C37" s="3"/>
      <c r="F37" s="56"/>
    </row>
    <row r="38" spans="3:6" ht="12.75">
      <c r="C38" s="3"/>
      <c r="F38" s="56"/>
    </row>
    <row r="39" spans="3:6" ht="10.5" customHeight="1">
      <c r="C39" s="3"/>
      <c r="F39" s="56"/>
    </row>
    <row r="40" spans="3:6" ht="12.75">
      <c r="C40" s="1"/>
      <c r="F40" s="56"/>
    </row>
    <row r="41" spans="3:6" ht="12.75">
      <c r="C41" s="1"/>
      <c r="F41" s="56"/>
    </row>
    <row r="42" spans="3:6" ht="12.75">
      <c r="C42" s="1"/>
      <c r="F42" s="51"/>
    </row>
    <row r="43" spans="3:6" ht="12.75">
      <c r="C43" s="1"/>
      <c r="F43" s="51"/>
    </row>
    <row r="44" ht="12.75">
      <c r="C44" s="1"/>
    </row>
    <row r="45" ht="12.75">
      <c r="C45" s="1"/>
    </row>
    <row r="46" ht="12.75">
      <c r="C46" s="1"/>
    </row>
    <row r="47" ht="12.75">
      <c r="C47" s="1"/>
    </row>
    <row r="48" ht="12.75">
      <c r="C48" s="1"/>
    </row>
  </sheetData>
  <sheetProtection/>
  <mergeCells count="3">
    <mergeCell ref="A1:K1"/>
    <mergeCell ref="A2:K2"/>
    <mergeCell ref="A21:G21"/>
  </mergeCells>
  <printOptions/>
  <pageMargins left="0.75" right="0.75" top="1" bottom="1" header="0.5" footer="0.5"/>
  <pageSetup fitToHeight="1" fitToWidth="1" horizontalDpi="355" verticalDpi="355" orientation="landscape" scale="67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"/>
  <sheetViews>
    <sheetView showGridLines="0" zoomScalePageLayoutView="0" workbookViewId="0" topLeftCell="A1">
      <selection activeCell="F24" sqref="F24"/>
    </sheetView>
  </sheetViews>
  <sheetFormatPr defaultColWidth="9.140625" defaultRowHeight="12.75"/>
  <cols>
    <col min="1" max="1" width="32.7109375" style="0" bestFit="1" customWidth="1"/>
    <col min="2" max="2" width="16.00390625" style="0" customWidth="1"/>
    <col min="3" max="3" width="24.7109375" style="0" customWidth="1"/>
    <col min="4" max="4" width="14.28125" style="0" customWidth="1"/>
    <col min="5" max="5" width="13.7109375" style="0" customWidth="1"/>
    <col min="6" max="6" width="13.421875" style="0" bestFit="1" customWidth="1"/>
  </cols>
  <sheetData>
    <row r="1" spans="1:6" s="49" customFormat="1" ht="20.25">
      <c r="A1" s="595" t="s">
        <v>110</v>
      </c>
      <c r="B1" s="596"/>
      <c r="C1" s="596"/>
      <c r="D1" s="596"/>
      <c r="E1" s="596"/>
      <c r="F1" s="597"/>
    </row>
    <row r="2" spans="1:6" ht="38.25" customHeight="1">
      <c r="A2" s="598" t="s">
        <v>0</v>
      </c>
      <c r="B2" s="594" t="s">
        <v>19</v>
      </c>
      <c r="C2" s="594"/>
      <c r="D2" s="600" t="s">
        <v>156</v>
      </c>
      <c r="E2" s="600" t="s">
        <v>20</v>
      </c>
      <c r="F2" s="602" t="s">
        <v>21</v>
      </c>
    </row>
    <row r="3" spans="1:6" ht="13.5" thickBot="1">
      <c r="A3" s="599"/>
      <c r="B3" s="157" t="s">
        <v>22</v>
      </c>
      <c r="C3" s="158" t="s">
        <v>23</v>
      </c>
      <c r="D3" s="601"/>
      <c r="E3" s="601"/>
      <c r="F3" s="603"/>
    </row>
    <row r="4" spans="1:6" ht="17.25" customHeight="1">
      <c r="A4" s="140" t="str">
        <f>'Rates By Rate Class'!A23</f>
        <v>Residential</v>
      </c>
      <c r="B4" s="392"/>
      <c r="C4" s="392"/>
      <c r="D4" s="142">
        <f>+B4*'2011 Test Yr On Existing Rates'!B6</f>
        <v>0</v>
      </c>
      <c r="E4" s="316">
        <f>IF(ISERROR(D4/$D$14)=TRUE,0,D4/$D$14)</f>
        <v>0</v>
      </c>
      <c r="F4" s="317">
        <f aca="true" t="shared" si="0" ref="F4:F13">+$F$14*E4</f>
        <v>0</v>
      </c>
    </row>
    <row r="5" spans="1:6" ht="17.25" customHeight="1">
      <c r="A5" s="140" t="str">
        <f>'Rates By Rate Class'!A24</f>
        <v>GS &lt; 50 kW</v>
      </c>
      <c r="B5" s="392"/>
      <c r="C5" s="392"/>
      <c r="D5" s="142">
        <f>+B5*'2011 Test Yr On Existing Rates'!B7</f>
        <v>0</v>
      </c>
      <c r="E5" s="316">
        <f aca="true" t="shared" si="1" ref="E5:E13">IF(ISERROR(D5/$D$14)=TRUE,0,D5/$D$14)</f>
        <v>0</v>
      </c>
      <c r="F5" s="317">
        <f t="shared" si="0"/>
        <v>0</v>
      </c>
    </row>
    <row r="6" spans="1:6" ht="17.25" customHeight="1">
      <c r="A6" s="140" t="str">
        <f>'Rates By Rate Class'!A25</f>
        <v>GS &gt;50 kW - Regular</v>
      </c>
      <c r="B6" s="392"/>
      <c r="C6" s="392"/>
      <c r="D6" s="142">
        <f>+C6*'2011 Test Yr On Existing Rates'!C8</f>
        <v>0</v>
      </c>
      <c r="E6" s="316">
        <f t="shared" si="1"/>
        <v>0</v>
      </c>
      <c r="F6" s="317">
        <f t="shared" si="0"/>
        <v>0</v>
      </c>
    </row>
    <row r="7" spans="1:6" ht="17.25" customHeight="1">
      <c r="A7" s="140" t="str">
        <f>'Rates By Rate Class'!A26</f>
        <v>GS &gt; 50 kW - Intermediate</v>
      </c>
      <c r="B7" s="392"/>
      <c r="C7" s="392"/>
      <c r="D7" s="142">
        <f>+C7*'2011 Test Yr On Existing Rates'!C9</f>
        <v>0</v>
      </c>
      <c r="E7" s="316">
        <f t="shared" si="1"/>
        <v>0</v>
      </c>
      <c r="F7" s="317">
        <f t="shared" si="0"/>
        <v>0</v>
      </c>
    </row>
    <row r="8" spans="1:6" ht="17.25" customHeight="1">
      <c r="A8" s="140" t="str">
        <f>'Rates By Rate Class'!A27</f>
        <v>Large Use</v>
      </c>
      <c r="B8" s="392"/>
      <c r="C8" s="392"/>
      <c r="D8" s="142">
        <f>+C8*'2011 Test Yr On Existing Rates'!C10</f>
        <v>0</v>
      </c>
      <c r="E8" s="316">
        <f t="shared" si="1"/>
        <v>0</v>
      </c>
      <c r="F8" s="317">
        <f t="shared" si="0"/>
        <v>0</v>
      </c>
    </row>
    <row r="9" spans="1:6" ht="17.25" customHeight="1">
      <c r="A9" s="140" t="str">
        <f>'Rates By Rate Class'!A28</f>
        <v>Street Lighting</v>
      </c>
      <c r="B9" s="392"/>
      <c r="C9" s="392"/>
      <c r="D9" s="142">
        <f>+C9*'2011 Test Yr On Existing Rates'!C11</f>
        <v>0</v>
      </c>
      <c r="E9" s="316">
        <f t="shared" si="1"/>
        <v>0</v>
      </c>
      <c r="F9" s="317">
        <f t="shared" si="0"/>
        <v>0</v>
      </c>
    </row>
    <row r="10" spans="1:6" ht="17.25" customHeight="1">
      <c r="A10" s="140" t="str">
        <f>'Rates By Rate Class'!A29</f>
        <v>Unmetered Scattered Load</v>
      </c>
      <c r="B10" s="392"/>
      <c r="C10" s="392"/>
      <c r="D10" s="142">
        <f>+C10*'2011 Test Yr On Existing Rates'!C12</f>
        <v>0</v>
      </c>
      <c r="E10" s="316">
        <f t="shared" si="1"/>
        <v>0</v>
      </c>
      <c r="F10" s="317">
        <f t="shared" si="0"/>
        <v>0</v>
      </c>
    </row>
    <row r="11" spans="1:6" ht="17.25" customHeight="1">
      <c r="A11" s="448" t="str">
        <f>IF(+'Forecast Data For 2011'!$A$23=0," ",+'Forecast Data For 2011'!$A$23)</f>
        <v> </v>
      </c>
      <c r="B11" s="392"/>
      <c r="C11" s="392"/>
      <c r="D11" s="142">
        <f>+B11*'2011 Test Yr On Existing Rates'!B13</f>
        <v>0</v>
      </c>
      <c r="E11" s="316">
        <f t="shared" si="1"/>
        <v>0</v>
      </c>
      <c r="F11" s="317">
        <f t="shared" si="0"/>
        <v>0</v>
      </c>
    </row>
    <row r="12" spans="1:6" ht="17.25" customHeight="1">
      <c r="A12" s="448" t="str">
        <f>IF(+'Forecast Data For 2011'!$A$25=0," ",+'Forecast Data For 2011'!$A$25)</f>
        <v> </v>
      </c>
      <c r="B12" s="392"/>
      <c r="C12" s="392"/>
      <c r="D12" s="142">
        <f>+C12*'2011 Test Yr On Existing Rates'!B14</f>
        <v>0</v>
      </c>
      <c r="E12" s="316">
        <f t="shared" si="1"/>
        <v>0</v>
      </c>
      <c r="F12" s="317">
        <f t="shared" si="0"/>
        <v>0</v>
      </c>
    </row>
    <row r="13" spans="1:6" ht="17.25" customHeight="1" thickBot="1">
      <c r="A13" s="131" t="str">
        <f>IF(+'Forecast Data For 2011'!$A$27=0," ",+'Forecast Data For 2011'!$A$27)</f>
        <v> </v>
      </c>
      <c r="B13" s="393"/>
      <c r="C13" s="393"/>
      <c r="D13" s="144">
        <f>+C13*'2011 Test Yr On Existing Rates'!B15</f>
        <v>0</v>
      </c>
      <c r="E13" s="318">
        <f t="shared" si="1"/>
        <v>0</v>
      </c>
      <c r="F13" s="319">
        <f t="shared" si="0"/>
        <v>0</v>
      </c>
    </row>
    <row r="14" spans="1:6" ht="18" customHeight="1" thickBot="1">
      <c r="A14" s="154" t="s">
        <v>18</v>
      </c>
      <c r="B14" s="155"/>
      <c r="C14" s="156"/>
      <c r="D14" s="373">
        <f>SUM(D4:D13)</f>
        <v>0</v>
      </c>
      <c r="E14" s="503">
        <f>SUM(E4:E13)</f>
        <v>0</v>
      </c>
      <c r="F14" s="504">
        <f>'Revenue Input'!B9</f>
        <v>0</v>
      </c>
    </row>
    <row r="15" ht="13.5" thickTop="1"/>
    <row r="16" spans="2:3" ht="12.75">
      <c r="B16" s="47"/>
      <c r="C16" s="47"/>
    </row>
  </sheetData>
  <sheetProtection/>
  <mergeCells count="6">
    <mergeCell ref="B2:C2"/>
    <mergeCell ref="A1:F1"/>
    <mergeCell ref="A2:A3"/>
    <mergeCell ref="D2:D3"/>
    <mergeCell ref="E2:E3"/>
    <mergeCell ref="F2:F3"/>
  </mergeCells>
  <printOptions/>
  <pageMargins left="0.75" right="0.75" top="1" bottom="1" header="0.5" footer="0.5"/>
  <pageSetup fitToHeight="1" fitToWidth="1" horizontalDpi="355" verticalDpi="35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"/>
  <sheetViews>
    <sheetView showGridLines="0" zoomScalePageLayoutView="0" workbookViewId="0" topLeftCell="A1">
      <selection activeCell="D15" sqref="D15"/>
    </sheetView>
  </sheetViews>
  <sheetFormatPr defaultColWidth="9.140625" defaultRowHeight="12.75"/>
  <cols>
    <col min="1" max="1" width="32.7109375" style="0" bestFit="1" customWidth="1"/>
    <col min="2" max="2" width="11.8515625" style="0" bestFit="1" customWidth="1"/>
    <col min="3" max="3" width="15.7109375" style="0" bestFit="1" customWidth="1"/>
    <col min="4" max="4" width="14.28125" style="0" bestFit="1" customWidth="1"/>
    <col min="5" max="5" width="10.8515625" style="0" bestFit="1" customWidth="1"/>
    <col min="6" max="6" width="10.57421875" style="0" bestFit="1" customWidth="1"/>
    <col min="7" max="7" width="10.00390625" style="0" bestFit="1" customWidth="1"/>
  </cols>
  <sheetData>
    <row r="1" spans="1:7" ht="6.75" customHeight="1">
      <c r="A1" s="576"/>
      <c r="B1" s="576"/>
      <c r="C1" s="576"/>
      <c r="D1" s="576"/>
      <c r="E1" s="576"/>
      <c r="F1" s="576"/>
      <c r="G1" s="576"/>
    </row>
    <row r="2" spans="1:7" ht="20.25">
      <c r="A2" s="588" t="s">
        <v>109</v>
      </c>
      <c r="B2" s="588"/>
      <c r="C2" s="588"/>
      <c r="D2" s="588"/>
      <c r="E2" s="588"/>
      <c r="F2" s="588"/>
      <c r="G2" s="588"/>
    </row>
    <row r="3" spans="1:7" ht="8.25" customHeight="1" thickBot="1">
      <c r="A3" s="604"/>
      <c r="B3" s="604"/>
      <c r="C3" s="604"/>
      <c r="D3" s="604"/>
      <c r="E3" s="604"/>
      <c r="F3" s="604"/>
      <c r="G3" s="604"/>
    </row>
    <row r="4" spans="1:7" ht="25.5">
      <c r="A4" s="159" t="s">
        <v>0</v>
      </c>
      <c r="B4" s="138" t="s">
        <v>108</v>
      </c>
      <c r="C4" s="138" t="s">
        <v>13</v>
      </c>
      <c r="D4" s="138" t="s">
        <v>14</v>
      </c>
      <c r="E4" s="138" t="s">
        <v>15</v>
      </c>
      <c r="F4" s="138" t="s">
        <v>106</v>
      </c>
      <c r="G4" s="139" t="s">
        <v>107</v>
      </c>
    </row>
    <row r="5" spans="1:7" ht="17.25" customHeight="1">
      <c r="A5" s="140" t="str">
        <f>'Allocation Low Voltage Costs'!A4</f>
        <v>Residential</v>
      </c>
      <c r="B5" s="141">
        <f>+'Allocation Low Voltage Costs'!F4</f>
        <v>0</v>
      </c>
      <c r="C5" s="142">
        <f>+'2011 Test Yr On Existing Rates'!B6</f>
        <v>1107769581</v>
      </c>
      <c r="D5" s="142">
        <f>+'2011 Test Yr On Existing Rates'!C6</f>
        <v>0</v>
      </c>
      <c r="E5" s="386" t="s">
        <v>16</v>
      </c>
      <c r="F5" s="387">
        <f>+B5/C5</f>
        <v>0</v>
      </c>
      <c r="G5" s="388"/>
    </row>
    <row r="6" spans="1:7" ht="17.25" customHeight="1">
      <c r="A6" s="140" t="str">
        <f>'Allocation Low Voltage Costs'!A5</f>
        <v>GS &lt; 50 kW</v>
      </c>
      <c r="B6" s="141">
        <f>+'Allocation Low Voltage Costs'!F5</f>
        <v>0</v>
      </c>
      <c r="C6" s="142">
        <f>+'2011 Test Yr On Existing Rates'!B7</f>
        <v>290725436</v>
      </c>
      <c r="D6" s="142">
        <f>+'2011 Test Yr On Existing Rates'!C7</f>
        <v>0</v>
      </c>
      <c r="E6" s="386" t="s">
        <v>16</v>
      </c>
      <c r="F6" s="387">
        <f>+B6/C6</f>
        <v>0</v>
      </c>
      <c r="G6" s="388"/>
    </row>
    <row r="7" spans="1:7" ht="17.25" customHeight="1">
      <c r="A7" s="140" t="str">
        <f>'Allocation Low Voltage Costs'!A6</f>
        <v>GS &gt;50 kW - Regular</v>
      </c>
      <c r="B7" s="141">
        <f>+'Allocation Low Voltage Costs'!F6</f>
        <v>0</v>
      </c>
      <c r="C7" s="142">
        <f>+'2011 Test Yr On Existing Rates'!B8</f>
        <v>1123789074</v>
      </c>
      <c r="D7" s="142">
        <f>+'2011 Test Yr On Existing Rates'!C8</f>
        <v>3079920</v>
      </c>
      <c r="E7" s="386" t="s">
        <v>17</v>
      </c>
      <c r="F7" s="387"/>
      <c r="G7" s="388">
        <f>+B7/D7</f>
        <v>0</v>
      </c>
    </row>
    <row r="8" spans="1:7" ht="17.25" customHeight="1">
      <c r="A8" s="140" t="str">
        <f>'Allocation Low Voltage Costs'!A7</f>
        <v>GS &gt; 50 kW - Intermediate</v>
      </c>
      <c r="B8" s="141">
        <f>+'Allocation Low Voltage Costs'!F7</f>
        <v>0</v>
      </c>
      <c r="C8" s="142">
        <f>+'2011 Test Yr On Existing Rates'!B9</f>
        <v>832077628</v>
      </c>
      <c r="D8" s="142">
        <f>+'2011 Test Yr On Existing Rates'!C9</f>
        <v>1879169</v>
      </c>
      <c r="E8" s="386" t="s">
        <v>17</v>
      </c>
      <c r="F8" s="387"/>
      <c r="G8" s="388">
        <f>+B8/D8</f>
        <v>0</v>
      </c>
    </row>
    <row r="9" spans="1:7" ht="17.25" customHeight="1">
      <c r="A9" s="140" t="str">
        <f>'Allocation Low Voltage Costs'!A8</f>
        <v>Large Use</v>
      </c>
      <c r="B9" s="141">
        <f>+'Allocation Low Voltage Costs'!F8</f>
        <v>0</v>
      </c>
      <c r="C9" s="142">
        <f>+'2011 Test Yr On Existing Rates'!B10</f>
        <v>383275616</v>
      </c>
      <c r="D9" s="142">
        <f>+'2011 Test Yr On Existing Rates'!C10</f>
        <v>697451</v>
      </c>
      <c r="E9" s="386" t="s">
        <v>17</v>
      </c>
      <c r="F9" s="387"/>
      <c r="G9" s="388">
        <f>+B9/D9</f>
        <v>0</v>
      </c>
    </row>
    <row r="10" spans="1:7" ht="17.25" customHeight="1">
      <c r="A10" s="140" t="str">
        <f>'Allocation Low Voltage Costs'!A9</f>
        <v>Street Lighting</v>
      </c>
      <c r="B10" s="141">
        <f>+'Allocation Low Voltage Costs'!F9</f>
        <v>0</v>
      </c>
      <c r="C10" s="142">
        <f>+'2011 Test Yr On Existing Rates'!B11</f>
        <v>29780031</v>
      </c>
      <c r="D10" s="142">
        <f>+'2011 Test Yr On Existing Rates'!C11</f>
        <v>88637</v>
      </c>
      <c r="E10" s="386" t="s">
        <v>17</v>
      </c>
      <c r="F10" s="387"/>
      <c r="G10" s="388">
        <f>+B10/D10</f>
        <v>0</v>
      </c>
    </row>
    <row r="11" spans="1:7" ht="17.25" customHeight="1">
      <c r="A11" s="140" t="str">
        <f>'Allocation Low Voltage Costs'!A10</f>
        <v>Unmetered Scattered Load</v>
      </c>
      <c r="B11" s="141">
        <f>+'Allocation Low Voltage Costs'!F10</f>
        <v>0</v>
      </c>
      <c r="C11" s="142">
        <f>+'2011 Test Yr On Existing Rates'!B12</f>
        <v>4899876</v>
      </c>
      <c r="D11" s="142"/>
      <c r="E11" s="386" t="s">
        <v>17</v>
      </c>
      <c r="F11" s="387">
        <f>+B11/C11</f>
        <v>0</v>
      </c>
      <c r="G11" s="388"/>
    </row>
    <row r="12" spans="1:7" ht="17.25" customHeight="1">
      <c r="A12" s="448" t="str">
        <f>IF(+'Forecast Data For 2011'!$A$23=0," ",+'Forecast Data For 2011'!$A$23)</f>
        <v> </v>
      </c>
      <c r="B12" s="141"/>
      <c r="C12" s="142"/>
      <c r="D12" s="142"/>
      <c r="E12" s="386"/>
      <c r="F12" s="387"/>
      <c r="G12" s="388"/>
    </row>
    <row r="13" spans="1:7" ht="17.25" customHeight="1">
      <c r="A13" s="448" t="str">
        <f>IF(+'Forecast Data For 2011'!$A$25=0," ",+'Forecast Data For 2011'!$A$25)</f>
        <v> </v>
      </c>
      <c r="B13" s="141"/>
      <c r="C13" s="326"/>
      <c r="D13" s="326"/>
      <c r="E13" s="386"/>
      <c r="F13" s="326"/>
      <c r="G13" s="388"/>
    </row>
    <row r="14" spans="1:7" ht="17.25" customHeight="1" thickBot="1">
      <c r="A14" s="131" t="str">
        <f>IF(+'Forecast Data For 2011'!$A$27=0," ",+'Forecast Data For 2011'!$A$27)</f>
        <v> </v>
      </c>
      <c r="B14" s="141"/>
      <c r="C14" s="144"/>
      <c r="D14" s="144"/>
      <c r="E14" s="386"/>
      <c r="F14" s="389"/>
      <c r="G14" s="388"/>
    </row>
    <row r="15" spans="1:7" ht="18" customHeight="1" thickBot="1">
      <c r="A15" s="161" t="s">
        <v>18</v>
      </c>
      <c r="B15" s="160">
        <f>SUM(B5:B14)</f>
        <v>0</v>
      </c>
      <c r="C15" s="390">
        <f>SUM(C5:C14)</f>
        <v>3772317242</v>
      </c>
      <c r="D15" s="391">
        <f>SUM(D5:D14)</f>
        <v>5745177</v>
      </c>
      <c r="E15" s="391"/>
      <c r="F15" s="391"/>
      <c r="G15" s="391"/>
    </row>
    <row r="16" ht="13.5" thickTop="1"/>
  </sheetData>
  <sheetProtection/>
  <mergeCells count="3">
    <mergeCell ref="A3:G3"/>
    <mergeCell ref="A2:G2"/>
    <mergeCell ref="A1:G1"/>
  </mergeCells>
  <printOptions/>
  <pageMargins left="0.75" right="0.75" top="1" bottom="1" header="0.5" footer="0.5"/>
  <pageSetup fitToHeight="1" fitToWidth="1" horizontalDpi="355" verticalDpi="3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Hamilton Utilities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Bruce Bacon</dc:creator>
  <cp:keywords/>
  <dc:description/>
  <cp:lastModifiedBy>dgapic</cp:lastModifiedBy>
  <cp:lastPrinted>2010-05-26T18:44:36Z</cp:lastPrinted>
  <dcterms:created xsi:type="dcterms:W3CDTF">2007-07-20T14:53:09Z</dcterms:created>
  <dcterms:modified xsi:type="dcterms:W3CDTF">2010-10-04T14:17:46Z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