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8190" tabRatio="558" activeTab="1"/>
  </bookViews>
  <sheets>
    <sheet name="Throughput Revenue Analysis" sheetId="1" r:id="rId1"/>
    <sheet name="Distribution Revenue by Source" sheetId="2" r:id="rId2"/>
    <sheet name="Unit Revenue" sheetId="3" r:id="rId3"/>
    <sheet name="Dx. Revenue - Norm. Forecasts" sheetId="4" r:id="rId4"/>
    <sheet name="Forecast Data 2005 - 2011" sheetId="5" r:id="rId5"/>
    <sheet name="Distribution Rates 2005 - 2011" sheetId="6" r:id="rId6"/>
  </sheets>
  <externalReferences>
    <externalReference r:id="rId9"/>
    <externalReference r:id="rId10"/>
    <externalReference r:id="rId11"/>
  </externalReferences>
  <definedNames>
    <definedName name="_xlnm.Print_Area" localSheetId="0">'Throughput Revenue Analysis'!$A$4:$N$101</definedName>
    <definedName name="_xlnm.Print_Titles" localSheetId="0">'Throughput Revenue Analysis'!$1:$3</definedName>
    <definedName name="TestYrPL">'[1]Menu'!$B$10</definedName>
  </definedNames>
  <calcPr fullCalcOnLoad="1"/>
</workbook>
</file>

<file path=xl/comments2.xml><?xml version="1.0" encoding="utf-8"?>
<comments xmlns="http://schemas.openxmlformats.org/spreadsheetml/2006/main">
  <authors>
    <author>dgapic</author>
  </authors>
  <commentList>
    <comment ref="I36" authorId="0">
      <text>
        <r>
          <rPr>
            <b/>
            <sz val="8"/>
            <rFont val="Tahoma"/>
            <family val="2"/>
          </rPr>
          <t>dgapic:</t>
        </r>
        <r>
          <rPr>
            <sz val="8"/>
            <rFont val="Tahoma"/>
            <family val="2"/>
          </rPr>
          <t xml:space="preserve">
Does not balance with Revenue Requirement due to rate rounding, as volumetric rates are rounded to 4 decimal places, and fixed rates are rounded to 2 decimal places.</t>
        </r>
      </text>
    </comment>
  </commentList>
</comments>
</file>

<file path=xl/sharedStrings.xml><?xml version="1.0" encoding="utf-8"?>
<sst xmlns="http://schemas.openxmlformats.org/spreadsheetml/2006/main" count="360" uniqueCount="122">
  <si>
    <t>Interest Income</t>
  </si>
  <si>
    <t>N/A</t>
  </si>
  <si>
    <t>Residential</t>
  </si>
  <si>
    <t>Large Use (&gt; 5000 kW)</t>
  </si>
  <si>
    <t>Street Lighting</t>
  </si>
  <si>
    <t>Unmetered Scattered Load</t>
  </si>
  <si>
    <t>Low Voltage Adder to Rates</t>
  </si>
  <si>
    <t>Late Payment Charges</t>
  </si>
  <si>
    <t>SSS Administration Revenue</t>
  </si>
  <si>
    <t>Retail Services Revenue</t>
  </si>
  <si>
    <t>Service Transaction Requests (STR) Revenues</t>
  </si>
  <si>
    <t>Rent From Electric Property</t>
  </si>
  <si>
    <t>Miscellaneous Service Revenue</t>
  </si>
  <si>
    <t>Sub-Total</t>
  </si>
  <si>
    <t>Gross Revenues Before Transformer Credit</t>
  </si>
  <si>
    <t>Distribution Revenue:</t>
  </si>
  <si>
    <t>Other Revenue:</t>
  </si>
  <si>
    <t>Total Operating Revenue</t>
  </si>
  <si>
    <t>Sum of Quantity</t>
  </si>
  <si>
    <t>Year Type</t>
  </si>
  <si>
    <t>Class</t>
  </si>
  <si>
    <t>Metric</t>
  </si>
  <si>
    <t>Customer</t>
  </si>
  <si>
    <t>kWh</t>
  </si>
  <si>
    <t>GS &lt;50 kW</t>
  </si>
  <si>
    <t>GS&gt;50 kW</t>
  </si>
  <si>
    <t>kW</t>
  </si>
  <si>
    <t>kW Tx Discount</t>
  </si>
  <si>
    <t>Large Use &gt;5MW</t>
  </si>
  <si>
    <t>Street Light</t>
  </si>
  <si>
    <t>Connection</t>
  </si>
  <si>
    <t>kW Tx Credit</t>
  </si>
  <si>
    <t>Fixed</t>
  </si>
  <si>
    <t xml:space="preserve">Variable </t>
  </si>
  <si>
    <t>Tx Credit</t>
  </si>
  <si>
    <t>Total Distribution Revenue Before Tx Credit</t>
  </si>
  <si>
    <t>Transformer Credit</t>
  </si>
  <si>
    <t>Net Distrbution Revenue</t>
  </si>
  <si>
    <t>General Service &lt; 50 kW</t>
  </si>
  <si>
    <t>General Service &gt; 50 kW</t>
  </si>
  <si>
    <t>2006 LV Component of  Rates</t>
  </si>
  <si>
    <t>2008 LV Component of Rates</t>
  </si>
  <si>
    <t>Service Revenue</t>
  </si>
  <si>
    <t>Other Revenue</t>
  </si>
  <si>
    <t>Variance</t>
  </si>
  <si>
    <t>Net Base Distribution Revenue</t>
  </si>
  <si>
    <t>Volume Variance</t>
  </si>
  <si>
    <t>Price Variance</t>
  </si>
  <si>
    <t>Total Volume Variance</t>
  </si>
  <si>
    <t>Total Price Variance</t>
  </si>
  <si>
    <t>Total Residential Class Variance</t>
  </si>
  <si>
    <t>Residential Class</t>
  </si>
  <si>
    <t>Distribution Revenue Variance Analysis:</t>
  </si>
  <si>
    <t>Large User</t>
  </si>
  <si>
    <t>Total General Service &lt; 50 kW Class Variance</t>
  </si>
  <si>
    <t>Total General Service &gt; 50 kW Class Variance</t>
  </si>
  <si>
    <t>Total Large User Class Variance</t>
  </si>
  <si>
    <t>Less Transformer Allowances:</t>
  </si>
  <si>
    <t>2006 Actual</t>
  </si>
  <si>
    <t>U.O.M.</t>
  </si>
  <si>
    <t>Income Statement Amounts</t>
  </si>
  <si>
    <t>Operating Revenue Throughput Analysis</t>
  </si>
  <si>
    <t>Gross Distribution Revenue</t>
  </si>
  <si>
    <t>Total Transformer Allowances</t>
  </si>
  <si>
    <t xml:space="preserve"> kWh Volume</t>
  </si>
  <si>
    <t>Number of Customers Volume</t>
  </si>
  <si>
    <t>Variable Price Variance</t>
  </si>
  <si>
    <t>Fixed Price Variance</t>
  </si>
  <si>
    <t>kWh Volume</t>
  </si>
  <si>
    <t>kW Volume</t>
  </si>
  <si>
    <t>Description</t>
  </si>
  <si>
    <t>Gross Distribution Revenue From Rates Charged</t>
  </si>
  <si>
    <r>
      <t>Less:</t>
    </r>
    <r>
      <rPr>
        <sz val="10"/>
        <rFont val="Arial"/>
        <family val="2"/>
      </rPr>
      <t xml:space="preserve"> Transformer Credits</t>
    </r>
  </si>
  <si>
    <t>2011 Test Year Distribution Revenue At Existing Rates</t>
  </si>
  <si>
    <t>2011 Test Year Distribution Revenue</t>
  </si>
  <si>
    <t>2011 Proposed Distribution Rates</t>
  </si>
  <si>
    <t>2009 LV Component of Rates</t>
  </si>
  <si>
    <t>2010 LV Component of Rates</t>
  </si>
  <si>
    <t>2007 LV Component of  Rates</t>
  </si>
  <si>
    <t>2007 Actual</t>
  </si>
  <si>
    <t>2008 Actual</t>
  </si>
  <si>
    <t>2009 Actual</t>
  </si>
  <si>
    <t>2010 Bridge</t>
  </si>
  <si>
    <t>2011 Test Year At Existing Rates</t>
  </si>
  <si>
    <t>2011 Test Year At Proposed Rates</t>
  </si>
  <si>
    <t>Intermediate</t>
  </si>
  <si>
    <t>KW</t>
  </si>
  <si>
    <t>Distribution Rates</t>
  </si>
  <si>
    <t>2011 LV Component of Rates</t>
  </si>
  <si>
    <t>2010 Bridge Year</t>
  </si>
  <si>
    <t>Forecast Data For 2011 Test Year Projection</t>
  </si>
  <si>
    <t>Distribution Revenue For 2011 Test Year Projection</t>
  </si>
  <si>
    <t>Throughput Revenue Analysis</t>
  </si>
  <si>
    <t>Distribution Revenue For 2005 - 2009, 2010 Bridge, and 2011 Test Year</t>
  </si>
  <si>
    <t>Miscellaneous Non-Operating Income</t>
  </si>
  <si>
    <t>Amounts Collected for Low Voltage Rate Component</t>
  </si>
  <si>
    <t>Total LV Rate Component</t>
  </si>
  <si>
    <t>Weighted Average Distribution Revenue Per kWh</t>
  </si>
  <si>
    <t>Materiality Threshold = 0.5%</t>
  </si>
  <si>
    <t>General Service &gt; 50 kW Intermediate</t>
  </si>
  <si>
    <t>Streetlighting</t>
  </si>
  <si>
    <t>Total General Service &gt; 50 kW Intermediate Class Variance</t>
  </si>
  <si>
    <t>Total Streetlighting Class Variance</t>
  </si>
  <si>
    <r>
      <t>2008 Approved Distribution Rates</t>
    </r>
    <r>
      <rPr>
        <b/>
        <sz val="14"/>
        <color indexed="9"/>
        <rFont val="Arial"/>
        <family val="2"/>
      </rPr>
      <t xml:space="preserve"> *</t>
    </r>
  </si>
  <si>
    <r>
      <t xml:space="preserve">2009 Approved Distribution Rates </t>
    </r>
    <r>
      <rPr>
        <b/>
        <sz val="14"/>
        <color indexed="9"/>
        <rFont val="Arial"/>
        <family val="2"/>
      </rPr>
      <t xml:space="preserve">* </t>
    </r>
  </si>
  <si>
    <r>
      <t xml:space="preserve">2007Approved Distribution Rates </t>
    </r>
    <r>
      <rPr>
        <b/>
        <sz val="14"/>
        <color indexed="9"/>
        <rFont val="Arial"/>
        <family val="2"/>
      </rPr>
      <t>*</t>
    </r>
  </si>
  <si>
    <r>
      <t xml:space="preserve">2006 Approved Distribution Rates </t>
    </r>
    <r>
      <rPr>
        <b/>
        <sz val="14"/>
        <color indexed="9"/>
        <rFont val="Arial"/>
        <family val="2"/>
      </rPr>
      <t>*</t>
    </r>
  </si>
  <si>
    <r>
      <t xml:space="preserve">2010 Approved Distribution Rates </t>
    </r>
    <r>
      <rPr>
        <b/>
        <sz val="14"/>
        <color indexed="9"/>
        <rFont val="Arial"/>
        <family val="2"/>
      </rPr>
      <t>*</t>
    </r>
  </si>
  <si>
    <r>
      <t xml:space="preserve">2011 Test Year Distribution Revenue At Existing Rates </t>
    </r>
    <r>
      <rPr>
        <b/>
        <sz val="14"/>
        <color indexed="9"/>
        <rFont val="Arial"/>
        <family val="2"/>
      </rPr>
      <t>*</t>
    </r>
  </si>
  <si>
    <r>
      <rPr>
        <b/>
        <sz val="14"/>
        <rFont val="Arial"/>
        <family val="2"/>
      </rPr>
      <t>*</t>
    </r>
    <r>
      <rPr>
        <b/>
        <sz val="10"/>
        <rFont val="Arial"/>
        <family val="2"/>
      </rPr>
      <t xml:space="preserve"> Existing Rates Excluding Smart Meter Riders</t>
    </r>
  </si>
  <si>
    <t>2011 Test Year</t>
  </si>
  <si>
    <t>2006 OEB Approved</t>
  </si>
  <si>
    <t>2006 Approved Distribution Rates</t>
  </si>
  <si>
    <t>2006 Historical Actual - Normalized</t>
  </si>
  <si>
    <t>2007 Historical Actual - Normalized</t>
  </si>
  <si>
    <t>2008 Historical Actual - Normalized</t>
  </si>
  <si>
    <t>2009 Historical Actual - Normalized</t>
  </si>
  <si>
    <t>2010 Bridge Year Projection - Normalzied</t>
  </si>
  <si>
    <t>2011 Test Year Projection - Normalized</t>
  </si>
  <si>
    <t>* Historical actual normalized throughput quantities and actual customer/connection counts for year multiplied by rates in effect for respective rate year.</t>
  </si>
  <si>
    <t>2010 Approved Distribution Rates @</t>
  </si>
  <si>
    <r>
      <t xml:space="preserve">* </t>
    </r>
    <r>
      <rPr>
        <b/>
        <sz val="11"/>
        <rFont val="Arial"/>
        <family val="2"/>
      </rPr>
      <t>- Rates exclude LV rate component as this is removed from Revenue, but Smart Meter Riders are added back for comparative purposes as 2006 to 2010 Trial Balances in the Revenue Requirement Model include Smart Meter CAPex and OPex.                                                                                                                                                                           @ - Smart Meter permanent disposition remains in base monthly service charges.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</si>
</sst>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0.0000"/>
    <numFmt numFmtId="167" formatCode="#,##0.00;[Red]\(#,##0.00\)"/>
    <numFmt numFmtId="168" formatCode="#,##0.0000;[Red]\(#,##0.0000\)"/>
    <numFmt numFmtId="169" formatCode="#,##0.0000_);\(#,##0.0000\)"/>
    <numFmt numFmtId="170" formatCode="#,##0;[Red]\(#,##0\)"/>
  </numFmts>
  <fonts count="53">
    <font>
      <sz val="10"/>
      <name val="Arial"/>
      <family val="0"/>
    </font>
    <font>
      <sz val="11"/>
      <color indexed="8"/>
      <name val="Calibri"/>
      <family val="2"/>
    </font>
    <font>
      <b/>
      <sz val="10"/>
      <name val="Arial"/>
      <family val="2"/>
    </font>
    <font>
      <b/>
      <sz val="12"/>
      <name val="Arial"/>
      <family val="2"/>
    </font>
    <font>
      <b/>
      <sz val="18"/>
      <name val="Arial"/>
      <family val="2"/>
    </font>
    <font>
      <sz val="11"/>
      <name val="Arial"/>
      <family val="2"/>
    </font>
    <font>
      <b/>
      <sz val="14"/>
      <name val="Arial"/>
      <family val="2"/>
    </font>
    <font>
      <sz val="16"/>
      <name val="Arial"/>
      <family val="2"/>
    </font>
    <font>
      <b/>
      <sz val="11"/>
      <name val="Arial"/>
      <family val="2"/>
    </font>
    <font>
      <b/>
      <u val="single"/>
      <sz val="10"/>
      <name val="Arial"/>
      <family val="2"/>
    </font>
    <font>
      <b/>
      <sz val="12"/>
      <color indexed="9"/>
      <name val="Arial"/>
      <family val="2"/>
    </font>
    <font>
      <b/>
      <sz val="10"/>
      <color indexed="9"/>
      <name val="Arial"/>
      <family val="2"/>
    </font>
    <font>
      <sz val="10"/>
      <color indexed="9"/>
      <name val="Arial"/>
      <family val="2"/>
    </font>
    <font>
      <b/>
      <sz val="9"/>
      <color indexed="9"/>
      <name val="Arial"/>
      <family val="2"/>
    </font>
    <font>
      <b/>
      <sz val="9"/>
      <name val="Arial"/>
      <family val="2"/>
    </font>
    <font>
      <sz val="9"/>
      <name val="Arial"/>
      <family val="2"/>
    </font>
    <font>
      <b/>
      <sz val="10"/>
      <color indexed="26"/>
      <name val="Arial"/>
      <family val="2"/>
    </font>
    <font>
      <b/>
      <sz val="14"/>
      <color indexed="9"/>
      <name val="Arial"/>
      <family val="2"/>
    </font>
    <font>
      <sz val="8"/>
      <name val="Tahoma"/>
      <family val="2"/>
    </font>
    <font>
      <b/>
      <sz val="8"/>
      <name val="Tahoma"/>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0"/>
      <color theme="0"/>
      <name val="Arial"/>
      <family val="2"/>
    </font>
    <font>
      <sz val="10"/>
      <color theme="0"/>
      <name val="Arial"/>
      <family val="2"/>
    </font>
    <font>
      <b/>
      <sz val="9"/>
      <color theme="0"/>
      <name val="Arial"/>
      <family val="2"/>
    </font>
    <font>
      <b/>
      <sz val="12"/>
      <color theme="0"/>
      <name val="Arial"/>
      <family val="2"/>
    </font>
    <font>
      <b/>
      <sz val="10"/>
      <color theme="2"/>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1" tint="0.0499899983406066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style="thin"/>
      <right style="thin"/>
      <top style="thin"/>
      <bottom style="thin"/>
    </border>
    <border>
      <left style="thin">
        <color indexed="8"/>
      </left>
      <right/>
      <top/>
      <bottom/>
    </border>
    <border>
      <left style="thin"/>
      <right style="thin"/>
      <top/>
      <bottom style="thin"/>
    </border>
    <border>
      <left style="thin">
        <color indexed="8"/>
      </left>
      <right/>
      <top style="thin">
        <color indexed="8"/>
      </top>
      <bottom/>
    </border>
    <border>
      <left style="thin"/>
      <right style="thin"/>
      <top/>
      <bottom/>
    </border>
    <border>
      <left style="thin"/>
      <right/>
      <top/>
      <bottom/>
    </border>
    <border>
      <left style="thin"/>
      <right style="thin"/>
      <top style="thin"/>
      <bottom/>
    </border>
    <border>
      <left style="thin">
        <color indexed="8"/>
      </left>
      <right/>
      <top style="thin"/>
      <bottom/>
    </border>
    <border>
      <left style="thin">
        <color indexed="8"/>
      </left>
      <right/>
      <top/>
      <bottom style="thin"/>
    </border>
    <border>
      <left/>
      <right style="thin"/>
      <top style="thin"/>
      <bottom/>
    </border>
    <border>
      <left/>
      <right style="thin"/>
      <top/>
      <bottom style="thin"/>
    </border>
    <border>
      <left/>
      <right style="thin"/>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top style="thin"/>
      <bottom/>
    </border>
    <border>
      <left/>
      <right/>
      <top style="thin"/>
      <bottom/>
    </border>
    <border>
      <left style="medium"/>
      <right/>
      <top/>
      <bottom/>
    </border>
    <border>
      <left style="medium"/>
      <right/>
      <top style="thin"/>
      <bottom style="thin"/>
    </border>
    <border>
      <left style="medium"/>
      <right/>
      <top style="thin"/>
      <bottom style="double"/>
    </border>
    <border>
      <left style="medium"/>
      <right/>
      <top/>
      <bottom style="medium"/>
    </border>
    <border>
      <left/>
      <right/>
      <top/>
      <bottom style="thin"/>
    </border>
    <border>
      <left style="thin">
        <color indexed="8"/>
      </left>
      <right style="thin">
        <color indexed="8"/>
      </right>
      <top/>
      <bottom/>
    </border>
    <border>
      <left style="thin"/>
      <right/>
      <top style="thin"/>
      <bottom/>
    </border>
    <border>
      <left style="thin"/>
      <right/>
      <top/>
      <bottom style="thin"/>
    </border>
    <border>
      <left/>
      <right style="thin"/>
      <top style="thin"/>
      <bottom style="double"/>
    </border>
    <border>
      <left style="thin"/>
      <right/>
      <top style="thin">
        <color indexed="8"/>
      </top>
      <bottom/>
    </border>
    <border>
      <left/>
      <right/>
      <top style="thin"/>
      <bottom style="thin"/>
    </border>
    <border>
      <left/>
      <right style="medium"/>
      <top/>
      <bottom/>
    </border>
    <border>
      <left/>
      <right/>
      <top/>
      <bottom style="medium"/>
    </border>
    <border>
      <left/>
      <right/>
      <top style="medium"/>
      <bottom/>
    </border>
    <border>
      <left/>
      <right style="medium"/>
      <top style="medium"/>
      <bottom/>
    </border>
    <border>
      <left/>
      <right style="medium"/>
      <top style="thin"/>
      <bottom style="thin"/>
    </border>
    <border>
      <left style="thin"/>
      <right style="medium"/>
      <top style="medium"/>
      <bottom style="thin"/>
    </border>
    <border>
      <left style="medium"/>
      <right/>
      <top/>
      <bottom style="thin"/>
    </border>
    <border>
      <left/>
      <right/>
      <top style="thin"/>
      <bottom style="double"/>
    </border>
    <border>
      <left/>
      <right style="medium"/>
      <top style="thin"/>
      <bottom style="double"/>
    </border>
    <border>
      <left/>
      <right style="medium"/>
      <top/>
      <bottom style="medium"/>
    </border>
    <border>
      <left style="medium"/>
      <right/>
      <top style="medium"/>
      <bottom/>
    </border>
    <border>
      <left style="thin"/>
      <right style="medium"/>
      <top style="thin"/>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color indexed="8"/>
      </right>
      <top style="thin"/>
      <bottom/>
    </border>
    <border>
      <left style="thin"/>
      <right style="thin">
        <color indexed="8"/>
      </right>
      <top/>
      <bottom/>
    </border>
    <border>
      <left style="thin"/>
      <right style="thin">
        <color indexed="8"/>
      </right>
      <top/>
      <bottom style="thin"/>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38" fillId="0" borderId="0" applyNumberFormat="0" applyFill="0" applyBorder="0" applyAlignment="0" applyProtection="0"/>
    <xf numFmtId="2" fontId="0" fillId="0" borderId="0" applyFont="0" applyFill="0" applyBorder="0" applyAlignment="0" applyProtection="0"/>
    <xf numFmtId="0" fontId="39" fillId="29" borderId="0" applyNumberFormat="0" applyBorder="0" applyAlignment="0" applyProtection="0"/>
    <xf numFmtId="0" fontId="4" fillId="0" borderId="0" applyNumberFormat="0" applyFont="0" applyFill="0" applyAlignment="0" applyProtection="0"/>
    <xf numFmtId="0" fontId="3" fillId="0" borderId="0" applyNumberFormat="0" applyFon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4" applyNumberFormat="0" applyFill="0" applyAlignment="0" applyProtection="0"/>
    <xf numFmtId="0" fontId="43" fillId="31" borderId="0" applyNumberFormat="0" applyBorder="0" applyAlignment="0" applyProtection="0"/>
    <xf numFmtId="0" fontId="0" fillId="32" borderId="5" applyNumberFormat="0" applyFont="0" applyAlignment="0" applyProtection="0"/>
    <xf numFmtId="0" fontId="44" fillId="27"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0" borderId="7" applyNumberFormat="0" applyFont="0" applyBorder="0" applyAlignment="0" applyProtection="0"/>
    <xf numFmtId="0" fontId="46" fillId="0" borderId="0" applyNumberFormat="0" applyFill="0" applyBorder="0" applyAlignment="0" applyProtection="0"/>
  </cellStyleXfs>
  <cellXfs count="248">
    <xf numFmtId="0" fontId="0" fillId="0" borderId="0" xfId="0" applyAlignment="1">
      <alignment/>
    </xf>
    <xf numFmtId="0" fontId="0" fillId="0" borderId="0" xfId="0" applyBorder="1" applyAlignment="1">
      <alignment/>
    </xf>
    <xf numFmtId="165" fontId="0" fillId="0" borderId="0" xfId="42" applyNumberFormat="1" applyBorder="1" applyAlignment="1">
      <alignment/>
    </xf>
    <xf numFmtId="39" fontId="2" fillId="0" borderId="0" xfId="0" applyNumberFormat="1" applyFont="1" applyFill="1" applyBorder="1" applyAlignment="1" applyProtection="1">
      <alignment vertical="center"/>
      <protection/>
    </xf>
    <xf numFmtId="165" fontId="0" fillId="0" borderId="0" xfId="0" applyNumberFormat="1" applyBorder="1" applyAlignment="1">
      <alignment/>
    </xf>
    <xf numFmtId="165" fontId="0" fillId="0" borderId="0" xfId="0" applyNumberFormat="1" applyAlignment="1">
      <alignment/>
    </xf>
    <xf numFmtId="0" fontId="0" fillId="0" borderId="0" xfId="0" applyFill="1" applyAlignment="1">
      <alignment/>
    </xf>
    <xf numFmtId="42" fontId="0" fillId="0" borderId="0" xfId="0" applyNumberFormat="1" applyAlignment="1">
      <alignment/>
    </xf>
    <xf numFmtId="165" fontId="0" fillId="0" borderId="0" xfId="42" applyNumberFormat="1" applyFont="1" applyAlignment="1">
      <alignment/>
    </xf>
    <xf numFmtId="0" fontId="3" fillId="0" borderId="0" xfId="0" applyFont="1" applyFill="1" applyAlignment="1">
      <alignment horizontal="left"/>
    </xf>
    <xf numFmtId="0" fontId="2" fillId="0" borderId="0" xfId="0" applyFont="1" applyFill="1" applyAlignment="1">
      <alignment horizontal="center" wrapText="1"/>
    </xf>
    <xf numFmtId="167" fontId="0" fillId="0" borderId="0" xfId="0" applyNumberFormat="1" applyAlignment="1">
      <alignment/>
    </xf>
    <xf numFmtId="0" fontId="0" fillId="0" borderId="0" xfId="0" applyFill="1" applyAlignment="1">
      <alignment/>
    </xf>
    <xf numFmtId="0" fontId="47" fillId="33" borderId="8" xfId="0" applyFont="1" applyFill="1" applyBorder="1" applyAlignment="1">
      <alignment horizontal="center" wrapText="1"/>
    </xf>
    <xf numFmtId="0" fontId="47" fillId="33" borderId="9"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2" fillId="0" borderId="11" xfId="0" applyFont="1" applyFill="1" applyBorder="1" applyAlignment="1">
      <alignment/>
    </xf>
    <xf numFmtId="0" fontId="2" fillId="0" borderId="9" xfId="0" applyFont="1" applyFill="1" applyBorder="1" applyAlignment="1">
      <alignment/>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167" fontId="0" fillId="0" borderId="0" xfId="0" applyNumberFormat="1" applyFill="1" applyAlignment="1">
      <alignment/>
    </xf>
    <xf numFmtId="0" fontId="2" fillId="0" borderId="0" xfId="0" applyFont="1" applyFill="1" applyBorder="1" applyAlignment="1">
      <alignment horizontal="center" wrapText="1"/>
    </xf>
    <xf numFmtId="0" fontId="47" fillId="33" borderId="14" xfId="0" applyFont="1" applyFill="1" applyBorder="1" applyAlignment="1">
      <alignment horizontal="center" wrapText="1"/>
    </xf>
    <xf numFmtId="0" fontId="0" fillId="0" borderId="0" xfId="0" applyAlignment="1" applyProtection="1">
      <alignment/>
      <protection locked="0"/>
    </xf>
    <xf numFmtId="0" fontId="0" fillId="0" borderId="0" xfId="0" applyFill="1" applyAlignment="1" applyProtection="1">
      <alignment/>
      <protection locked="0"/>
    </xf>
    <xf numFmtId="0" fontId="47" fillId="33" borderId="14" xfId="0" applyFont="1" applyFill="1" applyBorder="1" applyAlignment="1" applyProtection="1">
      <alignment horizontal="center" wrapText="1"/>
      <protection locked="0"/>
    </xf>
    <xf numFmtId="0" fontId="2" fillId="0" borderId="15" xfId="0" applyFont="1" applyFill="1" applyBorder="1" applyAlignment="1" applyProtection="1">
      <alignment/>
      <protection locked="0"/>
    </xf>
    <xf numFmtId="164" fontId="0" fillId="0" borderId="0" xfId="42" applyFill="1" applyAlignment="1" applyProtection="1">
      <alignment/>
      <protection locked="0"/>
    </xf>
    <xf numFmtId="0" fontId="2" fillId="0" borderId="0" xfId="0" applyFont="1" applyFill="1" applyAlignment="1" applyProtection="1">
      <alignment/>
      <protection locked="0"/>
    </xf>
    <xf numFmtId="0" fontId="2" fillId="0" borderId="16" xfId="0" applyFont="1" applyFill="1" applyBorder="1" applyAlignment="1" applyProtection="1">
      <alignment/>
      <protection locked="0"/>
    </xf>
    <xf numFmtId="37" fontId="0" fillId="0" borderId="0" xfId="0" applyNumberFormat="1" applyFill="1" applyAlignment="1" applyProtection="1">
      <alignment/>
      <protection locked="0"/>
    </xf>
    <xf numFmtId="0" fontId="2" fillId="0" borderId="9" xfId="0" applyFont="1" applyFill="1" applyBorder="1" applyAlignment="1" applyProtection="1">
      <alignment/>
      <protection locked="0"/>
    </xf>
    <xf numFmtId="37" fontId="0" fillId="34" borderId="14" xfId="0" applyNumberFormat="1" applyFont="1" applyFill="1" applyBorder="1" applyAlignment="1" applyProtection="1">
      <alignment horizontal="center"/>
      <protection/>
    </xf>
    <xf numFmtId="37" fontId="0" fillId="34" borderId="17" xfId="0" applyNumberFormat="1" applyFont="1" applyFill="1" applyBorder="1" applyAlignment="1" applyProtection="1">
      <alignment horizontal="center"/>
      <protection/>
    </xf>
    <xf numFmtId="37" fontId="0" fillId="34" borderId="10" xfId="0" applyNumberFormat="1" applyFont="1" applyFill="1" applyBorder="1" applyAlignment="1" applyProtection="1">
      <alignment horizontal="center"/>
      <protection/>
    </xf>
    <xf numFmtId="37" fontId="0" fillId="34" borderId="18" xfId="0" applyNumberFormat="1" applyFont="1" applyFill="1" applyBorder="1" applyAlignment="1" applyProtection="1">
      <alignment horizontal="center"/>
      <protection/>
    </xf>
    <xf numFmtId="37" fontId="0" fillId="34" borderId="12" xfId="0" applyNumberFormat="1" applyFont="1" applyFill="1" applyBorder="1" applyAlignment="1" applyProtection="1">
      <alignment horizontal="center"/>
      <protection/>
    </xf>
    <xf numFmtId="37" fontId="0" fillId="34" borderId="19" xfId="0" applyNumberFormat="1" applyFont="1" applyFill="1" applyBorder="1" applyAlignment="1" applyProtection="1">
      <alignment horizontal="center"/>
      <protection/>
    </xf>
    <xf numFmtId="0" fontId="2" fillId="0" borderId="0" xfId="0" applyFont="1" applyFill="1" applyAlignment="1">
      <alignment/>
    </xf>
    <xf numFmtId="0" fontId="0" fillId="0" borderId="0" xfId="0" applyFill="1" applyAlignment="1">
      <alignment/>
    </xf>
    <xf numFmtId="0" fontId="0" fillId="0" borderId="0" xfId="0" applyFill="1" applyAlignment="1" applyProtection="1">
      <alignment/>
      <protection locked="0"/>
    </xf>
    <xf numFmtId="0" fontId="47" fillId="33" borderId="20" xfId="0" applyFont="1" applyFill="1" applyBorder="1" applyAlignment="1" applyProtection="1">
      <alignment horizontal="center" wrapText="1"/>
      <protection/>
    </xf>
    <xf numFmtId="0" fontId="47" fillId="33" borderId="8" xfId="0" applyFont="1" applyFill="1" applyBorder="1" applyAlignment="1" applyProtection="1">
      <alignment horizontal="center" wrapText="1"/>
      <protection/>
    </xf>
    <xf numFmtId="0" fontId="47" fillId="33" borderId="21" xfId="0" applyFont="1" applyFill="1" applyBorder="1" applyAlignment="1" applyProtection="1">
      <alignment horizontal="center" wrapText="1"/>
      <protection/>
    </xf>
    <xf numFmtId="0" fontId="0" fillId="0" borderId="20" xfId="0" applyFill="1" applyBorder="1" applyAlignment="1" applyProtection="1">
      <alignment horizontal="left" indent="1"/>
      <protection/>
    </xf>
    <xf numFmtId="0" fontId="0" fillId="0" borderId="8" xfId="0" applyFill="1" applyBorder="1" applyAlignment="1" applyProtection="1">
      <alignment horizontal="center"/>
      <protection/>
    </xf>
    <xf numFmtId="166" fontId="0" fillId="0" borderId="8" xfId="42" applyNumberFormat="1" applyFill="1" applyBorder="1" applyAlignment="1" applyProtection="1">
      <alignment horizontal="center"/>
      <protection/>
    </xf>
    <xf numFmtId="0" fontId="2" fillId="0" borderId="22" xfId="0" applyFont="1" applyFill="1" applyBorder="1" applyAlignment="1" applyProtection="1">
      <alignment horizontal="left"/>
      <protection/>
    </xf>
    <xf numFmtId="0" fontId="2" fillId="0" borderId="23" xfId="0" applyFont="1" applyFill="1" applyBorder="1" applyAlignment="1" applyProtection="1">
      <alignment horizontal="center"/>
      <protection/>
    </xf>
    <xf numFmtId="166" fontId="2" fillId="0" borderId="23" xfId="42" applyNumberFormat="1" applyFont="1" applyFill="1" applyBorder="1" applyAlignment="1" applyProtection="1">
      <alignment horizontal="center"/>
      <protection/>
    </xf>
    <xf numFmtId="0" fontId="14" fillId="0" borderId="0" xfId="0" applyFont="1" applyFill="1" applyAlignment="1" applyProtection="1">
      <alignment/>
      <protection locked="0"/>
    </xf>
    <xf numFmtId="0" fontId="15" fillId="0" borderId="0" xfId="0" applyFont="1" applyAlignment="1" applyProtection="1">
      <alignment/>
      <protection locked="0"/>
    </xf>
    <xf numFmtId="0" fontId="0" fillId="0" borderId="0" xfId="0" applyAlignment="1" applyProtection="1">
      <alignment wrapText="1"/>
      <protection locked="0"/>
    </xf>
    <xf numFmtId="0" fontId="0" fillId="0" borderId="0" xfId="0" applyFill="1" applyBorder="1" applyAlignment="1" applyProtection="1">
      <alignment/>
      <protection locked="0"/>
    </xf>
    <xf numFmtId="0" fontId="48" fillId="33" borderId="24" xfId="0" applyFont="1" applyFill="1" applyBorder="1" applyAlignment="1" applyProtection="1">
      <alignment/>
      <protection/>
    </xf>
    <xf numFmtId="0" fontId="47" fillId="33" borderId="25" xfId="0" applyFont="1" applyFill="1" applyBorder="1" applyAlignment="1" applyProtection="1">
      <alignment horizontal="center" wrapText="1"/>
      <protection/>
    </xf>
    <xf numFmtId="0" fontId="49" fillId="33" borderId="25" xfId="0" applyFont="1" applyFill="1" applyBorder="1" applyAlignment="1" applyProtection="1">
      <alignment horizontal="center" wrapText="1"/>
      <protection/>
    </xf>
    <xf numFmtId="0" fontId="2" fillId="0" borderId="26" xfId="0" applyFont="1" applyFill="1" applyBorder="1" applyAlignment="1" applyProtection="1">
      <alignment/>
      <protection/>
    </xf>
    <xf numFmtId="0" fontId="2" fillId="0" borderId="27" xfId="0" applyFont="1" applyFill="1" applyBorder="1" applyAlignment="1" applyProtection="1">
      <alignment/>
      <protection/>
    </xf>
    <xf numFmtId="0" fontId="14" fillId="0" borderId="27" xfId="0" applyFont="1" applyFill="1" applyBorder="1" applyAlignment="1" applyProtection="1">
      <alignment/>
      <protection/>
    </xf>
    <xf numFmtId="0" fontId="0" fillId="0" borderId="28" xfId="0" applyFill="1" applyBorder="1" applyAlignment="1" applyProtection="1">
      <alignment horizontal="left" indent="1"/>
      <protection/>
    </xf>
    <xf numFmtId="0" fontId="2" fillId="0" borderId="29" xfId="0" applyNumberFormat="1" applyFont="1" applyFill="1" applyBorder="1" applyAlignment="1" applyProtection="1">
      <alignment horizontal="left"/>
      <protection/>
    </xf>
    <xf numFmtId="0" fontId="2" fillId="0" borderId="30" xfId="0" applyNumberFormat="1" applyFont="1" applyFill="1" applyBorder="1" applyAlignment="1" applyProtection="1">
      <alignment horizontal="left"/>
      <protection/>
    </xf>
    <xf numFmtId="0" fontId="0" fillId="0" borderId="28" xfId="0" applyFill="1" applyBorder="1" applyAlignment="1" applyProtection="1">
      <alignment/>
      <protection/>
    </xf>
    <xf numFmtId="0" fontId="2" fillId="0" borderId="31" xfId="0" applyFont="1" applyFill="1" applyBorder="1" applyAlignment="1" applyProtection="1">
      <alignment/>
      <protection/>
    </xf>
    <xf numFmtId="0" fontId="0" fillId="0" borderId="29" xfId="0" applyFill="1" applyBorder="1" applyAlignment="1" applyProtection="1">
      <alignment horizontal="left" indent="1"/>
      <protection/>
    </xf>
    <xf numFmtId="0" fontId="2" fillId="0" borderId="14" xfId="0" applyFont="1" applyFill="1" applyBorder="1" applyAlignment="1">
      <alignment/>
    </xf>
    <xf numFmtId="0" fontId="2" fillId="0" borderId="12" xfId="0" applyFont="1" applyFill="1" applyBorder="1" applyAlignment="1">
      <alignment/>
    </xf>
    <xf numFmtId="0" fontId="2" fillId="0" borderId="10" xfId="0" applyFont="1" applyFill="1" applyBorder="1" applyAlignment="1">
      <alignment/>
    </xf>
    <xf numFmtId="0" fontId="2" fillId="0" borderId="27" xfId="0" applyFont="1" applyFill="1" applyBorder="1" applyAlignment="1">
      <alignment/>
    </xf>
    <xf numFmtId="0" fontId="2" fillId="0" borderId="0" xfId="0" applyFont="1" applyFill="1" applyBorder="1" applyAlignment="1">
      <alignment/>
    </xf>
    <xf numFmtId="0" fontId="2" fillId="0" borderId="32" xfId="0" applyFont="1" applyFill="1" applyBorder="1" applyAlignment="1">
      <alignment/>
    </xf>
    <xf numFmtId="0" fontId="2" fillId="0" borderId="33" xfId="0" applyFont="1" applyFill="1" applyBorder="1" applyAlignment="1">
      <alignment/>
    </xf>
    <xf numFmtId="0" fontId="0" fillId="0" borderId="0" xfId="0" applyFill="1" applyAlignment="1" applyProtection="1">
      <alignment/>
      <protection locked="0"/>
    </xf>
    <xf numFmtId="0" fontId="2" fillId="0" borderId="11" xfId="0" applyFont="1" applyFill="1" applyBorder="1" applyAlignment="1">
      <alignment horizontal="right"/>
    </xf>
    <xf numFmtId="0" fontId="2" fillId="0" borderId="9" xfId="0" applyFont="1" applyFill="1" applyBorder="1" applyAlignment="1">
      <alignment horizontal="right"/>
    </xf>
    <xf numFmtId="8" fontId="0" fillId="0" borderId="14" xfId="0" applyNumberFormat="1" applyFont="1" applyFill="1" applyBorder="1" applyAlignment="1">
      <alignment horizontal="right"/>
    </xf>
    <xf numFmtId="8" fontId="0" fillId="0" borderId="34" xfId="0" applyNumberFormat="1" applyFont="1" applyFill="1" applyBorder="1" applyAlignment="1">
      <alignment horizontal="right"/>
    </xf>
    <xf numFmtId="8" fontId="0" fillId="0" borderId="10" xfId="0" applyNumberFormat="1" applyFont="1" applyFill="1" applyBorder="1" applyAlignment="1">
      <alignment horizontal="right"/>
    </xf>
    <xf numFmtId="8" fontId="0" fillId="0" borderId="35" xfId="0" applyNumberFormat="1" applyFont="1" applyFill="1" applyBorder="1" applyAlignment="1">
      <alignment horizontal="right"/>
    </xf>
    <xf numFmtId="8" fontId="0" fillId="0" borderId="12" xfId="0" applyNumberFormat="1" applyFont="1" applyFill="1" applyBorder="1" applyAlignment="1">
      <alignment horizontal="right"/>
    </xf>
    <xf numFmtId="8" fontId="0" fillId="0" borderId="13" xfId="0" applyNumberFormat="1" applyFont="1" applyFill="1" applyBorder="1" applyAlignment="1">
      <alignment horizontal="right"/>
    </xf>
    <xf numFmtId="8" fontId="0" fillId="0" borderId="10" xfId="0" applyNumberFormat="1" applyFill="1" applyBorder="1" applyAlignment="1">
      <alignment horizontal="right"/>
    </xf>
    <xf numFmtId="8" fontId="2" fillId="0" borderId="17" xfId="0" applyNumberFormat="1" applyFont="1" applyFill="1" applyBorder="1" applyAlignment="1">
      <alignment horizontal="right"/>
    </xf>
    <xf numFmtId="8" fontId="2" fillId="0" borderId="18" xfId="0" applyNumberFormat="1" applyFont="1" applyFill="1" applyBorder="1" applyAlignment="1">
      <alignment horizontal="right"/>
    </xf>
    <xf numFmtId="8" fontId="2" fillId="35" borderId="36" xfId="0" applyNumberFormat="1" applyFont="1" applyFill="1" applyBorder="1" applyAlignment="1">
      <alignment horizontal="right"/>
    </xf>
    <xf numFmtId="39" fontId="0" fillId="34" borderId="14" xfId="0" applyNumberFormat="1" applyFont="1" applyFill="1" applyBorder="1" applyAlignment="1">
      <alignment horizontal="right"/>
    </xf>
    <xf numFmtId="169" fontId="0" fillId="34" borderId="10" xfId="0" applyNumberFormat="1" applyFont="1" applyFill="1" applyBorder="1" applyAlignment="1">
      <alignment horizontal="right"/>
    </xf>
    <xf numFmtId="39" fontId="0" fillId="34" borderId="34" xfId="42" applyNumberFormat="1" applyFont="1" applyFill="1" applyBorder="1" applyAlignment="1">
      <alignment horizontal="right"/>
    </xf>
    <xf numFmtId="39" fontId="0" fillId="34" borderId="14" xfId="42" applyNumberFormat="1" applyFont="1" applyFill="1" applyBorder="1" applyAlignment="1">
      <alignment horizontal="right"/>
    </xf>
    <xf numFmtId="169" fontId="0" fillId="34" borderId="13" xfId="42" applyNumberFormat="1" applyFont="1" applyFill="1" applyBorder="1" applyAlignment="1">
      <alignment horizontal="right"/>
    </xf>
    <xf numFmtId="169" fontId="0" fillId="34" borderId="12" xfId="42" applyNumberFormat="1" applyFont="1" applyFill="1" applyBorder="1" applyAlignment="1">
      <alignment horizontal="right"/>
    </xf>
    <xf numFmtId="39" fontId="0" fillId="34" borderId="35" xfId="42" applyNumberFormat="1" applyFont="1" applyFill="1" applyBorder="1" applyAlignment="1">
      <alignment horizontal="right"/>
    </xf>
    <xf numFmtId="39" fontId="0" fillId="34" borderId="10" xfId="42" applyNumberFormat="1" applyFont="1" applyFill="1" applyBorder="1" applyAlignment="1">
      <alignment horizontal="right"/>
    </xf>
    <xf numFmtId="39" fontId="0" fillId="34" borderId="13" xfId="42" applyNumberFormat="1" applyFont="1" applyFill="1" applyBorder="1" applyAlignment="1">
      <alignment horizontal="right"/>
    </xf>
    <xf numFmtId="39" fontId="0" fillId="34" borderId="14" xfId="42" applyNumberFormat="1" applyFont="1" applyFill="1" applyBorder="1" applyAlignment="1">
      <alignment horizontal="right"/>
    </xf>
    <xf numFmtId="39" fontId="0" fillId="34" borderId="37" xfId="42" applyNumberFormat="1" applyFont="1" applyFill="1" applyBorder="1" applyAlignment="1">
      <alignment horizontal="right"/>
    </xf>
    <xf numFmtId="168" fontId="0" fillId="34" borderId="13" xfId="42" applyNumberFormat="1" applyFont="1" applyFill="1" applyBorder="1" applyAlignment="1">
      <alignment horizontal="right"/>
    </xf>
    <xf numFmtId="167" fontId="0" fillId="34" borderId="34" xfId="42" applyNumberFormat="1" applyFont="1" applyFill="1" applyBorder="1" applyAlignment="1">
      <alignment horizontal="right"/>
    </xf>
    <xf numFmtId="168" fontId="0" fillId="34" borderId="35" xfId="42" applyNumberFormat="1" applyFont="1" applyFill="1" applyBorder="1" applyAlignment="1">
      <alignment horizontal="right"/>
    </xf>
    <xf numFmtId="168" fontId="0" fillId="34" borderId="14" xfId="42" applyNumberFormat="1" applyFont="1" applyFill="1" applyBorder="1" applyAlignment="1">
      <alignment horizontal="right"/>
    </xf>
    <xf numFmtId="168" fontId="0" fillId="34" borderId="12" xfId="42" applyNumberFormat="1" applyFont="1" applyFill="1" applyBorder="1" applyAlignment="1">
      <alignment horizontal="right"/>
    </xf>
    <xf numFmtId="168" fontId="0" fillId="34" borderId="10" xfId="42" applyNumberFormat="1" applyFont="1" applyFill="1" applyBorder="1" applyAlignment="1">
      <alignment horizontal="right"/>
    </xf>
    <xf numFmtId="165" fontId="0" fillId="0" borderId="0" xfId="0" applyNumberFormat="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0" xfId="0" applyFont="1" applyFill="1" applyAlignment="1" applyProtection="1">
      <alignment/>
      <protection locked="0"/>
    </xf>
    <xf numFmtId="0" fontId="2" fillId="0" borderId="32" xfId="0" applyFont="1" applyFill="1" applyBorder="1" applyAlignment="1">
      <alignment/>
    </xf>
    <xf numFmtId="0" fontId="0" fillId="0" borderId="38" xfId="0" applyFill="1" applyBorder="1" applyAlignment="1" applyProtection="1">
      <alignment horizontal="center"/>
      <protection/>
    </xf>
    <xf numFmtId="166" fontId="0" fillId="0" borderId="38" xfId="42" applyNumberFormat="1" applyFill="1" applyBorder="1" applyAlignment="1" applyProtection="1">
      <alignment horizontal="center"/>
      <protection/>
    </xf>
    <xf numFmtId="0" fontId="0" fillId="0" borderId="20" xfId="0" applyFont="1" applyFill="1" applyBorder="1" applyAlignment="1" applyProtection="1">
      <alignment horizontal="left" indent="1"/>
      <protection/>
    </xf>
    <xf numFmtId="0" fontId="0" fillId="0" borderId="0" xfId="0" applyFill="1" applyAlignment="1">
      <alignment/>
    </xf>
    <xf numFmtId="0" fontId="2" fillId="0" borderId="34" xfId="0" applyFont="1" applyFill="1" applyBorder="1" applyAlignment="1">
      <alignment horizontal="left"/>
    </xf>
    <xf numFmtId="0" fontId="0" fillId="0" borderId="0" xfId="0" applyAlignment="1">
      <alignment/>
    </xf>
    <xf numFmtId="0" fontId="2" fillId="0" borderId="8" xfId="0" applyFont="1" applyFill="1" applyBorder="1" applyAlignment="1">
      <alignment horizontal="right"/>
    </xf>
    <xf numFmtId="0" fontId="0" fillId="0" borderId="0" xfId="0" applyFill="1" applyAlignment="1" applyProtection="1">
      <alignment/>
      <protection locked="0"/>
    </xf>
    <xf numFmtId="0" fontId="2" fillId="0" borderId="15" xfId="0" applyFont="1" applyFill="1" applyBorder="1" applyAlignment="1">
      <alignment/>
    </xf>
    <xf numFmtId="167" fontId="0" fillId="34" borderId="14" xfId="42" applyNumberFormat="1" applyFont="1" applyFill="1" applyBorder="1" applyAlignment="1">
      <alignment horizontal="right"/>
    </xf>
    <xf numFmtId="168" fontId="0" fillId="34" borderId="12" xfId="42" applyNumberFormat="1" applyFont="1" applyFill="1" applyBorder="1" applyAlignment="1">
      <alignment horizontal="right"/>
    </xf>
    <xf numFmtId="0" fontId="2" fillId="0" borderId="16" xfId="0" applyFont="1" applyFill="1" applyBorder="1" applyAlignment="1">
      <alignment/>
    </xf>
    <xf numFmtId="168" fontId="0" fillId="34" borderId="10" xfId="42" applyNumberFormat="1" applyFont="1" applyFill="1" applyBorder="1" applyAlignment="1">
      <alignment horizontal="right"/>
    </xf>
    <xf numFmtId="39" fontId="0" fillId="34" borderId="12" xfId="42" applyNumberFormat="1" applyFont="1" applyFill="1" applyBorder="1" applyAlignment="1">
      <alignment horizontal="right"/>
    </xf>
    <xf numFmtId="0" fontId="0" fillId="0" borderId="0" xfId="0" applyFill="1" applyAlignment="1" applyProtection="1">
      <alignment/>
      <protection locked="0"/>
    </xf>
    <xf numFmtId="0" fontId="2" fillId="0" borderId="0" xfId="0" applyFont="1" applyAlignment="1">
      <alignment/>
    </xf>
    <xf numFmtId="164" fontId="0" fillId="0" borderId="0" xfId="42" applyFont="1" applyAlignment="1">
      <alignment/>
    </xf>
    <xf numFmtId="0" fontId="0" fillId="0" borderId="0" xfId="0" applyFill="1" applyAlignment="1" applyProtection="1">
      <alignment wrapText="1"/>
      <protection/>
    </xf>
    <xf numFmtId="0" fontId="2" fillId="0" borderId="29" xfId="0" applyFont="1" applyFill="1" applyBorder="1" applyAlignment="1" applyProtection="1">
      <alignment horizontal="left" wrapText="1"/>
      <protection/>
    </xf>
    <xf numFmtId="0" fontId="0" fillId="0" borderId="29" xfId="0" applyFill="1" applyBorder="1" applyAlignment="1" applyProtection="1">
      <alignment horizontal="left" wrapText="1"/>
      <protection/>
    </xf>
    <xf numFmtId="0" fontId="2" fillId="0" borderId="28" xfId="0" applyFont="1" applyFill="1" applyBorder="1" applyAlignment="1" applyProtection="1">
      <alignment horizontal="center" wrapText="1"/>
      <protection/>
    </xf>
    <xf numFmtId="0" fontId="0" fillId="0" borderId="28" xfId="0" applyFill="1" applyBorder="1" applyAlignment="1" applyProtection="1">
      <alignment wrapText="1"/>
      <protection/>
    </xf>
    <xf numFmtId="0" fontId="2" fillId="0" borderId="28" xfId="0" applyFont="1" applyFill="1" applyBorder="1" applyAlignment="1" applyProtection="1">
      <alignment wrapText="1"/>
      <protection/>
    </xf>
    <xf numFmtId="0" fontId="0" fillId="0" borderId="29" xfId="0" applyFill="1" applyBorder="1" applyAlignment="1" applyProtection="1">
      <alignment wrapText="1"/>
      <protection/>
    </xf>
    <xf numFmtId="0" fontId="2" fillId="0" borderId="28" xfId="0" applyFont="1" applyFill="1" applyBorder="1" applyAlignment="1" applyProtection="1">
      <alignment horizontal="left" wrapText="1"/>
      <protection/>
    </xf>
    <xf numFmtId="0" fontId="2" fillId="0" borderId="0" xfId="0" applyFont="1" applyFill="1" applyBorder="1" applyAlignment="1" applyProtection="1">
      <alignment wrapText="1"/>
      <protection/>
    </xf>
    <xf numFmtId="0" fontId="0" fillId="0" borderId="0" xfId="0" applyFill="1" applyAlignment="1" applyProtection="1">
      <alignment wrapText="1"/>
      <protection locked="0"/>
    </xf>
    <xf numFmtId="16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39" xfId="0" applyFont="1" applyFill="1" applyBorder="1" applyAlignment="1" applyProtection="1">
      <alignment horizontal="right"/>
      <protection/>
    </xf>
    <xf numFmtId="167" fontId="0" fillId="0" borderId="38" xfId="0" applyNumberFormat="1" applyFont="1" applyFill="1" applyBorder="1" applyAlignment="1" applyProtection="1">
      <alignment horizontal="right"/>
      <protection/>
    </xf>
    <xf numFmtId="0" fontId="0" fillId="0" borderId="40" xfId="0" applyFont="1" applyFill="1" applyBorder="1" applyAlignment="1" applyProtection="1">
      <alignment horizontal="right"/>
      <protection/>
    </xf>
    <xf numFmtId="167" fontId="0" fillId="0" borderId="40" xfId="0" applyNumberFormat="1" applyFont="1" applyFill="1" applyBorder="1" applyAlignment="1" applyProtection="1">
      <alignment horizontal="right"/>
      <protection/>
    </xf>
    <xf numFmtId="0" fontId="0" fillId="0" borderId="0" xfId="0" applyFont="1" applyFill="1" applyAlignment="1" applyProtection="1">
      <alignment horizontal="right"/>
      <protection/>
    </xf>
    <xf numFmtId="0" fontId="0" fillId="0" borderId="41" xfId="0" applyFont="1" applyFill="1" applyBorder="1" applyAlignment="1" applyProtection="1">
      <alignment horizontal="right"/>
      <protection/>
    </xf>
    <xf numFmtId="0" fontId="0" fillId="0" borderId="42" xfId="0" applyFont="1" applyFill="1" applyBorder="1" applyAlignment="1" applyProtection="1">
      <alignment horizontal="right"/>
      <protection/>
    </xf>
    <xf numFmtId="0" fontId="0" fillId="0" borderId="38" xfId="0" applyFont="1" applyFill="1" applyBorder="1" applyAlignment="1" applyProtection="1">
      <alignment horizontal="right"/>
      <protection/>
    </xf>
    <xf numFmtId="0" fontId="0" fillId="0" borderId="43" xfId="0" applyFont="1" applyFill="1" applyBorder="1" applyAlignment="1" applyProtection="1">
      <alignment horizontal="right"/>
      <protection/>
    </xf>
    <xf numFmtId="164" fontId="0" fillId="0" borderId="0" xfId="0" applyNumberFormat="1" applyFont="1" applyFill="1" applyBorder="1" applyAlignment="1" applyProtection="1">
      <alignment horizontal="right"/>
      <protection/>
    </xf>
    <xf numFmtId="168" fontId="0" fillId="0" borderId="38"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locked="0"/>
    </xf>
    <xf numFmtId="0" fontId="49" fillId="33" borderId="44" xfId="0" applyFont="1" applyFill="1" applyBorder="1" applyAlignment="1" applyProtection="1">
      <alignment horizontal="center" wrapText="1"/>
      <protection/>
    </xf>
    <xf numFmtId="0" fontId="14" fillId="0" borderId="39" xfId="0" applyFont="1" applyFill="1" applyBorder="1" applyAlignment="1" applyProtection="1">
      <alignment/>
      <protection/>
    </xf>
    <xf numFmtId="0" fontId="0" fillId="0" borderId="28" xfId="0" applyFont="1" applyFill="1" applyBorder="1" applyAlignment="1">
      <alignment horizontal="left" indent="1"/>
    </xf>
    <xf numFmtId="0" fontId="0" fillId="0" borderId="28" xfId="0" applyFill="1" applyBorder="1" applyAlignment="1">
      <alignment horizontal="left" indent="1"/>
    </xf>
    <xf numFmtId="0" fontId="0" fillId="0" borderId="45" xfId="0" applyFill="1" applyBorder="1" applyAlignment="1" applyProtection="1">
      <alignment horizontal="left" indent="1"/>
      <protection/>
    </xf>
    <xf numFmtId="43" fontId="0" fillId="0" borderId="0" xfId="0" applyNumberFormat="1" applyAlignment="1">
      <alignment/>
    </xf>
    <xf numFmtId="8" fontId="0" fillId="0" borderId="0" xfId="0" applyNumberFormat="1" applyFill="1" applyAlignment="1">
      <alignment/>
    </xf>
    <xf numFmtId="37" fontId="0" fillId="0" borderId="14" xfId="0" applyNumberFormat="1" applyFont="1" applyFill="1" applyBorder="1" applyAlignment="1" applyProtection="1">
      <alignment horizontal="center"/>
      <protection/>
    </xf>
    <xf numFmtId="37" fontId="0" fillId="0" borderId="10" xfId="0" applyNumberFormat="1" applyFont="1" applyFill="1" applyBorder="1" applyAlignment="1" applyProtection="1">
      <alignment horizontal="center"/>
      <protection/>
    </xf>
    <xf numFmtId="37" fontId="0" fillId="0" borderId="12" xfId="0" applyNumberFormat="1" applyFont="1" applyFill="1" applyBorder="1" applyAlignment="1" applyProtection="1">
      <alignment horizontal="center"/>
      <protection/>
    </xf>
    <xf numFmtId="165" fontId="0" fillId="0" borderId="0" xfId="42" applyNumberFormat="1" applyFont="1" applyBorder="1" applyAlignment="1">
      <alignment horizontal="right"/>
    </xf>
    <xf numFmtId="170" fontId="0" fillId="0" borderId="0" xfId="0" applyNumberFormat="1" applyFill="1" applyAlignment="1">
      <alignment horizontal="left" indent="1"/>
    </xf>
    <xf numFmtId="170" fontId="0" fillId="0" borderId="0" xfId="42" applyNumberFormat="1" applyFill="1" applyAlignment="1">
      <alignment horizontal="right"/>
    </xf>
    <xf numFmtId="170" fontId="0" fillId="0" borderId="0" xfId="0" applyNumberFormat="1" applyFont="1" applyFill="1" applyAlignment="1">
      <alignment horizontal="left" indent="1"/>
    </xf>
    <xf numFmtId="170" fontId="2" fillId="0" borderId="0" xfId="0" applyNumberFormat="1" applyFont="1" applyFill="1" applyAlignment="1">
      <alignment horizontal="center"/>
    </xf>
    <xf numFmtId="170" fontId="2" fillId="0" borderId="38" xfId="42" applyNumberFormat="1" applyFont="1" applyFill="1" applyBorder="1" applyAlignment="1">
      <alignment horizontal="right"/>
    </xf>
    <xf numFmtId="170" fontId="0" fillId="0" borderId="0" xfId="0" applyNumberFormat="1" applyFill="1" applyAlignment="1">
      <alignment/>
    </xf>
    <xf numFmtId="170" fontId="2" fillId="0" borderId="38" xfId="42" applyNumberFormat="1" applyFont="1" applyFill="1" applyBorder="1" applyAlignment="1" applyProtection="1">
      <alignment horizontal="right"/>
      <protection locked="0"/>
    </xf>
    <xf numFmtId="170" fontId="2" fillId="0" borderId="0" xfId="0" applyNumberFormat="1" applyFont="1" applyFill="1" applyAlignment="1">
      <alignment/>
    </xf>
    <xf numFmtId="170" fontId="0" fillId="0" borderId="0" xfId="42" applyNumberFormat="1" applyFill="1" applyBorder="1" applyAlignment="1">
      <alignment/>
    </xf>
    <xf numFmtId="170" fontId="0" fillId="34" borderId="0" xfId="42" applyNumberFormat="1" applyFill="1" applyAlignment="1">
      <alignment horizontal="right"/>
    </xf>
    <xf numFmtId="170" fontId="9" fillId="0" borderId="0" xfId="0" applyNumberFormat="1" applyFont="1" applyFill="1" applyAlignment="1">
      <alignment/>
    </xf>
    <xf numFmtId="170" fontId="2" fillId="0" borderId="46" xfId="0" applyNumberFormat="1" applyFont="1" applyFill="1" applyBorder="1" applyAlignment="1">
      <alignment horizontal="right"/>
    </xf>
    <xf numFmtId="170" fontId="0" fillId="0" borderId="0" xfId="61" applyNumberFormat="1" applyFill="1" applyAlignment="1">
      <alignment/>
    </xf>
    <xf numFmtId="170" fontId="7" fillId="0" borderId="0" xfId="0" applyNumberFormat="1" applyFont="1" applyFill="1" applyAlignment="1">
      <alignment/>
    </xf>
    <xf numFmtId="170" fontId="0" fillId="0" borderId="0" xfId="0" applyNumberFormat="1" applyFill="1" applyBorder="1" applyAlignment="1">
      <alignment/>
    </xf>
    <xf numFmtId="170" fontId="2" fillId="0" borderId="0" xfId="0" applyNumberFormat="1" applyFont="1" applyFill="1" applyAlignment="1">
      <alignment/>
    </xf>
    <xf numFmtId="170" fontId="0" fillId="0" borderId="0" xfId="0" applyNumberFormat="1" applyFill="1" applyAlignment="1">
      <alignment horizontal="right"/>
    </xf>
    <xf numFmtId="170" fontId="0" fillId="0" borderId="0" xfId="0" applyNumberFormat="1" applyFont="1" applyFill="1" applyBorder="1" applyAlignment="1" applyProtection="1">
      <alignment horizontal="right"/>
      <protection/>
    </xf>
    <xf numFmtId="170" fontId="0" fillId="0" borderId="39" xfId="0" applyNumberFormat="1" applyFont="1" applyFill="1" applyBorder="1" applyAlignment="1" applyProtection="1">
      <alignment horizontal="right"/>
      <protection/>
    </xf>
    <xf numFmtId="170" fontId="2" fillId="0" borderId="38" xfId="0" applyNumberFormat="1" applyFont="1" applyFill="1" applyBorder="1" applyAlignment="1" applyProtection="1">
      <alignment horizontal="right"/>
      <protection/>
    </xf>
    <xf numFmtId="170" fontId="2" fillId="0" borderId="43" xfId="0" applyNumberFormat="1" applyFont="1" applyFill="1" applyBorder="1" applyAlignment="1" applyProtection="1">
      <alignment horizontal="right"/>
      <protection/>
    </xf>
    <xf numFmtId="170" fontId="0" fillId="0" borderId="0" xfId="42" applyNumberFormat="1" applyFont="1" applyFill="1" applyBorder="1" applyAlignment="1" applyProtection="1">
      <alignment horizontal="right"/>
      <protection/>
    </xf>
    <xf numFmtId="170" fontId="0" fillId="0" borderId="38" xfId="0" applyNumberFormat="1" applyFont="1" applyFill="1" applyBorder="1" applyAlignment="1" applyProtection="1">
      <alignment horizontal="right"/>
      <protection/>
    </xf>
    <xf numFmtId="170" fontId="0" fillId="0" borderId="43" xfId="0" applyNumberFormat="1" applyFont="1" applyFill="1" applyBorder="1" applyAlignment="1" applyProtection="1">
      <alignment horizontal="right"/>
      <protection/>
    </xf>
    <xf numFmtId="170" fontId="0" fillId="0" borderId="46" xfId="0" applyNumberFormat="1" applyFont="1" applyFill="1" applyBorder="1" applyAlignment="1" applyProtection="1">
      <alignment horizontal="right"/>
      <protection/>
    </xf>
    <xf numFmtId="170" fontId="0" fillId="0" borderId="47" xfId="0" applyNumberFormat="1" applyFont="1" applyFill="1" applyBorder="1" applyAlignment="1" applyProtection="1">
      <alignment horizontal="right"/>
      <protection/>
    </xf>
    <xf numFmtId="170" fontId="0" fillId="0" borderId="40" xfId="0" applyNumberFormat="1" applyFont="1" applyFill="1" applyBorder="1" applyAlignment="1" applyProtection="1">
      <alignment horizontal="right"/>
      <protection/>
    </xf>
    <xf numFmtId="170" fontId="2" fillId="0" borderId="40" xfId="0" applyNumberFormat="1" applyFont="1" applyFill="1" applyBorder="1" applyAlignment="1" applyProtection="1">
      <alignment horizontal="right"/>
      <protection/>
    </xf>
    <xf numFmtId="170" fontId="2" fillId="0" borderId="48" xfId="0" applyNumberFormat="1" applyFont="1" applyFill="1" applyBorder="1" applyAlignment="1" applyProtection="1">
      <alignment horizontal="right"/>
      <protection/>
    </xf>
    <xf numFmtId="0" fontId="8" fillId="0" borderId="49" xfId="0" applyFont="1" applyFill="1" applyBorder="1" applyAlignment="1" applyProtection="1">
      <alignment wrapText="1"/>
      <protection/>
    </xf>
    <xf numFmtId="0" fontId="3" fillId="0" borderId="49" xfId="0" applyFont="1" applyFill="1" applyBorder="1" applyAlignment="1" applyProtection="1">
      <alignment wrapText="1"/>
      <protection/>
    </xf>
    <xf numFmtId="0" fontId="8" fillId="0" borderId="31" xfId="0" applyFont="1" applyFill="1" applyBorder="1" applyAlignment="1" applyProtection="1">
      <alignment wrapText="1"/>
      <protection/>
    </xf>
    <xf numFmtId="170" fontId="0" fillId="0" borderId="0" xfId="0" applyNumberFormat="1" applyFont="1" applyFill="1" applyAlignment="1" applyProtection="1">
      <alignment horizontal="right"/>
      <protection/>
    </xf>
    <xf numFmtId="170" fontId="0" fillId="0" borderId="41" xfId="0" applyNumberFormat="1" applyFont="1" applyFill="1" applyBorder="1" applyAlignment="1" applyProtection="1">
      <alignment horizontal="right"/>
      <protection/>
    </xf>
    <xf numFmtId="170" fontId="0" fillId="0" borderId="0" xfId="0" applyNumberFormat="1" applyFont="1" applyFill="1" applyBorder="1" applyAlignment="1" applyProtection="1">
      <alignment horizontal="right"/>
      <protection locked="0"/>
    </xf>
    <xf numFmtId="170" fontId="15" fillId="0" borderId="0" xfId="0" applyNumberFormat="1" applyFont="1" applyAlignment="1" applyProtection="1">
      <alignment/>
      <protection locked="0"/>
    </xf>
    <xf numFmtId="170" fontId="0" fillId="0" borderId="48" xfId="0" applyNumberFormat="1" applyFont="1" applyFill="1" applyBorder="1" applyAlignment="1" applyProtection="1">
      <alignment horizontal="right"/>
      <protection/>
    </xf>
    <xf numFmtId="170" fontId="0" fillId="0" borderId="42" xfId="0" applyNumberFormat="1" applyFont="1" applyFill="1" applyBorder="1" applyAlignment="1" applyProtection="1">
      <alignment horizontal="right"/>
      <protection/>
    </xf>
    <xf numFmtId="39" fontId="0" fillId="0" borderId="0" xfId="42" applyNumberFormat="1" applyFont="1" applyFill="1" applyBorder="1" applyAlignment="1">
      <alignment horizontal="right"/>
    </xf>
    <xf numFmtId="167" fontId="0" fillId="34" borderId="13" xfId="42" applyNumberFormat="1" applyFont="1" applyFill="1" applyBorder="1" applyAlignment="1">
      <alignment horizontal="right"/>
    </xf>
    <xf numFmtId="37" fontId="0" fillId="0" borderId="0" xfId="0" applyNumberFormat="1" applyAlignment="1">
      <alignment/>
    </xf>
    <xf numFmtId="166" fontId="0" fillId="0" borderId="21" xfId="42" applyNumberFormat="1" applyFill="1" applyBorder="1" applyAlignment="1" applyProtection="1">
      <alignment horizontal="center"/>
      <protection/>
    </xf>
    <xf numFmtId="166" fontId="0" fillId="0" borderId="43" xfId="42" applyNumberFormat="1" applyFill="1" applyBorder="1" applyAlignment="1" applyProtection="1">
      <alignment horizontal="center"/>
      <protection/>
    </xf>
    <xf numFmtId="166" fontId="2" fillId="0" borderId="50" xfId="42" applyNumberFormat="1" applyFont="1" applyFill="1" applyBorder="1" applyAlignment="1" applyProtection="1">
      <alignment horizontal="center"/>
      <protection/>
    </xf>
    <xf numFmtId="0" fontId="2" fillId="0" borderId="0" xfId="0" applyFont="1" applyFill="1" applyAlignment="1" applyProtection="1">
      <alignment/>
      <protection locked="0"/>
    </xf>
    <xf numFmtId="0" fontId="50" fillId="33" borderId="0" xfId="0" applyFont="1" applyFill="1" applyAlignment="1" applyProtection="1">
      <alignment horizontal="center"/>
      <protection locked="0"/>
    </xf>
    <xf numFmtId="170" fontId="5" fillId="0" borderId="0" xfId="0" applyNumberFormat="1" applyFont="1" applyFill="1" applyAlignment="1">
      <alignment/>
    </xf>
    <xf numFmtId="0" fontId="50" fillId="33" borderId="32" xfId="0" applyFont="1" applyFill="1" applyBorder="1" applyAlignment="1">
      <alignment horizontal="center"/>
    </xf>
    <xf numFmtId="0" fontId="0" fillId="0" borderId="0" xfId="0" applyFill="1" applyAlignment="1">
      <alignment/>
    </xf>
    <xf numFmtId="0" fontId="50" fillId="33" borderId="49" xfId="0" applyFont="1" applyFill="1" applyBorder="1" applyAlignment="1" applyProtection="1">
      <alignment horizontal="center"/>
      <protection/>
    </xf>
    <xf numFmtId="0" fontId="50" fillId="33" borderId="41" xfId="0" applyFont="1" applyFill="1" applyBorder="1" applyAlignment="1" applyProtection="1">
      <alignment horizontal="center"/>
      <protection/>
    </xf>
    <xf numFmtId="0" fontId="50" fillId="33" borderId="42" xfId="0" applyFont="1" applyFill="1" applyBorder="1" applyAlignment="1" applyProtection="1">
      <alignment horizontal="center"/>
      <protection/>
    </xf>
    <xf numFmtId="0" fontId="47" fillId="33" borderId="28" xfId="0" applyFont="1" applyFill="1" applyBorder="1" applyAlignment="1" applyProtection="1">
      <alignment/>
      <protection/>
    </xf>
    <xf numFmtId="0" fontId="47" fillId="33" borderId="0" xfId="0" applyFont="1" applyFill="1" applyBorder="1" applyAlignment="1" applyProtection="1">
      <alignment/>
      <protection/>
    </xf>
    <xf numFmtId="0" fontId="47" fillId="33" borderId="39" xfId="0" applyFont="1" applyFill="1" applyBorder="1" applyAlignment="1" applyProtection="1">
      <alignment/>
      <protection/>
    </xf>
    <xf numFmtId="0" fontId="2" fillId="0" borderId="20" xfId="0" applyFont="1" applyFill="1" applyBorder="1" applyAlignment="1" applyProtection="1">
      <alignment/>
      <protection/>
    </xf>
    <xf numFmtId="0" fontId="2" fillId="0" borderId="8" xfId="0" applyFont="1" applyFill="1" applyBorder="1" applyAlignment="1" applyProtection="1">
      <alignment/>
      <protection/>
    </xf>
    <xf numFmtId="0" fontId="2" fillId="0" borderId="21" xfId="0" applyFont="1" applyFill="1" applyBorder="1" applyAlignment="1" applyProtection="1">
      <alignment/>
      <protection/>
    </xf>
    <xf numFmtId="0" fontId="2" fillId="0" borderId="29" xfId="0" applyFont="1" applyFill="1" applyBorder="1" applyAlignment="1" applyProtection="1">
      <alignment horizontal="left" indent="1"/>
      <protection/>
    </xf>
    <xf numFmtId="0" fontId="2" fillId="0" borderId="38" xfId="0" applyFont="1" applyFill="1" applyBorder="1" applyAlignment="1" applyProtection="1">
      <alignment horizontal="left" indent="1"/>
      <protection/>
    </xf>
    <xf numFmtId="0" fontId="2" fillId="0" borderId="43" xfId="0" applyFont="1" applyFill="1" applyBorder="1" applyAlignment="1" applyProtection="1">
      <alignment horizontal="left" indent="1"/>
      <protection/>
    </xf>
    <xf numFmtId="0" fontId="2" fillId="35" borderId="8" xfId="0" applyFont="1" applyFill="1" applyBorder="1" applyAlignment="1">
      <alignment horizontal="center"/>
    </xf>
    <xf numFmtId="0" fontId="51" fillId="36" borderId="0" xfId="0" applyFont="1" applyFill="1" applyAlignment="1">
      <alignment horizontal="center"/>
    </xf>
    <xf numFmtId="0" fontId="2" fillId="0" borderId="51" xfId="0" applyFont="1" applyFill="1" applyBorder="1" applyAlignment="1">
      <alignment/>
    </xf>
    <xf numFmtId="0" fontId="2" fillId="0" borderId="52" xfId="0" applyFont="1" applyFill="1" applyBorder="1" applyAlignment="1">
      <alignment/>
    </xf>
    <xf numFmtId="0" fontId="2" fillId="0" borderId="34" xfId="0" applyFont="1" applyFill="1" applyBorder="1" applyAlignment="1">
      <alignment horizontal="center"/>
    </xf>
    <xf numFmtId="0" fontId="2" fillId="0" borderId="17" xfId="0" applyFont="1" applyFill="1" applyBorder="1" applyAlignment="1">
      <alignment horizontal="center"/>
    </xf>
    <xf numFmtId="0" fontId="2" fillId="0" borderId="33" xfId="0" applyFont="1" applyFill="1" applyBorder="1" applyAlignment="1">
      <alignment/>
    </xf>
    <xf numFmtId="0" fontId="2" fillId="0" borderId="53" xfId="0" applyFont="1" applyFill="1" applyBorder="1" applyAlignment="1" applyProtection="1">
      <alignment/>
      <protection locked="0"/>
    </xf>
    <xf numFmtId="0" fontId="2" fillId="0" borderId="54" xfId="0" applyFont="1" applyFill="1" applyBorder="1" applyAlignment="1" applyProtection="1">
      <alignment/>
      <protection locked="0"/>
    </xf>
    <xf numFmtId="0" fontId="2" fillId="0" borderId="55" xfId="0" applyFont="1" applyFill="1" applyBorder="1" applyAlignment="1" applyProtection="1">
      <alignment/>
      <protection locked="0"/>
    </xf>
    <xf numFmtId="0" fontId="0" fillId="0" borderId="0" xfId="0" applyFill="1" applyAlignment="1" applyProtection="1">
      <alignment/>
      <protection locked="0"/>
    </xf>
    <xf numFmtId="0" fontId="47" fillId="33" borderId="11" xfId="0" applyFont="1" applyFill="1" applyBorder="1" applyAlignment="1" applyProtection="1">
      <alignment horizontal="center" wrapText="1"/>
      <protection locked="0"/>
    </xf>
    <xf numFmtId="0" fontId="47" fillId="33" borderId="56" xfId="0" applyFont="1" applyFill="1" applyBorder="1" applyAlignment="1" applyProtection="1">
      <alignment horizontal="center" wrapText="1"/>
      <protection locked="0"/>
    </xf>
    <xf numFmtId="0" fontId="47" fillId="33" borderId="11" xfId="0" applyFont="1" applyFill="1" applyBorder="1" applyAlignment="1" applyProtection="1">
      <alignment horizontal="center"/>
      <protection locked="0"/>
    </xf>
    <xf numFmtId="0" fontId="47" fillId="33" borderId="57" xfId="0" applyFont="1" applyFill="1" applyBorder="1" applyAlignment="1" applyProtection="1">
      <alignment horizontal="center"/>
      <protection locked="0"/>
    </xf>
    <xf numFmtId="0" fontId="47" fillId="33" borderId="58" xfId="0" applyFont="1" applyFill="1" applyBorder="1" applyAlignment="1" applyProtection="1">
      <alignment horizontal="center"/>
      <protection locked="0"/>
    </xf>
    <xf numFmtId="0" fontId="0" fillId="0" borderId="32" xfId="0" applyFill="1" applyBorder="1" applyAlignment="1">
      <alignment/>
    </xf>
    <xf numFmtId="0" fontId="50" fillId="33" borderId="0" xfId="0" applyFont="1" applyFill="1" applyAlignment="1">
      <alignment horizontal="center"/>
    </xf>
    <xf numFmtId="0" fontId="2" fillId="0" borderId="59" xfId="0" applyFont="1" applyFill="1" applyBorder="1" applyAlignment="1">
      <alignment horizontal="center"/>
    </xf>
    <xf numFmtId="0" fontId="6" fillId="0" borderId="0" xfId="0" applyFont="1" applyFill="1" applyAlignment="1">
      <alignment wrapText="1"/>
    </xf>
    <xf numFmtId="0" fontId="47" fillId="33" borderId="60" xfId="0" applyFont="1" applyFill="1" applyBorder="1" applyAlignment="1">
      <alignment horizontal="center"/>
    </xf>
    <xf numFmtId="0" fontId="47" fillId="33" borderId="56" xfId="0" applyFont="1" applyFill="1" applyBorder="1" applyAlignment="1">
      <alignment horizontal="center"/>
    </xf>
    <xf numFmtId="0" fontId="47" fillId="33" borderId="61" xfId="0" applyFont="1" applyFill="1" applyBorder="1" applyAlignment="1">
      <alignment horizontal="center"/>
    </xf>
    <xf numFmtId="0" fontId="2" fillId="0" borderId="6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bution_Rate_Application_2008_Forward_Test_Year\Models\2008%20Rate%20Model%20V15%20-%20July%2015-Base\Revenue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20for%20Linkin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BNI%20Rate%20Design%20Model%202011%20Applied%20for%20Rev%20to%20Cost%20Rati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ServRevReq"/>
      <sheetName val="RevenueOffsetDetails"/>
      <sheetName val="RevenueOffsetSummary"/>
      <sheetName val="BaseRevReq"/>
    </sheetNames>
    <sheetDataSet>
      <sheetData sheetId="0">
        <row r="10">
          <cell r="B10" t="str">
            <v>'[GLproj2008.xls]Profit&amp;Loss'!$B:$C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Cost Allocation TB Data"/>
      <sheetName val="Return on Rate Base"/>
      <sheetName val="Charges"/>
      <sheetName val="kWh"/>
      <sheetName val="KW"/>
      <sheetName val="Purchased kWh"/>
      <sheetName val="USL Customers"/>
      <sheetName val="Customers"/>
      <sheetName val="Rates Schedule"/>
      <sheetName val="Other Revenues"/>
    </sheetNames>
    <sheetDataSet>
      <sheetData sheetId="3">
        <row r="11">
          <cell r="D11">
            <v>2.84679957692845E-05</v>
          </cell>
        </row>
        <row r="12">
          <cell r="D12">
            <v>2.65558769878025E-05</v>
          </cell>
        </row>
        <row r="13">
          <cell r="D13">
            <v>0.010408800795998825</v>
          </cell>
          <cell r="E13">
            <v>0.0105</v>
          </cell>
          <cell r="F13">
            <v>0.0106</v>
          </cell>
          <cell r="G13">
            <v>0.0107</v>
          </cell>
          <cell r="H13">
            <v>0.0107</v>
          </cell>
        </row>
        <row r="14">
          <cell r="D14">
            <v>0.012085607824809781</v>
          </cell>
          <cell r="E14">
            <v>0.0122</v>
          </cell>
          <cell r="F14">
            <v>0.0123</v>
          </cell>
          <cell r="G14">
            <v>0.0124</v>
          </cell>
          <cell r="H14">
            <v>0.0124</v>
          </cell>
        </row>
        <row r="15">
          <cell r="D15">
            <v>0.01448395041459454</v>
          </cell>
          <cell r="E15">
            <v>0.0146</v>
          </cell>
          <cell r="F15">
            <v>0.0147</v>
          </cell>
          <cell r="G15">
            <v>0.0149</v>
          </cell>
          <cell r="H15">
            <v>0.0149</v>
          </cell>
        </row>
        <row r="16">
          <cell r="D16">
            <v>0.008861485444625528</v>
          </cell>
          <cell r="E16">
            <v>0.009</v>
          </cell>
          <cell r="F16">
            <v>0.009099999999999999</v>
          </cell>
          <cell r="G16">
            <v>0.009199999999999998</v>
          </cell>
          <cell r="H16">
            <v>0.009199999999999998</v>
          </cell>
        </row>
      </sheetData>
      <sheetData sheetId="4">
        <row r="79">
          <cell r="BO79">
            <v>1099386750.7095263</v>
          </cell>
          <cell r="BP79">
            <v>5013040.354278895</v>
          </cell>
          <cell r="BQ79">
            <v>285620803.02129936</v>
          </cell>
          <cell r="BR79">
            <v>1097553563.9581668</v>
          </cell>
          <cell r="BS79">
            <v>816592993.5144728</v>
          </cell>
          <cell r="BT79">
            <v>365387028.7308235</v>
          </cell>
          <cell r="BU79">
            <v>28517119.953197297</v>
          </cell>
          <cell r="BX79">
            <v>1107769581</v>
          </cell>
          <cell r="BY79">
            <v>4899876</v>
          </cell>
          <cell r="BZ79">
            <v>290725436</v>
          </cell>
          <cell r="CA79">
            <v>1123789074</v>
          </cell>
          <cell r="CB79">
            <v>832077628</v>
          </cell>
          <cell r="CC79">
            <v>383275616</v>
          </cell>
          <cell r="CD79">
            <v>29780031</v>
          </cell>
        </row>
      </sheetData>
      <sheetData sheetId="5">
        <row r="16">
          <cell r="AS16">
            <v>3008017.2379130363</v>
          </cell>
          <cell r="AT16">
            <v>1844198.136368158</v>
          </cell>
          <cell r="AU16">
            <v>664898.687305483</v>
          </cell>
          <cell r="AV16">
            <v>84877.64649331334</v>
          </cell>
          <cell r="AY16">
            <v>3079920</v>
          </cell>
          <cell r="AZ16">
            <v>1879169</v>
          </cell>
          <cell r="BA16">
            <v>697451</v>
          </cell>
          <cell r="BB16">
            <v>88637</v>
          </cell>
        </row>
        <row r="20">
          <cell r="AS20">
            <v>257402.4551621754</v>
          </cell>
          <cell r="AT20">
            <v>1517356.6725588164</v>
          </cell>
          <cell r="AU20">
            <v>664898.687305483</v>
          </cell>
          <cell r="AY20">
            <v>263555.3279784785</v>
          </cell>
          <cell r="AZ20">
            <v>1546129.759479628</v>
          </cell>
          <cell r="BA20">
            <v>697451</v>
          </cell>
        </row>
      </sheetData>
      <sheetData sheetId="7">
        <row r="16">
          <cell r="C16">
            <v>71.91666666666667</v>
          </cell>
          <cell r="D16">
            <v>69.66666666666667</v>
          </cell>
          <cell r="E16">
            <v>67</v>
          </cell>
          <cell r="F16">
            <v>66.16666666666667</v>
          </cell>
          <cell r="G16">
            <v>62.5</v>
          </cell>
          <cell r="H16">
            <v>62</v>
          </cell>
        </row>
      </sheetData>
      <sheetData sheetId="8">
        <row r="15">
          <cell r="AE15">
            <v>109778.16666666667</v>
          </cell>
          <cell r="AF15">
            <v>1207</v>
          </cell>
          <cell r="AG15">
            <v>7075.333333333333</v>
          </cell>
          <cell r="AH15">
            <v>1402.0833333333333</v>
          </cell>
          <cell r="AI15">
            <v>118.66666666666667</v>
          </cell>
          <cell r="AJ15">
            <v>3.9166666666666665</v>
          </cell>
          <cell r="AK15">
            <v>34321.07884283633</v>
          </cell>
          <cell r="AN15">
            <v>114118.83333333333</v>
          </cell>
          <cell r="AO15">
            <v>1250</v>
          </cell>
          <cell r="AP15">
            <v>7294.333333333333</v>
          </cell>
          <cell r="AQ15">
            <v>1416.8333333333333</v>
          </cell>
          <cell r="AR15">
            <v>116.83333333333333</v>
          </cell>
          <cell r="AS15">
            <v>4.916666666666667</v>
          </cell>
          <cell r="AT15">
            <v>35762.47657845333</v>
          </cell>
          <cell r="AW15">
            <v>119060</v>
          </cell>
          <cell r="AX15">
            <v>1267</v>
          </cell>
          <cell r="AY15">
            <v>7436.75</v>
          </cell>
          <cell r="AZ15">
            <v>1491.1666666666667</v>
          </cell>
          <cell r="BA15">
            <v>115.66666666666667</v>
          </cell>
          <cell r="BB15">
            <v>6</v>
          </cell>
          <cell r="BC15">
            <v>37264.5405222961</v>
          </cell>
          <cell r="BF15">
            <v>121040.83333333333</v>
          </cell>
          <cell r="BG15">
            <v>1280</v>
          </cell>
          <cell r="BH15">
            <v>7528.75</v>
          </cell>
          <cell r="BI15">
            <v>1553.6666666666667</v>
          </cell>
          <cell r="BJ15">
            <v>113.91666666666667</v>
          </cell>
          <cell r="BK15">
            <v>6</v>
          </cell>
          <cell r="BL15">
            <v>38829.21003807814</v>
          </cell>
        </row>
        <row r="47">
          <cell r="D47">
            <v>122376.57063286903</v>
          </cell>
          <cell r="E47">
            <v>1287.1362723368832</v>
          </cell>
          <cell r="F47">
            <v>7727.996361147564</v>
          </cell>
          <cell r="G47">
            <v>1543.6910838752199</v>
          </cell>
          <cell r="H47">
            <v>110.29141195348073</v>
          </cell>
          <cell r="I47">
            <v>6</v>
          </cell>
          <cell r="J47">
            <v>40459.427703839814</v>
          </cell>
          <cell r="M47">
            <v>123659.97314975421</v>
          </cell>
          <cell r="N47">
            <v>1300.4051714878062</v>
          </cell>
          <cell r="O47">
            <v>7892.95355666639</v>
          </cell>
          <cell r="P47">
            <v>1552.2130766767457</v>
          </cell>
          <cell r="Q47">
            <v>105.9532852783358</v>
          </cell>
          <cell r="R47">
            <v>6</v>
          </cell>
          <cell r="S47">
            <v>42158.23199435812</v>
          </cell>
        </row>
      </sheetData>
      <sheetData sheetId="9">
        <row r="5">
          <cell r="C5">
            <v>0.015808777989247583</v>
          </cell>
          <cell r="D5">
            <v>0.0159</v>
          </cell>
          <cell r="E5">
            <v>0.0157</v>
          </cell>
          <cell r="F5">
            <v>0.0157</v>
          </cell>
          <cell r="G5">
            <v>0.0154</v>
          </cell>
          <cell r="H5">
            <v>0.0153</v>
          </cell>
        </row>
        <row r="6">
          <cell r="C6">
            <v>10.744682409572201</v>
          </cell>
          <cell r="D6">
            <v>10.78</v>
          </cell>
          <cell r="E6">
            <v>10.66</v>
          </cell>
          <cell r="F6">
            <v>10.669999999999998</v>
          </cell>
          <cell r="G6">
            <v>10.48</v>
          </cell>
          <cell r="H6">
            <v>10.51</v>
          </cell>
        </row>
        <row r="8">
          <cell r="C8">
            <v>0.018248582370842203</v>
          </cell>
          <cell r="D8">
            <v>0.0183</v>
          </cell>
          <cell r="E8">
            <v>0.0181</v>
          </cell>
          <cell r="F8">
            <v>0.0181</v>
          </cell>
          <cell r="G8">
            <v>0.0178</v>
          </cell>
          <cell r="H8">
            <v>0.0165</v>
          </cell>
        </row>
        <row r="9">
          <cell r="C9">
            <v>20.664979496327238</v>
          </cell>
          <cell r="D9">
            <v>20.729999999999997</v>
          </cell>
          <cell r="E9">
            <v>20.499999999999996</v>
          </cell>
          <cell r="F9">
            <v>20.52</v>
          </cell>
          <cell r="G9">
            <v>20.15</v>
          </cell>
          <cell r="H9">
            <v>18.76</v>
          </cell>
        </row>
        <row r="11">
          <cell r="C11">
            <v>2.3508266482743387</v>
          </cell>
          <cell r="D11">
            <v>2.3593</v>
          </cell>
          <cell r="E11">
            <v>2.3333</v>
          </cell>
          <cell r="F11">
            <v>2.3354</v>
          </cell>
          <cell r="G11">
            <v>2.2935</v>
          </cell>
          <cell r="H11">
            <v>2.5804</v>
          </cell>
        </row>
        <row r="13">
          <cell r="C13">
            <v>104.09140999665594</v>
          </cell>
          <cell r="D13">
            <v>104.47</v>
          </cell>
          <cell r="E13">
            <v>103.32</v>
          </cell>
          <cell r="F13">
            <v>103.41</v>
          </cell>
          <cell r="G13">
            <v>101.56</v>
          </cell>
          <cell r="H13">
            <v>114.83</v>
          </cell>
        </row>
        <row r="15">
          <cell r="C15">
            <v>3.82882215954499</v>
          </cell>
          <cell r="D15">
            <v>3.8426</v>
          </cell>
          <cell r="E15">
            <v>3.8003</v>
          </cell>
          <cell r="F15">
            <v>3.8037</v>
          </cell>
          <cell r="G15">
            <v>3.7355</v>
          </cell>
          <cell r="H15">
            <v>3.5228</v>
          </cell>
        </row>
        <row r="17">
          <cell r="C17">
            <v>1445.5448152898343</v>
          </cell>
          <cell r="D17">
            <v>1450.76</v>
          </cell>
          <cell r="E17">
            <v>1434.8</v>
          </cell>
          <cell r="F17">
            <v>1436.0900000000001</v>
          </cell>
          <cell r="G17">
            <v>1410.3300000000002</v>
          </cell>
          <cell r="H17">
            <v>1223.86</v>
          </cell>
        </row>
        <row r="19">
          <cell r="C19">
            <v>2.9747445818474643</v>
          </cell>
          <cell r="D19">
            <v>2.9854</v>
          </cell>
          <cell r="E19">
            <v>2.9526</v>
          </cell>
          <cell r="F19">
            <v>2.9553</v>
          </cell>
          <cell r="G19">
            <v>2.9023</v>
          </cell>
          <cell r="H19">
            <v>2.3003</v>
          </cell>
        </row>
        <row r="21">
          <cell r="C21">
            <v>4840.07222931651</v>
          </cell>
          <cell r="D21">
            <v>4857.55</v>
          </cell>
          <cell r="E21">
            <v>4804.12</v>
          </cell>
          <cell r="F21">
            <v>4808.45</v>
          </cell>
          <cell r="G21">
            <v>4722.21</v>
          </cell>
          <cell r="H21">
            <v>4748.97</v>
          </cell>
        </row>
        <row r="23">
          <cell r="C23">
            <v>0.018248582370842203</v>
          </cell>
          <cell r="D23">
            <v>0.0183</v>
          </cell>
          <cell r="E23">
            <v>0.0181</v>
          </cell>
          <cell r="F23">
            <v>0.0181</v>
          </cell>
          <cell r="G23">
            <v>0.0178</v>
          </cell>
          <cell r="H23">
            <v>0.0185</v>
          </cell>
        </row>
        <row r="24">
          <cell r="C24">
            <v>20.664979496327238</v>
          </cell>
          <cell r="D24">
            <v>20.73</v>
          </cell>
          <cell r="E24">
            <v>20.5</v>
          </cell>
          <cell r="F24">
            <v>20.52</v>
          </cell>
          <cell r="G24">
            <v>20.15</v>
          </cell>
          <cell r="H24">
            <v>1</v>
          </cell>
        </row>
        <row r="30">
          <cell r="C30">
            <v>2.2596420409985956</v>
          </cell>
          <cell r="D30">
            <v>2.2678</v>
          </cell>
          <cell r="E30">
            <v>2.2429</v>
          </cell>
          <cell r="F30">
            <v>2.2449</v>
          </cell>
          <cell r="G30">
            <v>2.2046</v>
          </cell>
          <cell r="H30">
            <v>11.443</v>
          </cell>
        </row>
        <row r="32">
          <cell r="C32">
            <v>0</v>
          </cell>
          <cell r="D32">
            <v>0</v>
          </cell>
          <cell r="E32">
            <v>0</v>
          </cell>
          <cell r="F32">
            <v>0</v>
          </cell>
          <cell r="G32">
            <v>0</v>
          </cell>
          <cell r="H32">
            <v>0.42</v>
          </cell>
        </row>
        <row r="66">
          <cell r="B66">
            <v>-0.6</v>
          </cell>
          <cell r="C66">
            <v>-0.6</v>
          </cell>
          <cell r="D66">
            <v>-0.6</v>
          </cell>
          <cell r="E66">
            <v>-0.6</v>
          </cell>
          <cell r="F66">
            <v>-0.6</v>
          </cell>
          <cell r="G66">
            <v>-0.6</v>
          </cell>
        </row>
      </sheetData>
      <sheetData sheetId="10">
        <row r="4">
          <cell r="C4">
            <v>280415</v>
          </cell>
          <cell r="D4">
            <v>311192.75</v>
          </cell>
          <cell r="E4">
            <v>314944</v>
          </cell>
          <cell r="F4">
            <v>309220.75</v>
          </cell>
          <cell r="G4">
            <v>312834.2014299973</v>
          </cell>
          <cell r="H4">
            <v>316281.46258397633</v>
          </cell>
        </row>
        <row r="5">
          <cell r="C5">
            <v>260051.02</v>
          </cell>
          <cell r="D5">
            <v>293177.37</v>
          </cell>
          <cell r="E5">
            <v>305715.89</v>
          </cell>
          <cell r="F5">
            <v>285754.19</v>
          </cell>
          <cell r="G5">
            <v>350000</v>
          </cell>
          <cell r="H5">
            <v>310000</v>
          </cell>
        </row>
        <row r="6">
          <cell r="C6">
            <v>12485.19</v>
          </cell>
          <cell r="D6">
            <v>20825</v>
          </cell>
          <cell r="E6">
            <v>13850</v>
          </cell>
          <cell r="F6">
            <v>4200</v>
          </cell>
          <cell r="G6">
            <v>25000</v>
          </cell>
          <cell r="H6">
            <v>5000</v>
          </cell>
        </row>
        <row r="7">
          <cell r="C7">
            <v>752414.76</v>
          </cell>
          <cell r="D7">
            <v>733318.55</v>
          </cell>
          <cell r="E7">
            <v>575118.13</v>
          </cell>
          <cell r="F7">
            <v>557519.9400000001</v>
          </cell>
          <cell r="G7">
            <v>540030</v>
          </cell>
          <cell r="H7">
            <v>498000</v>
          </cell>
        </row>
        <row r="8">
          <cell r="C8">
            <v>1090019.61</v>
          </cell>
          <cell r="D8">
            <v>1220696.46</v>
          </cell>
          <cell r="E8">
            <v>1219745.58</v>
          </cell>
          <cell r="F8">
            <v>1314407.58</v>
          </cell>
          <cell r="G8">
            <v>1310000</v>
          </cell>
          <cell r="H8">
            <v>1450331</v>
          </cell>
        </row>
        <row r="9">
          <cell r="C9">
            <v>1348712.53</v>
          </cell>
          <cell r="D9">
            <v>1458176.71</v>
          </cell>
          <cell r="E9">
            <v>1299509.5</v>
          </cell>
          <cell r="F9">
            <v>1107039.1400000001</v>
          </cell>
          <cell r="G9">
            <v>1188970</v>
          </cell>
          <cell r="H9">
            <v>1152000</v>
          </cell>
        </row>
        <row r="10">
          <cell r="C10">
            <v>824248.9700000001</v>
          </cell>
          <cell r="D10">
            <v>52356.98000000001</v>
          </cell>
          <cell r="E10">
            <v>10105.519999999997</v>
          </cell>
          <cell r="F10">
            <v>184973.11000000002</v>
          </cell>
          <cell r="G10">
            <v>150000</v>
          </cell>
          <cell r="H10">
            <v>252000</v>
          </cell>
        </row>
        <row r="11">
          <cell r="C11">
            <v>524342.67</v>
          </cell>
          <cell r="D11">
            <v>481318.3</v>
          </cell>
          <cell r="E11">
            <v>322428.61</v>
          </cell>
          <cell r="F11">
            <v>26803.429999999993</v>
          </cell>
          <cell r="G11">
            <v>6679.94</v>
          </cell>
          <cell r="H11">
            <v>2799.36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enue Input"/>
      <sheetName val="Transformer Allowance"/>
      <sheetName val="Forecast Data For 2011"/>
      <sheetName val="2010 Existing Rates"/>
      <sheetName val="2011 Test Yr On Existing Rates"/>
      <sheetName val="Cost Allocation Study"/>
      <sheetName val="Rates By Rate Class"/>
      <sheetName val="Allocation Low Voltage Costs"/>
      <sheetName val="Low Voltage Rates"/>
      <sheetName val="Distribution Rate Schedule"/>
      <sheetName val="LRAM and SSM Rate Rider"/>
      <sheetName val="2011 Rate Rider"/>
      <sheetName val="Other Electricity Rates"/>
      <sheetName val="BILL IMPACTS"/>
      <sheetName val="Rate Schedule (Part 1)"/>
      <sheetName val="Rate Schedule (Part 2)"/>
      <sheetName val="Dist. Rev. Reconciliation"/>
      <sheetName val="Revenue Deficiency Analysis"/>
      <sheetName val="Rev. at Exist Vs Proposed Rates"/>
    </sheetNames>
    <sheetDataSet>
      <sheetData sheetId="1">
        <row r="7">
          <cell r="F7">
            <v>-0.7048</v>
          </cell>
        </row>
        <row r="8">
          <cell r="F8">
            <v>-0.8758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114"/>
  <sheetViews>
    <sheetView showGridLines="0" zoomScale="80" zoomScaleNormal="80" zoomScalePageLayoutView="0" workbookViewId="0" topLeftCell="A1">
      <selection activeCell="N36" sqref="N36"/>
    </sheetView>
  </sheetViews>
  <sheetFormatPr defaultColWidth="9.140625" defaultRowHeight="12.75"/>
  <cols>
    <col min="1" max="1" width="31.57421875" style="23" customWidth="1"/>
    <col min="2" max="2" width="14.7109375" style="23" customWidth="1"/>
    <col min="3" max="3" width="13.57421875" style="23" bestFit="1" customWidth="1"/>
    <col min="4" max="4" width="9.8515625" style="51" bestFit="1" customWidth="1"/>
    <col min="5" max="5" width="13.57421875" style="23" bestFit="1" customWidth="1"/>
    <col min="6" max="6" width="9.8515625" style="51" bestFit="1" customWidth="1"/>
    <col min="7" max="7" width="13.57421875" style="23" bestFit="1" customWidth="1"/>
    <col min="8" max="8" width="9.8515625" style="51" bestFit="1" customWidth="1"/>
    <col min="9" max="9" width="13.57421875" style="23" bestFit="1" customWidth="1"/>
    <col min="10" max="10" width="9.8515625" style="51" bestFit="1" customWidth="1"/>
    <col min="11" max="11" width="13.57421875" style="23" bestFit="1" customWidth="1"/>
    <col min="12" max="12" width="11.28125" style="51" bestFit="1" customWidth="1"/>
    <col min="13" max="13" width="15.7109375" style="23" bestFit="1" customWidth="1"/>
    <col min="14" max="14" width="11.28125" style="51" bestFit="1" customWidth="1"/>
    <col min="15" max="16384" width="9.140625" style="23" customWidth="1"/>
  </cols>
  <sheetData>
    <row r="1" spans="1:14" ht="15.75">
      <c r="A1" s="205" t="s">
        <v>92</v>
      </c>
      <c r="B1" s="205"/>
      <c r="C1" s="205"/>
      <c r="D1" s="205"/>
      <c r="E1" s="205"/>
      <c r="F1" s="205"/>
      <c r="G1" s="205"/>
      <c r="H1" s="205"/>
      <c r="I1" s="205"/>
      <c r="J1" s="205"/>
      <c r="K1" s="205"/>
      <c r="L1" s="205"/>
      <c r="M1" s="205"/>
      <c r="N1" s="205"/>
    </row>
    <row r="2" spans="1:14" ht="13.5" thickBot="1">
      <c r="A2" s="204"/>
      <c r="B2" s="204"/>
      <c r="C2" s="204"/>
      <c r="D2" s="204"/>
      <c r="E2" s="204"/>
      <c r="F2" s="204"/>
      <c r="G2" s="204"/>
      <c r="H2" s="204"/>
      <c r="I2" s="204"/>
      <c r="J2" s="204"/>
      <c r="K2" s="204"/>
      <c r="L2" s="204"/>
      <c r="M2" s="204"/>
      <c r="N2" s="50"/>
    </row>
    <row r="3" spans="1:15" ht="25.5">
      <c r="A3" s="54"/>
      <c r="B3" s="55" t="s">
        <v>111</v>
      </c>
      <c r="C3" s="55" t="s">
        <v>58</v>
      </c>
      <c r="D3" s="56" t="s">
        <v>44</v>
      </c>
      <c r="E3" s="55" t="s">
        <v>79</v>
      </c>
      <c r="F3" s="56" t="s">
        <v>44</v>
      </c>
      <c r="G3" s="55" t="s">
        <v>80</v>
      </c>
      <c r="H3" s="56" t="s">
        <v>44</v>
      </c>
      <c r="I3" s="55" t="s">
        <v>81</v>
      </c>
      <c r="J3" s="56" t="s">
        <v>44</v>
      </c>
      <c r="K3" s="55" t="s">
        <v>82</v>
      </c>
      <c r="L3" s="56" t="s">
        <v>44</v>
      </c>
      <c r="M3" s="55" t="s">
        <v>110</v>
      </c>
      <c r="N3" s="149" t="s">
        <v>44</v>
      </c>
      <c r="O3" s="52"/>
    </row>
    <row r="4" spans="1:14" s="40" customFormat="1" ht="12.75">
      <c r="A4" s="57" t="s">
        <v>15</v>
      </c>
      <c r="B4" s="58"/>
      <c r="C4" s="58"/>
      <c r="D4" s="59"/>
      <c r="E4" s="58"/>
      <c r="F4" s="59"/>
      <c r="G4" s="58"/>
      <c r="H4" s="59"/>
      <c r="I4" s="58"/>
      <c r="J4" s="59"/>
      <c r="K4" s="58"/>
      <c r="L4" s="59"/>
      <c r="M4" s="58"/>
      <c r="N4" s="150"/>
    </row>
    <row r="5" spans="1:14" s="40" customFormat="1" ht="12.75">
      <c r="A5" s="60" t="s">
        <v>2</v>
      </c>
      <c r="B5" s="177">
        <f>'Distribution Revenue by Source'!B5</f>
        <v>28804231.989713915</v>
      </c>
      <c r="C5" s="177">
        <f>'Distribution Revenue by Source'!C5</f>
        <v>30932916.62840454</v>
      </c>
      <c r="D5" s="177">
        <f>C5-B5</f>
        <v>2128684.6386906244</v>
      </c>
      <c r="E5" s="177">
        <f>'Distribution Revenue by Source'!D5</f>
        <v>32750248.0427</v>
      </c>
      <c r="F5" s="177">
        <f>E5-C5</f>
        <v>1817331.414295461</v>
      </c>
      <c r="G5" s="177">
        <f>'Distribution Revenue by Source'!E5</f>
        <v>33477545.4291</v>
      </c>
      <c r="H5" s="177">
        <f>G5-E5</f>
        <v>727297.3863999993</v>
      </c>
      <c r="I5" s="177">
        <f>'Distribution Revenue by Source'!F5</f>
        <v>34505112.8934</v>
      </c>
      <c r="J5" s="177">
        <f>I5-G5</f>
        <v>1027567.4642999992</v>
      </c>
      <c r="K5" s="177">
        <f>'Distribution Revenue by Source'!G5</f>
        <v>33965374.59302208</v>
      </c>
      <c r="L5" s="177">
        <f>K5-I5</f>
        <v>-539738.3003779203</v>
      </c>
      <c r="M5" s="177">
        <f>'Distribution Revenue by Source'!I5</f>
        <v>32544870.402947</v>
      </c>
      <c r="N5" s="178">
        <f>M5-K5</f>
        <v>-1420504.1900750771</v>
      </c>
    </row>
    <row r="6" spans="1:14" s="40" customFormat="1" ht="12.75">
      <c r="A6" s="60" t="s">
        <v>38</v>
      </c>
      <c r="B6" s="177">
        <f>'Distribution Revenue by Source'!B6</f>
        <v>6753148.943417551</v>
      </c>
      <c r="C6" s="177">
        <f>'Distribution Revenue by Source'!C6</f>
        <v>6947577.244466481</v>
      </c>
      <c r="D6" s="177">
        <f aca="true" t="shared" si="0" ref="D6:D12">C6-B6</f>
        <v>194428.3010489298</v>
      </c>
      <c r="E6" s="177">
        <f>'Distribution Revenue by Source'!D6</f>
        <v>7271249.3881</v>
      </c>
      <c r="F6" s="177">
        <f aca="true" t="shared" si="1" ref="F6:F12">E6-C6</f>
        <v>323672.1436335193</v>
      </c>
      <c r="G6" s="177">
        <f>'Distribution Revenue by Source'!E6</f>
        <v>7120104.679900001</v>
      </c>
      <c r="H6" s="177">
        <f aca="true" t="shared" si="2" ref="H6:H12">G6-E6</f>
        <v>-151144.7081999993</v>
      </c>
      <c r="I6" s="177">
        <f>'Distribution Revenue by Source'!F6</f>
        <v>7141502.3898</v>
      </c>
      <c r="J6" s="177">
        <f aca="true" t="shared" si="3" ref="J6:J12">I6-G6</f>
        <v>21397.7098999992</v>
      </c>
      <c r="K6" s="177">
        <f>'Distribution Revenue by Source'!G6</f>
        <v>7056544.084998433</v>
      </c>
      <c r="L6" s="177">
        <f aca="true" t="shared" si="4" ref="L6:L12">K6-I6</f>
        <v>-84958.30480156746</v>
      </c>
      <c r="M6" s="177">
        <f>'Distribution Revenue by Source'!I6</f>
        <v>6573831.398676738</v>
      </c>
      <c r="N6" s="178">
        <f aca="true" t="shared" si="5" ref="N6:N12">M6-K6</f>
        <v>-482712.6863216944</v>
      </c>
    </row>
    <row r="7" spans="1:14" s="40" customFormat="1" ht="12.75">
      <c r="A7" s="60" t="s">
        <v>39</v>
      </c>
      <c r="B7" s="177">
        <f>'Distribution Revenue by Source'!B7</f>
        <v>8234737.131383877</v>
      </c>
      <c r="C7" s="177">
        <f>'Distribution Revenue by Source'!C7</f>
        <v>8721458.91368302</v>
      </c>
      <c r="D7" s="177">
        <f t="shared" si="0"/>
        <v>486721.78229914233</v>
      </c>
      <c r="E7" s="177">
        <f>'Distribution Revenue by Source'!D7</f>
        <v>8926700.429242589</v>
      </c>
      <c r="F7" s="177">
        <f t="shared" si="1"/>
        <v>205241.515559569</v>
      </c>
      <c r="G7" s="177">
        <f>'Distribution Revenue by Source'!E7</f>
        <v>9031595.924928633</v>
      </c>
      <c r="H7" s="177">
        <f t="shared" si="2"/>
        <v>104895.49568604492</v>
      </c>
      <c r="I7" s="177">
        <f>'Distribution Revenue by Source'!F7</f>
        <v>9116566.234207723</v>
      </c>
      <c r="J7" s="177">
        <f t="shared" si="3"/>
        <v>84970.3092790898</v>
      </c>
      <c r="K7" s="177">
        <f>'Distribution Revenue by Source'!G7</f>
        <v>8800961.94106124</v>
      </c>
      <c r="L7" s="177">
        <f t="shared" si="4"/>
        <v>-315604.2931464836</v>
      </c>
      <c r="M7" s="177">
        <f>'Distribution Revenue by Source'!I7</f>
        <v>10086313.099137489</v>
      </c>
      <c r="N7" s="178">
        <f t="shared" si="5"/>
        <v>1285351.158076249</v>
      </c>
    </row>
    <row r="8" spans="1:14" s="73" customFormat="1" ht="12.75">
      <c r="A8" s="151" t="s">
        <v>85</v>
      </c>
      <c r="B8" s="177">
        <f>'Distribution Revenue by Source'!B8</f>
        <v>9443369.112126896</v>
      </c>
      <c r="C8" s="177">
        <f>'Distribution Revenue by Source'!C8</f>
        <v>10229530.394864457</v>
      </c>
      <c r="D8" s="177">
        <f>C8-B8</f>
        <v>786161.2827375606</v>
      </c>
      <c r="E8" s="177">
        <f>'Distribution Revenue by Source'!D8</f>
        <v>10037772.602</v>
      </c>
      <c r="F8" s="177">
        <f>E8-C8</f>
        <v>-191757.79286445677</v>
      </c>
      <c r="G8" s="177">
        <f>'Distribution Revenue by Source'!E8</f>
        <v>9531805.5634</v>
      </c>
      <c r="H8" s="177">
        <f>G8-E8</f>
        <v>-505967.0385999996</v>
      </c>
      <c r="I8" s="177">
        <f>'Distribution Revenue by Source'!F8</f>
        <v>9022442.8311</v>
      </c>
      <c r="J8" s="177">
        <f>I8-G8</f>
        <v>-509362.73230000027</v>
      </c>
      <c r="K8" s="177">
        <f>'Distribution Revenue by Source'!G8</f>
        <v>8757051.89922414</v>
      </c>
      <c r="L8" s="177">
        <f>K8-I8</f>
        <v>-265390.9318758603</v>
      </c>
      <c r="M8" s="177">
        <f>'Distribution Revenue by Source'!I8</f>
        <v>8176000.405848929</v>
      </c>
      <c r="N8" s="178">
        <f>M8-K8</f>
        <v>-581051.493375211</v>
      </c>
    </row>
    <row r="9" spans="1:14" s="40" customFormat="1" ht="12.75">
      <c r="A9" s="152" t="s">
        <v>3</v>
      </c>
      <c r="B9" s="177">
        <f>'Distribution Revenue by Source'!B9</f>
        <v>1494552.987567192</v>
      </c>
      <c r="C9" s="177">
        <f>'Distribution Revenue by Source'!C9</f>
        <v>1978758.4375572966</v>
      </c>
      <c r="D9" s="177">
        <f t="shared" si="0"/>
        <v>484205.44999010465</v>
      </c>
      <c r="E9" s="177">
        <f>'Distribution Revenue by Source'!D9</f>
        <v>2176058.8152</v>
      </c>
      <c r="F9" s="177">
        <f t="shared" si="1"/>
        <v>197300.37764270348</v>
      </c>
      <c r="G9" s="177">
        <f>'Distribution Revenue by Source'!E9</f>
        <v>2458612.0602</v>
      </c>
      <c r="H9" s="177">
        <f t="shared" si="2"/>
        <v>282553.2450000001</v>
      </c>
      <c r="I9" s="177">
        <f>'Distribution Revenue by Source'!F9</f>
        <v>2421613.0014</v>
      </c>
      <c r="J9" s="177">
        <f t="shared" si="3"/>
        <v>-36999.05880000023</v>
      </c>
      <c r="K9" s="177">
        <f>'Distribution Revenue by Source'!G9</f>
        <v>2269815.2201667037</v>
      </c>
      <c r="L9" s="177">
        <f t="shared" si="4"/>
        <v>-151797.78123329626</v>
      </c>
      <c r="M9" s="177">
        <f>'Distribution Revenue by Source'!I9</f>
        <v>1946272.3753</v>
      </c>
      <c r="N9" s="178">
        <f t="shared" si="5"/>
        <v>-323542.84486670373</v>
      </c>
    </row>
    <row r="10" spans="1:14" s="40" customFormat="1" ht="12.75">
      <c r="A10" s="152" t="s">
        <v>4</v>
      </c>
      <c r="B10" s="177">
        <f>'Distribution Revenue by Source'!B10</f>
        <v>132444.76320652824</v>
      </c>
      <c r="C10" s="177">
        <f>'Distribution Revenue by Source'!C10</f>
        <v>158529.88917605148</v>
      </c>
      <c r="D10" s="177">
        <f t="shared" si="0"/>
        <v>26085.125969523244</v>
      </c>
      <c r="E10" s="177">
        <f>'Distribution Revenue by Source'!D10</f>
        <v>171740.49399999998</v>
      </c>
      <c r="F10" s="177">
        <f t="shared" si="1"/>
        <v>13210.604823948495</v>
      </c>
      <c r="G10" s="177">
        <f>'Distribution Revenue by Source'!E10</f>
        <v>179272.75410000002</v>
      </c>
      <c r="H10" s="177">
        <f t="shared" si="2"/>
        <v>7532.260100000043</v>
      </c>
      <c r="I10" s="177">
        <f>'Distribution Revenue by Source'!F10</f>
        <v>183904.4529</v>
      </c>
      <c r="J10" s="177">
        <f t="shared" si="3"/>
        <v>4631.698799999984</v>
      </c>
      <c r="K10" s="177">
        <f>'Distribution Revenue by Source'!G10</f>
        <v>187121.2594591586</v>
      </c>
      <c r="L10" s="177">
        <f t="shared" si="4"/>
        <v>3216.8065591586055</v>
      </c>
      <c r="M10" s="177">
        <f>'Distribution Revenue by Source'!I10</f>
        <v>1226750.6802515648</v>
      </c>
      <c r="N10" s="178">
        <f t="shared" si="5"/>
        <v>1039629.4207924062</v>
      </c>
    </row>
    <row r="11" spans="1:14" s="40" customFormat="1" ht="12.75">
      <c r="A11" s="152" t="s">
        <v>5</v>
      </c>
      <c r="B11" s="177">
        <f>'Distribution Revenue by Source'!B11</f>
        <v>0</v>
      </c>
      <c r="C11" s="177">
        <f>'Distribution Revenue by Source'!C11</f>
        <v>114457.32892583715</v>
      </c>
      <c r="D11" s="177">
        <f t="shared" si="0"/>
        <v>114457.32892583715</v>
      </c>
      <c r="E11" s="177">
        <f>'Distribution Revenue by Source'!D11</f>
        <v>109695.5772</v>
      </c>
      <c r="F11" s="177">
        <f t="shared" si="1"/>
        <v>-4761.751725837152</v>
      </c>
      <c r="G11" s="177">
        <f>'Distribution Revenue by Source'!E11</f>
        <v>108956.31180000001</v>
      </c>
      <c r="H11" s="177">
        <f t="shared" si="2"/>
        <v>-739.2653999999893</v>
      </c>
      <c r="I11" s="177">
        <f>'Distribution Revenue by Source'!F11</f>
        <v>108693.10850000002</v>
      </c>
      <c r="J11" s="177">
        <f t="shared" si="3"/>
        <v>-263.20329999999376</v>
      </c>
      <c r="K11" s="177">
        <f>'Distribution Revenue by Source'!G11</f>
        <v>104344.61830616434</v>
      </c>
      <c r="L11" s="177">
        <f t="shared" si="4"/>
        <v>-4348.490193835678</v>
      </c>
      <c r="M11" s="177">
        <f>'Distribution Revenue by Source'!I11</f>
        <v>106252.56805785367</v>
      </c>
      <c r="N11" s="178">
        <f t="shared" si="5"/>
        <v>1907.9497516893316</v>
      </c>
    </row>
    <row r="12" spans="1:14" s="40" customFormat="1" ht="12.75">
      <c r="A12" s="153" t="s">
        <v>6</v>
      </c>
      <c r="B12" s="177">
        <f>'Distribution Revenue by Source'!B13</f>
        <v>-94500.00000000001</v>
      </c>
      <c r="C12" s="177">
        <f>'Distribution Revenue by Source'!C13</f>
        <v>-65796.7376154019</v>
      </c>
      <c r="D12" s="177">
        <f t="shared" si="0"/>
        <v>28703.262384598114</v>
      </c>
      <c r="E12" s="177">
        <f>'Distribution Revenue by Source'!D13</f>
        <v>-67102.72289191168</v>
      </c>
      <c r="F12" s="177">
        <f t="shared" si="1"/>
        <v>-1305.9852765097748</v>
      </c>
      <c r="G12" s="177">
        <f>'Distribution Revenue by Source'!E13</f>
        <v>-68221.24168898279</v>
      </c>
      <c r="H12" s="177">
        <f t="shared" si="2"/>
        <v>-1118.5187970711122</v>
      </c>
      <c r="I12" s="177">
        <f>'Distribution Revenue by Source'!F13</f>
        <v>-67065.2349257783</v>
      </c>
      <c r="J12" s="177">
        <f t="shared" si="3"/>
        <v>1156.006763204481</v>
      </c>
      <c r="K12" s="177">
        <f>'Distribution Revenue by Source'!G13</f>
        <v>-65741.70612522482</v>
      </c>
      <c r="L12" s="177">
        <f t="shared" si="4"/>
        <v>1323.5288005534821</v>
      </c>
      <c r="M12" s="177">
        <f>'Distribution Revenue by Source'!I13</f>
        <v>0</v>
      </c>
      <c r="N12" s="178">
        <f t="shared" si="5"/>
        <v>65741.70612522482</v>
      </c>
    </row>
    <row r="13" spans="1:14" s="28" customFormat="1" ht="12.75">
      <c r="A13" s="61" t="s">
        <v>62</v>
      </c>
      <c r="B13" s="179">
        <f aca="true" t="shared" si="6" ref="B13:N13">SUM(B5:B12)</f>
        <v>54767984.92741595</v>
      </c>
      <c r="C13" s="179">
        <f t="shared" si="6"/>
        <v>59017432.09946228</v>
      </c>
      <c r="D13" s="179">
        <f t="shared" si="6"/>
        <v>4249447.1720463205</v>
      </c>
      <c r="E13" s="179">
        <f t="shared" si="6"/>
        <v>61376362.62555068</v>
      </c>
      <c r="F13" s="179">
        <f t="shared" si="6"/>
        <v>2358930.526088397</v>
      </c>
      <c r="G13" s="179">
        <f t="shared" si="6"/>
        <v>61839671.481739655</v>
      </c>
      <c r="H13" s="179">
        <f t="shared" si="6"/>
        <v>463308.85618897434</v>
      </c>
      <c r="I13" s="179">
        <f t="shared" si="6"/>
        <v>62432769.67638194</v>
      </c>
      <c r="J13" s="179">
        <f t="shared" si="6"/>
        <v>593098.1946422921</v>
      </c>
      <c r="K13" s="179">
        <f t="shared" si="6"/>
        <v>61075471.9101127</v>
      </c>
      <c r="L13" s="179">
        <f t="shared" si="6"/>
        <v>-1357297.7662692517</v>
      </c>
      <c r="M13" s="179">
        <f t="shared" si="6"/>
        <v>60660290.930219576</v>
      </c>
      <c r="N13" s="180">
        <f t="shared" si="6"/>
        <v>-415180.97989311686</v>
      </c>
    </row>
    <row r="14" spans="1:14" s="40" customFormat="1" ht="12.75">
      <c r="A14" s="60" t="s">
        <v>57</v>
      </c>
      <c r="B14" s="181"/>
      <c r="C14" s="177"/>
      <c r="D14" s="177"/>
      <c r="E14" s="177"/>
      <c r="F14" s="177"/>
      <c r="G14" s="177"/>
      <c r="H14" s="177"/>
      <c r="I14" s="177"/>
      <c r="J14" s="177"/>
      <c r="K14" s="177"/>
      <c r="L14" s="177"/>
      <c r="M14" s="177"/>
      <c r="N14" s="178"/>
    </row>
    <row r="15" spans="1:14" s="40" customFormat="1" ht="12.75">
      <c r="A15" s="60" t="s">
        <v>39</v>
      </c>
      <c r="B15" s="177">
        <f>'Dx. Revenue - Norm. Forecasts'!C10</f>
        <v>-131572.8</v>
      </c>
      <c r="C15" s="177">
        <f>'Dx. Revenue - Norm. Forecasts'!D10</f>
        <v>-150443.87250543144</v>
      </c>
      <c r="D15" s="177">
        <f>C15-B15</f>
        <v>-18871.072505431453</v>
      </c>
      <c r="E15" s="177">
        <f>'Dx. Revenue - Norm. Forecasts'!E10</f>
        <v>-151490.4</v>
      </c>
      <c r="F15" s="177">
        <f>E15-C15</f>
        <v>-1046.5274945685524</v>
      </c>
      <c r="G15" s="177">
        <f>'Dx. Revenue - Norm. Forecasts'!F10</f>
        <v>-154560.6</v>
      </c>
      <c r="H15" s="177">
        <f>G15-E15</f>
        <v>-3070.2000000000116</v>
      </c>
      <c r="I15" s="177">
        <f>'Dx. Revenue - Norm. Forecasts'!G10</f>
        <v>-165050.4</v>
      </c>
      <c r="J15" s="177">
        <f>I15-G15</f>
        <v>-10489.799999999988</v>
      </c>
      <c r="K15" s="177">
        <f>'Dx. Revenue - Norm. Forecasts'!H10</f>
        <v>-154441.47309730525</v>
      </c>
      <c r="L15" s="177">
        <f>K15-I15</f>
        <v>10608.926902694744</v>
      </c>
      <c r="M15" s="177">
        <f>'Dx. Revenue - Norm. Forecasts'!J10</f>
        <v>-185753.79515923164</v>
      </c>
      <c r="N15" s="178">
        <f>M15-K15</f>
        <v>-31312.32206192639</v>
      </c>
    </row>
    <row r="16" spans="1:14" s="73" customFormat="1" ht="12.75">
      <c r="A16" s="151" t="s">
        <v>85</v>
      </c>
      <c r="B16" s="177">
        <f>+'Dx. Revenue - Norm. Forecasts'!C14</f>
        <v>-1036717.7999999999</v>
      </c>
      <c r="C16" s="177">
        <f>+'Dx. Revenue - Norm. Forecasts'!D14</f>
        <v>-1054929</v>
      </c>
      <c r="D16" s="177">
        <f>C16-B16</f>
        <v>-18211.20000000007</v>
      </c>
      <c r="E16" s="177">
        <f>+'Dx. Revenue - Norm. Forecasts'!E14</f>
        <v>-1027595.3999999999</v>
      </c>
      <c r="F16" s="177">
        <f>E16-C16</f>
        <v>27333.600000000093</v>
      </c>
      <c r="G16" s="177">
        <f>+'Dx. Revenue - Norm. Forecasts'!F14</f>
        <v>-992921.3999999999</v>
      </c>
      <c r="H16" s="177">
        <f>G16-E16</f>
        <v>34674</v>
      </c>
      <c r="I16" s="177">
        <f>+'Dx. Revenue - Norm. Forecasts'!G14</f>
        <v>-910766.4</v>
      </c>
      <c r="J16" s="177">
        <f>I16-G16</f>
        <v>82154.99999999988</v>
      </c>
      <c r="K16" s="177">
        <f>+'Dx. Revenue - Norm. Forecasts'!H14</f>
        <v>-910414.0035352898</v>
      </c>
      <c r="L16" s="177">
        <f>K16-I16</f>
        <v>352.39646471024025</v>
      </c>
      <c r="M16" s="177">
        <f>+'Dx. Revenue - Norm. Forecasts'!J14</f>
        <v>-1354100.4433522583</v>
      </c>
      <c r="N16" s="178">
        <f>M16-K16</f>
        <v>-443686.4398169685</v>
      </c>
    </row>
    <row r="17" spans="1:14" s="40" customFormat="1" ht="12.75">
      <c r="A17" s="60" t="s">
        <v>3</v>
      </c>
      <c r="B17" s="177">
        <f>'Dx. Revenue - Norm. Forecasts'!C18</f>
        <v>-299983.8</v>
      </c>
      <c r="C17" s="177">
        <f>'Dx. Revenue - Norm. Forecasts'!D18</f>
        <v>-356256.6</v>
      </c>
      <c r="D17" s="177">
        <f>C17-B17</f>
        <v>-56272.79999999999</v>
      </c>
      <c r="E17" s="177">
        <f>'Dx. Revenue - Norm. Forecasts'!E18</f>
        <v>-402052.2</v>
      </c>
      <c r="F17" s="177">
        <f>E17-C17</f>
        <v>-45795.600000000035</v>
      </c>
      <c r="G17" s="177">
        <f>'Dx. Revenue - Norm. Forecasts'!F18</f>
        <v>-429316.2</v>
      </c>
      <c r="H17" s="177">
        <f>G17-E17</f>
        <v>-27264</v>
      </c>
      <c r="I17" s="177">
        <f>'Dx. Revenue - Norm. Forecasts'!G18</f>
        <v>-421342.8</v>
      </c>
      <c r="J17" s="177">
        <f>I17-G17</f>
        <v>7973.400000000023</v>
      </c>
      <c r="K17" s="177">
        <f>'Dx. Revenue - Norm. Forecasts'!H18</f>
        <v>-398939.2123832898</v>
      </c>
      <c r="L17" s="177">
        <f>K17-I17</f>
        <v>22403.587616710167</v>
      </c>
      <c r="M17" s="177">
        <f>'Dx. Revenue - Norm. Forecasts'!J18</f>
        <v>0</v>
      </c>
      <c r="N17" s="178">
        <f>M17-K17</f>
        <v>398939.2123832898</v>
      </c>
    </row>
    <row r="18" spans="1:14" s="40" customFormat="1" ht="12.75">
      <c r="A18" s="61" t="s">
        <v>63</v>
      </c>
      <c r="B18" s="182">
        <f>SUM(B15:B17)</f>
        <v>-1468274.4</v>
      </c>
      <c r="C18" s="182">
        <f aca="true" t="shared" si="7" ref="C18:N18">SUM(C15:C17)</f>
        <v>-1561629.4725054316</v>
      </c>
      <c r="D18" s="182">
        <f t="shared" si="7"/>
        <v>-93355.07250543151</v>
      </c>
      <c r="E18" s="182">
        <f t="shared" si="7"/>
        <v>-1581137.9999999998</v>
      </c>
      <c r="F18" s="182">
        <f t="shared" si="7"/>
        <v>-19508.527494568494</v>
      </c>
      <c r="G18" s="182">
        <f t="shared" si="7"/>
        <v>-1576798.2</v>
      </c>
      <c r="H18" s="182">
        <f t="shared" si="7"/>
        <v>4339.799999999988</v>
      </c>
      <c r="I18" s="182">
        <f t="shared" si="7"/>
        <v>-1497159.6</v>
      </c>
      <c r="J18" s="182">
        <f t="shared" si="7"/>
        <v>79638.59999999992</v>
      </c>
      <c r="K18" s="182">
        <f t="shared" si="7"/>
        <v>-1463794.689015885</v>
      </c>
      <c r="L18" s="182">
        <f t="shared" si="7"/>
        <v>33364.91098411515</v>
      </c>
      <c r="M18" s="182">
        <f t="shared" si="7"/>
        <v>-1539854.23851149</v>
      </c>
      <c r="N18" s="183">
        <f t="shared" si="7"/>
        <v>-76059.54949560505</v>
      </c>
    </row>
    <row r="19" spans="1:14" s="40" customFormat="1" ht="13.5" thickBot="1">
      <c r="A19" s="62" t="s">
        <v>45</v>
      </c>
      <c r="B19" s="184">
        <f>SUM(B13,B18)</f>
        <v>53299710.52741595</v>
      </c>
      <c r="C19" s="184">
        <f aca="true" t="shared" si="8" ref="C19:N19">SUM(C13,C18)</f>
        <v>57455802.62695685</v>
      </c>
      <c r="D19" s="184">
        <f t="shared" si="8"/>
        <v>4156092.099540889</v>
      </c>
      <c r="E19" s="184">
        <f t="shared" si="8"/>
        <v>59795224.62555068</v>
      </c>
      <c r="F19" s="184">
        <f t="shared" si="8"/>
        <v>2339421.9985938286</v>
      </c>
      <c r="G19" s="184">
        <f t="shared" si="8"/>
        <v>60262873.28173965</v>
      </c>
      <c r="H19" s="184">
        <f t="shared" si="8"/>
        <v>467648.65618897433</v>
      </c>
      <c r="I19" s="184">
        <f t="shared" si="8"/>
        <v>60935610.07638194</v>
      </c>
      <c r="J19" s="184">
        <f t="shared" si="8"/>
        <v>672736.794642292</v>
      </c>
      <c r="K19" s="184">
        <f t="shared" si="8"/>
        <v>59611677.22109681</v>
      </c>
      <c r="L19" s="184">
        <f t="shared" si="8"/>
        <v>-1323932.8552851365</v>
      </c>
      <c r="M19" s="184">
        <f t="shared" si="8"/>
        <v>59120436.69170809</v>
      </c>
      <c r="N19" s="185">
        <f t="shared" si="8"/>
        <v>-491240.5293887219</v>
      </c>
    </row>
    <row r="20" spans="1:14" s="40" customFormat="1" ht="13.5" thickTop="1">
      <c r="A20" s="63"/>
      <c r="B20" s="177"/>
      <c r="C20" s="177"/>
      <c r="D20" s="177"/>
      <c r="E20" s="177"/>
      <c r="F20" s="177"/>
      <c r="G20" s="177"/>
      <c r="H20" s="177"/>
      <c r="I20" s="177"/>
      <c r="J20" s="177"/>
      <c r="K20" s="177"/>
      <c r="L20" s="177"/>
      <c r="M20" s="177"/>
      <c r="N20" s="178"/>
    </row>
    <row r="21" spans="1:14" s="40" customFormat="1" ht="13.5" thickBot="1">
      <c r="A21" s="64" t="s">
        <v>98</v>
      </c>
      <c r="B21" s="186"/>
      <c r="C21" s="186"/>
      <c r="D21" s="187">
        <f>+'Distribution Revenue by Source'!C29*0.005</f>
        <v>312742.4618847843</v>
      </c>
      <c r="E21" s="186"/>
      <c r="F21" s="187">
        <f>+'Distribution Revenue by Source'!D29*0.005</f>
        <v>321831.4337277534</v>
      </c>
      <c r="G21" s="186"/>
      <c r="H21" s="187">
        <f>+'Distribution Revenue by Source'!E29*0.005</f>
        <v>321621.45255869825</v>
      </c>
      <c r="I21" s="186"/>
      <c r="J21" s="187">
        <f>+'Distribution Revenue by Source'!F29*0.005</f>
        <v>323627.6410819097</v>
      </c>
      <c r="K21" s="186"/>
      <c r="L21" s="187">
        <f>+'Distribution Revenue by Source'!G29*0.005</f>
        <v>317475.9568126341</v>
      </c>
      <c r="M21" s="186"/>
      <c r="N21" s="188">
        <f>+'Distribution Revenue by Source'!I29*0.005</f>
        <v>315534.2425714603</v>
      </c>
    </row>
    <row r="22" spans="1:14" s="40" customFormat="1" ht="12.75">
      <c r="A22" s="63"/>
      <c r="B22" s="136"/>
      <c r="C22" s="136"/>
      <c r="D22" s="136"/>
      <c r="E22" s="136"/>
      <c r="F22" s="136"/>
      <c r="G22" s="136"/>
      <c r="H22" s="136"/>
      <c r="I22" s="136"/>
      <c r="J22" s="136"/>
      <c r="K22" s="136"/>
      <c r="L22" s="136"/>
      <c r="M22" s="136"/>
      <c r="N22" s="137"/>
    </row>
    <row r="23" spans="1:14" s="40" customFormat="1" ht="25.5">
      <c r="A23" s="130" t="s">
        <v>52</v>
      </c>
      <c r="B23" s="136"/>
      <c r="C23" s="136"/>
      <c r="D23" s="136"/>
      <c r="E23" s="136"/>
      <c r="F23" s="136"/>
      <c r="G23" s="136"/>
      <c r="H23" s="136"/>
      <c r="I23" s="136"/>
      <c r="J23" s="136"/>
      <c r="K23" s="136"/>
      <c r="L23" s="136"/>
      <c r="M23" s="136"/>
      <c r="N23" s="137"/>
    </row>
    <row r="24" spans="1:14" s="40" customFormat="1" ht="13.5" thickBot="1">
      <c r="A24" s="129"/>
      <c r="B24" s="136"/>
      <c r="C24" s="136"/>
      <c r="D24" s="136"/>
      <c r="E24" s="136"/>
      <c r="F24" s="136"/>
      <c r="G24" s="136"/>
      <c r="H24" s="136"/>
      <c r="I24" s="136"/>
      <c r="J24" s="136"/>
      <c r="K24" s="136"/>
      <c r="L24" s="136"/>
      <c r="M24" s="136"/>
      <c r="N24" s="137"/>
    </row>
    <row r="25" spans="1:14" s="40" customFormat="1" ht="15.75">
      <c r="A25" s="190" t="s">
        <v>51</v>
      </c>
      <c r="B25" s="142"/>
      <c r="C25" s="142"/>
      <c r="D25" s="142"/>
      <c r="E25" s="142"/>
      <c r="F25" s="142"/>
      <c r="G25" s="142"/>
      <c r="H25" s="142"/>
      <c r="I25" s="142"/>
      <c r="J25" s="142"/>
      <c r="K25" s="142"/>
      <c r="L25" s="142"/>
      <c r="M25" s="142"/>
      <c r="N25" s="143"/>
    </row>
    <row r="26" spans="1:15" s="40" customFormat="1" ht="12.75">
      <c r="A26" s="126" t="s">
        <v>46</v>
      </c>
      <c r="B26" s="144"/>
      <c r="C26" s="144"/>
      <c r="D26" s="144"/>
      <c r="E26" s="144"/>
      <c r="F26" s="144"/>
      <c r="G26" s="144"/>
      <c r="H26" s="144"/>
      <c r="I26" s="144"/>
      <c r="J26" s="144"/>
      <c r="K26" s="144"/>
      <c r="L26" s="144"/>
      <c r="M26" s="144"/>
      <c r="N26" s="145"/>
      <c r="O26" s="53"/>
    </row>
    <row r="27" spans="1:15" s="40" customFormat="1" ht="12.75">
      <c r="A27" s="127" t="s">
        <v>64</v>
      </c>
      <c r="B27" s="182">
        <f>'Forecast Data 2005 - 2011'!C6</f>
        <v>989558788.023568</v>
      </c>
      <c r="C27" s="182">
        <f>'Forecast Data 2005 - 2011'!D6</f>
        <v>1038010880</v>
      </c>
      <c r="D27" s="182">
        <f>(C27-B27)*C32</f>
        <v>765968.3651700171</v>
      </c>
      <c r="E27" s="182">
        <f>'Forecast Data 2005 - 2011'!E6</f>
        <v>1073605053</v>
      </c>
      <c r="F27" s="182">
        <f>(E27-C27)*E32</f>
        <v>565947.3507000001</v>
      </c>
      <c r="G27" s="182">
        <f>'Forecast Data 2005 - 2011'!F6</f>
        <v>1098553263</v>
      </c>
      <c r="H27" s="182">
        <f>(G27-E27)*G32</f>
        <v>391686.89699999994</v>
      </c>
      <c r="I27" s="182">
        <f>'Forecast Data 2005 - 2011'!G6</f>
        <v>1107022662</v>
      </c>
      <c r="J27" s="182">
        <f>(I27-G27)*I32</f>
        <v>132969.5643</v>
      </c>
      <c r="K27" s="182">
        <f>'Forecast Data 2005 - 2011'!H6</f>
        <v>1099386750.7095263</v>
      </c>
      <c r="L27" s="182">
        <f>(K27-I27)*K32</f>
        <v>-117593.03387329497</v>
      </c>
      <c r="M27" s="182">
        <f>'Forecast Data 2005 - 2011'!I6</f>
        <v>1107769581</v>
      </c>
      <c r="N27" s="183">
        <f>(M27-K27)*M32</f>
        <v>128257.30344424759</v>
      </c>
      <c r="O27" s="53"/>
    </row>
    <row r="28" spans="1:15" s="40" customFormat="1" ht="12.75">
      <c r="A28" s="127" t="s">
        <v>65</v>
      </c>
      <c r="B28" s="182">
        <f>'Forecast Data 2005 - 2011'!C5*12</f>
        <v>1224840</v>
      </c>
      <c r="C28" s="182">
        <f>'Forecast Data 2005 - 2011'!D5*12</f>
        <v>1317338</v>
      </c>
      <c r="D28" s="182">
        <f>(C28-B28)*C33</f>
        <v>1019761.0735206094</v>
      </c>
      <c r="E28" s="182">
        <f>'Forecast Data 2005 - 2011'!E5*12</f>
        <v>1369426</v>
      </c>
      <c r="F28" s="182">
        <f>(E28-C28)*E33</f>
        <v>596407.6</v>
      </c>
      <c r="G28" s="182">
        <f>'Forecast Data 2005 - 2011'!F5*12</f>
        <v>1428720</v>
      </c>
      <c r="H28" s="182">
        <f>(G28-E28)*G33</f>
        <v>673579.84</v>
      </c>
      <c r="I28" s="182">
        <f>'Forecast Data 2005 - 2011'!G5*12</f>
        <v>1452490</v>
      </c>
      <c r="J28" s="182">
        <f>(I28-G28)*I33</f>
        <v>280248.3</v>
      </c>
      <c r="K28" s="182">
        <f>'Forecast Data 2005 - 2011'!H5*12</f>
        <v>1468518.8475944283</v>
      </c>
      <c r="L28" s="182">
        <f>(K28-I28)*K33</f>
        <v>185934.63209536878</v>
      </c>
      <c r="M28" s="182">
        <f>'Forecast Data 2005 - 2011'!I5*12</f>
        <v>1483919.6777970504</v>
      </c>
      <c r="N28" s="183">
        <f>(M28-K28)*M33</f>
        <v>161862.72542955834</v>
      </c>
      <c r="O28" s="53"/>
    </row>
    <row r="29" spans="1:15" s="40" customFormat="1" ht="12.75">
      <c r="A29" s="128" t="s">
        <v>48</v>
      </c>
      <c r="B29" s="177"/>
      <c r="C29" s="177"/>
      <c r="D29" s="177">
        <f>SUM(D27:D28)</f>
        <v>1785729.4386906265</v>
      </c>
      <c r="E29" s="177"/>
      <c r="F29" s="177">
        <f>SUM(F27:F28)</f>
        <v>1162354.9507</v>
      </c>
      <c r="G29" s="177"/>
      <c r="H29" s="177">
        <f>SUM(H27:H28)</f>
        <v>1065266.737</v>
      </c>
      <c r="I29" s="177"/>
      <c r="J29" s="177">
        <f>SUM(J27:J28)</f>
        <v>413217.8643</v>
      </c>
      <c r="K29" s="177"/>
      <c r="L29" s="177">
        <f>SUM(L27:L28)</f>
        <v>68341.59822207381</v>
      </c>
      <c r="M29" s="177"/>
      <c r="N29" s="178">
        <f>SUM(N27:N28)</f>
        <v>290120.02887380595</v>
      </c>
      <c r="O29" s="53"/>
    </row>
    <row r="30" spans="1:15" s="40" customFormat="1" ht="12.75">
      <c r="A30" s="129"/>
      <c r="B30" s="136"/>
      <c r="C30" s="136"/>
      <c r="D30" s="136"/>
      <c r="E30" s="136"/>
      <c r="F30" s="177"/>
      <c r="G30" s="136"/>
      <c r="H30" s="177"/>
      <c r="I30" s="136"/>
      <c r="J30" s="177"/>
      <c r="K30" s="136"/>
      <c r="L30" s="177"/>
      <c r="M30" s="136"/>
      <c r="N30" s="178"/>
      <c r="O30" s="53"/>
    </row>
    <row r="31" spans="1:14" s="40" customFormat="1" ht="12.75">
      <c r="A31" s="130" t="s">
        <v>47</v>
      </c>
      <c r="B31" s="136"/>
      <c r="C31" s="146"/>
      <c r="D31" s="146"/>
      <c r="E31" s="136"/>
      <c r="F31" s="177"/>
      <c r="G31" s="146"/>
      <c r="H31" s="177"/>
      <c r="I31" s="136"/>
      <c r="J31" s="177"/>
      <c r="K31" s="136"/>
      <c r="L31" s="177"/>
      <c r="M31" s="136"/>
      <c r="N31" s="178"/>
    </row>
    <row r="32" spans="1:15" s="40" customFormat="1" ht="12.75">
      <c r="A32" s="131" t="s">
        <v>66</v>
      </c>
      <c r="B32" s="147">
        <f>'Distribution Rates 2005 - 2011'!C6</f>
        <v>0.015808777989247583</v>
      </c>
      <c r="C32" s="147">
        <f>'Distribution Rates 2005 - 2011'!D6</f>
        <v>0.015808777989247583</v>
      </c>
      <c r="D32" s="182">
        <f>(C32-B32)*B27</f>
        <v>0</v>
      </c>
      <c r="E32" s="147">
        <f>'Distribution Rates 2005 - 2011'!E6</f>
        <v>0.0159</v>
      </c>
      <c r="F32" s="182">
        <f>(E32-C32)*C27</f>
        <v>94689.43965648711</v>
      </c>
      <c r="G32" s="147">
        <f>'Distribution Rates 2005 - 2011'!F6</f>
        <v>0.0157</v>
      </c>
      <c r="H32" s="182">
        <f>(G32-E32)*E27</f>
        <v>-214721.01060000242</v>
      </c>
      <c r="I32" s="147">
        <f>'Distribution Rates 2005 - 2011'!G6</f>
        <v>0.0157</v>
      </c>
      <c r="J32" s="182">
        <f>(I32-G32)*G27</f>
        <v>0</v>
      </c>
      <c r="K32" s="147">
        <f>'Distribution Rates 2005 - 2011'!H6</f>
        <v>0.0154</v>
      </c>
      <c r="L32" s="182">
        <f>(K32-I32)*I27</f>
        <v>-332106.798599998</v>
      </c>
      <c r="M32" s="147">
        <f>'Distribution Rates 2005 - 2011'!J6</f>
        <v>0.0153</v>
      </c>
      <c r="N32" s="183">
        <f>(M32-K32)*K27</f>
        <v>-109938.67507095388</v>
      </c>
      <c r="O32" s="53"/>
    </row>
    <row r="33" spans="1:15" s="40" customFormat="1" ht="12.75">
      <c r="A33" s="131" t="s">
        <v>67</v>
      </c>
      <c r="B33" s="138">
        <f>'Distribution Rates 2005 - 2011'!C5</f>
        <v>10.744682409572201</v>
      </c>
      <c r="C33" s="138">
        <f>'Distribution Rates 2005 - 2011'!D5</f>
        <v>11.0246824095722</v>
      </c>
      <c r="D33" s="182">
        <f>(C33-B33)*B28</f>
        <v>342955.1999999992</v>
      </c>
      <c r="E33" s="138">
        <f>'Distribution Rates 2005 - 2011'!E5</f>
        <v>11.45</v>
      </c>
      <c r="F33" s="182">
        <f>(E33-C33)*C28</f>
        <v>560287.0239389756</v>
      </c>
      <c r="G33" s="138">
        <f>'Distribution Rates 2005 - 2011'!F5</f>
        <v>11.36</v>
      </c>
      <c r="H33" s="182">
        <f>(G33-E33)*E28</f>
        <v>-123248.33999999981</v>
      </c>
      <c r="I33" s="138">
        <f>'Distribution Rates 2005 - 2011'!G5</f>
        <v>11.79</v>
      </c>
      <c r="J33" s="182">
        <f>(I33-G33)*G28</f>
        <v>614349.5999999996</v>
      </c>
      <c r="K33" s="138">
        <f>'Distribution Rates 2005 - 2011'!H5</f>
        <v>11.600000000000001</v>
      </c>
      <c r="L33" s="182">
        <f>(K33-I33)*I28</f>
        <v>-275973.0999999967</v>
      </c>
      <c r="M33" s="138">
        <f>'Distribution Rates 2005 - 2011'!J5</f>
        <v>10.51</v>
      </c>
      <c r="N33" s="183">
        <f>(M33-K33)*K28</f>
        <v>-1600685.5438779292</v>
      </c>
      <c r="O33" s="53"/>
    </row>
    <row r="34" spans="1:15" s="40" customFormat="1" ht="12.75">
      <c r="A34" s="128" t="s">
        <v>49</v>
      </c>
      <c r="B34" s="136"/>
      <c r="C34" s="136"/>
      <c r="D34" s="177">
        <f>SUM(D32:D33)</f>
        <v>342955.1999999992</v>
      </c>
      <c r="E34" s="136"/>
      <c r="F34" s="177">
        <f>SUM(F32:F33)</f>
        <v>654976.4635954627</v>
      </c>
      <c r="G34" s="136"/>
      <c r="H34" s="177">
        <f>SUM(H32:H33)</f>
        <v>-337969.3506000022</v>
      </c>
      <c r="I34" s="135"/>
      <c r="J34" s="177">
        <f>SUM(J32:J33)</f>
        <v>614349.5999999996</v>
      </c>
      <c r="K34" s="136"/>
      <c r="L34" s="177">
        <f>SUM(L32:L33)</f>
        <v>-608079.8985999947</v>
      </c>
      <c r="M34" s="135"/>
      <c r="N34" s="178">
        <f>SUM(N32:N33)</f>
        <v>-1710624.218948883</v>
      </c>
      <c r="O34" s="53"/>
    </row>
    <row r="35" spans="1:15" s="40" customFormat="1" ht="12.75">
      <c r="A35" s="129"/>
      <c r="B35" s="136"/>
      <c r="C35" s="136"/>
      <c r="D35" s="177"/>
      <c r="E35" s="136"/>
      <c r="F35" s="177"/>
      <c r="G35" s="136"/>
      <c r="H35" s="177"/>
      <c r="I35" s="136"/>
      <c r="J35" s="177"/>
      <c r="K35" s="136"/>
      <c r="L35" s="177"/>
      <c r="M35" s="136"/>
      <c r="N35" s="178"/>
      <c r="O35" s="53"/>
    </row>
    <row r="36" spans="1:15" s="40" customFormat="1" ht="30.75" thickBot="1">
      <c r="A36" s="191" t="s">
        <v>50</v>
      </c>
      <c r="B36" s="139"/>
      <c r="C36" s="139"/>
      <c r="D36" s="186">
        <f>SUM(D29,D34)</f>
        <v>2128684.638690626</v>
      </c>
      <c r="E36" s="139"/>
      <c r="F36" s="186">
        <f>SUM(F34,F29)</f>
        <v>1817331.4142954627</v>
      </c>
      <c r="G36" s="139"/>
      <c r="H36" s="186">
        <f>SUM(H34,H29)</f>
        <v>727297.3863999977</v>
      </c>
      <c r="I36" s="140"/>
      <c r="J36" s="186">
        <f>SUM(J34,J29)</f>
        <v>1027567.4642999996</v>
      </c>
      <c r="K36" s="139"/>
      <c r="L36" s="186">
        <f>SUM(L34,L29)</f>
        <v>-539738.300377921</v>
      </c>
      <c r="M36" s="140"/>
      <c r="N36" s="196">
        <f>SUM(N34,N29)</f>
        <v>-1420504.1900750771</v>
      </c>
      <c r="O36" s="53"/>
    </row>
    <row r="37" spans="1:15" s="40" customFormat="1" ht="13.5" thickBot="1">
      <c r="A37" s="125"/>
      <c r="B37" s="136"/>
      <c r="C37" s="136"/>
      <c r="D37" s="136"/>
      <c r="E37" s="136"/>
      <c r="F37" s="177"/>
      <c r="G37" s="136"/>
      <c r="H37" s="177"/>
      <c r="I37" s="136"/>
      <c r="J37" s="177"/>
      <c r="K37" s="136"/>
      <c r="L37" s="177"/>
      <c r="M37" s="136"/>
      <c r="N37" s="177"/>
      <c r="O37" s="53"/>
    </row>
    <row r="38" spans="1:14" s="40" customFormat="1" ht="15">
      <c r="A38" s="189" t="s">
        <v>38</v>
      </c>
      <c r="B38" s="142"/>
      <c r="C38" s="142"/>
      <c r="D38" s="142"/>
      <c r="E38" s="142"/>
      <c r="F38" s="193"/>
      <c r="G38" s="142"/>
      <c r="H38" s="193"/>
      <c r="I38" s="142"/>
      <c r="J38" s="193"/>
      <c r="K38" s="142"/>
      <c r="L38" s="193"/>
      <c r="M38" s="142"/>
      <c r="N38" s="197"/>
    </row>
    <row r="39" spans="1:14" s="40" customFormat="1" ht="12.75">
      <c r="A39" s="132" t="s">
        <v>46</v>
      </c>
      <c r="B39" s="136"/>
      <c r="C39" s="136"/>
      <c r="D39" s="136"/>
      <c r="E39" s="136"/>
      <c r="F39" s="177"/>
      <c r="G39" s="136"/>
      <c r="H39" s="177"/>
      <c r="I39" s="136"/>
      <c r="J39" s="177"/>
      <c r="K39" s="136"/>
      <c r="L39" s="177"/>
      <c r="M39" s="136"/>
      <c r="N39" s="178"/>
    </row>
    <row r="40" spans="1:14" s="40" customFormat="1" ht="12.75">
      <c r="A40" s="127" t="s">
        <v>68</v>
      </c>
      <c r="B40" s="182">
        <f>'Forecast Data 2005 - 2011'!C8</f>
        <v>276748728.770931</v>
      </c>
      <c r="C40" s="182">
        <f>'Forecast Data 2005 - 2011'!D8</f>
        <v>283269385</v>
      </c>
      <c r="D40" s="182">
        <f>(C40-B40)*C45</f>
        <v>118992.73230811085</v>
      </c>
      <c r="E40" s="182">
        <f>'Forecast Data 2005 - 2011'!E8</f>
        <v>294976207</v>
      </c>
      <c r="F40" s="182">
        <f>(E40-C40)*E45</f>
        <v>214234.8426</v>
      </c>
      <c r="G40" s="182">
        <f>'Forecast Data 2005 - 2011'!F8</f>
        <v>288850579</v>
      </c>
      <c r="H40" s="182">
        <f>(G40-E40)*G45</f>
        <v>-110873.8668</v>
      </c>
      <c r="I40" s="182">
        <f>'Forecast Data 2005 - 2011'!G8</f>
        <v>286543458</v>
      </c>
      <c r="J40" s="182">
        <f>(I40-G40)*I45</f>
        <v>-41758.890100000004</v>
      </c>
      <c r="K40" s="182">
        <f>'Forecast Data 2005 - 2011'!H8</f>
        <v>285620803.02129936</v>
      </c>
      <c r="L40" s="182">
        <f>(K40-I40)*K45</f>
        <v>-16423.258620871355</v>
      </c>
      <c r="M40" s="182">
        <f>'Forecast Data 2005 - 2011'!I8</f>
        <v>290725436</v>
      </c>
      <c r="N40" s="183">
        <f>(M40-K40)*M45</f>
        <v>84226.44414856053</v>
      </c>
    </row>
    <row r="41" spans="1:14" s="40" customFormat="1" ht="12.75">
      <c r="A41" s="127" t="s">
        <v>65</v>
      </c>
      <c r="B41" s="182">
        <f>'Forecast Data 2005 - 2011'!C7*12</f>
        <v>82404</v>
      </c>
      <c r="C41" s="182">
        <f>'Forecast Data 2005 - 2011'!D7*12</f>
        <v>84904</v>
      </c>
      <c r="D41" s="182">
        <f>(C41-B41)*C46</f>
        <v>52362.448740818094</v>
      </c>
      <c r="E41" s="182">
        <f>'Forecast Data 2005 - 2011'!E7*12</f>
        <v>87532</v>
      </c>
      <c r="F41" s="182">
        <f>(E41-C41)*E46</f>
        <v>56239.2</v>
      </c>
      <c r="G41" s="182">
        <f>'Forecast Data 2005 - 2011'!F7*12</f>
        <v>89241</v>
      </c>
      <c r="H41" s="182">
        <f>(G41-E41)*G46</f>
        <v>36230.799999999996</v>
      </c>
      <c r="I41" s="182">
        <f>'Forecast Data 2005 - 2011'!G7*12</f>
        <v>90345</v>
      </c>
      <c r="J41" s="182">
        <f>(I41-G41)*I46</f>
        <v>23890.56</v>
      </c>
      <c r="K41" s="182">
        <f>'Forecast Data 2005 - 2011'!H7*12</f>
        <v>92735.95633377077</v>
      </c>
      <c r="L41" s="182">
        <f>(K41-I41)*K46</f>
        <v>50855.64121930419</v>
      </c>
      <c r="M41" s="182">
        <f>'Forecast Data 2005 - 2011'!I7*12</f>
        <v>94715.44267999667</v>
      </c>
      <c r="N41" s="183">
        <f>(M41-K41)*M46</f>
        <v>37135.16385519806</v>
      </c>
    </row>
    <row r="42" spans="1:14" s="40" customFormat="1" ht="12.75">
      <c r="A42" s="128" t="s">
        <v>48</v>
      </c>
      <c r="B42" s="177"/>
      <c r="C42" s="177"/>
      <c r="D42" s="177">
        <f>SUM(D40:D41)</f>
        <v>171355.18104892893</v>
      </c>
      <c r="E42" s="177"/>
      <c r="F42" s="177">
        <f>SUM(F40:F41)</f>
        <v>270474.0426</v>
      </c>
      <c r="G42" s="177"/>
      <c r="H42" s="177">
        <f>SUM(H40:H41)</f>
        <v>-74643.0668</v>
      </c>
      <c r="I42" s="177"/>
      <c r="J42" s="177">
        <f>SUM(J40:J41)</f>
        <v>-17868.330100000003</v>
      </c>
      <c r="K42" s="177"/>
      <c r="L42" s="177">
        <f>SUM(L40:L41)</f>
        <v>34432.382598432836</v>
      </c>
      <c r="M42" s="177"/>
      <c r="N42" s="178">
        <f>SUM(N40:N41)</f>
        <v>121361.60800375859</v>
      </c>
    </row>
    <row r="43" spans="1:14" s="40" customFormat="1" ht="12.75">
      <c r="A43" s="129"/>
      <c r="B43" s="136"/>
      <c r="C43" s="136"/>
      <c r="D43" s="177"/>
      <c r="E43" s="136"/>
      <c r="F43" s="177"/>
      <c r="G43" s="136"/>
      <c r="H43" s="177"/>
      <c r="I43" s="136"/>
      <c r="J43" s="177"/>
      <c r="K43" s="136"/>
      <c r="L43" s="177"/>
      <c r="M43" s="136"/>
      <c r="N43" s="178"/>
    </row>
    <row r="44" spans="1:14" s="40" customFormat="1" ht="12.75">
      <c r="A44" s="130" t="s">
        <v>47</v>
      </c>
      <c r="B44" s="136"/>
      <c r="C44" s="136"/>
      <c r="D44" s="177"/>
      <c r="E44" s="136"/>
      <c r="F44" s="177"/>
      <c r="G44" s="146"/>
      <c r="H44" s="177"/>
      <c r="I44" s="136"/>
      <c r="J44" s="177"/>
      <c r="K44" s="146"/>
      <c r="L44" s="177"/>
      <c r="M44" s="136"/>
      <c r="N44" s="178"/>
    </row>
    <row r="45" spans="1:14" s="40" customFormat="1" ht="12.75">
      <c r="A45" s="127" t="s">
        <v>66</v>
      </c>
      <c r="B45" s="147">
        <f>'Distribution Rates 2005 - 2011'!C8</f>
        <v>0.018248582370842203</v>
      </c>
      <c r="C45" s="147">
        <f>'Distribution Rates 2005 - 2011'!D8</f>
        <v>0.018248582370842203</v>
      </c>
      <c r="D45" s="182">
        <f>(C45-B45)*B40</f>
        <v>0</v>
      </c>
      <c r="E45" s="147">
        <f>'Distribution Rates 2005 - 2011'!E8</f>
        <v>0.0183</v>
      </c>
      <c r="F45" s="182">
        <f>(E45-C45)*C40</f>
        <v>14565.040189687174</v>
      </c>
      <c r="G45" s="147">
        <f>'Distribution Rates 2005 - 2011'!F8</f>
        <v>0.0181</v>
      </c>
      <c r="H45" s="182">
        <f>(G45-E45)*E40</f>
        <v>-58995.24139999964</v>
      </c>
      <c r="I45" s="147">
        <f>'Distribution Rates 2005 - 2011'!G8</f>
        <v>0.0181</v>
      </c>
      <c r="J45" s="182">
        <f>(I45-G45)*G40</f>
        <v>0</v>
      </c>
      <c r="K45" s="147">
        <f>'Distribution Rates 2005 - 2011'!H8</f>
        <v>0.0178</v>
      </c>
      <c r="L45" s="182">
        <f>(K45-I45)*I40</f>
        <v>-85963.03740000047</v>
      </c>
      <c r="M45" s="147">
        <f>'Distribution Rates 2005 - 2011'!J8</f>
        <v>0.0165</v>
      </c>
      <c r="N45" s="183">
        <f>(M45-K45)*K40</f>
        <v>-371307.0439276889</v>
      </c>
    </row>
    <row r="46" spans="1:14" s="40" customFormat="1" ht="12.75">
      <c r="A46" s="127" t="s">
        <v>67</v>
      </c>
      <c r="B46" s="138">
        <f>'Distribution Rates 2005 - 2011'!C7</f>
        <v>20.664979496327238</v>
      </c>
      <c r="C46" s="138">
        <f>'Distribution Rates 2005 - 2011'!D7</f>
        <v>20.94497949632724</v>
      </c>
      <c r="D46" s="182">
        <f>(C46-B46)*B41</f>
        <v>23073.120000000094</v>
      </c>
      <c r="E46" s="138">
        <f>'Distribution Rates 2005 - 2011'!E7</f>
        <v>21.4</v>
      </c>
      <c r="F46" s="182">
        <f>(E46-C46)*C41</f>
        <v>38633.06084383199</v>
      </c>
      <c r="G46" s="138">
        <f>'Distribution Rates 2005 - 2011'!F7</f>
        <v>21.2</v>
      </c>
      <c r="H46" s="182">
        <f>(G46-E46)*E41</f>
        <v>-17506.39999999994</v>
      </c>
      <c r="I46" s="138">
        <f>'Distribution Rates 2005 - 2011'!G7</f>
        <v>21.64</v>
      </c>
      <c r="J46" s="182">
        <f>(I46-G46)*G41</f>
        <v>39266.04000000012</v>
      </c>
      <c r="K46" s="138">
        <f>'Distribution Rates 2005 - 2011'!H7</f>
        <v>21.27</v>
      </c>
      <c r="L46" s="182">
        <f>(K46-I46)*I41</f>
        <v>-33427.65000000009</v>
      </c>
      <c r="M46" s="138">
        <f>'Distribution Rates 2005 - 2011'!J7</f>
        <v>18.76</v>
      </c>
      <c r="N46" s="183">
        <f>(M46-K46)*K41</f>
        <v>-232767.25039776444</v>
      </c>
    </row>
    <row r="47" spans="1:14" s="40" customFormat="1" ht="12.75">
      <c r="A47" s="128" t="s">
        <v>49</v>
      </c>
      <c r="B47" s="136"/>
      <c r="C47" s="136"/>
      <c r="D47" s="177">
        <f>SUM(D45:D46)</f>
        <v>23073.120000000094</v>
      </c>
      <c r="E47" s="136"/>
      <c r="F47" s="177">
        <f>SUM(F45:F46)</f>
        <v>53198.10103351917</v>
      </c>
      <c r="G47" s="136"/>
      <c r="H47" s="177">
        <f>SUM(H45:H46)</f>
        <v>-76501.64139999959</v>
      </c>
      <c r="I47" s="136"/>
      <c r="J47" s="177">
        <f>SUM(J45:J46)</f>
        <v>39266.04000000012</v>
      </c>
      <c r="K47" s="136"/>
      <c r="L47" s="177">
        <f>SUM(L45:L46)</f>
        <v>-119390.68740000055</v>
      </c>
      <c r="M47" s="135"/>
      <c r="N47" s="178">
        <f>SUM(N45:N46)</f>
        <v>-604074.2943254533</v>
      </c>
    </row>
    <row r="48" spans="1:14" s="40" customFormat="1" ht="12.75">
      <c r="A48" s="129"/>
      <c r="B48" s="136"/>
      <c r="C48" s="136"/>
      <c r="D48" s="177"/>
      <c r="E48" s="136"/>
      <c r="F48" s="177"/>
      <c r="G48" s="136"/>
      <c r="H48" s="177"/>
      <c r="I48" s="136"/>
      <c r="J48" s="177"/>
      <c r="K48" s="136"/>
      <c r="L48" s="177"/>
      <c r="M48" s="136"/>
      <c r="N48" s="178"/>
    </row>
    <row r="49" spans="1:14" s="40" customFormat="1" ht="30.75" thickBot="1">
      <c r="A49" s="191" t="s">
        <v>54</v>
      </c>
      <c r="B49" s="139"/>
      <c r="C49" s="139"/>
      <c r="D49" s="186">
        <f>SUM(D42,D47)</f>
        <v>194428.30104892902</v>
      </c>
      <c r="E49" s="139"/>
      <c r="F49" s="186">
        <f>SUM(F47,F42)</f>
        <v>323672.1436335192</v>
      </c>
      <c r="G49" s="139"/>
      <c r="H49" s="186">
        <f>SUM(H47,H42)</f>
        <v>-151144.7081999996</v>
      </c>
      <c r="I49" s="139"/>
      <c r="J49" s="186">
        <f>SUM(J47,J42)</f>
        <v>21397.709900000114</v>
      </c>
      <c r="K49" s="139"/>
      <c r="L49" s="186">
        <f>SUM(L47,L42)</f>
        <v>-84958.30480156772</v>
      </c>
      <c r="M49" s="140"/>
      <c r="N49" s="196">
        <f>SUM(N47,N42)</f>
        <v>-482712.68632169475</v>
      </c>
    </row>
    <row r="50" spans="1:14" s="40" customFormat="1" ht="13.5" thickBot="1">
      <c r="A50" s="125"/>
      <c r="B50" s="141"/>
      <c r="C50" s="141"/>
      <c r="D50" s="192"/>
      <c r="E50" s="141"/>
      <c r="F50" s="192"/>
      <c r="G50" s="141"/>
      <c r="H50" s="192"/>
      <c r="I50" s="141"/>
      <c r="J50" s="192"/>
      <c r="K50" s="141"/>
      <c r="L50" s="192"/>
      <c r="M50" s="141"/>
      <c r="N50" s="192"/>
    </row>
    <row r="51" spans="1:14" s="40" customFormat="1" ht="15">
      <c r="A51" s="189" t="s">
        <v>39</v>
      </c>
      <c r="B51" s="142"/>
      <c r="C51" s="142"/>
      <c r="D51" s="193"/>
      <c r="E51" s="142"/>
      <c r="F51" s="193"/>
      <c r="G51" s="142"/>
      <c r="H51" s="193"/>
      <c r="I51" s="142"/>
      <c r="J51" s="193"/>
      <c r="K51" s="142"/>
      <c r="L51" s="193"/>
      <c r="M51" s="142"/>
      <c r="N51" s="197"/>
    </row>
    <row r="52" spans="1:14" s="40" customFormat="1" ht="12.75">
      <c r="A52" s="130" t="s">
        <v>46</v>
      </c>
      <c r="B52" s="136"/>
      <c r="C52" s="136"/>
      <c r="D52" s="177"/>
      <c r="E52" s="136"/>
      <c r="F52" s="177"/>
      <c r="G52" s="136"/>
      <c r="H52" s="177"/>
      <c r="I52" s="136"/>
      <c r="J52" s="177"/>
      <c r="K52" s="136"/>
      <c r="L52" s="177"/>
      <c r="M52" s="136"/>
      <c r="N52" s="178"/>
    </row>
    <row r="53" spans="1:14" s="40" customFormat="1" ht="12.75">
      <c r="A53" s="127" t="s">
        <v>69</v>
      </c>
      <c r="B53" s="182">
        <f>'Forecast Data 2005 - 2011'!C10</f>
        <v>2771782.33210103</v>
      </c>
      <c r="C53" s="182">
        <f>'Forecast Data 2005 - 2011'!D10</f>
        <v>2962961.963019414</v>
      </c>
      <c r="D53" s="182">
        <f>(C53-B53)*C58</f>
        <v>449430.17097018997</v>
      </c>
      <c r="E53" s="182">
        <f>'Forecast Data 2005 - 2011'!E10</f>
        <v>3025944.199229682</v>
      </c>
      <c r="F53" s="182">
        <f>(E53-C53)*E58</f>
        <v>148593.98989088528</v>
      </c>
      <c r="G53" s="182">
        <f>'Forecast Data 2005 - 2011'!F10</f>
        <v>3073013.348017243</v>
      </c>
      <c r="H53" s="182">
        <f>(G53-E53)*G58</f>
        <v>109826.44486601687</v>
      </c>
      <c r="I53" s="182">
        <f>'Forecast Data 2005 - 2011'!G10</f>
        <v>3069156.852876477</v>
      </c>
      <c r="J53" s="182">
        <f>(I53-G53)*I58</f>
        <v>-9006.458751745522</v>
      </c>
      <c r="K53" s="182">
        <f>'Forecast Data 2005 - 2011'!H10</f>
        <v>3008017.2379130363</v>
      </c>
      <c r="L53" s="182">
        <f>(K53-I53)*K58</f>
        <v>-140223.7069186512</v>
      </c>
      <c r="M53" s="182">
        <f>'Forecast Data 2005 - 2011'!I10</f>
        <v>3079920</v>
      </c>
      <c r="N53" s="183">
        <f>(M53-K53)*M58</f>
        <v>185537.88728920126</v>
      </c>
    </row>
    <row r="54" spans="1:14" s="40" customFormat="1" ht="12.75">
      <c r="A54" s="127" t="s">
        <v>65</v>
      </c>
      <c r="B54" s="182">
        <f>'Forecast Data 2005 - 2011'!C9*12</f>
        <v>16512</v>
      </c>
      <c r="C54" s="182">
        <f>'Forecast Data 2005 - 2011'!D9*12</f>
        <v>16825</v>
      </c>
      <c r="D54" s="182">
        <f>(C54-B54)*C59</f>
        <v>32668.25132895331</v>
      </c>
      <c r="E54" s="182">
        <f>'Forecast Data 2005 - 2011'!E9*12</f>
        <v>17002</v>
      </c>
      <c r="F54" s="182">
        <f>(E54-C54)*E59</f>
        <v>18609.78</v>
      </c>
      <c r="G54" s="182">
        <f>'Forecast Data 2005 - 2011'!F9*12</f>
        <v>17894</v>
      </c>
      <c r="H54" s="182">
        <f>(G54-E54)*G59</f>
        <v>92785.84</v>
      </c>
      <c r="I54" s="182">
        <f>'Forecast Data 2005 - 2011'!G9*12</f>
        <v>18644</v>
      </c>
      <c r="J54" s="182">
        <f>(I54-G54)*I59</f>
        <v>78397.5</v>
      </c>
      <c r="K54" s="182">
        <f>'Forecast Data 2005 - 2011'!H9*12</f>
        <v>18524.293006502638</v>
      </c>
      <c r="L54" s="182">
        <f>(K54-I54)*K59</f>
        <v>-12291.514092309173</v>
      </c>
      <c r="M54" s="182">
        <f>'Forecast Data 2005 - 2011'!I9*12</f>
        <v>18626.556920120947</v>
      </c>
      <c r="N54" s="183">
        <f>(M54-K54)*M59</f>
        <v>11742.965200790508</v>
      </c>
    </row>
    <row r="55" spans="1:14" s="40" customFormat="1" ht="12.75">
      <c r="A55" s="128" t="s">
        <v>48</v>
      </c>
      <c r="B55" s="177"/>
      <c r="C55" s="177"/>
      <c r="D55" s="177">
        <f>SUM(D53:D54)</f>
        <v>482098.4222991433</v>
      </c>
      <c r="E55" s="177"/>
      <c r="F55" s="177">
        <f>SUM(F53:F54)</f>
        <v>167203.76989088528</v>
      </c>
      <c r="G55" s="177"/>
      <c r="H55" s="177">
        <f>SUM(H53:H54)</f>
        <v>202612.28486601688</v>
      </c>
      <c r="I55" s="177"/>
      <c r="J55" s="177">
        <f>SUM(J53:J54)</f>
        <v>69391.04124825448</v>
      </c>
      <c r="K55" s="177"/>
      <c r="L55" s="177">
        <f>SUM(L53:L54)</f>
        <v>-152515.22101096038</v>
      </c>
      <c r="M55" s="177"/>
      <c r="N55" s="178">
        <f>SUM(N53:N54)</f>
        <v>197280.85248999175</v>
      </c>
    </row>
    <row r="56" spans="1:14" s="40" customFormat="1" ht="12.75">
      <c r="A56" s="129"/>
      <c r="B56" s="136"/>
      <c r="C56" s="136"/>
      <c r="D56" s="177"/>
      <c r="E56" s="136"/>
      <c r="F56" s="177"/>
      <c r="G56" s="136"/>
      <c r="H56" s="177"/>
      <c r="I56" s="136"/>
      <c r="J56" s="177"/>
      <c r="K56" s="136"/>
      <c r="L56" s="177"/>
      <c r="M56" s="136"/>
      <c r="N56" s="178"/>
    </row>
    <row r="57" spans="1:14" s="40" customFormat="1" ht="12.75">
      <c r="A57" s="130" t="s">
        <v>47</v>
      </c>
      <c r="B57" s="136"/>
      <c r="C57" s="136"/>
      <c r="D57" s="177"/>
      <c r="E57" s="136"/>
      <c r="F57" s="177"/>
      <c r="G57" s="146"/>
      <c r="H57" s="177"/>
      <c r="I57" s="136"/>
      <c r="J57" s="177"/>
      <c r="K57" s="146"/>
      <c r="L57" s="177"/>
      <c r="M57" s="136"/>
      <c r="N57" s="178"/>
    </row>
    <row r="58" spans="1:14" s="40" customFormat="1" ht="12.75">
      <c r="A58" s="127" t="s">
        <v>66</v>
      </c>
      <c r="B58" s="147">
        <f>'Distribution Rates 2005 - 2011'!C10</f>
        <v>2.3508266482743387</v>
      </c>
      <c r="C58" s="147">
        <f>'Distribution Rates 2005 - 2011'!D10</f>
        <v>2.3508266482743387</v>
      </c>
      <c r="D58" s="182">
        <f>(C58-B58)*B53</f>
        <v>0</v>
      </c>
      <c r="E58" s="147">
        <f>'Distribution Rates 2005 - 2011'!E10</f>
        <v>2.3593</v>
      </c>
      <c r="F58" s="182">
        <f>(E58-C58)*C53</f>
        <v>25106.21886241975</v>
      </c>
      <c r="G58" s="147">
        <f>'Distribution Rates 2005 - 2011'!F10</f>
        <v>2.3333</v>
      </c>
      <c r="H58" s="182">
        <f>(G58-E58)*E53</f>
        <v>-78674.54917997247</v>
      </c>
      <c r="I58" s="138">
        <f>'Distribution Rates 2005 - 2011'!G10</f>
        <v>2.3354</v>
      </c>
      <c r="J58" s="182">
        <f>(I58-G58)*G53</f>
        <v>6453.328030836183</v>
      </c>
      <c r="K58" s="138">
        <f>'Distribution Rates 2005 - 2011'!H10</f>
        <v>2.2935</v>
      </c>
      <c r="L58" s="182">
        <f>(K58-I58)*I53</f>
        <v>-128597.67213552454</v>
      </c>
      <c r="M58" s="147">
        <f>'Distribution Rates 2005 - 2011'!J10</f>
        <v>2.5804</v>
      </c>
      <c r="N58" s="183">
        <f>(M58-K58)*K53</f>
        <v>863000.1455572506</v>
      </c>
    </row>
    <row r="59" spans="1:14" s="40" customFormat="1" ht="12.75">
      <c r="A59" s="127" t="s">
        <v>67</v>
      </c>
      <c r="B59" s="138">
        <f>'Distribution Rates 2005 - 2011'!C9</f>
        <v>104.09140999665594</v>
      </c>
      <c r="C59" s="138">
        <f>'Distribution Rates 2005 - 2011'!D9</f>
        <v>104.37140999665594</v>
      </c>
      <c r="D59" s="182">
        <f>(C59-B59)*B54</f>
        <v>4623.360000000019</v>
      </c>
      <c r="E59" s="138">
        <f>'Distribution Rates 2005 - 2011'!E9</f>
        <v>105.14</v>
      </c>
      <c r="F59" s="182">
        <f>(E59-C59)*C54</f>
        <v>12931.526806263792</v>
      </c>
      <c r="G59" s="138">
        <f>'Distribution Rates 2005 - 2011'!F9</f>
        <v>104.02</v>
      </c>
      <c r="H59" s="182">
        <f>(G59-E59)*E54</f>
        <v>-19042.240000000078</v>
      </c>
      <c r="I59" s="138">
        <f>'Distribution Rates 2005 - 2011'!G9</f>
        <v>104.53</v>
      </c>
      <c r="J59" s="182">
        <f>(I59-G59)*G54</f>
        <v>9125.940000000091</v>
      </c>
      <c r="K59" s="138">
        <f>'Distribution Rates 2005 - 2011'!H9</f>
        <v>102.68</v>
      </c>
      <c r="L59" s="182">
        <f>(K59-I59)*I54</f>
        <v>-34491.39999999989</v>
      </c>
      <c r="M59" s="138">
        <f>'Distribution Rates 2005 - 2011'!J9</f>
        <v>114.83</v>
      </c>
      <c r="N59" s="183">
        <f>(M59-K59)*K54</f>
        <v>225070.1600290069</v>
      </c>
    </row>
    <row r="60" spans="1:14" s="40" customFormat="1" ht="12.75">
      <c r="A60" s="128" t="s">
        <v>49</v>
      </c>
      <c r="B60" s="136"/>
      <c r="C60" s="136"/>
      <c r="D60" s="177">
        <f>SUM(D58:D59)</f>
        <v>4623.360000000019</v>
      </c>
      <c r="E60" s="136"/>
      <c r="F60" s="177">
        <f>SUM(F58:F59)</f>
        <v>38037.74566868354</v>
      </c>
      <c r="G60" s="136"/>
      <c r="H60" s="177">
        <f>SUM(H58:H59)</f>
        <v>-97716.78917997255</v>
      </c>
      <c r="I60" s="136"/>
      <c r="J60" s="177">
        <f>SUM(J58:J59)</f>
        <v>15579.268030836274</v>
      </c>
      <c r="K60" s="136"/>
      <c r="L60" s="177">
        <f>SUM(L58:L59)</f>
        <v>-163089.07213552442</v>
      </c>
      <c r="M60" s="135"/>
      <c r="N60" s="178">
        <f>SUM(N58:N59)</f>
        <v>1088070.3055862575</v>
      </c>
    </row>
    <row r="61" spans="1:14" s="40" customFormat="1" ht="12.75">
      <c r="A61" s="129"/>
      <c r="B61" s="136"/>
      <c r="C61" s="136"/>
      <c r="D61" s="177"/>
      <c r="E61" s="136"/>
      <c r="F61" s="177"/>
      <c r="G61" s="136"/>
      <c r="H61" s="177"/>
      <c r="I61" s="136"/>
      <c r="J61" s="177"/>
      <c r="K61" s="136"/>
      <c r="L61" s="177"/>
      <c r="M61" s="136"/>
      <c r="N61" s="178"/>
    </row>
    <row r="62" spans="1:14" s="40" customFormat="1" ht="30.75" thickBot="1">
      <c r="A62" s="191" t="s">
        <v>55</v>
      </c>
      <c r="B62" s="139"/>
      <c r="C62" s="139"/>
      <c r="D62" s="186">
        <f>SUM(D55,D60)</f>
        <v>486721.7822991433</v>
      </c>
      <c r="E62" s="139"/>
      <c r="F62" s="186">
        <f>SUM(F60,F55)</f>
        <v>205241.51555956883</v>
      </c>
      <c r="G62" s="139"/>
      <c r="H62" s="186">
        <f>SUM(H60,H55)</f>
        <v>104895.49568604433</v>
      </c>
      <c r="I62" s="139"/>
      <c r="J62" s="186">
        <f>SUM(J60,J55)</f>
        <v>84970.30927909075</v>
      </c>
      <c r="K62" s="139"/>
      <c r="L62" s="186">
        <f>SUM(L60,L55)</f>
        <v>-315604.29314648476</v>
      </c>
      <c r="M62" s="140"/>
      <c r="N62" s="196">
        <f>SUM(N60,N55)</f>
        <v>1285351.1580762493</v>
      </c>
    </row>
    <row r="63" spans="1:14" s="115" customFormat="1" ht="13.5" thickBot="1">
      <c r="A63" s="133"/>
      <c r="B63" s="136"/>
      <c r="C63" s="136"/>
      <c r="D63" s="177"/>
      <c r="E63" s="136"/>
      <c r="F63" s="177"/>
      <c r="G63" s="136"/>
      <c r="H63" s="177"/>
      <c r="I63" s="136"/>
      <c r="J63" s="177"/>
      <c r="K63" s="136"/>
      <c r="L63" s="177"/>
      <c r="M63" s="135"/>
      <c r="N63" s="177"/>
    </row>
    <row r="64" spans="1:14" s="122" customFormat="1" ht="30">
      <c r="A64" s="189" t="s">
        <v>99</v>
      </c>
      <c r="B64" s="142"/>
      <c r="C64" s="142"/>
      <c r="D64" s="193"/>
      <c r="E64" s="142"/>
      <c r="F64" s="193"/>
      <c r="G64" s="142"/>
      <c r="H64" s="193"/>
      <c r="I64" s="142"/>
      <c r="J64" s="193"/>
      <c r="K64" s="142"/>
      <c r="L64" s="193"/>
      <c r="M64" s="142"/>
      <c r="N64" s="197"/>
    </row>
    <row r="65" spans="1:14" s="122" customFormat="1" ht="12.75">
      <c r="A65" s="130" t="s">
        <v>46</v>
      </c>
      <c r="B65" s="136"/>
      <c r="C65" s="136"/>
      <c r="D65" s="177"/>
      <c r="E65" s="136"/>
      <c r="F65" s="177"/>
      <c r="G65" s="136"/>
      <c r="H65" s="177"/>
      <c r="I65" s="136"/>
      <c r="J65" s="177"/>
      <c r="K65" s="136"/>
      <c r="L65" s="177"/>
      <c r="M65" s="136"/>
      <c r="N65" s="178"/>
    </row>
    <row r="66" spans="1:14" s="122" customFormat="1" ht="12.75">
      <c r="A66" s="127" t="s">
        <v>69</v>
      </c>
      <c r="B66" s="182">
        <f>+'Forecast Data 2005 - 2011'!C14</f>
        <v>1918197.74705829</v>
      </c>
      <c r="C66" s="182">
        <f>+'Forecast Data 2005 - 2011'!D14</f>
        <v>2133992</v>
      </c>
      <c r="D66" s="182">
        <f>(C66-B66)*C71</f>
        <v>826237.8175656756</v>
      </c>
      <c r="E66" s="182">
        <f>'Forecast Data 2005 - 2011'!E14</f>
        <v>2082670</v>
      </c>
      <c r="F66" s="182">
        <f>(E66-C66)*E71</f>
        <v>-197209.9172</v>
      </c>
      <c r="G66" s="182">
        <f>'Forecast Data 2005 - 2011'!F14</f>
        <v>1983878</v>
      </c>
      <c r="H66" s="182">
        <f>(G66-E66)*G71</f>
        <v>-375439.2376</v>
      </c>
      <c r="I66" s="182">
        <f>'Forecast Data 2005 - 2011'!G14</f>
        <v>1855503</v>
      </c>
      <c r="J66" s="182">
        <f>(I66-G66)*I71</f>
        <v>-488299.9875</v>
      </c>
      <c r="K66" s="182">
        <f>'Forecast Data 2005 - 2011'!H14</f>
        <v>1844198.136368158</v>
      </c>
      <c r="L66" s="182">
        <f>(K66-I66)*K71</f>
        <v>-42229.31809674564</v>
      </c>
      <c r="M66" s="182">
        <f>'Forecast Data 2005 - 2011'!I14</f>
        <v>1879169</v>
      </c>
      <c r="N66" s="183">
        <f>(M66-K66)*M71</f>
        <v>123195.35840225287</v>
      </c>
    </row>
    <row r="67" spans="1:14" s="122" customFormat="1" ht="12.75">
      <c r="A67" s="127" t="s">
        <v>65</v>
      </c>
      <c r="B67" s="182">
        <f>+'Forecast Data 2005 - 2011'!C13*12</f>
        <v>1452</v>
      </c>
      <c r="C67" s="182">
        <f>+'Forecast Data 2005 - 2011'!D13*12</f>
        <v>1424</v>
      </c>
      <c r="D67" s="182">
        <f>(C67-B67)*C72</f>
        <v>-40483.09482811536</v>
      </c>
      <c r="E67" s="182">
        <f>'Forecast Data 2005 - 2011'!E13*12</f>
        <v>1402</v>
      </c>
      <c r="F67" s="182">
        <f>(E67-C67)*E72</f>
        <v>-31931.460000000003</v>
      </c>
      <c r="G67" s="182">
        <f>'Forecast Data 2005 - 2011'!F13*12</f>
        <v>1388</v>
      </c>
      <c r="H67" s="182">
        <f>(G67-E67)*G72</f>
        <v>-20097</v>
      </c>
      <c r="I67" s="182">
        <f>'Forecast Data 2005 - 2011'!G13*12</f>
        <v>1367</v>
      </c>
      <c r="J67" s="182">
        <f>(I67-G67)*I72</f>
        <v>-30181.41</v>
      </c>
      <c r="K67" s="182">
        <f>'Forecast Data 2005 - 2011'!H13*12</f>
        <v>1323.4969434417687</v>
      </c>
      <c r="L67" s="182">
        <f>(K67-I67)*K72</f>
        <v>-61402.38917911552</v>
      </c>
      <c r="M67" s="182">
        <f>'Forecast Data 2005 - 2011'!I13*12</f>
        <v>1271.4394233400296</v>
      </c>
      <c r="N67" s="183">
        <f>(M67-K67)*M72</f>
        <v>-63711.11655171441</v>
      </c>
    </row>
    <row r="68" spans="1:14" s="122" customFormat="1" ht="12.75">
      <c r="A68" s="128" t="s">
        <v>48</v>
      </c>
      <c r="B68" s="177"/>
      <c r="C68" s="177"/>
      <c r="D68" s="177">
        <f>SUM(D66:D67)</f>
        <v>785754.7227375603</v>
      </c>
      <c r="E68" s="177"/>
      <c r="F68" s="177">
        <f>SUM(F66:F67)</f>
        <v>-229141.3772</v>
      </c>
      <c r="G68" s="177"/>
      <c r="H68" s="177">
        <f>SUM(H66:H67)</f>
        <v>-395536.2376</v>
      </c>
      <c r="I68" s="177"/>
      <c r="J68" s="177">
        <f>SUM(J66:J67)</f>
        <v>-518481.39749999996</v>
      </c>
      <c r="K68" s="177"/>
      <c r="L68" s="177">
        <f>SUM(L66:L67)</f>
        <v>-103631.70727586116</v>
      </c>
      <c r="M68" s="177"/>
      <c r="N68" s="178">
        <f>SUM(N66:N67)</f>
        <v>59484.241850538456</v>
      </c>
    </row>
    <row r="69" spans="1:14" s="122" customFormat="1" ht="12.75">
      <c r="A69" s="129"/>
      <c r="B69" s="136"/>
      <c r="C69" s="136"/>
      <c r="D69" s="177"/>
      <c r="E69" s="136"/>
      <c r="F69" s="177"/>
      <c r="G69" s="136"/>
      <c r="H69" s="177"/>
      <c r="I69" s="136"/>
      <c r="J69" s="177"/>
      <c r="K69" s="136"/>
      <c r="L69" s="177"/>
      <c r="M69" s="136"/>
      <c r="N69" s="178"/>
    </row>
    <row r="70" spans="1:14" s="122" customFormat="1" ht="12.75">
      <c r="A70" s="130" t="s">
        <v>47</v>
      </c>
      <c r="B70" s="136"/>
      <c r="C70" s="136"/>
      <c r="D70" s="177"/>
      <c r="E70" s="136"/>
      <c r="F70" s="177"/>
      <c r="G70" s="146"/>
      <c r="H70" s="177"/>
      <c r="I70" s="136"/>
      <c r="J70" s="177"/>
      <c r="K70" s="146"/>
      <c r="L70" s="177"/>
      <c r="M70" s="136"/>
      <c r="N70" s="178"/>
    </row>
    <row r="71" spans="1:14" s="122" customFormat="1" ht="12.75">
      <c r="A71" s="127" t="s">
        <v>66</v>
      </c>
      <c r="B71" s="147">
        <f>+'Distribution Rates 2005 - 2011'!C14</f>
        <v>3.82882215954499</v>
      </c>
      <c r="C71" s="147">
        <f>+'Distribution Rates 2005 - 2011'!D14</f>
        <v>3.82882215954499</v>
      </c>
      <c r="D71" s="182">
        <f>(C71-B71)*B66</f>
        <v>0</v>
      </c>
      <c r="E71" s="147">
        <f>'Distribution Rates 2005 - 2011'!E14</f>
        <v>3.8426</v>
      </c>
      <c r="F71" s="182">
        <f>(E71-C71)*C66</f>
        <v>29401.801308268088</v>
      </c>
      <c r="G71" s="147">
        <f>'Distribution Rates 2005 - 2011'!F14</f>
        <v>3.8003</v>
      </c>
      <c r="H71" s="182">
        <f>(G71-E71)*E66</f>
        <v>-88096.941</v>
      </c>
      <c r="I71" s="147">
        <f>'Distribution Rates 2005 - 2011'!G14</f>
        <v>3.8037</v>
      </c>
      <c r="J71" s="182">
        <f>(I71-G71)*G66</f>
        <v>6745.185200000138</v>
      </c>
      <c r="K71" s="147">
        <f>'Distribution Rates 2005 - 2011'!H14</f>
        <v>3.7355</v>
      </c>
      <c r="L71" s="182">
        <f>(K71-I71)*I66</f>
        <v>-126545.30460000008</v>
      </c>
      <c r="M71" s="147">
        <f>'Distribution Rates 2005 - 2011'!J14</f>
        <v>3.5228</v>
      </c>
      <c r="N71" s="183">
        <f>(M71-K71)*K66</f>
        <v>-392260.943605507</v>
      </c>
    </row>
    <row r="72" spans="1:14" s="122" customFormat="1" ht="12.75">
      <c r="A72" s="127" t="s">
        <v>67</v>
      </c>
      <c r="B72" s="138">
        <f>+'Distribution Rates 2005 - 2011'!C13</f>
        <v>1445.5448152898343</v>
      </c>
      <c r="C72" s="138">
        <f>+'Distribution Rates 2005 - 2011'!D13</f>
        <v>1445.8248152898343</v>
      </c>
      <c r="D72" s="182">
        <f>(C72-B72)*B67</f>
        <v>406.5599999999604</v>
      </c>
      <c r="E72" s="138">
        <f>'Distribution Rates 2005 - 2011'!E13</f>
        <v>1451.43</v>
      </c>
      <c r="F72" s="182">
        <f>(E72-C72)*C67</f>
        <v>7981.78302727604</v>
      </c>
      <c r="G72" s="138">
        <f>'Distribution Rates 2005 - 2011'!F13</f>
        <v>1435.5</v>
      </c>
      <c r="H72" s="182">
        <f>(G72-E72)*E67</f>
        <v>-22333.860000000088</v>
      </c>
      <c r="I72" s="138">
        <f>'Distribution Rates 2005 - 2011'!G13</f>
        <v>1437.21</v>
      </c>
      <c r="J72" s="182">
        <f>(I72-G72)*G67</f>
        <v>2373.4800000000505</v>
      </c>
      <c r="K72" s="138">
        <f>'Distribution Rates 2005 - 2011'!H13</f>
        <v>1411.45</v>
      </c>
      <c r="L72" s="182">
        <f>(K72-I72)*I67</f>
        <v>-35213.91999999999</v>
      </c>
      <c r="M72" s="138">
        <f>'Distribution Rates 2005 - 2011'!J13</f>
        <v>1223.86</v>
      </c>
      <c r="N72" s="183">
        <f>(M72-K72)*K67</f>
        <v>-248274.7916202416</v>
      </c>
    </row>
    <row r="73" spans="1:14" s="122" customFormat="1" ht="12.75">
      <c r="A73" s="128" t="s">
        <v>49</v>
      </c>
      <c r="B73" s="136"/>
      <c r="C73" s="136"/>
      <c r="D73" s="177">
        <f>SUM(D71:D72)</f>
        <v>406.5599999999604</v>
      </c>
      <c r="E73" s="136"/>
      <c r="F73" s="177">
        <f>SUM(F71:F72)</f>
        <v>37383.58433554413</v>
      </c>
      <c r="G73" s="136"/>
      <c r="H73" s="177">
        <f>SUM(H71:H72)</f>
        <v>-110430.8010000001</v>
      </c>
      <c r="I73" s="136"/>
      <c r="J73" s="177">
        <f>SUM(J71:J72)</f>
        <v>9118.665200000189</v>
      </c>
      <c r="K73" s="136"/>
      <c r="L73" s="177">
        <f>SUM(L71:L72)</f>
        <v>-161759.22460000007</v>
      </c>
      <c r="M73" s="135"/>
      <c r="N73" s="178">
        <f>SUM(N71:N72)</f>
        <v>-640535.7352257486</v>
      </c>
    </row>
    <row r="74" spans="1:14" s="122" customFormat="1" ht="12.75">
      <c r="A74" s="129"/>
      <c r="B74" s="136"/>
      <c r="C74" s="136"/>
      <c r="D74" s="177"/>
      <c r="E74" s="136"/>
      <c r="F74" s="177"/>
      <c r="G74" s="136"/>
      <c r="H74" s="177"/>
      <c r="I74" s="136"/>
      <c r="J74" s="177"/>
      <c r="K74" s="136"/>
      <c r="L74" s="177"/>
      <c r="M74" s="136"/>
      <c r="N74" s="178"/>
    </row>
    <row r="75" spans="1:14" s="122" customFormat="1" ht="45.75" thickBot="1">
      <c r="A75" s="191" t="s">
        <v>101</v>
      </c>
      <c r="B75" s="139"/>
      <c r="C75" s="139"/>
      <c r="D75" s="186">
        <f>SUM(D68,D73)</f>
        <v>786161.2827375602</v>
      </c>
      <c r="E75" s="139"/>
      <c r="F75" s="186">
        <f>SUM(F73,F68)</f>
        <v>-191757.79286445584</v>
      </c>
      <c r="G75" s="139"/>
      <c r="H75" s="186">
        <f>SUM(H73,H68)</f>
        <v>-505967.0386000001</v>
      </c>
      <c r="I75" s="139"/>
      <c r="J75" s="186">
        <f>SUM(J73,J68)</f>
        <v>-509362.7322999998</v>
      </c>
      <c r="K75" s="139"/>
      <c r="L75" s="186">
        <f>SUM(L73,L68)</f>
        <v>-265390.93187586125</v>
      </c>
      <c r="M75" s="140"/>
      <c r="N75" s="196">
        <f>SUM(N73,N68)</f>
        <v>-581051.4933752102</v>
      </c>
    </row>
    <row r="76" spans="1:14" s="40" customFormat="1" ht="13.5" thickBot="1">
      <c r="A76" s="125"/>
      <c r="B76" s="141"/>
      <c r="C76" s="141"/>
      <c r="D76" s="192"/>
      <c r="E76" s="141"/>
      <c r="F76" s="192"/>
      <c r="G76" s="141"/>
      <c r="H76" s="192"/>
      <c r="I76" s="141"/>
      <c r="J76" s="192"/>
      <c r="K76" s="141"/>
      <c r="L76" s="192"/>
      <c r="M76" s="141"/>
      <c r="N76" s="192"/>
    </row>
    <row r="77" spans="1:14" s="40" customFormat="1" ht="15">
      <c r="A77" s="189" t="s">
        <v>53</v>
      </c>
      <c r="B77" s="142"/>
      <c r="C77" s="142"/>
      <c r="D77" s="193"/>
      <c r="E77" s="142"/>
      <c r="F77" s="193"/>
      <c r="G77" s="142"/>
      <c r="H77" s="193"/>
      <c r="I77" s="142"/>
      <c r="J77" s="193"/>
      <c r="K77" s="142"/>
      <c r="L77" s="193"/>
      <c r="M77" s="142"/>
      <c r="N77" s="197"/>
    </row>
    <row r="78" spans="1:14" s="40" customFormat="1" ht="12.75">
      <c r="A78" s="130" t="s">
        <v>46</v>
      </c>
      <c r="B78" s="136"/>
      <c r="C78" s="136"/>
      <c r="D78" s="177"/>
      <c r="E78" s="136"/>
      <c r="F78" s="177"/>
      <c r="G78" s="136"/>
      <c r="H78" s="177"/>
      <c r="I78" s="136"/>
      <c r="J78" s="177"/>
      <c r="K78" s="136"/>
      <c r="L78" s="177"/>
      <c r="M78" s="136"/>
      <c r="N78" s="178"/>
    </row>
    <row r="79" spans="1:14" s="40" customFormat="1" ht="12.75">
      <c r="A79" s="127" t="s">
        <v>69</v>
      </c>
      <c r="B79" s="182">
        <f>'Forecast Data 2005 - 2011'!C18</f>
        <v>443839.916666667</v>
      </c>
      <c r="C79" s="182">
        <f>'Forecast Data 2005 - 2011'!D18</f>
        <v>588710</v>
      </c>
      <c r="D79" s="182">
        <f>(C79-B79)*C84</f>
        <v>430951.49546762306</v>
      </c>
      <c r="E79" s="182">
        <f>'Forecast Data 2005 - 2011'!E18</f>
        <v>632888</v>
      </c>
      <c r="F79" s="182">
        <f>(E79-C79)*E84</f>
        <v>131889.0012</v>
      </c>
      <c r="G79" s="182">
        <f>'Forecast Data 2005 - 2011'!F18</f>
        <v>715527</v>
      </c>
      <c r="H79" s="182">
        <f>(G79-E79)*G84</f>
        <v>243999.91139999998</v>
      </c>
      <c r="I79" s="182">
        <f>'Forecast Data 2005 - 2011'!G18</f>
        <v>702238</v>
      </c>
      <c r="J79" s="182">
        <f>(I79-G79)*I84</f>
        <v>-39272.9817</v>
      </c>
      <c r="K79" s="182">
        <f>'Forecast Data 2005 - 2011'!H18</f>
        <v>664898.687305483</v>
      </c>
      <c r="L79" s="182">
        <f>(K79-I79)*K84</f>
        <v>-108369.88723329658</v>
      </c>
      <c r="M79" s="182">
        <f>'Forecast Data 2005 - 2011'!I18</f>
        <v>697451</v>
      </c>
      <c r="N79" s="183">
        <f>(M79-K79)*M84</f>
        <v>74880.08489119737</v>
      </c>
    </row>
    <row r="80" spans="1:14" s="40" customFormat="1" ht="12.75">
      <c r="A80" s="127" t="s">
        <v>65</v>
      </c>
      <c r="B80" s="182">
        <f>'Forecast Data 2005 - 2011'!C17*12</f>
        <v>36</v>
      </c>
      <c r="C80" s="182">
        <f>'Forecast Data 2005 - 2011'!D17*12</f>
        <v>47</v>
      </c>
      <c r="D80" s="182">
        <f>(C80-B80)*C85</f>
        <v>53243.87452248161</v>
      </c>
      <c r="E80" s="182">
        <f>'Forecast Data 2005 - 2011'!E17*12</f>
        <v>59</v>
      </c>
      <c r="F80" s="182">
        <f>(E80-C80)*E85</f>
        <v>58298.64</v>
      </c>
      <c r="G80" s="182">
        <f>'Forecast Data 2005 - 2011'!F17*12</f>
        <v>72</v>
      </c>
      <c r="H80" s="182">
        <f>(G80-E80)*G85</f>
        <v>62462.659999999996</v>
      </c>
      <c r="I80" s="182">
        <f>'Forecast Data 2005 - 2011'!G17*12</f>
        <v>72</v>
      </c>
      <c r="J80" s="182">
        <f>(I80-G80)*I85</f>
        <v>0</v>
      </c>
      <c r="K80" s="182">
        <f>'Forecast Data 2005 - 2011'!H17*12</f>
        <v>72</v>
      </c>
      <c r="L80" s="182">
        <f>(K80-I80)*K85</f>
        <v>0</v>
      </c>
      <c r="M80" s="182">
        <f>'Forecast Data 2005 - 2011'!I17*12</f>
        <v>72</v>
      </c>
      <c r="N80" s="183">
        <f>(M80-K80)*M85</f>
        <v>0</v>
      </c>
    </row>
    <row r="81" spans="1:14" s="40" customFormat="1" ht="12.75">
      <c r="A81" s="128" t="s">
        <v>48</v>
      </c>
      <c r="B81" s="177"/>
      <c r="C81" s="177"/>
      <c r="D81" s="177">
        <f>SUM(D79:D80)</f>
        <v>484195.3699901047</v>
      </c>
      <c r="E81" s="177"/>
      <c r="F81" s="177">
        <f>SUM(F79:F80)</f>
        <v>190187.6412</v>
      </c>
      <c r="G81" s="177"/>
      <c r="H81" s="177">
        <f>SUM(H79:H80)</f>
        <v>306462.57139999996</v>
      </c>
      <c r="I81" s="177"/>
      <c r="J81" s="177">
        <f>SUM(J79:J80)</f>
        <v>-39272.9817</v>
      </c>
      <c r="K81" s="177"/>
      <c r="L81" s="177">
        <f>SUM(L79:L80)</f>
        <v>-108369.88723329658</v>
      </c>
      <c r="M81" s="177"/>
      <c r="N81" s="178">
        <f>SUM(N79:N80)</f>
        <v>74880.08489119737</v>
      </c>
    </row>
    <row r="82" spans="1:14" s="40" customFormat="1" ht="12.75">
      <c r="A82" s="129"/>
      <c r="B82" s="136"/>
      <c r="C82" s="136"/>
      <c r="D82" s="177"/>
      <c r="E82" s="136"/>
      <c r="F82" s="177"/>
      <c r="G82" s="136"/>
      <c r="H82" s="177"/>
      <c r="I82" s="136"/>
      <c r="J82" s="177"/>
      <c r="K82" s="136"/>
      <c r="L82" s="177"/>
      <c r="M82" s="136"/>
      <c r="N82" s="178"/>
    </row>
    <row r="83" spans="1:14" s="40" customFormat="1" ht="12.75">
      <c r="A83" s="130" t="s">
        <v>47</v>
      </c>
      <c r="B83" s="136"/>
      <c r="C83" s="136"/>
      <c r="D83" s="177"/>
      <c r="E83" s="136"/>
      <c r="F83" s="177"/>
      <c r="G83" s="146"/>
      <c r="H83" s="177"/>
      <c r="I83" s="136"/>
      <c r="J83" s="177"/>
      <c r="K83" s="146"/>
      <c r="L83" s="177"/>
      <c r="M83" s="136"/>
      <c r="N83" s="178"/>
    </row>
    <row r="84" spans="1:14" s="40" customFormat="1" ht="12.75">
      <c r="A84" s="127" t="s">
        <v>66</v>
      </c>
      <c r="B84" s="147">
        <f>'Distribution Rates 2005 - 2011'!C18</f>
        <v>2.9747445818474643</v>
      </c>
      <c r="C84" s="147">
        <f>'Distribution Rates 2005 - 2011'!D18</f>
        <v>2.9747445818474643</v>
      </c>
      <c r="D84" s="182">
        <f>(C84-B84)*B79</f>
        <v>0</v>
      </c>
      <c r="E84" s="147">
        <f>'Distribution Rates 2005 - 2011'!E18</f>
        <v>2.9854</v>
      </c>
      <c r="F84" s="182">
        <f>(E84-C84)*C79</f>
        <v>6272.951220579213</v>
      </c>
      <c r="G84" s="147">
        <f>'Distribution Rates 2005 - 2011'!F18</f>
        <v>2.9526</v>
      </c>
      <c r="H84" s="182">
        <f>(G84-E84)*E79</f>
        <v>-20758.726399999963</v>
      </c>
      <c r="I84" s="147">
        <f>'Distribution Rates 2005 - 2011'!G18</f>
        <v>2.9553</v>
      </c>
      <c r="J84" s="182">
        <f>(I84-G84)*G79</f>
        <v>1931.9228999999461</v>
      </c>
      <c r="K84" s="138">
        <f>'Distribution Rates 2005 - 2011'!H18</f>
        <v>2.9023</v>
      </c>
      <c r="L84" s="182">
        <f>(K84-I84)*I79</f>
        <v>-37218.61399999996</v>
      </c>
      <c r="M84" s="147">
        <f>'Distribution Rates 2005 - 2011'!J18</f>
        <v>2.3003</v>
      </c>
      <c r="N84" s="183">
        <f>(M84-K84)*K79</f>
        <v>-400269.0097579007</v>
      </c>
    </row>
    <row r="85" spans="1:14" s="40" customFormat="1" ht="12.75">
      <c r="A85" s="127" t="s">
        <v>67</v>
      </c>
      <c r="B85" s="138">
        <f>'Distribution Rates 2005 - 2011'!C17</f>
        <v>4840.07222931651</v>
      </c>
      <c r="C85" s="138">
        <f>'Distribution Rates 2005 - 2011'!D17</f>
        <v>4840.35222931651</v>
      </c>
      <c r="D85" s="182">
        <f>(C85-B85)*B80</f>
        <v>10.079999999990832</v>
      </c>
      <c r="E85" s="138">
        <f>'Distribution Rates 2005 - 2011'!E17</f>
        <v>4858.22</v>
      </c>
      <c r="F85" s="182">
        <f>(E85-C85)*C80</f>
        <v>839.7852221240564</v>
      </c>
      <c r="G85" s="138">
        <f>'Distribution Rates 2005 - 2011'!F17</f>
        <v>4804.82</v>
      </c>
      <c r="H85" s="182">
        <f>(G85-E85)*E80</f>
        <v>-3150.600000000032</v>
      </c>
      <c r="I85" s="138">
        <f>'Distribution Rates 2005 - 2011'!G17</f>
        <v>4809.57</v>
      </c>
      <c r="J85" s="182">
        <f>(I85-G85)*G80</f>
        <v>342</v>
      </c>
      <c r="K85" s="138">
        <f>'Distribution Rates 2005 - 2011'!H17</f>
        <v>4723.33</v>
      </c>
      <c r="L85" s="182">
        <f>(K85-I85)*I80</f>
        <v>-6209.279999999984</v>
      </c>
      <c r="M85" s="138">
        <f>'Distribution Rates 2005 - 2011'!J17</f>
        <v>4748.97</v>
      </c>
      <c r="N85" s="183">
        <f>(M85-K85)*K80</f>
        <v>1846.0800000000236</v>
      </c>
    </row>
    <row r="86" spans="1:14" s="40" customFormat="1" ht="12.75">
      <c r="A86" s="128" t="s">
        <v>49</v>
      </c>
      <c r="B86" s="136"/>
      <c r="C86" s="136"/>
      <c r="D86" s="177">
        <f>SUM(D84:D85)</f>
        <v>10.079999999990832</v>
      </c>
      <c r="E86" s="136"/>
      <c r="F86" s="177">
        <f>SUM(F84:F85)</f>
        <v>7112.73644270327</v>
      </c>
      <c r="G86" s="136"/>
      <c r="H86" s="177">
        <f>SUM(H84:H85)</f>
        <v>-23909.326399999994</v>
      </c>
      <c r="I86" s="136"/>
      <c r="J86" s="177">
        <f>SUM(J84:J85)</f>
        <v>2273.922899999946</v>
      </c>
      <c r="K86" s="136"/>
      <c r="L86" s="177">
        <f>SUM(L84:L85)</f>
        <v>-43427.89399999994</v>
      </c>
      <c r="M86" s="135"/>
      <c r="N86" s="178">
        <f>SUM(N84:N85)</f>
        <v>-398422.9297579007</v>
      </c>
    </row>
    <row r="87" spans="1:14" s="40" customFormat="1" ht="12.75">
      <c r="A87" s="129"/>
      <c r="B87" s="136"/>
      <c r="C87" s="136"/>
      <c r="D87" s="177"/>
      <c r="E87" s="136"/>
      <c r="F87" s="177"/>
      <c r="G87" s="136"/>
      <c r="H87" s="177"/>
      <c r="I87" s="136"/>
      <c r="J87" s="177"/>
      <c r="K87" s="136"/>
      <c r="L87" s="177"/>
      <c r="M87" s="136"/>
      <c r="N87" s="178"/>
    </row>
    <row r="88" spans="1:14" s="40" customFormat="1" ht="30.75" thickBot="1">
      <c r="A88" s="191" t="s">
        <v>56</v>
      </c>
      <c r="B88" s="139"/>
      <c r="C88" s="139"/>
      <c r="D88" s="186">
        <f>SUM(D81,D86)</f>
        <v>484205.4499901047</v>
      </c>
      <c r="E88" s="139"/>
      <c r="F88" s="186">
        <f>SUM(F86,F81)</f>
        <v>197300.37764270327</v>
      </c>
      <c r="G88" s="139"/>
      <c r="H88" s="186">
        <f>SUM(H86,H81)</f>
        <v>282553.24499999994</v>
      </c>
      <c r="I88" s="139"/>
      <c r="J88" s="186">
        <f>SUM(J86,J81)</f>
        <v>-36999.05880000005</v>
      </c>
      <c r="K88" s="139"/>
      <c r="L88" s="186">
        <f>SUM(L86,L81)</f>
        <v>-151797.78123329653</v>
      </c>
      <c r="M88" s="140"/>
      <c r="N88" s="196">
        <f>SUM(N86,N81)</f>
        <v>-323542.8448667033</v>
      </c>
    </row>
    <row r="89" spans="1:14" s="40" customFormat="1" ht="13.5" thickBot="1">
      <c r="A89" s="134"/>
      <c r="B89" s="148"/>
      <c r="C89" s="148"/>
      <c r="D89" s="194"/>
      <c r="E89" s="148"/>
      <c r="F89" s="194"/>
      <c r="G89" s="148"/>
      <c r="H89" s="194"/>
      <c r="I89" s="148"/>
      <c r="J89" s="194"/>
      <c r="K89" s="148"/>
      <c r="L89" s="194"/>
      <c r="M89" s="148"/>
      <c r="N89" s="194"/>
    </row>
    <row r="90" spans="1:14" s="40" customFormat="1" ht="15">
      <c r="A90" s="189" t="s">
        <v>100</v>
      </c>
      <c r="B90" s="142"/>
      <c r="C90" s="142"/>
      <c r="D90" s="193"/>
      <c r="E90" s="142"/>
      <c r="F90" s="193"/>
      <c r="G90" s="142"/>
      <c r="H90" s="193"/>
      <c r="I90" s="142"/>
      <c r="J90" s="193"/>
      <c r="K90" s="142"/>
      <c r="L90" s="193"/>
      <c r="M90" s="142"/>
      <c r="N90" s="197"/>
    </row>
    <row r="91" spans="1:14" ht="12.75">
      <c r="A91" s="130" t="s">
        <v>46</v>
      </c>
      <c r="B91" s="136"/>
      <c r="C91" s="136"/>
      <c r="D91" s="177"/>
      <c r="E91" s="136"/>
      <c r="F91" s="177"/>
      <c r="G91" s="136"/>
      <c r="H91" s="177"/>
      <c r="I91" s="136"/>
      <c r="J91" s="177"/>
      <c r="K91" s="136"/>
      <c r="L91" s="177"/>
      <c r="M91" s="136"/>
      <c r="N91" s="178"/>
    </row>
    <row r="92" spans="1:14" ht="12.75">
      <c r="A92" s="127" t="s">
        <v>69</v>
      </c>
      <c r="B92" s="182">
        <f>+'Forecast Data 2005 - 2011'!C22</f>
        <v>58210</v>
      </c>
      <c r="C92" s="182">
        <f>+'Forecast Data 2005 - 2011'!D22</f>
        <v>70150</v>
      </c>
      <c r="D92" s="182">
        <f>(C92-B92)*C97</f>
        <v>26980.12596952323</v>
      </c>
      <c r="E92" s="182">
        <f>+'Forecast Data 2005 - 2011'!E22</f>
        <v>75730</v>
      </c>
      <c r="F92" s="182">
        <f>(E92-C92)*E97</f>
        <v>12654.323999999999</v>
      </c>
      <c r="G92" s="182">
        <f>+'Forecast Data 2005 - 2011'!F22</f>
        <v>79929</v>
      </c>
      <c r="H92" s="182">
        <f>(G92-E92)*G97</f>
        <v>9417.937100000001</v>
      </c>
      <c r="I92" s="182">
        <f>+'Forecast Data 2005 - 2011'!G22</f>
        <v>81921</v>
      </c>
      <c r="J92" s="182">
        <f>(I92-G92)*I97</f>
        <v>4471.8408</v>
      </c>
      <c r="K92" s="182">
        <f>+'Forecast Data 2005 - 2011'!H22</f>
        <v>84877.64649331334</v>
      </c>
      <c r="L92" s="182">
        <f>(K92-I92)*K97</f>
        <v>6518.222859158588</v>
      </c>
      <c r="M92" s="182">
        <f>+'Forecast Data 2005 - 2011'!I22</f>
        <v>88637</v>
      </c>
      <c r="N92" s="183">
        <f>(M92-K92)*M97</f>
        <v>43018.282177015455</v>
      </c>
    </row>
    <row r="93" spans="1:14" ht="12.75">
      <c r="A93" s="127" t="s">
        <v>65</v>
      </c>
      <c r="B93" s="182">
        <f>+'Forecast Data 2005 - 2011'!C21*12</f>
        <v>339899.4</v>
      </c>
      <c r="C93" s="182">
        <f>+'Forecast Data 2005 - 2011'!D21*12</f>
        <v>411852.94611403596</v>
      </c>
      <c r="D93" s="182">
        <f>(C93-B93)*C98</f>
        <v>0</v>
      </c>
      <c r="E93" s="182">
        <f>+'Forecast Data 2005 - 2011'!E21*12</f>
        <v>429149.71894144</v>
      </c>
      <c r="F93" s="182">
        <f>(E93-C93)*E98</f>
        <v>0</v>
      </c>
      <c r="G93" s="182">
        <f>+'Forecast Data 2005 - 2011'!F21*12</f>
        <v>447174.4862675532</v>
      </c>
      <c r="H93" s="182">
        <f>(G93-E93)*G98</f>
        <v>0</v>
      </c>
      <c r="I93" s="182">
        <f>+'Forecast Data 2005 - 2011'!G21*12</f>
        <v>465950.5204569377</v>
      </c>
      <c r="J93" s="182">
        <f>(I93-G93)*I98</f>
        <v>0</v>
      </c>
      <c r="K93" s="182">
        <f>+'Forecast Data 2005 - 2011'!H21*12</f>
        <v>485513.13244607777</v>
      </c>
      <c r="L93" s="182">
        <f>(K93-I93)*K98</f>
        <v>0</v>
      </c>
      <c r="M93" s="182">
        <f>+'Forecast Data 2005 - 2011'!I21*12</f>
        <v>505898.7839322974</v>
      </c>
      <c r="N93" s="183">
        <f>(M93-K93)*M98</f>
        <v>8561.973624212234</v>
      </c>
    </row>
    <row r="94" spans="1:14" ht="12.75">
      <c r="A94" s="128" t="s">
        <v>48</v>
      </c>
      <c r="B94" s="177"/>
      <c r="C94" s="177"/>
      <c r="D94" s="177">
        <f>SUM(D92:D93)</f>
        <v>26980.12596952323</v>
      </c>
      <c r="E94" s="177"/>
      <c r="F94" s="177">
        <f>SUM(F92:F93)</f>
        <v>12654.323999999999</v>
      </c>
      <c r="G94" s="177"/>
      <c r="H94" s="177">
        <f>SUM(H92:H93)</f>
        <v>9417.937100000001</v>
      </c>
      <c r="I94" s="177"/>
      <c r="J94" s="177">
        <f>SUM(J92:J93)</f>
        <v>4471.8408</v>
      </c>
      <c r="K94" s="177"/>
      <c r="L94" s="177">
        <f>SUM(L92:L93)</f>
        <v>6518.222859158588</v>
      </c>
      <c r="M94" s="177"/>
      <c r="N94" s="178">
        <f>SUM(N92:N93)</f>
        <v>51580.255801227686</v>
      </c>
    </row>
    <row r="95" spans="1:14" ht="12.75">
      <c r="A95" s="129"/>
      <c r="B95" s="136"/>
      <c r="C95" s="136"/>
      <c r="D95" s="177"/>
      <c r="E95" s="136"/>
      <c r="F95" s="177"/>
      <c r="G95" s="136"/>
      <c r="H95" s="177"/>
      <c r="I95" s="136"/>
      <c r="J95" s="177"/>
      <c r="K95" s="136"/>
      <c r="L95" s="177"/>
      <c r="M95" s="136"/>
      <c r="N95" s="178"/>
    </row>
    <row r="96" spans="1:14" ht="12.75">
      <c r="A96" s="130" t="s">
        <v>47</v>
      </c>
      <c r="B96" s="136"/>
      <c r="C96" s="136"/>
      <c r="D96" s="177"/>
      <c r="E96" s="136"/>
      <c r="F96" s="177"/>
      <c r="G96" s="136"/>
      <c r="H96" s="177"/>
      <c r="I96" s="136"/>
      <c r="J96" s="177"/>
      <c r="K96" s="136"/>
      <c r="L96" s="177"/>
      <c r="M96" s="136"/>
      <c r="N96" s="178"/>
    </row>
    <row r="97" spans="1:14" ht="12.75">
      <c r="A97" s="127" t="s">
        <v>66</v>
      </c>
      <c r="B97" s="147">
        <f>+'Distribution Rates 2005 - 2011'!C22</f>
        <v>2.2596420409985956</v>
      </c>
      <c r="C97" s="147">
        <f>+'Distribution Rates 2005 - 2011'!D22</f>
        <v>2.2596420409985956</v>
      </c>
      <c r="D97" s="182">
        <f>(C97-B97)*B92</f>
        <v>0</v>
      </c>
      <c r="E97" s="147">
        <f>+'Distribution Rates 2005 - 2011'!E22</f>
        <v>2.2678</v>
      </c>
      <c r="F97" s="182">
        <f>(E97-C97)*C92</f>
        <v>572.2808239485087</v>
      </c>
      <c r="G97" s="147">
        <f>+'Distribution Rates 2005 - 2011'!F22</f>
        <v>2.2429</v>
      </c>
      <c r="H97" s="182">
        <f>(G97-E97)*E92</f>
        <v>-1885.6769999999774</v>
      </c>
      <c r="I97" s="147">
        <f>+'Distribution Rates 2005 - 2011'!G22</f>
        <v>2.2449</v>
      </c>
      <c r="J97" s="182">
        <f>(I97-G97)*G92</f>
        <v>159.85799999998238</v>
      </c>
      <c r="K97" s="147">
        <f>+'Distribution Rates 2005 - 2011'!H22</f>
        <v>2.2046</v>
      </c>
      <c r="L97" s="182">
        <f>(K97-I97)*I92</f>
        <v>-3301.416299999982</v>
      </c>
      <c r="M97" s="147">
        <f>+'Distribution Rates 2005 - 2011'!J22</f>
        <v>11.443</v>
      </c>
      <c r="N97" s="183">
        <f>(M97-K97)*K92</f>
        <v>784133.6493638258</v>
      </c>
    </row>
    <row r="98" spans="1:14" ht="12.75">
      <c r="A98" s="127" t="s">
        <v>67</v>
      </c>
      <c r="B98" s="138">
        <f>+'Distribution Rates 2005 - 2011'!C21</f>
        <v>0</v>
      </c>
      <c r="C98" s="138">
        <f>+'Distribution Rates 2005 - 2011'!D21</f>
        <v>0</v>
      </c>
      <c r="D98" s="182">
        <f>(C98-B98)*B93</f>
        <v>0</v>
      </c>
      <c r="E98" s="138">
        <f>+'Distribution Rates 2005 - 2011'!E21</f>
        <v>0</v>
      </c>
      <c r="F98" s="182">
        <f>(E98-C98)*C93</f>
        <v>0</v>
      </c>
      <c r="G98" s="138">
        <f>+'Distribution Rates 2005 - 2011'!F21</f>
        <v>0</v>
      </c>
      <c r="H98" s="182">
        <f>(G98-E98)*E93</f>
        <v>0</v>
      </c>
      <c r="I98" s="138">
        <f>+'Distribution Rates 2005 - 2011'!G21</f>
        <v>0</v>
      </c>
      <c r="J98" s="182">
        <f>(I98-G98)*G93</f>
        <v>0</v>
      </c>
      <c r="K98" s="138">
        <f>+'Distribution Rates 2005 - 2011'!H21</f>
        <v>0</v>
      </c>
      <c r="L98" s="182">
        <f>(K98-I98)*I93</f>
        <v>0</v>
      </c>
      <c r="M98" s="138">
        <f>+'Distribution Rates 2005 - 2011'!J21</f>
        <v>0.42</v>
      </c>
      <c r="N98" s="183">
        <f>(M98-K98)*K93</f>
        <v>203915.51562735267</v>
      </c>
    </row>
    <row r="99" spans="1:14" ht="12.75">
      <c r="A99" s="128" t="s">
        <v>49</v>
      </c>
      <c r="B99" s="136"/>
      <c r="C99" s="136"/>
      <c r="D99" s="177">
        <f>SUM(D97:D98)</f>
        <v>0</v>
      </c>
      <c r="E99" s="136"/>
      <c r="F99" s="177">
        <f>SUM(F97:F98)</f>
        <v>572.2808239485087</v>
      </c>
      <c r="G99" s="136"/>
      <c r="H99" s="177">
        <f>SUM(H97:H98)</f>
        <v>-1885.6769999999774</v>
      </c>
      <c r="I99" s="136"/>
      <c r="J99" s="177">
        <f>SUM(J97:J98)</f>
        <v>159.85799999998238</v>
      </c>
      <c r="K99" s="136"/>
      <c r="L99" s="177">
        <f>SUM(L97:L98)</f>
        <v>-3301.416299999982</v>
      </c>
      <c r="M99" s="135"/>
      <c r="N99" s="178">
        <f>SUM(N97:N98)</f>
        <v>988049.1649911784</v>
      </c>
    </row>
    <row r="100" spans="1:14" ht="12.75">
      <c r="A100" s="129"/>
      <c r="B100" s="136"/>
      <c r="C100" s="136"/>
      <c r="D100" s="177"/>
      <c r="E100" s="136"/>
      <c r="F100" s="177"/>
      <c r="G100" s="136"/>
      <c r="H100" s="177"/>
      <c r="I100" s="136"/>
      <c r="J100" s="177"/>
      <c r="K100" s="136"/>
      <c r="L100" s="177"/>
      <c r="M100" s="136"/>
      <c r="N100" s="178"/>
    </row>
    <row r="101" spans="1:14" ht="30.75" thickBot="1">
      <c r="A101" s="191" t="s">
        <v>102</v>
      </c>
      <c r="B101" s="139"/>
      <c r="C101" s="139"/>
      <c r="D101" s="186">
        <f>SUM(D94,D99)</f>
        <v>26980.12596952323</v>
      </c>
      <c r="E101" s="139"/>
      <c r="F101" s="186">
        <f>SUM(F99,F94)</f>
        <v>13226.604823948508</v>
      </c>
      <c r="G101" s="139"/>
      <c r="H101" s="186">
        <f>SUM(H99,H94)</f>
        <v>7532.260100000023</v>
      </c>
      <c r="I101" s="139"/>
      <c r="J101" s="186">
        <f>SUM(J99,J94)</f>
        <v>4631.698799999982</v>
      </c>
      <c r="K101" s="139"/>
      <c r="L101" s="186">
        <f>SUM(L99,L94)</f>
        <v>3216.806559158606</v>
      </c>
      <c r="M101" s="140"/>
      <c r="N101" s="196">
        <f>SUM(N99,N94)</f>
        <v>1039629.4207924061</v>
      </c>
    </row>
    <row r="102" spans="10:14" ht="12.75">
      <c r="J102" s="195"/>
      <c r="L102" s="195"/>
      <c r="N102" s="195"/>
    </row>
    <row r="103" spans="10:14" ht="12.75">
      <c r="J103" s="195"/>
      <c r="L103" s="195"/>
      <c r="N103" s="195"/>
    </row>
    <row r="104" spans="10:14" ht="12.75">
      <c r="J104" s="195"/>
      <c r="L104" s="195"/>
      <c r="N104" s="195"/>
    </row>
    <row r="105" spans="10:14" ht="12.75">
      <c r="J105" s="195"/>
      <c r="L105" s="195"/>
      <c r="N105" s="195"/>
    </row>
    <row r="106" spans="10:14" ht="12.75">
      <c r="J106" s="195"/>
      <c r="L106" s="195"/>
      <c r="N106" s="195"/>
    </row>
    <row r="107" spans="10:14" ht="12.75">
      <c r="J107" s="195"/>
      <c r="L107" s="195"/>
      <c r="N107" s="195"/>
    </row>
    <row r="108" spans="10:14" ht="12.75">
      <c r="J108" s="195"/>
      <c r="L108" s="195"/>
      <c r="N108" s="195"/>
    </row>
    <row r="109" spans="10:14" ht="12.75">
      <c r="J109" s="195"/>
      <c r="L109" s="195"/>
      <c r="N109" s="195"/>
    </row>
    <row r="110" spans="10:14" ht="12.75">
      <c r="J110" s="195"/>
      <c r="L110" s="195"/>
      <c r="N110" s="195"/>
    </row>
    <row r="111" spans="10:14" ht="12.75">
      <c r="J111" s="195"/>
      <c r="L111" s="195"/>
      <c r="N111" s="195"/>
    </row>
    <row r="112" spans="10:14" ht="12.75">
      <c r="J112" s="195"/>
      <c r="L112" s="195"/>
      <c r="N112" s="195"/>
    </row>
    <row r="113" spans="10:14" ht="12.75">
      <c r="J113" s="195"/>
      <c r="L113" s="195"/>
      <c r="N113" s="195"/>
    </row>
    <row r="114" spans="10:14" ht="12.75">
      <c r="J114" s="195"/>
      <c r="L114" s="195"/>
      <c r="N114" s="195"/>
    </row>
  </sheetData>
  <sheetProtection/>
  <mergeCells count="2">
    <mergeCell ref="A2:M2"/>
    <mergeCell ref="A1:N1"/>
  </mergeCells>
  <conditionalFormatting sqref="D15:D17 D5:D12">
    <cfRule type="cellIs" priority="38" dxfId="0" operator="lessThan">
      <formula>-$D$21</formula>
    </cfRule>
  </conditionalFormatting>
  <conditionalFormatting sqref="F5:F12 F15:F17 D9 D5">
    <cfRule type="cellIs" priority="36" dxfId="0" operator="lessThan">
      <formula>-$H$21</formula>
    </cfRule>
    <cfRule type="cellIs" priority="37" dxfId="0" operator="greaterThan">
      <formula>$F$21</formula>
    </cfRule>
  </conditionalFormatting>
  <conditionalFormatting sqref="D36 D49 D62 D75 D88 D101">
    <cfRule type="cellIs" priority="34" dxfId="0" operator="lessThan">
      <formula>-$D$21</formula>
    </cfRule>
    <cfRule type="cellIs" priority="35" dxfId="0" operator="greaterThan">
      <formula>$D$21</formula>
    </cfRule>
  </conditionalFormatting>
  <conditionalFormatting sqref="F36 F49 F62 F75 F88 F101">
    <cfRule type="cellIs" priority="32" dxfId="0" operator="lessThan">
      <formula>-$F$21</formula>
    </cfRule>
    <cfRule type="cellIs" priority="33" dxfId="0" operator="greaterThan">
      <formula>$F$21</formula>
    </cfRule>
  </conditionalFormatting>
  <conditionalFormatting sqref="H5:H12 H15:H17 H36 H49 H62 H75 H88 H101">
    <cfRule type="cellIs" priority="30" dxfId="0" operator="lessThan">
      <formula>-$H$21</formula>
    </cfRule>
    <cfRule type="cellIs" priority="31" dxfId="0" operator="greaterThan">
      <formula>$H$21</formula>
    </cfRule>
  </conditionalFormatting>
  <conditionalFormatting sqref="J5:J12 J15:J17 J36 J49 J62 J75 J88 J101">
    <cfRule type="cellIs" priority="28" dxfId="0" operator="lessThan">
      <formula>-$J$21</formula>
    </cfRule>
    <cfRule type="cellIs" priority="29" dxfId="0" operator="greaterThan">
      <formula>$J$21</formula>
    </cfRule>
  </conditionalFormatting>
  <conditionalFormatting sqref="L5:L12 L15:L17 L36 L49 L62 L75 L88 L101">
    <cfRule type="cellIs" priority="26" dxfId="0" operator="lessThan">
      <formula>-$L$21</formula>
    </cfRule>
    <cfRule type="cellIs" priority="27" dxfId="0" operator="greaterThan">
      <formula>$L$21</formula>
    </cfRule>
  </conditionalFormatting>
  <conditionalFormatting sqref="N5:N12 N15:N17 N36 N49 N62 N75 N88 N101">
    <cfRule type="cellIs" priority="24" dxfId="0" operator="lessThan">
      <formula>-$N$21</formula>
    </cfRule>
    <cfRule type="cellIs" priority="25" dxfId="0" operator="greaterThan">
      <formula>$N$21</formula>
    </cfRule>
  </conditionalFormatting>
  <conditionalFormatting sqref="D5:D12 D15:D17">
    <cfRule type="cellIs" priority="1" dxfId="0" operator="greaterThan">
      <formula>$D$21</formula>
    </cfRule>
  </conditionalFormatting>
  <printOptions horizontalCentered="1"/>
  <pageMargins left="0.748031496062992" right="0.748031496062992" top="0.984251968503937" bottom="0.984251968503937" header="0.511811023622047" footer="0.511811023622047"/>
  <pageSetup fitToHeight="2" fitToWidth="1" horizontalDpi="355" verticalDpi="355" orientation="landscape" paperSize="5" scale="61" r:id="rId1"/>
  <rowBreaks count="1" manualBreakCount="1">
    <brk id="6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showGridLines="0" tabSelected="1" zoomScalePageLayoutView="0" workbookViewId="0" topLeftCell="A1">
      <pane xSplit="1" ySplit="3" topLeftCell="F26" activePane="bottomRight" state="frozen"/>
      <selection pane="topLeft" activeCell="A1" sqref="A1"/>
      <selection pane="topRight" activeCell="B1" sqref="B1"/>
      <selection pane="bottomLeft" activeCell="A5" sqref="A5"/>
      <selection pane="bottomRight" activeCell="A3" sqref="A3:I37"/>
    </sheetView>
  </sheetViews>
  <sheetFormatPr defaultColWidth="9.140625" defaultRowHeight="12.75"/>
  <cols>
    <col min="1" max="1" width="45.7109375" style="0" bestFit="1" customWidth="1"/>
    <col min="2" max="2" width="16.421875" style="0" bestFit="1" customWidth="1"/>
    <col min="3" max="7" width="13.8515625" style="0" bestFit="1" customWidth="1"/>
    <col min="8" max="9" width="14.140625" style="0" customWidth="1"/>
    <col min="10" max="10" width="2.7109375" style="0" customWidth="1"/>
    <col min="11" max="11" width="32.421875" style="0" bestFit="1" customWidth="1"/>
    <col min="12" max="12" width="15.421875" style="0" customWidth="1"/>
    <col min="13" max="13" width="14.140625" style="0" bestFit="1" customWidth="1"/>
  </cols>
  <sheetData>
    <row r="1" spans="1:11" ht="17.25" customHeight="1">
      <c r="A1" s="208"/>
      <c r="B1" s="208"/>
      <c r="C1" s="208"/>
      <c r="D1" s="208"/>
      <c r="E1" s="208"/>
      <c r="F1" s="208"/>
      <c r="G1" s="208"/>
      <c r="H1" s="208"/>
      <c r="I1" s="208"/>
      <c r="J1" s="6"/>
      <c r="K1" s="6"/>
    </row>
    <row r="2" spans="1:13" ht="17.25" customHeight="1">
      <c r="A2" s="207" t="s">
        <v>61</v>
      </c>
      <c r="B2" s="207"/>
      <c r="C2" s="207"/>
      <c r="D2" s="207"/>
      <c r="E2" s="207"/>
      <c r="F2" s="207"/>
      <c r="G2" s="207"/>
      <c r="H2" s="207"/>
      <c r="I2" s="207"/>
      <c r="J2" s="9"/>
      <c r="K2" s="9"/>
      <c r="L2" s="12"/>
      <c r="M2" s="12"/>
    </row>
    <row r="3" spans="1:13" ht="39" customHeight="1">
      <c r="A3" s="13" t="s">
        <v>70</v>
      </c>
      <c r="B3" s="13" t="s">
        <v>111</v>
      </c>
      <c r="C3" s="13" t="s">
        <v>58</v>
      </c>
      <c r="D3" s="13" t="s">
        <v>79</v>
      </c>
      <c r="E3" s="13" t="s">
        <v>80</v>
      </c>
      <c r="F3" s="13" t="s">
        <v>81</v>
      </c>
      <c r="G3" s="13" t="s">
        <v>82</v>
      </c>
      <c r="H3" s="13" t="s">
        <v>83</v>
      </c>
      <c r="I3" s="13" t="s">
        <v>84</v>
      </c>
      <c r="K3" s="12"/>
      <c r="L3" s="21"/>
      <c r="M3" s="21"/>
    </row>
    <row r="4" spans="1:13" ht="12.75">
      <c r="A4" s="38" t="s">
        <v>15</v>
      </c>
      <c r="B4" s="10"/>
      <c r="C4" s="10"/>
      <c r="D4" s="10"/>
      <c r="E4" s="39"/>
      <c r="F4" s="10"/>
      <c r="G4" s="10"/>
      <c r="H4" s="10"/>
      <c r="I4" s="10"/>
      <c r="K4" s="12"/>
      <c r="L4" s="12"/>
      <c r="M4" s="12"/>
    </row>
    <row r="5" spans="1:13" ht="12.75">
      <c r="A5" s="160" t="s">
        <v>2</v>
      </c>
      <c r="B5" s="161">
        <f>SUM('Dx. Revenue - Norm. Forecasts'!C4:C5)</f>
        <v>28804231.989713915</v>
      </c>
      <c r="C5" s="161">
        <f>SUM('Dx. Revenue - Norm. Forecasts'!D4:D5)</f>
        <v>30932916.62840454</v>
      </c>
      <c r="D5" s="161">
        <f>SUM('Dx. Revenue - Norm. Forecasts'!E4:E5)</f>
        <v>32750248.0427</v>
      </c>
      <c r="E5" s="161">
        <f>SUM('Dx. Revenue - Norm. Forecasts'!F4:F5)</f>
        <v>33477545.4291</v>
      </c>
      <c r="F5" s="161">
        <f>SUM('Dx. Revenue - Norm. Forecasts'!G4:G5)</f>
        <v>34505112.8934</v>
      </c>
      <c r="G5" s="161">
        <f>SUM('Dx. Revenue - Norm. Forecasts'!H4:H5)</f>
        <v>33965374.59302208</v>
      </c>
      <c r="H5" s="161">
        <f>SUM('Dx. Revenue - Norm. Forecasts'!I4:I5)</f>
        <v>32789200.132048737</v>
      </c>
      <c r="I5" s="161">
        <f>SUM('Dx. Revenue - Norm. Forecasts'!J4:J5)</f>
        <v>32544870.402947</v>
      </c>
      <c r="K5" s="155"/>
      <c r="L5" s="12"/>
      <c r="M5" s="12"/>
    </row>
    <row r="6" spans="1:13" ht="12.75">
      <c r="A6" s="160" t="s">
        <v>38</v>
      </c>
      <c r="B6" s="161">
        <f>SUM('Dx. Revenue - Norm. Forecasts'!C6,'Dx. Revenue - Norm. Forecasts'!C7)</f>
        <v>6753148.943417551</v>
      </c>
      <c r="C6" s="161">
        <f>SUM('Dx. Revenue - Norm. Forecasts'!D6,'Dx. Revenue - Norm. Forecasts'!D7)</f>
        <v>6947577.244466481</v>
      </c>
      <c r="D6" s="161">
        <f>SUM('Dx. Revenue - Norm. Forecasts'!E6,'Dx. Revenue - Norm. Forecasts'!E7)</f>
        <v>7271249.3881</v>
      </c>
      <c r="E6" s="161">
        <f>SUM('Dx. Revenue - Norm. Forecasts'!F6,'Dx. Revenue - Norm. Forecasts'!F7)</f>
        <v>7120104.679900001</v>
      </c>
      <c r="F6" s="161">
        <f>SUM('Dx. Revenue - Norm. Forecasts'!G6,'Dx. Revenue - Norm. Forecasts'!G7)</f>
        <v>7141502.3898</v>
      </c>
      <c r="G6" s="161">
        <f>SUM('Dx. Revenue - Norm. Forecasts'!H6,'Dx. Revenue - Norm. Forecasts'!H7)</f>
        <v>7056544.084998433</v>
      </c>
      <c r="H6" s="161">
        <f>SUM('Dx. Revenue - Norm. Forecasts'!I6,'Dx. Revenue - Norm. Forecasts'!I7)</f>
        <v>7094794.783923533</v>
      </c>
      <c r="I6" s="161">
        <f>SUM('Dx. Revenue - Norm. Forecasts'!J6,'Dx. Revenue - Norm. Forecasts'!J7)</f>
        <v>6573831.398676738</v>
      </c>
      <c r="K6" s="111"/>
      <c r="L6" s="12"/>
      <c r="M6" s="12"/>
    </row>
    <row r="7" spans="1:13" ht="12.75">
      <c r="A7" s="160" t="s">
        <v>39</v>
      </c>
      <c r="B7" s="161">
        <f>SUM('Dx. Revenue - Norm. Forecasts'!C8,'Dx. Revenue - Norm. Forecasts'!C9)</f>
        <v>8234737.131383877</v>
      </c>
      <c r="C7" s="161">
        <f>SUM('Dx. Revenue - Norm. Forecasts'!D8,'Dx. Revenue - Norm. Forecasts'!D9)</f>
        <v>8721458.91368302</v>
      </c>
      <c r="D7" s="161">
        <f>SUM('Dx. Revenue - Norm. Forecasts'!E8,'Dx. Revenue - Norm. Forecasts'!E9)</f>
        <v>8926700.429242589</v>
      </c>
      <c r="E7" s="161">
        <f>SUM('Dx. Revenue - Norm. Forecasts'!F8,'Dx. Revenue - Norm. Forecasts'!F9)</f>
        <v>9031595.924928633</v>
      </c>
      <c r="F7" s="161">
        <f>SUM('Dx. Revenue - Norm. Forecasts'!G8,'Dx. Revenue - Norm. Forecasts'!G9)</f>
        <v>9116566.234207723</v>
      </c>
      <c r="G7" s="161">
        <f>SUM('Dx. Revenue - Norm. Forecasts'!H8,'Dx. Revenue - Norm. Forecasts'!H9)</f>
        <v>8800961.94106124</v>
      </c>
      <c r="H7" s="161">
        <f>SUM('Dx. Revenue - Norm. Forecasts'!I8,'Dx. Revenue - Norm. Forecasts'!I9)</f>
        <v>8957744.827637898</v>
      </c>
      <c r="I7" s="161">
        <f>SUM('Dx. Revenue - Norm. Forecasts'!J8,'Dx. Revenue - Norm. Forecasts'!J9)</f>
        <v>10086313.099137489</v>
      </c>
      <c r="K7" s="155"/>
      <c r="L7" s="20"/>
      <c r="M7" s="20"/>
    </row>
    <row r="8" spans="1:13" ht="12.75">
      <c r="A8" s="162" t="s">
        <v>85</v>
      </c>
      <c r="B8" s="161">
        <f>SUM('Dx. Revenue - Norm. Forecasts'!C12,'Dx. Revenue - Norm. Forecasts'!C13)</f>
        <v>9443369.112126896</v>
      </c>
      <c r="C8" s="161">
        <f>SUM('Dx. Revenue - Norm. Forecasts'!D12,'Dx. Revenue - Norm. Forecasts'!D13)</f>
        <v>10229530.394864457</v>
      </c>
      <c r="D8" s="161">
        <f>SUM('Dx. Revenue - Norm. Forecasts'!E12,'Dx. Revenue - Norm. Forecasts'!E13)</f>
        <v>10037772.602</v>
      </c>
      <c r="E8" s="161">
        <f>SUM('Dx. Revenue - Norm. Forecasts'!F12,'Dx. Revenue - Norm. Forecasts'!F13)</f>
        <v>9531805.5634</v>
      </c>
      <c r="F8" s="161">
        <f>SUM('Dx. Revenue - Norm. Forecasts'!G12,'Dx. Revenue - Norm. Forecasts'!G13)</f>
        <v>9022442.8311</v>
      </c>
      <c r="G8" s="161">
        <f>SUM('Dx. Revenue - Norm. Forecasts'!H12,'Dx. Revenue - Norm. Forecasts'!H13)</f>
        <v>8757051.89922414</v>
      </c>
      <c r="H8" s="161">
        <f>SUM('Dx. Revenue - Norm. Forecasts'!I12,'Dx. Revenue - Norm. Forecasts'!I13)</f>
        <v>8812937.534149945</v>
      </c>
      <c r="I8" s="161">
        <f>SUM('Dx. Revenue - Norm. Forecasts'!J12,'Dx. Revenue - Norm. Forecasts'!J13)</f>
        <v>8176000.405848929</v>
      </c>
      <c r="K8" s="155"/>
      <c r="L8" s="20"/>
      <c r="M8" s="20"/>
    </row>
    <row r="9" spans="1:13" ht="12.75">
      <c r="A9" s="160" t="s">
        <v>3</v>
      </c>
      <c r="B9" s="161">
        <f>SUM('Dx. Revenue - Norm. Forecasts'!C16,'Dx. Revenue - Norm. Forecasts'!C17)</f>
        <v>1494552.987567192</v>
      </c>
      <c r="C9" s="161">
        <f>SUM('Dx. Revenue - Norm. Forecasts'!D16,'Dx. Revenue - Norm. Forecasts'!D17)</f>
        <v>1978758.4375572966</v>
      </c>
      <c r="D9" s="161">
        <f>SUM('Dx. Revenue - Norm. Forecasts'!E16,'Dx. Revenue - Norm. Forecasts'!E17)</f>
        <v>2176058.8152</v>
      </c>
      <c r="E9" s="161">
        <f>SUM('Dx. Revenue - Norm. Forecasts'!F16,'Dx. Revenue - Norm. Forecasts'!F17)</f>
        <v>2458612.0602</v>
      </c>
      <c r="F9" s="161">
        <f>SUM('Dx. Revenue - Norm. Forecasts'!G16,'Dx. Revenue - Norm. Forecasts'!G17)</f>
        <v>2421613.0014</v>
      </c>
      <c r="G9" s="161">
        <f>SUM('Dx. Revenue - Norm. Forecasts'!H16,'Dx. Revenue - Norm. Forecasts'!H17)</f>
        <v>2269815.2201667037</v>
      </c>
      <c r="H9" s="161">
        <f>SUM('Dx. Revenue - Norm. Forecasts'!I16,'Dx. Revenue - Norm. Forecasts'!I17)</f>
        <v>2364219.7972999997</v>
      </c>
      <c r="I9" s="161">
        <f>SUM('Dx. Revenue - Norm. Forecasts'!J16,'Dx. Revenue - Norm. Forecasts'!J17)</f>
        <v>1946272.3753</v>
      </c>
      <c r="K9" s="155"/>
      <c r="L9" s="12"/>
      <c r="M9" s="12"/>
    </row>
    <row r="10" spans="1:13" ht="12.75">
      <c r="A10" s="160" t="s">
        <v>4</v>
      </c>
      <c r="B10" s="161">
        <f>SUM('Dx. Revenue - Norm. Forecasts'!C20,'Dx. Revenue - Norm. Forecasts'!C21)+911</f>
        <v>132444.76320652824</v>
      </c>
      <c r="C10" s="161">
        <f>SUM('Dx. Revenue - Norm. Forecasts'!D20,'Dx. Revenue - Norm. Forecasts'!D21)+16</f>
        <v>158529.88917605148</v>
      </c>
      <c r="D10" s="161">
        <f>SUM('Dx. Revenue - Norm. Forecasts'!E20,'Dx. Revenue - Norm. Forecasts'!E21)</f>
        <v>171740.49399999998</v>
      </c>
      <c r="E10" s="161">
        <f>SUM('Dx. Revenue - Norm. Forecasts'!F20,'Dx. Revenue - Norm. Forecasts'!F21)</f>
        <v>179272.75410000002</v>
      </c>
      <c r="F10" s="161">
        <f>SUM('Dx. Revenue - Norm. Forecasts'!G20,'Dx. Revenue - Norm. Forecasts'!G21)</f>
        <v>183904.4529</v>
      </c>
      <c r="G10" s="161">
        <f>SUM('Dx. Revenue - Norm. Forecasts'!H20,'Dx. Revenue - Norm. Forecasts'!H21)</f>
        <v>187121.2594591586</v>
      </c>
      <c r="H10" s="161">
        <f>SUM('Dx. Revenue - Norm. Forecasts'!I20,'Dx. Revenue - Norm. Forecasts'!I21)</f>
        <v>195409.1302</v>
      </c>
      <c r="I10" s="161">
        <f>SUM('Dx. Revenue - Norm. Forecasts'!J20,'Dx. Revenue - Norm. Forecasts'!J21)</f>
        <v>1226750.6802515648</v>
      </c>
      <c r="K10" s="155"/>
      <c r="L10" s="20"/>
      <c r="M10" s="20"/>
    </row>
    <row r="11" spans="1:13" ht="12.75">
      <c r="A11" s="160" t="s">
        <v>5</v>
      </c>
      <c r="B11" s="161">
        <f>SUM('Dx. Revenue - Norm. Forecasts'!C23,'Dx. Revenue - Norm. Forecasts'!C24)</f>
        <v>0</v>
      </c>
      <c r="C11" s="161">
        <f>SUM('Dx. Revenue - Norm. Forecasts'!D23,'Dx. Revenue - Norm. Forecasts'!D24)</f>
        <v>114457.32892583715</v>
      </c>
      <c r="D11" s="161">
        <f>SUM('Dx. Revenue - Norm. Forecasts'!E23,'Dx. Revenue - Norm. Forecasts'!E24)</f>
        <v>109695.5772</v>
      </c>
      <c r="E11" s="161">
        <f>SUM('Dx. Revenue - Norm. Forecasts'!F23,'Dx. Revenue - Norm. Forecasts'!F24)</f>
        <v>108956.31180000001</v>
      </c>
      <c r="F11" s="161">
        <f>SUM('Dx. Revenue - Norm. Forecasts'!G23,'Dx. Revenue - Norm. Forecasts'!G24)</f>
        <v>108693.10850000002</v>
      </c>
      <c r="G11" s="161">
        <f>SUM('Dx. Revenue - Norm. Forecasts'!H23,'Dx. Revenue - Norm. Forecasts'!H24)</f>
        <v>104344.61830616434</v>
      </c>
      <c r="H11" s="161">
        <f>SUM('Dx. Revenue - Norm. Forecasts'!I23,'Dx. Revenue - Norm. Forecasts'!I24)</f>
        <v>102209.3928</v>
      </c>
      <c r="I11" s="161">
        <f>SUM('Dx. Revenue - Norm. Forecasts'!J23,'Dx. Revenue - Norm. Forecasts'!J24)</f>
        <v>106252.56805785367</v>
      </c>
      <c r="K11" s="111"/>
      <c r="M11" s="11"/>
    </row>
    <row r="12" spans="1:9" ht="12.75">
      <c r="A12" s="163" t="s">
        <v>13</v>
      </c>
      <c r="B12" s="164">
        <f aca="true" t="shared" si="0" ref="B12:I12">SUM(B5:B11)</f>
        <v>54862484.92741595</v>
      </c>
      <c r="C12" s="164">
        <f t="shared" si="0"/>
        <v>59083228.83707768</v>
      </c>
      <c r="D12" s="164">
        <f t="shared" si="0"/>
        <v>61443465.34844259</v>
      </c>
      <c r="E12" s="164">
        <f t="shared" si="0"/>
        <v>61907892.72342864</v>
      </c>
      <c r="F12" s="164">
        <f t="shared" si="0"/>
        <v>62499834.911307715</v>
      </c>
      <c r="G12" s="164">
        <f t="shared" si="0"/>
        <v>61141213.61623792</v>
      </c>
      <c r="H12" s="164">
        <f t="shared" si="0"/>
        <v>60316515.598060116</v>
      </c>
      <c r="I12" s="164">
        <f t="shared" si="0"/>
        <v>60660290.930219576</v>
      </c>
    </row>
    <row r="13" spans="1:9" ht="12.75">
      <c r="A13" s="165" t="s">
        <v>6</v>
      </c>
      <c r="B13" s="166">
        <f>-'Dx. Revenue - Norm. Forecasts'!C39</f>
        <v>-94500.00000000001</v>
      </c>
      <c r="C13" s="166">
        <f>-'Dx. Revenue - Norm. Forecasts'!D39</f>
        <v>-65796.7376154019</v>
      </c>
      <c r="D13" s="166">
        <f>-'Dx. Revenue - Norm. Forecasts'!E39</f>
        <v>-67102.72289191168</v>
      </c>
      <c r="E13" s="166">
        <f>-'Dx. Revenue - Norm. Forecasts'!F39</f>
        <v>-68221.24168898279</v>
      </c>
      <c r="F13" s="166">
        <f>-'Dx. Revenue - Norm. Forecasts'!G39</f>
        <v>-67065.2349257783</v>
      </c>
      <c r="G13" s="166">
        <f>-'Dx. Revenue - Norm. Forecasts'!H39</f>
        <v>-65741.70612522482</v>
      </c>
      <c r="H13" s="166">
        <f>-'Dx. Revenue - Norm. Forecasts'!I39</f>
        <v>-67464.31989999999</v>
      </c>
      <c r="I13" s="166">
        <f>-'Dx. Revenue - Norm. Forecasts'!J39</f>
        <v>0</v>
      </c>
    </row>
    <row r="14" spans="1:9" ht="12.75">
      <c r="A14" s="167" t="s">
        <v>71</v>
      </c>
      <c r="B14" s="164">
        <f>SUM(B12:B13)</f>
        <v>54767984.92741595</v>
      </c>
      <c r="C14" s="164">
        <f aca="true" t="shared" si="1" ref="C14:H14">SUM(C12:C13)</f>
        <v>59017432.09946228</v>
      </c>
      <c r="D14" s="164">
        <f t="shared" si="1"/>
        <v>61376362.62555068</v>
      </c>
      <c r="E14" s="164">
        <f t="shared" si="1"/>
        <v>61839671.481739655</v>
      </c>
      <c r="F14" s="164">
        <f t="shared" si="1"/>
        <v>62432769.67638194</v>
      </c>
      <c r="G14" s="164">
        <f t="shared" si="1"/>
        <v>61075471.9101127</v>
      </c>
      <c r="H14" s="164">
        <f t="shared" si="1"/>
        <v>60249051.27816012</v>
      </c>
      <c r="I14" s="164">
        <f>SUM(I12:I13)</f>
        <v>60660290.930219576</v>
      </c>
    </row>
    <row r="15" spans="1:9" ht="12.75">
      <c r="A15" s="165"/>
      <c r="B15" s="168"/>
      <c r="C15" s="168"/>
      <c r="D15" s="168"/>
      <c r="E15" s="168"/>
      <c r="F15" s="168"/>
      <c r="G15" s="168"/>
      <c r="H15" s="168"/>
      <c r="I15" s="168"/>
    </row>
    <row r="16" spans="1:9" ht="12.75">
      <c r="A16" s="167" t="s">
        <v>16</v>
      </c>
      <c r="B16" s="165"/>
      <c r="C16" s="165"/>
      <c r="D16" s="165"/>
      <c r="E16" s="165"/>
      <c r="F16" s="165"/>
      <c r="G16" s="165"/>
      <c r="H16" s="165"/>
      <c r="I16" s="165"/>
    </row>
    <row r="17" spans="1:9" ht="12.75">
      <c r="A17" s="160" t="s">
        <v>8</v>
      </c>
      <c r="B17" s="169">
        <v>247340</v>
      </c>
      <c r="C17" s="169">
        <f>'[2]Other Revenues'!$C$4</f>
        <v>280415</v>
      </c>
      <c r="D17" s="169">
        <f>'[2]Other Revenues'!$D$4</f>
        <v>311192.75</v>
      </c>
      <c r="E17" s="169">
        <f>'[2]Other Revenues'!$E$4</f>
        <v>314944</v>
      </c>
      <c r="F17" s="169">
        <f>'[2]Other Revenues'!$F$4</f>
        <v>309220.75</v>
      </c>
      <c r="G17" s="169">
        <f>'[2]Other Revenues'!$G$4</f>
        <v>312834.2014299973</v>
      </c>
      <c r="H17" s="169">
        <f>'[2]Other Revenues'!$H$4</f>
        <v>316281.46258397633</v>
      </c>
      <c r="I17" s="169">
        <f>'[2]Other Revenues'!$H$4</f>
        <v>316281.46258397633</v>
      </c>
    </row>
    <row r="18" spans="1:9" ht="12.75">
      <c r="A18" s="160" t="s">
        <v>9</v>
      </c>
      <c r="B18" s="169">
        <v>240751.27</v>
      </c>
      <c r="C18" s="169">
        <f>'[2]Other Revenues'!$C$5</f>
        <v>260051.02</v>
      </c>
      <c r="D18" s="169">
        <f>'[2]Other Revenues'!$D$5</f>
        <v>293177.37</v>
      </c>
      <c r="E18" s="169">
        <f>'[2]Other Revenues'!$E$5</f>
        <v>305715.89</v>
      </c>
      <c r="F18" s="169">
        <f>'[2]Other Revenues'!$F$5</f>
        <v>285754.19</v>
      </c>
      <c r="G18" s="169">
        <f>'[2]Other Revenues'!$G$5</f>
        <v>350000</v>
      </c>
      <c r="H18" s="169">
        <f>'[2]Other Revenues'!$H$5</f>
        <v>310000</v>
      </c>
      <c r="I18" s="169">
        <f>'[2]Other Revenues'!$H$5</f>
        <v>310000</v>
      </c>
    </row>
    <row r="19" spans="1:9" ht="12.75">
      <c r="A19" s="160" t="s">
        <v>10</v>
      </c>
      <c r="B19" s="169">
        <v>1432.75</v>
      </c>
      <c r="C19" s="169">
        <f>'[2]Other Revenues'!$C$6</f>
        <v>12485.19</v>
      </c>
      <c r="D19" s="169">
        <f>'[2]Other Revenues'!$D$6</f>
        <v>20825</v>
      </c>
      <c r="E19" s="169">
        <f>'[2]Other Revenues'!$E$6</f>
        <v>13850</v>
      </c>
      <c r="F19" s="169">
        <f>'[2]Other Revenues'!$F$6</f>
        <v>4200</v>
      </c>
      <c r="G19" s="169">
        <f>'[2]Other Revenues'!$G$6</f>
        <v>25000</v>
      </c>
      <c r="H19" s="169">
        <f>'[2]Other Revenues'!$H$6</f>
        <v>5000</v>
      </c>
      <c r="I19" s="169">
        <f>'[2]Other Revenues'!$H$6</f>
        <v>5000</v>
      </c>
    </row>
    <row r="20" spans="1:9" ht="12.75">
      <c r="A20" s="160" t="s">
        <v>11</v>
      </c>
      <c r="B20" s="169">
        <v>205774.53000000003</v>
      </c>
      <c r="C20" s="169">
        <f>'[2]Other Revenues'!$C$7</f>
        <v>752414.76</v>
      </c>
      <c r="D20" s="169">
        <f>'[2]Other Revenues'!$D$7</f>
        <v>733318.55</v>
      </c>
      <c r="E20" s="169">
        <f>'[2]Other Revenues'!$E$7</f>
        <v>575118.13</v>
      </c>
      <c r="F20" s="169">
        <f>'[2]Other Revenues'!$F$7</f>
        <v>557519.9400000001</v>
      </c>
      <c r="G20" s="169">
        <f>'[2]Other Revenues'!$G$7</f>
        <v>540030</v>
      </c>
      <c r="H20" s="169">
        <f>'[2]Other Revenues'!$H$7</f>
        <v>498000</v>
      </c>
      <c r="I20" s="169">
        <f>'[2]Other Revenues'!$H$7</f>
        <v>498000</v>
      </c>
    </row>
    <row r="21" spans="1:9" ht="12.75">
      <c r="A21" s="160" t="s">
        <v>7</v>
      </c>
      <c r="B21" s="169">
        <v>866886</v>
      </c>
      <c r="C21" s="169">
        <f>'[2]Other Revenues'!$C$8</f>
        <v>1090019.61</v>
      </c>
      <c r="D21" s="169">
        <f>'[2]Other Revenues'!$D$8</f>
        <v>1220696.46</v>
      </c>
      <c r="E21" s="169">
        <f>'[2]Other Revenues'!$E$8</f>
        <v>1219745.58</v>
      </c>
      <c r="F21" s="169">
        <f>'[2]Other Revenues'!$F$8</f>
        <v>1314407.58</v>
      </c>
      <c r="G21" s="169">
        <f>'[2]Other Revenues'!$G$8</f>
        <v>1310000</v>
      </c>
      <c r="H21" s="169">
        <f>'[2]Other Revenues'!$H$8</f>
        <v>1450331</v>
      </c>
      <c r="I21" s="169">
        <f>'[2]Other Revenues'!$H$8</f>
        <v>1450331</v>
      </c>
    </row>
    <row r="22" spans="1:9" ht="12.75">
      <c r="A22" s="160" t="s">
        <v>12</v>
      </c>
      <c r="B22" s="169">
        <v>842243.3200000001</v>
      </c>
      <c r="C22" s="169">
        <f>'[2]Other Revenues'!$C$9</f>
        <v>1348712.53</v>
      </c>
      <c r="D22" s="169">
        <f>'[2]Other Revenues'!$D$9</f>
        <v>1458176.71</v>
      </c>
      <c r="E22" s="169">
        <f>'[2]Other Revenues'!$E$9</f>
        <v>1299509.5</v>
      </c>
      <c r="F22" s="169">
        <f>'[2]Other Revenues'!$F$9</f>
        <v>1107039.1400000001</v>
      </c>
      <c r="G22" s="169">
        <f>'[2]Other Revenues'!$G$9</f>
        <v>1188970</v>
      </c>
      <c r="H22" s="169">
        <f>'[2]Other Revenues'!$H$9</f>
        <v>1152000</v>
      </c>
      <c r="I22" s="169">
        <f>'[2]Other Revenues'!$H$9</f>
        <v>1152000</v>
      </c>
    </row>
    <row r="23" spans="1:9" ht="12.75">
      <c r="A23" s="160" t="s">
        <v>94</v>
      </c>
      <c r="B23" s="169">
        <v>451223</v>
      </c>
      <c r="C23" s="169">
        <f>'[2]Other Revenues'!C10</f>
        <v>824248.9700000001</v>
      </c>
      <c r="D23" s="169">
        <f>'[2]Other Revenues'!D10</f>
        <v>52356.98000000001</v>
      </c>
      <c r="E23" s="169">
        <f>'[2]Other Revenues'!E10</f>
        <v>10105.519999999997</v>
      </c>
      <c r="F23" s="169">
        <f>'[2]Other Revenues'!F10</f>
        <v>184973.11000000002</v>
      </c>
      <c r="G23" s="169">
        <f>'[2]Other Revenues'!G10</f>
        <v>150000</v>
      </c>
      <c r="H23" s="169">
        <f>'[2]Other Revenues'!$H$10</f>
        <v>252000</v>
      </c>
      <c r="I23" s="169">
        <f>'[2]Other Revenues'!$H$10</f>
        <v>252000</v>
      </c>
    </row>
    <row r="24" spans="1:9" ht="12.75">
      <c r="A24" s="160" t="s">
        <v>0</v>
      </c>
      <c r="B24" s="169">
        <v>152786.79</v>
      </c>
      <c r="C24" s="169">
        <f>'[2]Other Revenues'!$C$11</f>
        <v>524342.67</v>
      </c>
      <c r="D24" s="169">
        <f>'[2]Other Revenues'!$D$11</f>
        <v>481318.3</v>
      </c>
      <c r="E24" s="169">
        <f>'[2]Other Revenues'!$E$11</f>
        <v>322428.61</v>
      </c>
      <c r="F24" s="169">
        <f>'[2]Other Revenues'!$F$11</f>
        <v>26803.429999999993</v>
      </c>
      <c r="G24" s="169">
        <f>'[2]Other Revenues'!$G$11</f>
        <v>6679.94</v>
      </c>
      <c r="H24" s="169">
        <f>'[2]Other Revenues'!$H$11</f>
        <v>2799.36</v>
      </c>
      <c r="I24" s="169">
        <f>'[2]Other Revenues'!$H$11</f>
        <v>2799.36</v>
      </c>
    </row>
    <row r="25" spans="1:9" ht="12.75">
      <c r="A25" s="163" t="s">
        <v>13</v>
      </c>
      <c r="B25" s="164">
        <f>SUM(B17:B24)</f>
        <v>3008437.66</v>
      </c>
      <c r="C25" s="164">
        <f aca="true" t="shared" si="2" ref="C25:I25">SUM(C17:C24)</f>
        <v>5092689.75</v>
      </c>
      <c r="D25" s="164">
        <f t="shared" si="2"/>
        <v>4571062.12</v>
      </c>
      <c r="E25" s="164">
        <f t="shared" si="2"/>
        <v>4061417.23</v>
      </c>
      <c r="F25" s="164">
        <f t="shared" si="2"/>
        <v>3789918.14</v>
      </c>
      <c r="G25" s="164">
        <f t="shared" si="2"/>
        <v>3883514.1414299975</v>
      </c>
      <c r="H25" s="164">
        <f t="shared" si="2"/>
        <v>3986411.822583976</v>
      </c>
      <c r="I25" s="164">
        <f t="shared" si="2"/>
        <v>3986411.822583976</v>
      </c>
    </row>
    <row r="26" spans="1:14" ht="12.75">
      <c r="A26" s="165"/>
      <c r="B26" s="161"/>
      <c r="C26" s="161"/>
      <c r="D26" s="161"/>
      <c r="E26" s="161"/>
      <c r="F26" s="161"/>
      <c r="G26" s="161"/>
      <c r="H26" s="161"/>
      <c r="I26" s="161"/>
      <c r="N26" s="3"/>
    </row>
    <row r="27" spans="1:9" ht="12.75">
      <c r="A27" s="165" t="s">
        <v>14</v>
      </c>
      <c r="B27" s="164">
        <f>SUM(B25,B14)</f>
        <v>57776422.58741595</v>
      </c>
      <c r="C27" s="164">
        <f aca="true" t="shared" si="3" ref="C27:I27">SUM(C25,C14)</f>
        <v>64110121.84946228</v>
      </c>
      <c r="D27" s="164">
        <f t="shared" si="3"/>
        <v>65947424.74555068</v>
      </c>
      <c r="E27" s="164">
        <f t="shared" si="3"/>
        <v>65901088.71173965</v>
      </c>
      <c r="F27" s="164">
        <f t="shared" si="3"/>
        <v>66222687.81638194</v>
      </c>
      <c r="G27" s="164">
        <f t="shared" si="3"/>
        <v>64958986.0515427</v>
      </c>
      <c r="H27" s="164">
        <f t="shared" si="3"/>
        <v>64235463.10074409</v>
      </c>
      <c r="I27" s="164">
        <f t="shared" si="3"/>
        <v>64646702.75280355</v>
      </c>
    </row>
    <row r="28" spans="1:9" ht="12.75">
      <c r="A28" s="170" t="s">
        <v>72</v>
      </c>
      <c r="B28" s="164">
        <f>'Dx. Revenue - Norm. Forecasts'!C26</f>
        <v>-1468274.4</v>
      </c>
      <c r="C28" s="164">
        <f>'Dx. Revenue - Norm. Forecasts'!D26</f>
        <v>-1561629.4725054316</v>
      </c>
      <c r="D28" s="164">
        <f>'Dx. Revenue - Norm. Forecasts'!E26</f>
        <v>-1581137.9999999998</v>
      </c>
      <c r="E28" s="164">
        <f>'Dx. Revenue - Norm. Forecasts'!F26</f>
        <v>-1576798.2</v>
      </c>
      <c r="F28" s="164">
        <f>'Dx. Revenue - Norm. Forecasts'!G26</f>
        <v>-1497159.6</v>
      </c>
      <c r="G28" s="164">
        <f>'Dx. Revenue - Norm. Forecasts'!H26</f>
        <v>-1463794.689015885</v>
      </c>
      <c r="H28" s="164">
        <f>'Dx. Revenue - Norm. Forecasts'!I26</f>
        <v>-1504281.652474864</v>
      </c>
      <c r="I28" s="164">
        <f>'Dx. Revenue - Norm. Forecasts'!J26</f>
        <v>-1539854.23851149</v>
      </c>
    </row>
    <row r="29" spans="1:9" ht="13.5" thickBot="1">
      <c r="A29" s="167" t="s">
        <v>17</v>
      </c>
      <c r="B29" s="171">
        <f aca="true" t="shared" si="4" ref="B29:I29">SUM(B27:B28)</f>
        <v>56308148.18741595</v>
      </c>
      <c r="C29" s="171">
        <f t="shared" si="4"/>
        <v>62548492.37695685</v>
      </c>
      <c r="D29" s="171">
        <f t="shared" si="4"/>
        <v>64366286.74555068</v>
      </c>
      <c r="E29" s="171">
        <f t="shared" si="4"/>
        <v>64324290.51173965</v>
      </c>
      <c r="F29" s="171">
        <f t="shared" si="4"/>
        <v>64725528.21638194</v>
      </c>
      <c r="G29" s="171">
        <f t="shared" si="4"/>
        <v>63495191.36252681</v>
      </c>
      <c r="H29" s="171">
        <f t="shared" si="4"/>
        <v>62731181.448269226</v>
      </c>
      <c r="I29" s="171">
        <f t="shared" si="4"/>
        <v>63106848.51429206</v>
      </c>
    </row>
    <row r="30" spans="1:9" ht="13.5" thickTop="1">
      <c r="A30" s="165"/>
      <c r="B30" s="165"/>
      <c r="C30" s="165"/>
      <c r="D30" s="165"/>
      <c r="E30" s="165"/>
      <c r="F30" s="165"/>
      <c r="G30" s="165"/>
      <c r="H30" s="165"/>
      <c r="I30" s="172"/>
    </row>
    <row r="31" spans="1:11" ht="14.25">
      <c r="A31" s="206" t="s">
        <v>119</v>
      </c>
      <c r="B31" s="206"/>
      <c r="C31" s="206"/>
      <c r="D31" s="206"/>
      <c r="E31" s="206"/>
      <c r="F31" s="206"/>
      <c r="G31" s="206"/>
      <c r="H31" s="206"/>
      <c r="I31" s="206"/>
      <c r="J31" s="4"/>
      <c r="K31" s="4"/>
    </row>
    <row r="32" spans="1:11" ht="7.5" customHeight="1">
      <c r="A32" s="173"/>
      <c r="B32" s="165"/>
      <c r="C32" s="174"/>
      <c r="D32" s="174"/>
      <c r="E32" s="174"/>
      <c r="F32" s="174"/>
      <c r="G32" s="174"/>
      <c r="H32" s="174"/>
      <c r="I32" s="168"/>
      <c r="J32" s="4"/>
      <c r="K32" s="4"/>
    </row>
    <row r="33" spans="1:11" ht="12.75">
      <c r="A33" s="175" t="s">
        <v>60</v>
      </c>
      <c r="B33" s="175"/>
      <c r="C33" s="175"/>
      <c r="D33" s="175"/>
      <c r="E33" s="175"/>
      <c r="F33" s="175"/>
      <c r="G33" s="175"/>
      <c r="H33" s="175"/>
      <c r="I33" s="175"/>
      <c r="J33" s="1"/>
      <c r="K33" s="1"/>
    </row>
    <row r="34" spans="1:11" ht="12.75">
      <c r="A34" s="160" t="s">
        <v>42</v>
      </c>
      <c r="B34" s="176">
        <f aca="true" t="shared" si="5" ref="B34:I34">SUM(B14,B28)</f>
        <v>53299710.52741595</v>
      </c>
      <c r="C34" s="176">
        <f t="shared" si="5"/>
        <v>57455802.62695685</v>
      </c>
      <c r="D34" s="176">
        <f t="shared" si="5"/>
        <v>59795224.62555068</v>
      </c>
      <c r="E34" s="176">
        <f t="shared" si="5"/>
        <v>60262873.28173965</v>
      </c>
      <c r="F34" s="176">
        <f t="shared" si="5"/>
        <v>60935610.07638194</v>
      </c>
      <c r="G34" s="176">
        <f t="shared" si="5"/>
        <v>59611677.22109681</v>
      </c>
      <c r="H34" s="176">
        <f t="shared" si="5"/>
        <v>58744769.62568525</v>
      </c>
      <c r="I34" s="176">
        <f t="shared" si="5"/>
        <v>59120436.69170809</v>
      </c>
      <c r="J34" s="5"/>
      <c r="K34" s="5"/>
    </row>
    <row r="35" spans="1:11" ht="12.75">
      <c r="A35" s="160" t="s">
        <v>43</v>
      </c>
      <c r="B35" s="176">
        <f>B25</f>
        <v>3008437.66</v>
      </c>
      <c r="C35" s="176">
        <f aca="true" t="shared" si="6" ref="C35:I35">C25</f>
        <v>5092689.75</v>
      </c>
      <c r="D35" s="176">
        <f t="shared" si="6"/>
        <v>4571062.12</v>
      </c>
      <c r="E35" s="176">
        <f t="shared" si="6"/>
        <v>4061417.23</v>
      </c>
      <c r="F35" s="176">
        <f t="shared" si="6"/>
        <v>3789918.14</v>
      </c>
      <c r="G35" s="176">
        <f t="shared" si="6"/>
        <v>3883514.1414299975</v>
      </c>
      <c r="H35" s="176">
        <f t="shared" si="6"/>
        <v>3986411.822583976</v>
      </c>
      <c r="I35" s="176">
        <f t="shared" si="6"/>
        <v>3986411.822583976</v>
      </c>
      <c r="J35" s="5"/>
      <c r="K35" s="5"/>
    </row>
    <row r="36" spans="1:11" ht="13.5" thickBot="1">
      <c r="A36" s="165"/>
      <c r="B36" s="171">
        <f>SUM(B34:B35)</f>
        <v>56308148.18741596</v>
      </c>
      <c r="C36" s="171">
        <f aca="true" t="shared" si="7" ref="C36:I36">SUM(C34:C35)</f>
        <v>62548492.37695685</v>
      </c>
      <c r="D36" s="171">
        <f t="shared" si="7"/>
        <v>64366286.74555068</v>
      </c>
      <c r="E36" s="171">
        <f t="shared" si="7"/>
        <v>64324290.51173965</v>
      </c>
      <c r="F36" s="171">
        <f t="shared" si="7"/>
        <v>64725528.21638194</v>
      </c>
      <c r="G36" s="171">
        <f t="shared" si="7"/>
        <v>63495191.36252681</v>
      </c>
      <c r="H36" s="171">
        <f t="shared" si="7"/>
        <v>62731181.448269226</v>
      </c>
      <c r="I36" s="171">
        <f t="shared" si="7"/>
        <v>63106848.51429206</v>
      </c>
      <c r="J36" s="5"/>
      <c r="K36" s="5"/>
    </row>
    <row r="37" spans="2:12" ht="13.5" thickTop="1">
      <c r="B37" s="103"/>
      <c r="C37" s="104"/>
      <c r="D37" s="105"/>
      <c r="E37" s="105"/>
      <c r="F37" s="104"/>
      <c r="G37" s="105"/>
      <c r="H37" s="104"/>
      <c r="I37" s="159"/>
      <c r="J37" s="1"/>
      <c r="K37" s="1"/>
      <c r="L37" s="1"/>
    </row>
    <row r="38" spans="2:12" ht="12.75">
      <c r="B38" s="8"/>
      <c r="C38" s="8"/>
      <c r="D38" s="8"/>
      <c r="E38" s="8"/>
      <c r="F38" s="8"/>
      <c r="G38" s="8"/>
      <c r="H38" s="8"/>
      <c r="I38" s="8"/>
      <c r="J38" s="1"/>
      <c r="K38" s="1"/>
      <c r="L38" s="1"/>
    </row>
    <row r="39" spans="2:12" ht="12.75">
      <c r="B39" s="8"/>
      <c r="C39" s="8"/>
      <c r="D39" s="8"/>
      <c r="E39" s="8"/>
      <c r="F39" s="8"/>
      <c r="G39" s="8"/>
      <c r="H39" s="8"/>
      <c r="I39" s="198"/>
      <c r="J39" s="1"/>
      <c r="K39" s="1"/>
      <c r="L39" s="4"/>
    </row>
    <row r="40" spans="2:12" ht="12.75">
      <c r="B40" s="8"/>
      <c r="C40" s="8"/>
      <c r="D40" s="8"/>
      <c r="E40" s="8"/>
      <c r="F40" s="8"/>
      <c r="G40" s="8"/>
      <c r="H40" s="8"/>
      <c r="I40" s="198"/>
      <c r="J40" s="1"/>
      <c r="K40" s="1"/>
      <c r="L40" s="2"/>
    </row>
    <row r="41" spans="2:12" ht="12.75">
      <c r="B41" s="154"/>
      <c r="C41" s="1"/>
      <c r="D41" s="1"/>
      <c r="E41" s="1"/>
      <c r="F41" s="1"/>
      <c r="G41" s="1"/>
      <c r="H41" s="1"/>
      <c r="I41" s="1"/>
      <c r="J41" s="1"/>
      <c r="K41" s="1"/>
      <c r="L41" s="2"/>
    </row>
    <row r="42" spans="3:12" ht="12.75">
      <c r="C42" s="1"/>
      <c r="D42" s="1"/>
      <c r="E42" s="1"/>
      <c r="F42" s="1"/>
      <c r="G42" s="1"/>
      <c r="H42" s="1"/>
      <c r="I42" s="1"/>
      <c r="J42" s="1"/>
      <c r="K42" s="1"/>
      <c r="L42" s="4"/>
    </row>
    <row r="43" spans="3:12" ht="12.75">
      <c r="C43" s="1"/>
      <c r="D43" s="1"/>
      <c r="E43" s="1"/>
      <c r="F43" s="1"/>
      <c r="G43" s="1"/>
      <c r="H43" s="1"/>
      <c r="I43" s="1"/>
      <c r="J43" s="1"/>
      <c r="K43" s="1"/>
      <c r="L43" s="4"/>
    </row>
    <row r="44" ht="12.75">
      <c r="L44" s="5"/>
    </row>
  </sheetData>
  <sheetProtection/>
  <mergeCells count="3">
    <mergeCell ref="A31:I31"/>
    <mergeCell ref="A2:I2"/>
    <mergeCell ref="A1:I1"/>
  </mergeCells>
  <printOptions/>
  <pageMargins left="0.75" right="0.75" top="1" bottom="1" header="0.5" footer="0.5"/>
  <pageSetup fitToHeight="1" fitToWidth="1" horizontalDpi="355" verticalDpi="355" orientation="landscape"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J18"/>
  <sheetViews>
    <sheetView zoomScalePageLayoutView="0" workbookViewId="0" topLeftCell="B1">
      <selection activeCell="A5" sqref="A5:J5"/>
    </sheetView>
  </sheetViews>
  <sheetFormatPr defaultColWidth="9.140625" defaultRowHeight="12.75"/>
  <cols>
    <col min="1" max="1" width="46.8515625" style="0" bestFit="1" customWidth="1"/>
    <col min="2" max="2" width="7.57421875" style="0" customWidth="1"/>
    <col min="3" max="10" width="15.421875" style="0" customWidth="1"/>
  </cols>
  <sheetData>
    <row r="1" ht="13.5" thickBot="1"/>
    <row r="2" spans="1:10" s="23" customFormat="1" ht="15.75">
      <c r="A2" s="209" t="s">
        <v>93</v>
      </c>
      <c r="B2" s="210"/>
      <c r="C2" s="210"/>
      <c r="D2" s="210"/>
      <c r="E2" s="210"/>
      <c r="F2" s="210"/>
      <c r="G2" s="210"/>
      <c r="H2" s="210"/>
      <c r="I2" s="210"/>
      <c r="J2" s="211"/>
    </row>
    <row r="3" spans="1:10" s="23" customFormat="1" ht="12.75">
      <c r="A3" s="212"/>
      <c r="B3" s="213"/>
      <c r="C3" s="213"/>
      <c r="D3" s="213"/>
      <c r="E3" s="213"/>
      <c r="F3" s="213"/>
      <c r="G3" s="213"/>
      <c r="H3" s="213"/>
      <c r="I3" s="213"/>
      <c r="J3" s="214"/>
    </row>
    <row r="4" spans="1:10" s="23" customFormat="1" ht="38.25">
      <c r="A4" s="41" t="s">
        <v>70</v>
      </c>
      <c r="B4" s="42" t="s">
        <v>59</v>
      </c>
      <c r="C4" s="42" t="s">
        <v>111</v>
      </c>
      <c r="D4" s="42">
        <v>2006</v>
      </c>
      <c r="E4" s="42">
        <v>2007</v>
      </c>
      <c r="F4" s="42">
        <v>2008</v>
      </c>
      <c r="G4" s="42">
        <v>2009</v>
      </c>
      <c r="H4" s="42">
        <v>2010</v>
      </c>
      <c r="I4" s="42" t="s">
        <v>83</v>
      </c>
      <c r="J4" s="43" t="s">
        <v>84</v>
      </c>
    </row>
    <row r="5" spans="1:10" s="23" customFormat="1" ht="12.75">
      <c r="A5" s="215" t="s">
        <v>15</v>
      </c>
      <c r="B5" s="216"/>
      <c r="C5" s="216"/>
      <c r="D5" s="216"/>
      <c r="E5" s="216"/>
      <c r="F5" s="216"/>
      <c r="G5" s="216"/>
      <c r="H5" s="216"/>
      <c r="I5" s="216"/>
      <c r="J5" s="217"/>
    </row>
    <row r="6" spans="1:10" s="23" customFormat="1" ht="12.75">
      <c r="A6" s="44" t="s">
        <v>2</v>
      </c>
      <c r="B6" s="45" t="s">
        <v>23</v>
      </c>
      <c r="C6" s="46">
        <f>(+'Distribution Revenue by Source'!B5-'Dx. Revenue - Norm. Forecasts'!C32)/'Forecast Data 2005 - 2011'!C6</f>
        <v>0.029079688425381</v>
      </c>
      <c r="D6" s="46">
        <f>(+'Distribution Revenue by Source'!C5-'Dx. Revenue - Norm. Forecasts'!D32)/'Forecast Data 2005 - 2011'!D6</f>
        <v>0.02980018535875514</v>
      </c>
      <c r="E6" s="46">
        <f>(+'Distribution Revenue by Source'!D5-'Dx. Revenue - Norm. Forecasts'!E32)/'Forecast Data 2005 - 2011'!E6</f>
        <v>0.03050493098107652</v>
      </c>
      <c r="F6" s="46">
        <f>(+'Distribution Revenue by Source'!E5-'Dx. Revenue - Norm. Forecasts'!F32)/'Forecast Data 2005 - 2011'!F6</f>
        <v>0.03047421236333809</v>
      </c>
      <c r="G6" s="46">
        <f>(+'Distribution Revenue by Source'!F5-'Dx. Revenue - Norm. Forecasts'!G32)/'Forecast Data 2005 - 2011'!G6</f>
        <v>0.031169292262781156</v>
      </c>
      <c r="H6" s="46">
        <f>(+'Distribution Revenue by Source'!G5-'Dx. Revenue - Norm. Forecasts'!H32)/'Forecast Data 2005 - 2011'!H6</f>
        <v>0.030894837118149165</v>
      </c>
      <c r="I6" s="46">
        <f>(+'Distribution Revenue by Source'!H5-'Dx. Revenue - Norm. Forecasts'!I32)/'Forecast Data 2005 - 2011'!I6</f>
        <v>0.0295992963649078</v>
      </c>
      <c r="J6" s="201">
        <f>(+'Distribution Revenue by Source'!I5-'Dx. Revenue - Norm. Forecasts'!J32)/'Forecast Data 2005 - 2011'!I6</f>
        <v>0.029378736301432166</v>
      </c>
    </row>
    <row r="7" spans="1:10" s="23" customFormat="1" ht="12.75">
      <c r="A7" s="44" t="s">
        <v>38</v>
      </c>
      <c r="B7" s="45" t="s">
        <v>23</v>
      </c>
      <c r="C7" s="46">
        <f>(+'Distribution Revenue by Source'!B6-'Dx. Revenue - Norm. Forecasts'!C33)/'Forecast Data 2005 - 2011'!C8</f>
        <v>0.02437517840887131</v>
      </c>
      <c r="D7" s="46">
        <f>(+'Distribution Revenue by Source'!C6-'Dx. Revenue - Norm. Forecasts'!D33)/'Forecast Data 2005 - 2011'!D8</f>
        <v>0.02452639647050627</v>
      </c>
      <c r="E7" s="46">
        <f>(+'Distribution Revenue by Source'!D6-'Dx. Revenue - Norm. Forecasts'!E33)/'Forecast Data 2005 - 2011'!E8</f>
        <v>0.02465029116094099</v>
      </c>
      <c r="F7" s="46">
        <f>(+'Distribution Revenue by Source'!E6-'Dx. Revenue - Norm. Forecasts'!F33)/'Forecast Data 2005 - 2011'!F8</f>
        <v>0.024649785036089545</v>
      </c>
      <c r="G7" s="46">
        <f>(+'Distribution Revenue by Source'!F6-'Dx. Revenue - Norm. Forecasts'!G33)/'Forecast Data 2005 - 2011'!G8</f>
        <v>0.024922929455957078</v>
      </c>
      <c r="H7" s="46">
        <f>(+'Distribution Revenue by Source'!G6-'Dx. Revenue - Norm. Forecasts'!H33)/'Forecast Data 2005 - 2011'!H8</f>
        <v>0.024705987835459627</v>
      </c>
      <c r="I7" s="46">
        <f>(+'Distribution Revenue by Source'!H6-'Dx. Revenue - Norm. Forecasts'!I33)/'Forecast Data 2005 - 2011'!I8</f>
        <v>0.02440376350118719</v>
      </c>
      <c r="J7" s="201">
        <f>(+'Distribution Revenue by Source'!I6-'Dx. Revenue - Norm. Forecasts'!J33)/'Forecast Data 2005 - 2011'!I8</f>
        <v>0.02261182058619989</v>
      </c>
    </row>
    <row r="8" spans="1:10" s="23" customFormat="1" ht="12.75">
      <c r="A8" s="44" t="s">
        <v>39</v>
      </c>
      <c r="B8" s="45" t="s">
        <v>23</v>
      </c>
      <c r="C8" s="46">
        <f>(+'Distribution Revenue by Source'!B7-'Dx. Revenue - Norm. Forecasts'!C34)/'Forecast Data 2005 - 2011'!C12</f>
        <v>0.008059990499558242</v>
      </c>
      <c r="D8" s="46">
        <f>(+'Distribution Revenue by Source'!C7-'Dx. Revenue - Norm. Forecasts'!D34)/'Forecast Data 2005 - 2011'!D12</f>
        <v>0.008040543047142195</v>
      </c>
      <c r="E8" s="46">
        <f>(+'Distribution Revenue by Source'!D7-'Dx. Revenue - Norm. Forecasts'!E34)/'Forecast Data 2005 - 2011'!E12</f>
        <v>0.008052116456147873</v>
      </c>
      <c r="F8" s="46">
        <f>(+'Distribution Revenue by Source'!E7-'Dx. Revenue - Norm. Forecasts'!F34)/'Forecast Data 2005 - 2011'!F12</f>
        <v>0.008033423931970146</v>
      </c>
      <c r="G8" s="46">
        <f>(+'Distribution Revenue by Source'!F7-'Dx. Revenue - Norm. Forecasts'!G34)/'Forecast Data 2005 - 2011'!G12</f>
        <v>0.008348155552364839</v>
      </c>
      <c r="H8" s="46">
        <f>(+'Distribution Revenue by Source'!G7-'Dx. Revenue - Norm. Forecasts'!H34)/'Forecast Data 2005 - 2011'!H12</f>
        <v>0.00798938333815095</v>
      </c>
      <c r="I8" s="46">
        <f>(+'Distribution Revenue by Source'!H7-'Dx. Revenue - Norm. Forecasts'!I34)/'Forecast Data 2005 - 2011'!I12</f>
        <v>0.007941694656160982</v>
      </c>
      <c r="J8" s="201">
        <f>(+'Distribution Revenue by Source'!I7-'Dx. Revenue - Norm. Forecasts'!J34)/'Forecast Data 2005 - 2011'!I12</f>
        <v>0.008975272435454812</v>
      </c>
    </row>
    <row r="9" spans="1:10" s="23" customFormat="1" ht="12.75">
      <c r="A9" s="110" t="s">
        <v>85</v>
      </c>
      <c r="B9" s="45" t="s">
        <v>23</v>
      </c>
      <c r="C9" s="46">
        <f>(+'Distribution Revenue by Source'!B8-'Dx. Revenue - Norm. Forecasts'!C35)/'Forecast Data 2005 - 2011'!C16</f>
        <v>0.011379929626031236</v>
      </c>
      <c r="D9" s="46">
        <f>(+'Distribution Revenue by Source'!C8-'Dx. Revenue - Norm. Forecasts'!D35)/'Forecast Data 2005 - 2011'!D16</f>
        <v>0.01075360364719061</v>
      </c>
      <c r="E9" s="46">
        <f>(+'Distribution Revenue by Source'!D8-'Dx. Revenue - Norm. Forecasts'!E35)/'Forecast Data 2005 - 2011'!E16</f>
        <v>0.010750488262670114</v>
      </c>
      <c r="F9" s="46">
        <f>(+'Distribution Revenue by Source'!E8-'Dx. Revenue - Norm. Forecasts'!F35)/'Forecast Data 2005 - 2011'!F16</f>
        <v>0.010855408805145123</v>
      </c>
      <c r="G9" s="46">
        <f>(+'Distribution Revenue by Source'!F8-'Dx. Revenue - Norm. Forecasts'!G35)/'Forecast Data 2005 - 2011'!G16</f>
        <v>0.011322333872941862</v>
      </c>
      <c r="H9" s="46">
        <f>(+'Distribution Revenue by Source'!G8-'Dx. Revenue - Norm. Forecasts'!H35)/'Forecast Data 2005 - 2011'!H16</f>
        <v>0.010695883887936365</v>
      </c>
      <c r="I9" s="46">
        <f>(+'Distribution Revenue by Source'!H8-'Dx. Revenue - Norm. Forecasts'!I35)/'Forecast Data 2005 - 2011'!I16</f>
        <v>0.01056348054889651</v>
      </c>
      <c r="J9" s="201">
        <f>(+'Distribution Revenue by Source'!I8-'Dx. Revenue - Norm. Forecasts'!J35)/'Forecast Data 2005 - 2011'!I16</f>
        <v>0.009826006769946384</v>
      </c>
    </row>
    <row r="10" spans="1:10" s="23" customFormat="1" ht="12.75">
      <c r="A10" s="44" t="s">
        <v>3</v>
      </c>
      <c r="B10" s="45" t="s">
        <v>23</v>
      </c>
      <c r="C10" s="46">
        <f>(+'Distribution Revenue by Source'!B9-'Dx. Revenue - Norm. Forecasts'!C36)/'Forecast Data 2005 - 2011'!C20</f>
        <v>0.006097871909901536</v>
      </c>
      <c r="D10" s="46">
        <f>(+'Distribution Revenue by Source'!C9-'Dx. Revenue - Norm. Forecasts'!D36)/'Forecast Data 2005 - 2011'!D20</f>
        <v>0.005904939339200646</v>
      </c>
      <c r="E10" s="46">
        <f>(+'Distribution Revenue by Source'!D9-'Dx. Revenue - Norm. Forecasts'!E36)/'Forecast Data 2005 - 2011'!E20</f>
        <v>0.0061656436572391695</v>
      </c>
      <c r="F10" s="46">
        <f>(+'Distribution Revenue by Source'!E9-'Dx. Revenue - Norm. Forecasts'!F36)/'Forecast Data 2005 - 2011'!F20</f>
        <v>0.006275325950958444</v>
      </c>
      <c r="G10" s="46">
        <f>(+'Distribution Revenue by Source'!F9-'Dx. Revenue - Norm. Forecasts'!G36)/'Forecast Data 2005 - 2011'!G20</f>
        <v>0.0069853750974585484</v>
      </c>
      <c r="H10" s="46">
        <f>(+'Distribution Revenue by Source'!G9-'Dx. Revenue - Norm. Forecasts'!H36)/'Forecast Data 2005 - 2011'!H20</f>
        <v>0.006184971145734626</v>
      </c>
      <c r="I10" s="46">
        <f>(+'Distribution Revenue by Source'!H9-'Dx. Revenue - Norm. Forecasts'!I36)/'Forecast Data 2005 - 2011'!I20</f>
        <v>0.006141344972491022</v>
      </c>
      <c r="J10" s="201">
        <f>(+'Distribution Revenue by Source'!I9-'Dx. Revenue - Norm. Forecasts'!J36)/'Forecast Data 2005 - 2011'!I20</f>
        <v>0.005077996861924031</v>
      </c>
    </row>
    <row r="11" spans="1:10" s="23" customFormat="1" ht="12.75">
      <c r="A11" s="44" t="s">
        <v>4</v>
      </c>
      <c r="B11" s="45" t="s">
        <v>23</v>
      </c>
      <c r="C11" s="46">
        <f>(+'Distribution Revenue by Source'!B10-'Dx. Revenue - Norm. Forecasts'!C37)/'Forecast Data 2005 - 2011'!C23</f>
        <v>0.006719050171242416</v>
      </c>
      <c r="D11" s="46">
        <f>(+'Distribution Revenue by Source'!C10-'Dx. Revenue - Norm. Forecasts'!D37)/'Forecast Data 2005 - 2011'!D23</f>
        <v>0.006637128665441909</v>
      </c>
      <c r="E11" s="46">
        <f>(+'Distribution Revenue by Source'!D10-'Dx. Revenue - Norm. Forecasts'!E37)/'Forecast Data 2005 - 2011'!E23</f>
        <v>0.006691142492581648</v>
      </c>
      <c r="F11" s="46">
        <f>(+'Distribution Revenue by Source'!E10-'Dx. Revenue - Norm. Forecasts'!F37)/'Forecast Data 2005 - 2011'!F23</f>
        <v>0.006663861472609873</v>
      </c>
      <c r="G11" s="46">
        <f>(+'Distribution Revenue by Source'!F10-'Dx. Revenue - Norm. Forecasts'!G37)/'Forecast Data 2005 - 2011'!G23</f>
        <v>0.006698165025114264</v>
      </c>
      <c r="H11" s="46">
        <f>(+'Distribution Revenue by Source'!G10-'Dx. Revenue - Norm. Forecasts'!H37)/'Forecast Data 2005 - 2011'!H23</f>
        <v>0.006534333951578723</v>
      </c>
      <c r="I11" s="46">
        <f>(+'Distribution Revenue by Source'!H10-'Dx. Revenue - Norm. Forecasts'!I37)/'Forecast Data 2005 - 2011'!I23</f>
        <v>0.006534367603579728</v>
      </c>
      <c r="J11" s="201">
        <f>(+'Distribution Revenue by Source'!I10-'Dx. Revenue - Norm. Forecasts'!J37)/'Forecast Data 2005 - 2011'!I23</f>
        <v>0.0411937341586906</v>
      </c>
    </row>
    <row r="12" spans="1:10" s="23" customFormat="1" ht="12.75">
      <c r="A12" s="44" t="s">
        <v>5</v>
      </c>
      <c r="B12" s="45" t="s">
        <v>23</v>
      </c>
      <c r="C12" s="46">
        <v>0</v>
      </c>
      <c r="D12" s="46">
        <f>(+'Distribution Revenue by Source'!C11-'Dx. Revenue - Norm. Forecasts'!D38)/'Forecast Data 2005 - 2011'!D26</f>
        <v>0.021616739619829836</v>
      </c>
      <c r="E12" s="46">
        <f>(+'Distribution Revenue by Source'!D11-'Dx. Revenue - Norm. Forecasts'!E38)/'Forecast Data 2005 - 2011'!E26</f>
        <v>0.021733585270810995</v>
      </c>
      <c r="F12" s="46">
        <f>(+'Distribution Revenue by Source'!E11-'Dx. Revenue - Norm. Forecasts'!F38)/'Forecast Data 2005 - 2011'!F26</f>
        <v>0.02132602238603521</v>
      </c>
      <c r="G12" s="46">
        <f>(+'Distribution Revenue by Source'!F11-'Dx. Revenue - Norm. Forecasts'!G38)/'Forecast Data 2005 - 2011'!G26</f>
        <v>0.021291562756795567</v>
      </c>
      <c r="H12" s="46">
        <f>(+'Distribution Revenue by Source'!G11-'Dx. Revenue - Norm. Forecasts'!H38)/'Forecast Data 2005 - 2011'!H26</f>
        <v>0.0208146376115047</v>
      </c>
      <c r="I12" s="46">
        <f>(+'Distribution Revenue by Source'!H11-'Dx. Revenue - Norm. Forecasts'!I38)/'Forecast Data 2005 - 2011'!I26</f>
        <v>0.02085958763038085</v>
      </c>
      <c r="J12" s="201">
        <f>(+'Distribution Revenue by Source'!I11-'Dx. Revenue - Norm. Forecasts'!J38)/'Forecast Data 2005 - 2011'!I26</f>
        <v>0.02168474631967292</v>
      </c>
    </row>
    <row r="13" spans="1:10" s="23" customFormat="1" ht="12.75">
      <c r="A13" s="65"/>
      <c r="B13" s="108"/>
      <c r="C13" s="109"/>
      <c r="D13" s="109"/>
      <c r="E13" s="109"/>
      <c r="F13" s="109"/>
      <c r="G13" s="109"/>
      <c r="H13" s="109"/>
      <c r="I13" s="109"/>
      <c r="J13" s="202"/>
    </row>
    <row r="14" spans="1:10" s="23" customFormat="1" ht="12.75">
      <c r="A14" s="65"/>
      <c r="B14" s="108"/>
      <c r="C14" s="109"/>
      <c r="D14" s="109"/>
      <c r="E14" s="109"/>
      <c r="F14" s="109"/>
      <c r="G14" s="109"/>
      <c r="H14" s="109"/>
      <c r="I14" s="109"/>
      <c r="J14" s="202"/>
    </row>
    <row r="15" spans="1:10" s="23" customFormat="1" ht="12.75">
      <c r="A15" s="218"/>
      <c r="B15" s="219"/>
      <c r="C15" s="219"/>
      <c r="D15" s="219"/>
      <c r="E15" s="219"/>
      <c r="F15" s="219"/>
      <c r="G15" s="219"/>
      <c r="H15" s="219"/>
      <c r="I15" s="219"/>
      <c r="J15" s="220"/>
    </row>
    <row r="16" spans="1:10" s="23" customFormat="1" ht="13.5" thickBot="1">
      <c r="A16" s="47" t="s">
        <v>97</v>
      </c>
      <c r="B16" s="48" t="s">
        <v>23</v>
      </c>
      <c r="C16" s="49">
        <f>+'Distribution Revenue by Source'!B34/(+'Forecast Data 2005 - 2011'!C6+'Forecast Data 2005 - 2011'!C8+'Forecast Data 2005 - 2011'!C12+'Forecast Data 2005 - 2011'!C16+'Forecast Data 2005 - 2011'!C20+'Forecast Data 2005 - 2011'!C23+'Forecast Data 2005 - 2011'!C26)</f>
        <v>0.015788422969260647</v>
      </c>
      <c r="D16" s="49">
        <f>+'Distribution Revenue by Source'!C34/(+'Forecast Data 2005 - 2011'!D6+'Forecast Data 2005 - 2011'!D8+'Forecast Data 2005 - 2011'!D12+'Forecast Data 2005 - 2011'!D16+'Forecast Data 2005 - 2011'!D20+'Forecast Data 2005 - 2011'!D23+'Forecast Data 2005 - 2011'!D26)</f>
        <v>0.015471142905978723</v>
      </c>
      <c r="E16" s="49">
        <f>+'Distribution Revenue by Source'!D34/(+'Forecast Data 2005 - 2011'!E6+'Forecast Data 2005 - 2011'!E8+'Forecast Data 2005 - 2011'!E12+'Forecast Data 2005 - 2011'!E16+'Forecast Data 2005 - 2011'!E20+'Forecast Data 2005 - 2011'!E23+'Forecast Data 2005 - 2011'!E26)</f>
        <v>0.0157911128398554</v>
      </c>
      <c r="F16" s="49">
        <f>+'Distribution Revenue by Source'!E34/(+'Forecast Data 2005 - 2011'!F6+'Forecast Data 2005 - 2011'!F8+'Forecast Data 2005 - 2011'!F12+'Forecast Data 2005 - 2011'!F16+'Forecast Data 2005 - 2011'!F20+'Forecast Data 2005 - 2011'!F23+'Forecast Data 2005 - 2011'!F26)</f>
        <v>0.01583598206785457</v>
      </c>
      <c r="G16" s="49">
        <f>+'Distribution Revenue by Source'!F34/(+'Forecast Data 2005 - 2011'!G6+'Forecast Data 2005 - 2011'!G8+'Forecast Data 2005 - 2011'!G12+'Forecast Data 2005 - 2011'!G16+'Forecast Data 2005 - 2011'!G20+'Forecast Data 2005 - 2011'!G23+'Forecast Data 2005 - 2011'!G26)</f>
        <v>0.016675788847048123</v>
      </c>
      <c r="H16" s="49">
        <f>+'Distribution Revenue by Source'!G34/(+'Forecast Data 2005 - 2011'!H6+'Forecast Data 2005 - 2011'!H8+'Forecast Data 2005 - 2011'!H12+'Forecast Data 2005 - 2011'!H16+'Forecast Data 2005 - 2011'!H20+'Forecast Data 2005 - 2011'!H23+'Forecast Data 2005 - 2011'!H26)</f>
        <v>0.016119666815834415</v>
      </c>
      <c r="I16" s="49">
        <f>+'Distribution Revenue by Source'!H34/(+'Forecast Data 2005 - 2011'!I6+'Forecast Data 2005 - 2011'!I8+'Forecast Data 2005 - 2011'!I12+'Forecast Data 2005 - 2011'!I16+'Forecast Data 2005 - 2011'!I20+'Forecast Data 2005 - 2011'!I23+'Forecast Data 2005 - 2011'!I26)</f>
        <v>0.015572595266282551</v>
      </c>
      <c r="J16" s="203">
        <f>+'Distribution Revenue by Source'!I34/(+'Forecast Data 2005 - 2011'!I6+'Forecast Data 2005 - 2011'!I8+'Forecast Data 2005 - 2011'!I12+'Forecast Data 2005 - 2011'!I16+'Forecast Data 2005 - 2011'!I20+'Forecast Data 2005 - 2011'!I23+'Forecast Data 2005 - 2011'!I26)</f>
        <v>0.015672180492530295</v>
      </c>
    </row>
    <row r="18" ht="12.75">
      <c r="C18" s="200"/>
    </row>
  </sheetData>
  <sheetProtection/>
  <mergeCells count="4">
    <mergeCell ref="A2:J2"/>
    <mergeCell ref="A3:J3"/>
    <mergeCell ref="A5:J5"/>
    <mergeCell ref="A15:J15"/>
  </mergeCells>
  <printOptions/>
  <pageMargins left="0.25" right="0.25" top="0.75" bottom="0.75" header="0.3" footer="0.3"/>
  <pageSetup fitToHeight="1" fitToWidth="1" horizontalDpi="600" verticalDpi="600" orientation="landscape" paperSize="5" scale="97" r:id="rId1"/>
</worksheet>
</file>

<file path=xl/worksheets/sheet4.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pane xSplit="2" ySplit="3" topLeftCell="G4" activePane="bottomRight" state="frozen"/>
      <selection pane="topLeft" activeCell="A1" sqref="A1"/>
      <selection pane="topRight" activeCell="C1" sqref="C1"/>
      <selection pane="bottomLeft" activeCell="A4" sqref="A4"/>
      <selection pane="bottomRight" activeCell="J17" sqref="J17"/>
    </sheetView>
  </sheetViews>
  <sheetFormatPr defaultColWidth="27.57421875" defaultRowHeight="12.75"/>
  <cols>
    <col min="1" max="1" width="27.57421875" style="0" customWidth="1"/>
    <col min="2" max="2" width="14.28125" style="0" customWidth="1"/>
    <col min="3" max="5" width="23.421875" style="0" customWidth="1"/>
    <col min="6" max="6" width="25.140625" style="0" customWidth="1"/>
    <col min="7" max="7" width="22.00390625" style="0" customWidth="1"/>
    <col min="8" max="9" width="22.57421875" style="0" customWidth="1"/>
    <col min="10" max="10" width="22.421875" style="0" customWidth="1"/>
  </cols>
  <sheetData>
    <row r="1" spans="1:10" ht="15.75">
      <c r="A1" s="205" t="s">
        <v>91</v>
      </c>
      <c r="B1" s="205"/>
      <c r="C1" s="205"/>
      <c r="D1" s="205"/>
      <c r="E1" s="205"/>
      <c r="F1" s="205"/>
      <c r="G1" s="205"/>
      <c r="H1" s="205"/>
      <c r="I1" s="205"/>
      <c r="J1" s="205"/>
    </row>
    <row r="2" spans="1:11" ht="12.75">
      <c r="A2" s="107"/>
      <c r="B2" s="107"/>
      <c r="C2" s="107"/>
      <c r="D2" s="107"/>
      <c r="E2" s="107"/>
      <c r="F2" s="107"/>
      <c r="G2" s="107"/>
      <c r="H2" s="107"/>
      <c r="I2" s="107"/>
      <c r="J2" s="107"/>
      <c r="K2" s="1"/>
    </row>
    <row r="3" spans="1:11" ht="43.5">
      <c r="A3" s="14" t="s">
        <v>20</v>
      </c>
      <c r="B3" s="14" t="s">
        <v>21</v>
      </c>
      <c r="C3" s="14" t="s">
        <v>111</v>
      </c>
      <c r="D3" s="14" t="s">
        <v>58</v>
      </c>
      <c r="E3" s="15" t="s">
        <v>79</v>
      </c>
      <c r="F3" s="15" t="s">
        <v>80</v>
      </c>
      <c r="G3" s="15" t="s">
        <v>81</v>
      </c>
      <c r="H3" s="15" t="s">
        <v>89</v>
      </c>
      <c r="I3" s="18" t="s">
        <v>108</v>
      </c>
      <c r="J3" s="19" t="s">
        <v>74</v>
      </c>
      <c r="K3" s="1"/>
    </row>
    <row r="4" spans="1:11" ht="12.75">
      <c r="A4" s="223" t="s">
        <v>2</v>
      </c>
      <c r="B4" s="74" t="s">
        <v>32</v>
      </c>
      <c r="C4" s="76">
        <f>('Forecast Data 2005 - 2011'!C5*'Distribution Rates 2005 - 2011'!C5)*12</f>
        <v>13160516.802540416</v>
      </c>
      <c r="D4" s="76">
        <f>('Forecast Data 2005 - 2011'!D5*'Distribution Rates 2005 - 2011'!D5)*12</f>
        <v>14523233.076061025</v>
      </c>
      <c r="E4" s="76">
        <f>('Forecast Data 2005 - 2011'!E5*'Distribution Rates 2005 - 2011'!E5)*12</f>
        <v>15679927.7</v>
      </c>
      <c r="F4" s="76">
        <f>('Forecast Data 2005 - 2011'!F5*'Distribution Rates 2005 - 2011'!F5)*12</f>
        <v>16230259.2</v>
      </c>
      <c r="G4" s="76">
        <f>('Forecast Data 2005 - 2011'!G5*'Distribution Rates 2005 - 2011'!G5)*12</f>
        <v>17124857.099999998</v>
      </c>
      <c r="H4" s="76">
        <f>('Forecast Data 2005 - 2011'!H5*'Distribution Rates 2005 - 2011'!H5)*12</f>
        <v>17034818.63209537</v>
      </c>
      <c r="I4" s="77">
        <f>('Forecast Data 2005 - 2011'!I5*'Distribution Rates 2005 - 2011'!I5)*12</f>
        <v>15729548.584648736</v>
      </c>
      <c r="J4" s="76">
        <f>+'Forecast Data 2005 - 2011'!I5*'Distribution Rates 2005 - 2011'!J5*12</f>
        <v>15595995.813647002</v>
      </c>
      <c r="K4" s="124"/>
    </row>
    <row r="5" spans="1:10" ht="12.75">
      <c r="A5" s="224"/>
      <c r="B5" s="75" t="s">
        <v>33</v>
      </c>
      <c r="C5" s="78">
        <f>+'Forecast Data 2005 - 2011'!C6*'Distribution Rates 2005 - 2011'!C6</f>
        <v>15643715.187173497</v>
      </c>
      <c r="D5" s="78">
        <f>+'Forecast Data 2005 - 2011'!D6*'Distribution Rates 2005 - 2011'!D6</f>
        <v>16409683.552343514</v>
      </c>
      <c r="E5" s="78">
        <f>+'Forecast Data 2005 - 2011'!E6*'Distribution Rates 2005 - 2011'!E6</f>
        <v>17070320.3427</v>
      </c>
      <c r="F5" s="78">
        <f>+'Forecast Data 2005 - 2011'!F6*'Distribution Rates 2005 - 2011'!F6</f>
        <v>17247286.2291</v>
      </c>
      <c r="G5" s="78">
        <f>+'Forecast Data 2005 - 2011'!G6*'Distribution Rates 2005 - 2011'!G6</f>
        <v>17380255.793399997</v>
      </c>
      <c r="H5" s="78">
        <f>+'Forecast Data 2005 - 2011'!H6*'Distribution Rates 2005 - 2011'!H6</f>
        <v>16930555.960926704</v>
      </c>
      <c r="I5" s="79">
        <f>('Forecast Data 2005 - 2011'!I6*'Distribution Rates 2005 - 2011'!I6)</f>
        <v>17059651.5474</v>
      </c>
      <c r="J5" s="78">
        <f>('Forecast Data 2005 - 2011'!I6*'Distribution Rates 2005 - 2011'!J6)</f>
        <v>16948874.5893</v>
      </c>
    </row>
    <row r="6" spans="1:10" ht="12.75">
      <c r="A6" s="223" t="s">
        <v>24</v>
      </c>
      <c r="B6" s="74" t="s">
        <v>32</v>
      </c>
      <c r="C6" s="76">
        <f>('Forecast Data 2005 - 2011'!C7*'Distribution Rates 2005 - 2011'!C7)*12</f>
        <v>1702876.9704153496</v>
      </c>
      <c r="D6" s="76">
        <f>('Forecast Data 2005 - 2011'!D7*'Distribution Rates 2005 - 2011'!D7)*12</f>
        <v>1778312.5391561678</v>
      </c>
      <c r="E6" s="76">
        <f>('Forecast Data 2005 - 2011'!E7*'Distribution Rates 2005 - 2011'!E7)*12</f>
        <v>1873184.7999999998</v>
      </c>
      <c r="F6" s="76">
        <f>('Forecast Data 2005 - 2011'!F7*'Distribution Rates 2005 - 2011'!F7)*12</f>
        <v>1891909.2000000002</v>
      </c>
      <c r="G6" s="76">
        <f>('Forecast Data 2005 - 2011'!G7*'Distribution Rates 2005 - 2011'!G7)*12</f>
        <v>1955065.7999999998</v>
      </c>
      <c r="H6" s="76">
        <f>('Forecast Data 2005 - 2011'!H7*'Distribution Rates 2005 - 2011'!H7)*12</f>
        <v>1972493.791219304</v>
      </c>
      <c r="I6" s="77">
        <f>('Forecast Data 2005 - 2011'!I7*'Distribution Rates 2005 - 2011'!I7)*12</f>
        <v>1919882.0231235325</v>
      </c>
      <c r="J6" s="76">
        <f>('Forecast Data 2005 - 2011'!I7*'Distribution Rates 2005 - 2011'!J7)*12</f>
        <v>1776861.704676738</v>
      </c>
    </row>
    <row r="7" spans="1:10" ht="12.75">
      <c r="A7" s="224"/>
      <c r="B7" s="75" t="s">
        <v>33</v>
      </c>
      <c r="C7" s="78">
        <f>('Forecast Data 2005 - 2011'!C8*'Distribution Rates 2005 - 2011'!C8)</f>
        <v>5050271.973002202</v>
      </c>
      <c r="D7" s="78">
        <f>('Forecast Data 2005 - 2011'!D8*'Distribution Rates 2005 - 2011'!D8)</f>
        <v>5169264.705310313</v>
      </c>
      <c r="E7" s="78">
        <f>('Forecast Data 2005 - 2011'!E8*'Distribution Rates 2005 - 2011'!E8)</f>
        <v>5398064.5881</v>
      </c>
      <c r="F7" s="78">
        <f>('Forecast Data 2005 - 2011'!F8*'Distribution Rates 2005 - 2011'!F8)</f>
        <v>5228195.479900001</v>
      </c>
      <c r="G7" s="78">
        <f>('Forecast Data 2005 - 2011'!G8*'Distribution Rates 2005 - 2011'!G8)</f>
        <v>5186436.5898</v>
      </c>
      <c r="H7" s="78">
        <f>('Forecast Data 2005 - 2011'!H8*'Distribution Rates 2005 - 2011'!H8)</f>
        <v>5084050.293779128</v>
      </c>
      <c r="I7" s="79">
        <f>('Forecast Data 2005 - 2011'!I8*'Distribution Rates 2005 - 2011'!I8)</f>
        <v>5174912.7608</v>
      </c>
      <c r="J7" s="78">
        <f>('Forecast Data 2005 - 2011'!I8*'Distribution Rates 2005 - 2011'!J8)</f>
        <v>4796969.694</v>
      </c>
    </row>
    <row r="8" spans="1:10" ht="12.75">
      <c r="A8" s="223" t="s">
        <v>25</v>
      </c>
      <c r="B8" s="74" t="s">
        <v>32</v>
      </c>
      <c r="C8" s="76">
        <f>('Forecast Data 2005 - 2011'!C9*'Distribution Rates 2005 - 2011'!C9)*12</f>
        <v>1718757.3618647829</v>
      </c>
      <c r="D8" s="76">
        <f>('Forecast Data 2005 - 2011'!D9*'Distribution Rates 2005 - 2011'!D9)*12</f>
        <v>1756048.9731937363</v>
      </c>
      <c r="E8" s="76">
        <f>('Forecast Data 2005 - 2011'!E9*'Distribution Rates 2005 - 2011'!E9)*12</f>
        <v>1787590.2799999998</v>
      </c>
      <c r="F8" s="76">
        <f>('Forecast Data 2005 - 2011'!F9*'Distribution Rates 2005 - 2011'!F9)*12</f>
        <v>1861333.8800000001</v>
      </c>
      <c r="G8" s="76">
        <f>('Forecast Data 2005 - 2011'!G9*'Distribution Rates 2005 - 2011'!G9)*12</f>
        <v>1948857.32</v>
      </c>
      <c r="H8" s="76">
        <f>('Forecast Data 2005 - 2011'!H9*'Distribution Rates 2005 - 2011'!H9)*12</f>
        <v>1902074.405907691</v>
      </c>
      <c r="I8" s="77">
        <f>('Forecast Data 2005 - 2011'!I9*'Distribution Rates 2005 - 2011'!I9)*12</f>
        <v>1893948.3076378983</v>
      </c>
      <c r="J8" s="76">
        <f>('Forecast Data 2005 - 2011'!I9*'Distribution Rates 2005 - 2011'!J9)*12</f>
        <v>2138887.531137489</v>
      </c>
    </row>
    <row r="9" spans="1:11" ht="12.75">
      <c r="A9" s="227"/>
      <c r="B9" s="75" t="s">
        <v>33</v>
      </c>
      <c r="C9" s="80">
        <f>('Forecast Data 2005 - 2011'!C10*'Distribution Rates 2005 - 2011'!C10)</f>
        <v>6515979.769519094</v>
      </c>
      <c r="D9" s="80">
        <f>('Forecast Data 2005 - 2011'!D10*'Distribution Rates 2005 - 2011'!D10)</f>
        <v>6965409.940489284</v>
      </c>
      <c r="E9" s="80">
        <f>('Forecast Data 2005 - 2011'!E10*'Distribution Rates 2005 - 2011'!E10)</f>
        <v>7139110.149242589</v>
      </c>
      <c r="F9" s="80">
        <f>('Forecast Data 2005 - 2011'!F10*'Distribution Rates 2005 - 2011'!F10)</f>
        <v>7170262.044928634</v>
      </c>
      <c r="G9" s="80">
        <f>('Forecast Data 2005 - 2011'!G10*'Distribution Rates 2005 - 2011'!G10)</f>
        <v>7167708.914207724</v>
      </c>
      <c r="H9" s="80">
        <f>('Forecast Data 2005 - 2011'!H10*'Distribution Rates 2005 - 2011'!H10)</f>
        <v>6898887.535153548</v>
      </c>
      <c r="I9" s="81">
        <f>+'Distribution Rates 2005 - 2011'!I10*'Forecast Data 2005 - 2011'!I10</f>
        <v>7063796.52</v>
      </c>
      <c r="J9" s="80">
        <f>('Forecast Data 2005 - 2011'!I10*'Distribution Rates 2005 - 2011'!J10)</f>
        <v>7947425.568</v>
      </c>
      <c r="K9" s="124"/>
    </row>
    <row r="10" spans="1:12" ht="12.75">
      <c r="A10" s="227"/>
      <c r="B10" s="75" t="s">
        <v>34</v>
      </c>
      <c r="C10" s="80">
        <f>('Forecast Data 2005 - 2011'!C11*'Distribution Rates 2005 - 2011'!C11)</f>
        <v>-131572.8</v>
      </c>
      <c r="D10" s="80">
        <f>('Forecast Data 2005 - 2011'!D11*'Distribution Rates 2005 - 2011'!D11)</f>
        <v>-150443.87250543144</v>
      </c>
      <c r="E10" s="80">
        <f>('Forecast Data 2005 - 2011'!E11*'Distribution Rates 2005 - 2011'!E11)</f>
        <v>-151490.4</v>
      </c>
      <c r="F10" s="80">
        <f>('Forecast Data 2005 - 2011'!F11*'Distribution Rates 2005 - 2011'!F11)</f>
        <v>-154560.6</v>
      </c>
      <c r="G10" s="80">
        <f>('Forecast Data 2005 - 2011'!G11*'Distribution Rates 2005 - 2011'!G11)</f>
        <v>-165050.4</v>
      </c>
      <c r="H10" s="80">
        <f>('Forecast Data 2005 - 2011'!H11*'Distribution Rates 2005 - 2011'!H11)</f>
        <v>-154441.47309730525</v>
      </c>
      <c r="I10" s="81">
        <f>('Forecast Data 2005 - 2011'!I11*'Distribution Rates 2005 - 2011'!I11)</f>
        <v>-158133.1967870871</v>
      </c>
      <c r="J10" s="80">
        <f>('Forecast Data 2005 - 2011'!I11*'Distribution Rates 2005 - 2011'!J11)</f>
        <v>-185753.79515923164</v>
      </c>
      <c r="L10" s="124"/>
    </row>
    <row r="11" spans="1:12" ht="12.75">
      <c r="A11" s="224"/>
      <c r="B11" s="75" t="s">
        <v>23</v>
      </c>
      <c r="C11" s="82" t="s">
        <v>1</v>
      </c>
      <c r="D11" s="82" t="s">
        <v>1</v>
      </c>
      <c r="E11" s="82" t="s">
        <v>1</v>
      </c>
      <c r="F11" s="82" t="s">
        <v>1</v>
      </c>
      <c r="G11" s="82" t="s">
        <v>1</v>
      </c>
      <c r="H11" s="82" t="s">
        <v>1</v>
      </c>
      <c r="I11" s="82" t="s">
        <v>1</v>
      </c>
      <c r="J11" s="82" t="s">
        <v>1</v>
      </c>
      <c r="L11" s="124"/>
    </row>
    <row r="12" spans="1:12" ht="12.75">
      <c r="A12" s="228" t="s">
        <v>85</v>
      </c>
      <c r="B12" s="74" t="s">
        <v>32</v>
      </c>
      <c r="C12" s="76">
        <f>('Forecast Data 2005 - 2011'!C13*'Distribution Rates 2005 - 2011'!C13)*12</f>
        <v>2098931.0718008396</v>
      </c>
      <c r="D12" s="76">
        <f>('Forecast Data 2005 - 2011'!D13*'Distribution Rates 2005 - 2011'!D13)*12</f>
        <v>2058854.5369727241</v>
      </c>
      <c r="E12" s="76">
        <f>('Forecast Data 2005 - 2011'!E13*'Distribution Rates 2005 - 2011'!E13)*12</f>
        <v>2034904.8599999999</v>
      </c>
      <c r="F12" s="76">
        <f>('Forecast Data 2005 - 2011'!F13*'Distribution Rates 2005 - 2011'!F13)*12</f>
        <v>1992474</v>
      </c>
      <c r="G12" s="76">
        <f>('Forecast Data 2005 - 2011'!G13*'Distribution Rates 2005 - 2011'!G13)*12</f>
        <v>1964666.0700000003</v>
      </c>
      <c r="H12" s="76">
        <f>('Forecast Data 2005 - 2011'!H13*'Distribution Rates 2005 - 2011'!H13)*12</f>
        <v>1868049.7608208847</v>
      </c>
      <c r="I12" s="77">
        <f>('Forecast Data 2005 - 2011'!I13*'Distribution Rates 2005 - 2011'!I13)*12</f>
        <v>1793301.7346499448</v>
      </c>
      <c r="J12" s="76">
        <f>+'Forecast Data 2005 - 2011'!I13*'Distribution Rates 2005 - 2011'!J13*12</f>
        <v>1556063.8526489285</v>
      </c>
      <c r="L12" s="124"/>
    </row>
    <row r="13" spans="1:12" ht="12.75">
      <c r="A13" s="229"/>
      <c r="B13" s="75" t="s">
        <v>33</v>
      </c>
      <c r="C13" s="80">
        <f>('Forecast Data 2005 - 2011'!C14*'Distribution Rates 2005 - 2011'!C14)</f>
        <v>7344438.040326056</v>
      </c>
      <c r="D13" s="80">
        <f>('Forecast Data 2005 - 2011'!D14*'Distribution Rates 2005 - 2011'!D14)</f>
        <v>8170675.857891732</v>
      </c>
      <c r="E13" s="80">
        <f>('Forecast Data 2005 - 2011'!E14*'Distribution Rates 2005 - 2011'!E14)</f>
        <v>8002867.742</v>
      </c>
      <c r="F13" s="80">
        <f>('Forecast Data 2005 - 2011'!F14*'Distribution Rates 2005 - 2011'!F14)</f>
        <v>7539331.5634</v>
      </c>
      <c r="G13" s="80">
        <f>('Forecast Data 2005 - 2011'!G14*'Distribution Rates 2005 - 2011'!G14)</f>
        <v>7057776.7611</v>
      </c>
      <c r="H13" s="80">
        <f>('Forecast Data 2005 - 2011'!H14*'Distribution Rates 2005 - 2011'!H14)</f>
        <v>6889002.138403255</v>
      </c>
      <c r="I13" s="81">
        <f>('Forecast Data 2005 - 2011'!I14*'Distribution Rates 2005 - 2011'!I14)</f>
        <v>7019635.7995</v>
      </c>
      <c r="J13" s="80">
        <f>+'Forecast Data 2005 - 2011'!I14*'Distribution Rates 2005 - 2011'!J14</f>
        <v>6619936.5532</v>
      </c>
      <c r="L13" s="124"/>
    </row>
    <row r="14" spans="1:12" ht="12.75">
      <c r="A14" s="229"/>
      <c r="B14" s="75" t="s">
        <v>34</v>
      </c>
      <c r="C14" s="80">
        <f>('Forecast Data 2005 - 2011'!C15*'Distribution Rates 2005 - 2011'!C15)</f>
        <v>-1036717.7999999999</v>
      </c>
      <c r="D14" s="80">
        <f>('Forecast Data 2005 - 2011'!D15*'Distribution Rates 2005 - 2011'!D15)</f>
        <v>-1054929</v>
      </c>
      <c r="E14" s="80">
        <f>('Forecast Data 2005 - 2011'!E15*'Distribution Rates 2005 - 2011'!E15)</f>
        <v>-1027595.3999999999</v>
      </c>
      <c r="F14" s="80">
        <f>('Forecast Data 2005 - 2011'!F15*'Distribution Rates 2005 - 2011'!F15)</f>
        <v>-992921.3999999999</v>
      </c>
      <c r="G14" s="80">
        <f>('Forecast Data 2005 - 2011'!G15*'Distribution Rates 2005 - 2011'!G15)</f>
        <v>-910766.4</v>
      </c>
      <c r="H14" s="80">
        <f>('Forecast Data 2005 - 2011'!H15*'Distribution Rates 2005 - 2011'!H15)</f>
        <v>-910414.0035352898</v>
      </c>
      <c r="I14" s="81">
        <f>('Forecast Data 2005 - 2011'!I15*'Distribution Rates 2005 - 2011'!I15)</f>
        <v>-927677.8556877767</v>
      </c>
      <c r="J14" s="80">
        <f>+'Forecast Data 2005 - 2011'!I15*'Distribution Rates 2005 - 2011'!J15</f>
        <v>-1354100.4433522583</v>
      </c>
      <c r="L14" s="124"/>
    </row>
    <row r="15" spans="1:12" ht="12.75">
      <c r="A15" s="230"/>
      <c r="B15" s="75" t="s">
        <v>23</v>
      </c>
      <c r="C15" s="82" t="s">
        <v>1</v>
      </c>
      <c r="D15" s="82" t="s">
        <v>1</v>
      </c>
      <c r="E15" s="82" t="s">
        <v>1</v>
      </c>
      <c r="F15" s="82" t="s">
        <v>1</v>
      </c>
      <c r="G15" s="82" t="s">
        <v>1</v>
      </c>
      <c r="H15" s="82" t="s">
        <v>1</v>
      </c>
      <c r="I15" s="82" t="s">
        <v>1</v>
      </c>
      <c r="J15" s="82" t="s">
        <v>1</v>
      </c>
      <c r="L15" s="124"/>
    </row>
    <row r="16" spans="1:12" ht="12.75">
      <c r="A16" s="223" t="s">
        <v>28</v>
      </c>
      <c r="B16" s="74" t="s">
        <v>32</v>
      </c>
      <c r="C16" s="76">
        <f>('Forecast Data 2005 - 2011'!C17*'Distribution Rates 2005 - 2011'!C17)*12</f>
        <v>174242.60025539435</v>
      </c>
      <c r="D16" s="76">
        <f>('Forecast Data 2005 - 2011'!D17*'Distribution Rates 2005 - 2011'!D17)*12</f>
        <v>227496.55477787595</v>
      </c>
      <c r="E16" s="76">
        <f>('Forecast Data 2005 - 2011'!E17*'Distribution Rates 2005 - 2011'!E17)*12</f>
        <v>286634.98000000004</v>
      </c>
      <c r="F16" s="76">
        <f>('Forecast Data 2005 - 2011'!F17*'Distribution Rates 2005 - 2011'!F17)*12</f>
        <v>345947.04</v>
      </c>
      <c r="G16" s="76">
        <f>('Forecast Data 2005 - 2011'!G17*'Distribution Rates 2005 - 2011'!G17)*12</f>
        <v>346289.04</v>
      </c>
      <c r="H16" s="76">
        <f>('Forecast Data 2005 - 2011'!H17*'Distribution Rates 2005 - 2011'!H17)*12</f>
        <v>340079.76</v>
      </c>
      <c r="I16" s="77">
        <f>('Forecast Data 2005 - 2011'!I17*'Distribution Rates 2005 - 2011'!I17)*12</f>
        <v>340007.76</v>
      </c>
      <c r="J16" s="76">
        <f>('Forecast Data 2005 - 2011'!I17*'Distribution Rates 2005 - 2011'!J17)*12</f>
        <v>341925.83999999997</v>
      </c>
      <c r="L16" s="124"/>
    </row>
    <row r="17" spans="1:12" ht="12.75">
      <c r="A17" s="227"/>
      <c r="B17" s="75" t="s">
        <v>33</v>
      </c>
      <c r="C17" s="80">
        <f>('Forecast Data 2005 - 2011'!C18*'Distribution Rates 2005 - 2011'!C18)</f>
        <v>1320310.3873117976</v>
      </c>
      <c r="D17" s="80">
        <f>('Forecast Data 2005 - 2011'!D18*'Distribution Rates 2005 - 2011'!D18)</f>
        <v>1751261.8827794206</v>
      </c>
      <c r="E17" s="80">
        <f>('Forecast Data 2005 - 2011'!E18*'Distribution Rates 2005 - 2011'!E18)</f>
        <v>1889423.8351999999</v>
      </c>
      <c r="F17" s="80">
        <f>('Forecast Data 2005 - 2011'!F18*'Distribution Rates 2005 - 2011'!F18)</f>
        <v>2112665.0202</v>
      </c>
      <c r="G17" s="80">
        <f>('Forecast Data 2005 - 2011'!G18*'Distribution Rates 2005 - 2011'!G18)</f>
        <v>2075323.9614</v>
      </c>
      <c r="H17" s="80">
        <f>('Forecast Data 2005 - 2011'!H18*'Distribution Rates 2005 - 2011'!H18)</f>
        <v>1929735.4601667034</v>
      </c>
      <c r="I17" s="81">
        <f>('Forecast Data 2005 - 2011'!I18*'Distribution Rates 2005 - 2011'!I18)</f>
        <v>2024212.0373</v>
      </c>
      <c r="J17" s="80">
        <f>+'Forecast Data 2005 - 2011'!I18*'Distribution Rates 2005 - 2011'!J18</f>
        <v>1604346.5353</v>
      </c>
      <c r="L17" s="124"/>
    </row>
    <row r="18" spans="1:12" ht="12.75">
      <c r="A18" s="227"/>
      <c r="B18" s="75" t="s">
        <v>34</v>
      </c>
      <c r="C18" s="80">
        <f>('Forecast Data 2005 - 2011'!C19*'Distribution Rates 2005 - 2011'!C19)</f>
        <v>-299983.8</v>
      </c>
      <c r="D18" s="80">
        <f>('Forecast Data 2005 - 2011'!D19*'Distribution Rates 2005 - 2011'!D19)</f>
        <v>-356256.6</v>
      </c>
      <c r="E18" s="80">
        <f>('Forecast Data 2005 - 2011'!E19*'Distribution Rates 2005 - 2011'!E19)</f>
        <v>-402052.2</v>
      </c>
      <c r="F18" s="80">
        <f>('Forecast Data 2005 - 2011'!F19*'Distribution Rates 2005 - 2011'!F19)</f>
        <v>-429316.2</v>
      </c>
      <c r="G18" s="80">
        <f>('Forecast Data 2005 - 2011'!G19*'Distribution Rates 2005 - 2011'!G19)</f>
        <v>-421342.8</v>
      </c>
      <c r="H18" s="80">
        <f>('Forecast Data 2005 - 2011'!H19*'Distribution Rates 2005 - 2011'!H19)</f>
        <v>-398939.2123832898</v>
      </c>
      <c r="I18" s="81">
        <f>('Forecast Data 2005 - 2011'!I19*'Distribution Rates 2005 - 2011'!I19)</f>
        <v>-418470.6</v>
      </c>
      <c r="J18" s="80">
        <f>('Forecast Data 2005 - 2011'!I19*'Distribution Rates 2005 - 2011'!J19)</f>
        <v>0</v>
      </c>
      <c r="L18" s="154"/>
    </row>
    <row r="19" spans="1:10" ht="12.75">
      <c r="A19" s="224"/>
      <c r="B19" s="75" t="s">
        <v>23</v>
      </c>
      <c r="C19" s="82" t="s">
        <v>1</v>
      </c>
      <c r="D19" s="82" t="s">
        <v>1</v>
      </c>
      <c r="E19" s="82" t="s">
        <v>1</v>
      </c>
      <c r="F19" s="82" t="s">
        <v>1</v>
      </c>
      <c r="G19" s="82" t="s">
        <v>1</v>
      </c>
      <c r="H19" s="82" t="s">
        <v>1</v>
      </c>
      <c r="I19" s="82" t="s">
        <v>1</v>
      </c>
      <c r="J19" s="82" t="s">
        <v>1</v>
      </c>
    </row>
    <row r="20" spans="1:10" ht="12.75">
      <c r="A20" s="223" t="s">
        <v>29</v>
      </c>
      <c r="B20" s="74" t="s">
        <v>32</v>
      </c>
      <c r="C20" s="76">
        <f>('Forecast Data 2005 - 2011'!C21*'Distribution Rates 2005 - 2011'!C21)*12</f>
        <v>0</v>
      </c>
      <c r="D20" s="76">
        <f>('Forecast Data 2005 - 2011'!D21*'Distribution Rates 2005 - 2011'!D21)*12</f>
        <v>0</v>
      </c>
      <c r="E20" s="76">
        <f>('Forecast Data 2005 - 2011'!E21*'Distribution Rates 2005 - 2011'!E21)*12</f>
        <v>0</v>
      </c>
      <c r="F20" s="76">
        <f>('Forecast Data 2005 - 2011'!F21*'Distribution Rates 2005 - 2011'!F21)*12</f>
        <v>0</v>
      </c>
      <c r="G20" s="76">
        <f>('Forecast Data 2005 - 2011'!G21*'Distribution Rates 2005 - 2011'!G21)*12</f>
        <v>0</v>
      </c>
      <c r="H20" s="76">
        <f>('Forecast Data 2005 - 2011'!H21*'Distribution Rates 2005 - 2011'!H21)*12</f>
        <v>0</v>
      </c>
      <c r="I20" s="77">
        <f>('Forecast Data 2005 - 2011'!I21*'Distribution Rates 2005 - 2011'!H21)*12</f>
        <v>0</v>
      </c>
      <c r="J20" s="76">
        <f>('Forecast Data 2005 - 2011'!I21*'Distribution Rates 2005 - 2011'!J21)*12</f>
        <v>212477.4892515649</v>
      </c>
    </row>
    <row r="21" spans="1:10" ht="12.75">
      <c r="A21" s="227"/>
      <c r="B21" s="75" t="s">
        <v>33</v>
      </c>
      <c r="C21" s="80">
        <f>('Forecast Data 2005 - 2011'!C22*'Distribution Rates 2005 - 2011'!C22)</f>
        <v>131533.76320652824</v>
      </c>
      <c r="D21" s="80">
        <f>('Forecast Data 2005 - 2011'!D22*'Distribution Rates 2005 - 2011'!D22)</f>
        <v>158513.88917605148</v>
      </c>
      <c r="E21" s="80">
        <f>('Forecast Data 2005 - 2011'!E22*'Distribution Rates 2005 - 2011'!E22)</f>
        <v>171740.49399999998</v>
      </c>
      <c r="F21" s="80">
        <f>('Forecast Data 2005 - 2011'!F22*'Distribution Rates 2005 - 2011'!F22)</f>
        <v>179272.75410000002</v>
      </c>
      <c r="G21" s="80">
        <f>('Forecast Data 2005 - 2011'!G22*'Distribution Rates 2005 - 2011'!G22)</f>
        <v>183904.4529</v>
      </c>
      <c r="H21" s="80">
        <f>('Forecast Data 2005 - 2011'!H22*'Distribution Rates 2005 - 2011'!H22)</f>
        <v>187121.2594591586</v>
      </c>
      <c r="I21" s="81">
        <f>('Forecast Data 2005 - 2011'!I22*'Distribution Rates 2005 - 2011'!I22)</f>
        <v>195409.1302</v>
      </c>
      <c r="J21" s="80">
        <f>('Forecast Data 2005 - 2011'!I22*'Distribution Rates 2005 - 2011'!J22)</f>
        <v>1014273.191</v>
      </c>
    </row>
    <row r="22" spans="1:10" ht="12.75">
      <c r="A22" s="224"/>
      <c r="B22" s="75" t="s">
        <v>23</v>
      </c>
      <c r="C22" s="82" t="s">
        <v>1</v>
      </c>
      <c r="D22" s="82" t="s">
        <v>1</v>
      </c>
      <c r="E22" s="82" t="s">
        <v>1</v>
      </c>
      <c r="F22" s="82" t="s">
        <v>1</v>
      </c>
      <c r="G22" s="82" t="s">
        <v>1</v>
      </c>
      <c r="H22" s="82" t="s">
        <v>1</v>
      </c>
      <c r="I22" s="82" t="s">
        <v>1</v>
      </c>
      <c r="J22" s="82" t="s">
        <v>1</v>
      </c>
    </row>
    <row r="23" spans="1:10" ht="12.75">
      <c r="A23" s="223" t="s">
        <v>5</v>
      </c>
      <c r="B23" s="74" t="s">
        <v>32</v>
      </c>
      <c r="C23" s="76">
        <f>('Forecast Data 2005 - 2011'!C24*'Distribution Rates 2005 - 2011'!C24)*12</f>
        <v>0</v>
      </c>
      <c r="D23" s="76">
        <f>('Forecast Data 2005 - 2011'!D24*'Distribution Rates 2005 - 2011'!D24)*12</f>
        <v>17833.87730533041</v>
      </c>
      <c r="E23" s="76">
        <f>('Forecast Data 2005 - 2011'!E24*'Distribution Rates 2005 - 2011'!E24)*12</f>
        <v>17330.28</v>
      </c>
      <c r="F23" s="76">
        <f>('Forecast Data 2005 - 2011'!F24*'Distribution Rates 2005 - 2011'!F24)*12</f>
        <v>16482</v>
      </c>
      <c r="G23" s="76">
        <f>('Forecast Data 2005 - 2011'!G24*'Distribution Rates 2005 - 2011'!G24)*12</f>
        <v>16292.880000000001</v>
      </c>
      <c r="H23" s="76">
        <f>('Forecast Data 2005 - 2011'!H24*'Distribution Rates 2005 - 2011'!H24)*12</f>
        <v>15112.5</v>
      </c>
      <c r="I23" s="76">
        <f>('Forecast Data 2005 - 2011'!I24*'Distribution Rates 2005 - 2011'!I24)*12</f>
        <v>14991.599999999999</v>
      </c>
      <c r="J23" s="76">
        <f>('Forecast Data 2005 - 2011'!I25*'Distribution Rates 2005 - 2011'!J25)*12</f>
        <v>15604.862057853676</v>
      </c>
    </row>
    <row r="24" spans="1:10" ht="12.75">
      <c r="A24" s="224"/>
      <c r="B24" s="75" t="s">
        <v>33</v>
      </c>
      <c r="C24" s="78">
        <f>('Forecast Data 2005 - 2011'!C26*'Distribution Rates 2005 - 2011'!C26)</f>
        <v>0</v>
      </c>
      <c r="D24" s="78">
        <f>('Forecast Data 2005 - 2011'!D26*'Distribution Rates 2005 - 2011'!D26)</f>
        <v>96623.45162050673</v>
      </c>
      <c r="E24" s="78">
        <f>('Forecast Data 2005 - 2011'!E26*'Distribution Rates 2005 - 2011'!E26)</f>
        <v>92365.2972</v>
      </c>
      <c r="F24" s="78">
        <f>('Forecast Data 2005 - 2011'!F26*'Distribution Rates 2005 - 2011'!F26)</f>
        <v>92474.31180000001</v>
      </c>
      <c r="G24" s="78">
        <f>('Forecast Data 2005 - 2011'!G26*'Distribution Rates 2005 - 2011'!G26)</f>
        <v>92400.22850000001</v>
      </c>
      <c r="H24" s="78">
        <f>('Forecast Data 2005 - 2011'!H26*'Distribution Rates 2005 - 2011'!H26)</f>
        <v>89232.11830616434</v>
      </c>
      <c r="I24" s="79">
        <f>('Forecast Data 2005 - 2011'!I26*'Distribution Rates 2005 - 2011'!I26)</f>
        <v>87217.7928</v>
      </c>
      <c r="J24" s="78">
        <f>('Forecast Data 2005 - 2011'!I26*'Distribution Rates 2005 - 2011'!J26)</f>
        <v>90647.70599999999</v>
      </c>
    </row>
    <row r="25" spans="1:10" ht="12.75">
      <c r="A25" s="225" t="s">
        <v>35</v>
      </c>
      <c r="B25" s="226"/>
      <c r="C25" s="83">
        <f>SUM(C4:C9)+SUM(C12:C13)+SUM(C16:C17)+C20+C21+C23+C24</f>
        <v>54861573.92741595</v>
      </c>
      <c r="D25" s="83">
        <f aca="true" t="shared" si="0" ref="D25:J25">SUM(D4:D9)+SUM(D12:D13)+SUM(D16:D17)+D20+D21+D23+D24</f>
        <v>59083212.83707767</v>
      </c>
      <c r="E25" s="83">
        <f t="shared" si="0"/>
        <v>61443465.34844259</v>
      </c>
      <c r="F25" s="83">
        <f t="shared" si="0"/>
        <v>61907892.723428644</v>
      </c>
      <c r="G25" s="83">
        <f t="shared" si="0"/>
        <v>62499834.91130773</v>
      </c>
      <c r="H25" s="83">
        <f t="shared" si="0"/>
        <v>61141213.616237916</v>
      </c>
      <c r="I25" s="83">
        <f t="shared" si="0"/>
        <v>60316515.598060116</v>
      </c>
      <c r="J25" s="83">
        <f t="shared" si="0"/>
        <v>60660290.930219576</v>
      </c>
    </row>
    <row r="26" spans="1:10" ht="12.75">
      <c r="A26" s="225" t="s">
        <v>36</v>
      </c>
      <c r="B26" s="226"/>
      <c r="C26" s="84">
        <f>+C10+C14+C18</f>
        <v>-1468274.4</v>
      </c>
      <c r="D26" s="84">
        <f aca="true" t="shared" si="1" ref="D26:J26">+D10+D14+D18</f>
        <v>-1561629.4725054316</v>
      </c>
      <c r="E26" s="84">
        <f t="shared" si="1"/>
        <v>-1581137.9999999998</v>
      </c>
      <c r="F26" s="84">
        <f t="shared" si="1"/>
        <v>-1576798.2</v>
      </c>
      <c r="G26" s="84">
        <f t="shared" si="1"/>
        <v>-1497159.6</v>
      </c>
      <c r="H26" s="84">
        <f t="shared" si="1"/>
        <v>-1463794.689015885</v>
      </c>
      <c r="I26" s="84">
        <f t="shared" si="1"/>
        <v>-1504281.652474864</v>
      </c>
      <c r="J26" s="84">
        <f t="shared" si="1"/>
        <v>-1539854.23851149</v>
      </c>
    </row>
    <row r="27" spans="1:10" ht="13.5" thickBot="1">
      <c r="A27" s="221" t="s">
        <v>37</v>
      </c>
      <c r="B27" s="221"/>
      <c r="C27" s="85">
        <f>SUM(C25:C26)</f>
        <v>53393299.52741595</v>
      </c>
      <c r="D27" s="85">
        <f aca="true" t="shared" si="2" ref="D27:J27">SUM(D25:D26)</f>
        <v>57521583.36457224</v>
      </c>
      <c r="E27" s="85">
        <f t="shared" si="2"/>
        <v>59862327.34844259</v>
      </c>
      <c r="F27" s="85">
        <f t="shared" si="2"/>
        <v>60331094.52342864</v>
      </c>
      <c r="G27" s="85">
        <f t="shared" si="2"/>
        <v>61002675.31130773</v>
      </c>
      <c r="H27" s="85">
        <f t="shared" si="2"/>
        <v>59677418.92722203</v>
      </c>
      <c r="I27" s="85">
        <f t="shared" si="2"/>
        <v>58812233.94558525</v>
      </c>
      <c r="J27" s="85">
        <f t="shared" si="2"/>
        <v>59120436.69170809</v>
      </c>
    </row>
    <row r="28" ht="18.75" thickTop="1">
      <c r="A28" s="123" t="s">
        <v>109</v>
      </c>
    </row>
    <row r="29" spans="1:10" ht="12.75">
      <c r="A29" s="222" t="s">
        <v>95</v>
      </c>
      <c r="B29" s="222"/>
      <c r="C29" s="222"/>
      <c r="D29" s="222"/>
      <c r="E29" s="222"/>
      <c r="F29" s="222"/>
      <c r="G29" s="222"/>
      <c r="H29" s="222"/>
      <c r="I29" s="222"/>
      <c r="J29" s="222"/>
    </row>
    <row r="30" ht="12.75">
      <c r="J30" s="7"/>
    </row>
    <row r="31" spans="1:10" ht="38.25">
      <c r="A31" s="14" t="s">
        <v>20</v>
      </c>
      <c r="B31" s="14" t="s">
        <v>21</v>
      </c>
      <c r="C31" s="14" t="s">
        <v>111</v>
      </c>
      <c r="D31" s="14" t="s">
        <v>58</v>
      </c>
      <c r="E31" s="15" t="s">
        <v>79</v>
      </c>
      <c r="F31" s="15" t="s">
        <v>80</v>
      </c>
      <c r="G31" s="15" t="s">
        <v>81</v>
      </c>
      <c r="H31" s="15" t="s">
        <v>89</v>
      </c>
      <c r="I31" s="18" t="s">
        <v>73</v>
      </c>
      <c r="J31" s="19" t="s">
        <v>74</v>
      </c>
    </row>
    <row r="32" spans="1:10" ht="12.75">
      <c r="A32" s="112" t="s">
        <v>2</v>
      </c>
      <c r="B32" s="114" t="s">
        <v>23</v>
      </c>
      <c r="C32" s="83">
        <v>28170.755390913182</v>
      </c>
      <c r="D32" s="83">
        <f>+'Forecast Data 2005 - 2011'!D6*'Distribution Rates 2005 - 2011'!D31</f>
        <v>0</v>
      </c>
      <c r="E32" s="83">
        <f>+'Forecast Data 2005 - 2011'!E6*'Distribution Rates 2005 - 2011'!E31</f>
        <v>0</v>
      </c>
      <c r="F32" s="83">
        <f>+'Forecast Data 2005 - 2011'!F6*'Distribution Rates 2005 - 2011'!F31</f>
        <v>0</v>
      </c>
      <c r="G32" s="83">
        <f>+'Forecast Data 2005 - 2011'!G6*'Distribution Rates 2005 - 2011'!G31</f>
        <v>0</v>
      </c>
      <c r="H32" s="83">
        <f>+'Forecast Data 2005 - 2011'!H6*'Distribution Rates 2005 - 2011'!H31</f>
        <v>0</v>
      </c>
      <c r="I32" s="83">
        <f>+'Forecast Data 2005 - 2011'!I6*'Distribution Rates 2005 - 2011'!H31</f>
        <v>0</v>
      </c>
      <c r="J32" s="83">
        <f>+'Forecast Data 2005 - 2011'!J6*'Distribution Rates 2005 - 2011'!K31</f>
        <v>0</v>
      </c>
    </row>
    <row r="33" spans="1:10" ht="12.75">
      <c r="A33" s="112" t="s">
        <v>24</v>
      </c>
      <c r="B33" s="114" t="s">
        <v>23</v>
      </c>
      <c r="C33" s="83">
        <v>7349.30519777156</v>
      </c>
      <c r="D33" s="83">
        <f>+'Forecast Data 2005 - 2011'!D8*'Distribution Rates 2005 - 2011'!D32</f>
        <v>0</v>
      </c>
      <c r="E33" s="83">
        <f>+'Forecast Data 2005 - 2011'!E8*'Distribution Rates 2005 - 2011'!E32</f>
        <v>0</v>
      </c>
      <c r="F33" s="83">
        <f>+'Forecast Data 2005 - 2011'!F8*'Distribution Rates 2005 - 2011'!F32</f>
        <v>0</v>
      </c>
      <c r="G33" s="83">
        <f>+'Forecast Data 2005 - 2011'!G8*'Distribution Rates 2005 - 2011'!G32</f>
        <v>0</v>
      </c>
      <c r="H33" s="83">
        <f>+'Forecast Data 2005 - 2011'!H8*'Distribution Rates 2005 - 2011'!H32</f>
        <v>0</v>
      </c>
      <c r="I33" s="83">
        <f>+'Forecast Data 2005 - 2011'!I8*'Distribution Rates 2005 - 2011'!H32</f>
        <v>0</v>
      </c>
      <c r="J33" s="83">
        <f>+'Forecast Data 2005 - 2011'!J8*'Distribution Rates 2005 - 2011'!K32</f>
        <v>0</v>
      </c>
    </row>
    <row r="34" spans="1:10" ht="12.75">
      <c r="A34" s="112" t="s">
        <v>25</v>
      </c>
      <c r="B34" s="114" t="s">
        <v>26</v>
      </c>
      <c r="C34" s="83">
        <v>28850.930144708676</v>
      </c>
      <c r="D34" s="83">
        <f>+'Forecast Data 2005 - 2011'!D10*'Distribution Rates 2005 - 2011'!D33</f>
        <v>30814.804415401904</v>
      </c>
      <c r="E34" s="83">
        <f>+'Forecast Data 2005 - 2011'!E10*'Distribution Rates 2005 - 2011'!E33</f>
        <v>31772.41409191166</v>
      </c>
      <c r="F34" s="83">
        <f>+'Forecast Data 2005 - 2011'!F10*'Distribution Rates 2005 - 2011'!F33</f>
        <v>32573.94148898278</v>
      </c>
      <c r="G34" s="83">
        <f>+'Forecast Data 2005 - 2011'!G10*'Distribution Rates 2005 - 2011'!G33</f>
        <v>32839.9783257783</v>
      </c>
      <c r="H34" s="83">
        <f>+'Forecast Data 2005 - 2011'!H10*'Distribution Rates 2005 - 2011'!H33</f>
        <v>32185.784445669487</v>
      </c>
      <c r="I34" s="83">
        <f>+'Forecast Data 2005 - 2011'!I10*'Distribution Rates 2005 - 2011'!H33</f>
        <v>32955.144</v>
      </c>
      <c r="J34" s="83">
        <f>+'Forecast Data 2005 - 2011'!J10*'Distribution Rates 2005 - 2011'!K33</f>
        <v>0</v>
      </c>
    </row>
    <row r="35" spans="1:10" ht="12.75">
      <c r="A35" s="112" t="s">
        <v>85</v>
      </c>
      <c r="B35" s="114" t="s">
        <v>26</v>
      </c>
      <c r="C35" s="83">
        <v>23182.585701380136</v>
      </c>
      <c r="D35" s="83">
        <f>+'Forecast Data 2005 - 2011'!D14*'Distribution Rates 2005 - 2011'!D34</f>
        <v>25821.3032</v>
      </c>
      <c r="E35" s="83">
        <f>+'Forecast Data 2005 - 2011'!E14*'Distribution Rates 2005 - 2011'!E34</f>
        <v>25408.574</v>
      </c>
      <c r="F35" s="83">
        <f>+'Forecast Data 2005 - 2011'!F14*'Distribution Rates 2005 - 2011'!F34</f>
        <v>24401.6994</v>
      </c>
      <c r="G35" s="83">
        <f>+'Forecast Data 2005 - 2011'!G14*'Distribution Rates 2005 - 2011'!G34</f>
        <v>23008.2372</v>
      </c>
      <c r="H35" s="83">
        <f>+'Forecast Data 2005 - 2011'!H14*'Distribution Rates 2005 - 2011'!H34</f>
        <v>22868.05689096516</v>
      </c>
      <c r="I35" s="83">
        <f>+'Forecast Data 2005 - 2011'!I14*'Distribution Rates 2005 - 2011'!H34</f>
        <v>23301.6956</v>
      </c>
      <c r="J35" s="83">
        <f>+'Forecast Data 2005 - 2011'!J14*'Distribution Rates 2005 - 2011'!K34</f>
        <v>0</v>
      </c>
    </row>
    <row r="36" spans="1:10" ht="12.75">
      <c r="A36" s="112" t="s">
        <v>28</v>
      </c>
      <c r="B36" s="114" t="s">
        <v>26</v>
      </c>
      <c r="C36" s="83">
        <v>6428.555345017772</v>
      </c>
      <c r="D36" s="83">
        <f>+'Forecast Data 2005 - 2011'!D18*'Distribution Rates 2005 - 2011'!D35</f>
        <v>8536.295</v>
      </c>
      <c r="E36" s="83">
        <f>+'Forecast Data 2005 - 2011'!E18*'Distribution Rates 2005 - 2011'!E35</f>
        <v>9240.1648</v>
      </c>
      <c r="F36" s="83">
        <f>+'Forecast Data 2005 - 2011'!F18*'Distribution Rates 2005 - 2011'!F35</f>
        <v>10518.2469</v>
      </c>
      <c r="G36" s="83">
        <f>+'Forecast Data 2005 - 2011'!G18*'Distribution Rates 2005 - 2011'!G35</f>
        <v>10463.3462</v>
      </c>
      <c r="H36" s="83">
        <f>+'Forecast Data 2005 - 2011'!H18*'Distribution Rates 2005 - 2011'!H35</f>
        <v>9906.990440851698</v>
      </c>
      <c r="I36" s="83">
        <f>+'Forecast Data 2005 - 2011'!I18*'Distribution Rates 2005 - 2011'!H35</f>
        <v>10392.0199</v>
      </c>
      <c r="J36" s="83">
        <f>+'Forecast Data 2005 - 2011'!J18*'Distribution Rates 2005 - 2011'!K35</f>
        <v>0</v>
      </c>
    </row>
    <row r="37" spans="1:10" ht="12.75">
      <c r="A37" s="112" t="s">
        <v>29</v>
      </c>
      <c r="B37" s="114" t="s">
        <v>26</v>
      </c>
      <c r="C37" s="83">
        <v>517.8682202086896</v>
      </c>
      <c r="D37" s="83">
        <f>+'Forecast Data 2005 - 2011'!D22*'Distribution Rates 2005 - 2011'!D36</f>
        <v>624.335</v>
      </c>
      <c r="E37" s="83">
        <f>+'Forecast Data 2005 - 2011'!E22*'Distribution Rates 2005 - 2011'!E36</f>
        <v>681.5699999999999</v>
      </c>
      <c r="F37" s="83">
        <f>+'Forecast Data 2005 - 2011'!F22*'Distribution Rates 2005 - 2011'!F36</f>
        <v>727.3539</v>
      </c>
      <c r="G37" s="83">
        <f>+'Forecast Data 2005 - 2011'!G22*'Distribution Rates 2005 - 2011'!G36</f>
        <v>753.6731999999998</v>
      </c>
      <c r="H37" s="83">
        <f>+'Forecast Data 2005 - 2011'!H22*'Distribution Rates 2005 - 2011'!H36</f>
        <v>780.8743477384826</v>
      </c>
      <c r="I37" s="83">
        <f>+'Forecast Data 2005 - 2011'!I22*'Distribution Rates 2005 - 2011'!H36</f>
        <v>815.4603999999998</v>
      </c>
      <c r="J37" s="83">
        <f>+'Forecast Data 2005 - 2011'!J22*'Distribution Rates 2005 - 2011'!K36</f>
        <v>0</v>
      </c>
    </row>
    <row r="38" spans="1:10" ht="12.75">
      <c r="A38" s="112" t="s">
        <v>5</v>
      </c>
      <c r="B38" s="114" t="s">
        <v>23</v>
      </c>
      <c r="C38" s="83">
        <v>0</v>
      </c>
      <c r="D38" s="83">
        <f>+'Forecast Data 2005 - 2011'!D26*'Distribution Rates 2005 - 2011'!D37</f>
        <v>0</v>
      </c>
      <c r="E38" s="83">
        <f>+'Forecast Data 2005 - 2011'!E26*'Distribution Rates 2005 - 2011'!E37</f>
        <v>0</v>
      </c>
      <c r="F38" s="83">
        <f>+'Forecast Data 2005 - 2011'!F26*'Distribution Rates 2005 - 2011'!F37</f>
        <v>0</v>
      </c>
      <c r="G38" s="83">
        <f>+'Forecast Data 2005 - 2011'!G26*'Distribution Rates 2005 - 2011'!G37</f>
        <v>0</v>
      </c>
      <c r="H38" s="83">
        <f>+'Forecast Data 2005 - 2011'!H26*'Distribution Rates 2005 - 2011'!H37</f>
        <v>0</v>
      </c>
      <c r="I38" s="83">
        <f>+'Forecast Data 2005 - 2011'!I26*'Distribution Rates 2005 - 2011'!H37</f>
        <v>0</v>
      </c>
      <c r="J38" s="83">
        <f>+'Forecast Data 2005 - 2011'!J26*'Distribution Rates 2005 - 2011'!K37</f>
        <v>0</v>
      </c>
    </row>
    <row r="39" spans="1:10" ht="13.5" thickBot="1">
      <c r="A39" s="221" t="s">
        <v>96</v>
      </c>
      <c r="B39" s="221"/>
      <c r="C39" s="85">
        <f aca="true" t="shared" si="3" ref="C39:J39">SUM(C32:C38)</f>
        <v>94500.00000000001</v>
      </c>
      <c r="D39" s="85">
        <f t="shared" si="3"/>
        <v>65796.7376154019</v>
      </c>
      <c r="E39" s="85">
        <f t="shared" si="3"/>
        <v>67102.72289191168</v>
      </c>
      <c r="F39" s="85">
        <f t="shared" si="3"/>
        <v>68221.24168898279</v>
      </c>
      <c r="G39" s="85">
        <f t="shared" si="3"/>
        <v>67065.2349257783</v>
      </c>
      <c r="H39" s="85">
        <f t="shared" si="3"/>
        <v>65741.70612522482</v>
      </c>
      <c r="I39" s="85">
        <f t="shared" si="3"/>
        <v>67464.31989999999</v>
      </c>
      <c r="J39" s="85">
        <f t="shared" si="3"/>
        <v>0</v>
      </c>
    </row>
    <row r="40" spans="1:2" ht="13.5" thickTop="1">
      <c r="A40" s="113"/>
      <c r="B40" s="113"/>
    </row>
  </sheetData>
  <sheetProtection/>
  <mergeCells count="13">
    <mergeCell ref="A1:J1"/>
    <mergeCell ref="A20:A22"/>
    <mergeCell ref="A4:A5"/>
    <mergeCell ref="A6:A7"/>
    <mergeCell ref="A8:A11"/>
    <mergeCell ref="A16:A19"/>
    <mergeCell ref="A12:A15"/>
    <mergeCell ref="A39:B39"/>
    <mergeCell ref="A29:J29"/>
    <mergeCell ref="A27:B27"/>
    <mergeCell ref="A23:A24"/>
    <mergeCell ref="A25:B25"/>
    <mergeCell ref="A26:B26"/>
  </mergeCells>
  <printOptions/>
  <pageMargins left="0.75" right="0.75" top="1" bottom="1" header="0.5" footer="0.5"/>
  <pageSetup blackAndWhite="1" fitToHeight="1" fitToWidth="1" horizontalDpi="355" verticalDpi="355" orientation="landscape" scale="49" r:id="rId1"/>
</worksheet>
</file>

<file path=xl/worksheets/sheet5.xml><?xml version="1.0" encoding="utf-8"?>
<worksheet xmlns="http://schemas.openxmlformats.org/spreadsheetml/2006/main" xmlns:r="http://schemas.openxmlformats.org/officeDocument/2006/relationships">
  <sheetPr>
    <pageSetUpPr fitToPage="1"/>
  </sheetPr>
  <dimension ref="A1:P32"/>
  <sheetViews>
    <sheetView showGridLines="0"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H8" sqref="H8"/>
    </sheetView>
  </sheetViews>
  <sheetFormatPr defaultColWidth="9.140625" defaultRowHeight="12.75"/>
  <cols>
    <col min="1" max="1" width="26.00390625" style="23" bestFit="1" customWidth="1"/>
    <col min="2" max="2" width="15.421875" style="23" bestFit="1" customWidth="1"/>
    <col min="3" max="8" width="14.7109375" style="23" customWidth="1"/>
    <col min="9" max="9" width="14.7109375" style="23" bestFit="1" customWidth="1"/>
    <col min="10" max="10" width="13.8515625" style="23" customWidth="1"/>
    <col min="11" max="15" width="10.140625" style="23" customWidth="1"/>
    <col min="16" max="16384" width="9.140625" style="23" customWidth="1"/>
  </cols>
  <sheetData>
    <row r="1" spans="1:9" ht="15.75">
      <c r="A1" s="205" t="s">
        <v>90</v>
      </c>
      <c r="B1" s="205"/>
      <c r="C1" s="205"/>
      <c r="D1" s="205"/>
      <c r="E1" s="205"/>
      <c r="F1" s="205"/>
      <c r="G1" s="205"/>
      <c r="H1" s="205"/>
      <c r="I1" s="205"/>
    </row>
    <row r="2" spans="1:9" ht="12.75">
      <c r="A2" s="231"/>
      <c r="B2" s="231"/>
      <c r="C2" s="231"/>
      <c r="D2" s="231"/>
      <c r="E2" s="231"/>
      <c r="F2" s="231"/>
      <c r="G2" s="231"/>
      <c r="H2" s="231"/>
      <c r="I2" s="231"/>
    </row>
    <row r="3" spans="1:16" ht="12.75">
      <c r="A3" s="232" t="s">
        <v>18</v>
      </c>
      <c r="B3" s="233"/>
      <c r="C3" s="234" t="s">
        <v>19</v>
      </c>
      <c r="D3" s="235"/>
      <c r="E3" s="235"/>
      <c r="F3" s="235"/>
      <c r="G3" s="235"/>
      <c r="H3" s="235"/>
      <c r="I3" s="236"/>
      <c r="J3" s="24"/>
      <c r="K3" s="24"/>
      <c r="L3" s="24"/>
      <c r="M3" s="24"/>
      <c r="N3" s="24"/>
      <c r="O3" s="24"/>
      <c r="P3" s="24"/>
    </row>
    <row r="4" spans="1:16" ht="51">
      <c r="A4" s="25" t="s">
        <v>20</v>
      </c>
      <c r="B4" s="25" t="s">
        <v>21</v>
      </c>
      <c r="C4" s="25" t="s">
        <v>111</v>
      </c>
      <c r="D4" s="25" t="s">
        <v>113</v>
      </c>
      <c r="E4" s="25" t="s">
        <v>114</v>
      </c>
      <c r="F4" s="25" t="s">
        <v>115</v>
      </c>
      <c r="G4" s="25" t="s">
        <v>116</v>
      </c>
      <c r="H4" s="25" t="s">
        <v>117</v>
      </c>
      <c r="I4" s="25" t="s">
        <v>118</v>
      </c>
      <c r="J4" s="24"/>
      <c r="K4" s="24"/>
      <c r="L4" s="24"/>
      <c r="M4" s="24"/>
      <c r="N4" s="24"/>
      <c r="O4" s="24"/>
      <c r="P4" s="24"/>
    </row>
    <row r="5" spans="1:16" ht="12.75">
      <c r="A5" s="228" t="s">
        <v>2</v>
      </c>
      <c r="B5" s="26" t="s">
        <v>22</v>
      </c>
      <c r="C5" s="32">
        <v>102070</v>
      </c>
      <c r="D5" s="156">
        <f>'[2]Customers'!$AE$15</f>
        <v>109778.16666666667</v>
      </c>
      <c r="E5" s="156">
        <f>'[2]Customers'!$AN$15</f>
        <v>114118.83333333333</v>
      </c>
      <c r="F5" s="156">
        <f>'[2]Customers'!$AW$15</f>
        <v>119060</v>
      </c>
      <c r="G5" s="156">
        <f>'[2]Customers'!$BF$15</f>
        <v>121040.83333333333</v>
      </c>
      <c r="H5" s="32">
        <f>'[2]Customers'!$D$47</f>
        <v>122376.57063286903</v>
      </c>
      <c r="I5" s="33">
        <f>'[2]Customers'!$M$47</f>
        <v>123659.97314975421</v>
      </c>
      <c r="J5" s="27"/>
      <c r="K5" s="28"/>
      <c r="L5" s="24"/>
      <c r="M5" s="24"/>
      <c r="N5" s="24"/>
      <c r="O5" s="24"/>
      <c r="P5" s="24"/>
    </row>
    <row r="6" spans="1:16" ht="12.75">
      <c r="A6" s="230"/>
      <c r="B6" s="29" t="s">
        <v>23</v>
      </c>
      <c r="C6" s="34">
        <v>989558788.023568</v>
      </c>
      <c r="D6" s="157">
        <v>1038010880</v>
      </c>
      <c r="E6" s="157">
        <v>1073605053</v>
      </c>
      <c r="F6" s="157">
        <v>1098553263</v>
      </c>
      <c r="G6" s="157">
        <v>1107022662</v>
      </c>
      <c r="H6" s="34">
        <f>'[2]kWh'!$BO$79</f>
        <v>1099386750.7095263</v>
      </c>
      <c r="I6" s="35">
        <f>'[2]kWh'!$BX$79</f>
        <v>1107769581</v>
      </c>
      <c r="J6" s="30"/>
      <c r="K6" s="24"/>
      <c r="L6" s="24"/>
      <c r="M6" s="24"/>
      <c r="N6" s="24"/>
      <c r="O6" s="24"/>
      <c r="P6" s="24"/>
    </row>
    <row r="7" spans="1:16" ht="12.75">
      <c r="A7" s="228" t="s">
        <v>24</v>
      </c>
      <c r="B7" s="26" t="s">
        <v>22</v>
      </c>
      <c r="C7" s="32">
        <v>6867</v>
      </c>
      <c r="D7" s="156">
        <f>'[2]Customers'!$AG$15</f>
        <v>7075.333333333333</v>
      </c>
      <c r="E7" s="156">
        <f>'[2]Customers'!$AP$15</f>
        <v>7294.333333333333</v>
      </c>
      <c r="F7" s="156">
        <f>'[2]Customers'!$AY$15</f>
        <v>7436.75</v>
      </c>
      <c r="G7" s="156">
        <f>'[2]Customers'!$BH$15</f>
        <v>7528.75</v>
      </c>
      <c r="H7" s="32">
        <f>'[2]Customers'!$F$47</f>
        <v>7727.996361147564</v>
      </c>
      <c r="I7" s="33">
        <f>'[2]Customers'!$O$47</f>
        <v>7892.95355666639</v>
      </c>
      <c r="J7" s="24"/>
      <c r="K7" s="28"/>
      <c r="L7" s="24"/>
      <c r="M7" s="24"/>
      <c r="N7" s="24"/>
      <c r="O7" s="24"/>
      <c r="P7" s="24"/>
    </row>
    <row r="8" spans="1:16" ht="12.75">
      <c r="A8" s="230"/>
      <c r="B8" s="29" t="s">
        <v>23</v>
      </c>
      <c r="C8" s="34">
        <v>276748728.770931</v>
      </c>
      <c r="D8" s="157">
        <v>283269385</v>
      </c>
      <c r="E8" s="157">
        <v>294976207</v>
      </c>
      <c r="F8" s="157">
        <v>288850579</v>
      </c>
      <c r="G8" s="157">
        <v>286543458</v>
      </c>
      <c r="H8" s="34">
        <f>'[2]kWh'!$BQ$79</f>
        <v>285620803.02129936</v>
      </c>
      <c r="I8" s="35">
        <f>'[2]kWh'!$BZ$79</f>
        <v>290725436</v>
      </c>
      <c r="J8" s="24"/>
      <c r="K8" s="24"/>
      <c r="L8" s="24"/>
      <c r="M8" s="24"/>
      <c r="N8" s="24"/>
      <c r="O8" s="24"/>
      <c r="P8" s="24"/>
    </row>
    <row r="9" spans="1:16" ht="12.75">
      <c r="A9" s="228" t="s">
        <v>25</v>
      </c>
      <c r="B9" s="26" t="s">
        <v>22</v>
      </c>
      <c r="C9" s="32">
        <v>1376</v>
      </c>
      <c r="D9" s="156">
        <f>'[2]Customers'!$AH$15</f>
        <v>1402.0833333333333</v>
      </c>
      <c r="E9" s="156">
        <f>'[2]Customers'!$AQ$15</f>
        <v>1416.8333333333333</v>
      </c>
      <c r="F9" s="156">
        <f>'[2]Customers'!$AZ$15</f>
        <v>1491.1666666666667</v>
      </c>
      <c r="G9" s="156">
        <f>'[2]Customers'!$BI$15</f>
        <v>1553.6666666666667</v>
      </c>
      <c r="H9" s="32">
        <f>'[2]Customers'!$G$47</f>
        <v>1543.6910838752199</v>
      </c>
      <c r="I9" s="33">
        <f>'[2]Customers'!$P$47</f>
        <v>1552.2130766767457</v>
      </c>
      <c r="J9" s="24"/>
      <c r="K9" s="24"/>
      <c r="L9" s="24"/>
      <c r="M9" s="24"/>
      <c r="N9" s="24"/>
      <c r="O9" s="24"/>
      <c r="P9" s="24"/>
    </row>
    <row r="10" spans="1:16" ht="12.75">
      <c r="A10" s="229"/>
      <c r="B10" s="31" t="s">
        <v>26</v>
      </c>
      <c r="C10" s="36">
        <v>2771782.33210103</v>
      </c>
      <c r="D10" s="158">
        <v>2962961.963019414</v>
      </c>
      <c r="E10" s="158">
        <v>3025944.199229682</v>
      </c>
      <c r="F10" s="158">
        <v>3073013.348017243</v>
      </c>
      <c r="G10" s="158">
        <v>3069156.852876477</v>
      </c>
      <c r="H10" s="36">
        <f>'[2]KW'!$AS$16</f>
        <v>3008017.2379130363</v>
      </c>
      <c r="I10" s="37">
        <f>'[2]KW'!$AY$16</f>
        <v>3079920</v>
      </c>
      <c r="J10" s="24"/>
      <c r="K10" s="24"/>
      <c r="L10" s="24"/>
      <c r="M10" s="24"/>
      <c r="N10" s="24"/>
      <c r="O10" s="24"/>
      <c r="P10" s="24"/>
    </row>
    <row r="11" spans="1:16" ht="12.75">
      <c r="A11" s="229"/>
      <c r="B11" s="31" t="s">
        <v>27</v>
      </c>
      <c r="C11" s="36">
        <v>219288</v>
      </c>
      <c r="D11" s="158">
        <v>250739.7875090524</v>
      </c>
      <c r="E11" s="158">
        <v>252484</v>
      </c>
      <c r="F11" s="158">
        <v>257601</v>
      </c>
      <c r="G11" s="158">
        <v>275084</v>
      </c>
      <c r="H11" s="36">
        <f>+'[2]KW'!$AS$20</f>
        <v>257402.4551621754</v>
      </c>
      <c r="I11" s="37">
        <f>+'[2]KW'!$AY$20</f>
        <v>263555.3279784785</v>
      </c>
      <c r="J11" s="24"/>
      <c r="K11" s="24"/>
      <c r="L11" s="24"/>
      <c r="M11" s="24"/>
      <c r="N11" s="24"/>
      <c r="O11" s="24"/>
      <c r="P11" s="24"/>
    </row>
    <row r="12" spans="1:16" ht="12.75">
      <c r="A12" s="230"/>
      <c r="B12" s="29" t="s">
        <v>23</v>
      </c>
      <c r="C12" s="34">
        <v>1018101225.01868</v>
      </c>
      <c r="D12" s="157">
        <v>1080852880</v>
      </c>
      <c r="E12" s="157">
        <v>1104669569</v>
      </c>
      <c r="F12" s="157">
        <v>1120197572</v>
      </c>
      <c r="G12" s="157">
        <v>1088111763</v>
      </c>
      <c r="H12" s="34">
        <f>'[2]kWh'!$BR$79</f>
        <v>1097553563.9581668</v>
      </c>
      <c r="I12" s="35">
        <f>'[2]kWh'!$CA$79</f>
        <v>1123789074</v>
      </c>
      <c r="J12" s="24"/>
      <c r="K12" s="24"/>
      <c r="L12" s="24"/>
      <c r="M12" s="24"/>
      <c r="N12" s="24"/>
      <c r="O12" s="24"/>
      <c r="P12" s="24"/>
    </row>
    <row r="13" spans="1:9" ht="12.75">
      <c r="A13" s="228" t="s">
        <v>85</v>
      </c>
      <c r="B13" s="26" t="s">
        <v>22</v>
      </c>
      <c r="C13" s="32">
        <v>121</v>
      </c>
      <c r="D13" s="156">
        <f>'[2]Customers'!$AI$15</f>
        <v>118.66666666666667</v>
      </c>
      <c r="E13" s="156">
        <f>'[2]Customers'!$AR$15</f>
        <v>116.83333333333333</v>
      </c>
      <c r="F13" s="156">
        <f>'[2]Customers'!$BA$15</f>
        <v>115.66666666666667</v>
      </c>
      <c r="G13" s="156">
        <f>'[2]Customers'!$BJ$15</f>
        <v>113.91666666666667</v>
      </c>
      <c r="H13" s="32">
        <f>'[2]Customers'!$H$47</f>
        <v>110.29141195348073</v>
      </c>
      <c r="I13" s="33">
        <f>'[2]Customers'!$Q$47</f>
        <v>105.9532852783358</v>
      </c>
    </row>
    <row r="14" spans="1:9" ht="12.75">
      <c r="A14" s="229"/>
      <c r="B14" s="31" t="s">
        <v>26</v>
      </c>
      <c r="C14" s="36">
        <v>1918197.74705829</v>
      </c>
      <c r="D14" s="158">
        <v>2133992</v>
      </c>
      <c r="E14" s="158">
        <v>2082670</v>
      </c>
      <c r="F14" s="158">
        <v>1983878</v>
      </c>
      <c r="G14" s="158">
        <v>1855503</v>
      </c>
      <c r="H14" s="36">
        <f>'[2]KW'!$AT$16</f>
        <v>1844198.136368158</v>
      </c>
      <c r="I14" s="37">
        <f>'[2]KW'!$AZ$16</f>
        <v>1879169</v>
      </c>
    </row>
    <row r="15" spans="1:16" ht="12.75">
      <c r="A15" s="229"/>
      <c r="B15" s="31" t="s">
        <v>27</v>
      </c>
      <c r="C15" s="36">
        <v>1727863</v>
      </c>
      <c r="D15" s="158">
        <v>1758215</v>
      </c>
      <c r="E15" s="158">
        <v>1712659</v>
      </c>
      <c r="F15" s="158">
        <v>1654869</v>
      </c>
      <c r="G15" s="158">
        <v>1517944</v>
      </c>
      <c r="H15" s="36">
        <f>+'[2]KW'!$AT$20</f>
        <v>1517356.6725588164</v>
      </c>
      <c r="I15" s="37">
        <f>+'[2]KW'!$AZ$20</f>
        <v>1546129.759479628</v>
      </c>
      <c r="J15" s="24"/>
      <c r="K15" s="24"/>
      <c r="L15" s="24"/>
      <c r="M15" s="24"/>
      <c r="N15" s="24"/>
      <c r="O15" s="24"/>
      <c r="P15" s="24"/>
    </row>
    <row r="16" spans="1:9" ht="12.75">
      <c r="A16" s="230"/>
      <c r="B16" s="29" t="s">
        <v>23</v>
      </c>
      <c r="C16" s="34">
        <v>827789523.836521</v>
      </c>
      <c r="D16" s="157">
        <v>948864160</v>
      </c>
      <c r="E16" s="157">
        <v>931340399</v>
      </c>
      <c r="F16" s="157">
        <v>875821817</v>
      </c>
      <c r="G16" s="157">
        <v>794839182</v>
      </c>
      <c r="H16" s="34">
        <f>'[2]kWh'!$BS$79</f>
        <v>816592993.5144728</v>
      </c>
      <c r="I16" s="35">
        <f>'[2]kWh'!$CB$79</f>
        <v>832077628</v>
      </c>
    </row>
    <row r="17" spans="1:16" ht="12.75">
      <c r="A17" s="228" t="s">
        <v>28</v>
      </c>
      <c r="B17" s="26" t="s">
        <v>22</v>
      </c>
      <c r="C17" s="32">
        <v>3</v>
      </c>
      <c r="D17" s="156">
        <f>'[2]Customers'!$AJ$15</f>
        <v>3.9166666666666665</v>
      </c>
      <c r="E17" s="156">
        <f>'[2]Customers'!$AS$15</f>
        <v>4.916666666666667</v>
      </c>
      <c r="F17" s="156">
        <f>'[2]Customers'!$BB$15</f>
        <v>6</v>
      </c>
      <c r="G17" s="156">
        <f>'[2]Customers'!$BK$15</f>
        <v>6</v>
      </c>
      <c r="H17" s="32">
        <f>'[2]Customers'!$I$47</f>
        <v>6</v>
      </c>
      <c r="I17" s="33">
        <f>'[2]Customers'!$R$47</f>
        <v>6</v>
      </c>
      <c r="J17" s="24"/>
      <c r="K17" s="24"/>
      <c r="L17" s="24"/>
      <c r="M17" s="24"/>
      <c r="N17" s="24"/>
      <c r="O17" s="24"/>
      <c r="P17" s="24"/>
    </row>
    <row r="18" spans="1:9" ht="12.75">
      <c r="A18" s="229"/>
      <c r="B18" s="31" t="s">
        <v>26</v>
      </c>
      <c r="C18" s="36">
        <v>443839.916666667</v>
      </c>
      <c r="D18" s="158">
        <v>588710</v>
      </c>
      <c r="E18" s="158">
        <v>632888</v>
      </c>
      <c r="F18" s="158">
        <v>715527</v>
      </c>
      <c r="G18" s="158">
        <v>702238</v>
      </c>
      <c r="H18" s="36">
        <f>'[2]KW'!$AU$16</f>
        <v>664898.687305483</v>
      </c>
      <c r="I18" s="37">
        <f>'[2]KW'!$BA$16</f>
        <v>697451</v>
      </c>
    </row>
    <row r="19" spans="1:9" ht="12.75">
      <c r="A19" s="229"/>
      <c r="B19" s="31" t="s">
        <v>27</v>
      </c>
      <c r="C19" s="36">
        <v>499973</v>
      </c>
      <c r="D19" s="158">
        <v>593761</v>
      </c>
      <c r="E19" s="158">
        <v>670087</v>
      </c>
      <c r="F19" s="158">
        <v>715527</v>
      </c>
      <c r="G19" s="158">
        <v>702238</v>
      </c>
      <c r="H19" s="36">
        <f>+'[2]KW'!$AU$20</f>
        <v>664898.687305483</v>
      </c>
      <c r="I19" s="37">
        <f>+'[2]KW'!$BA$20</f>
        <v>697451</v>
      </c>
    </row>
    <row r="20" spans="1:9" ht="12.75">
      <c r="A20" s="230"/>
      <c r="B20" s="29" t="s">
        <v>23</v>
      </c>
      <c r="C20" s="34">
        <v>244039962.5</v>
      </c>
      <c r="D20" s="157">
        <v>333656627</v>
      </c>
      <c r="E20" s="157">
        <v>351434298</v>
      </c>
      <c r="F20" s="157">
        <v>390114208</v>
      </c>
      <c r="G20" s="157">
        <v>345171107</v>
      </c>
      <c r="H20" s="34">
        <f>'[2]kWh'!$BT$79</f>
        <v>365387028.7308235</v>
      </c>
      <c r="I20" s="35">
        <f>'[2]kWh'!$CC$79</f>
        <v>383275616</v>
      </c>
    </row>
    <row r="21" spans="1:9" ht="12.75">
      <c r="A21" s="228" t="s">
        <v>29</v>
      </c>
      <c r="B21" s="31" t="s">
        <v>30</v>
      </c>
      <c r="C21" s="32">
        <v>28324.95</v>
      </c>
      <c r="D21" s="156">
        <f>'[2]Customers'!$AK$15</f>
        <v>34321.07884283633</v>
      </c>
      <c r="E21" s="156">
        <f>'[2]Customers'!$AT$15</f>
        <v>35762.47657845333</v>
      </c>
      <c r="F21" s="156">
        <f>'[2]Customers'!$BC$15</f>
        <v>37264.5405222961</v>
      </c>
      <c r="G21" s="156">
        <f>'[2]Customers'!$BL$15</f>
        <v>38829.21003807814</v>
      </c>
      <c r="H21" s="32">
        <f>'[2]Customers'!$J$47</f>
        <v>40459.427703839814</v>
      </c>
      <c r="I21" s="33">
        <f>'[2]Customers'!$S$47</f>
        <v>42158.23199435812</v>
      </c>
    </row>
    <row r="22" spans="1:9" ht="12.75">
      <c r="A22" s="229"/>
      <c r="B22" s="31" t="s">
        <v>26</v>
      </c>
      <c r="C22" s="36">
        <v>58210</v>
      </c>
      <c r="D22" s="158">
        <v>70150</v>
      </c>
      <c r="E22" s="158">
        <v>75730</v>
      </c>
      <c r="F22" s="158">
        <v>79929</v>
      </c>
      <c r="G22" s="158">
        <v>81921</v>
      </c>
      <c r="H22" s="36">
        <f>'[2]KW'!$AV$16</f>
        <v>84877.64649331334</v>
      </c>
      <c r="I22" s="37">
        <f>'[2]KW'!$BB$16</f>
        <v>88637</v>
      </c>
    </row>
    <row r="23" spans="1:9" ht="12.75">
      <c r="A23" s="230"/>
      <c r="B23" s="29" t="s">
        <v>23</v>
      </c>
      <c r="C23" s="34">
        <v>19634753.6666667</v>
      </c>
      <c r="D23" s="157">
        <v>23791245</v>
      </c>
      <c r="E23" s="157">
        <v>25564980</v>
      </c>
      <c r="F23" s="157">
        <v>26793084</v>
      </c>
      <c r="G23" s="157">
        <v>27343426</v>
      </c>
      <c r="H23" s="34">
        <f>'[2]kWh'!$BU$79</f>
        <v>28517119.953197297</v>
      </c>
      <c r="I23" s="35">
        <f>'[2]kWh'!$CD$79</f>
        <v>29780031</v>
      </c>
    </row>
    <row r="24" spans="1:9" ht="12.75">
      <c r="A24" s="228" t="s">
        <v>5</v>
      </c>
      <c r="B24" s="26" t="s">
        <v>22</v>
      </c>
      <c r="C24" s="36">
        <v>0</v>
      </c>
      <c r="D24" s="158">
        <f>+'[2]USL Customers'!C16</f>
        <v>71.91666666666667</v>
      </c>
      <c r="E24" s="158">
        <f>+'[2]USL Customers'!D16</f>
        <v>69.66666666666667</v>
      </c>
      <c r="F24" s="158">
        <f>+'[2]USL Customers'!E16</f>
        <v>67</v>
      </c>
      <c r="G24" s="158">
        <f>+'[2]USL Customers'!F16</f>
        <v>66.16666666666667</v>
      </c>
      <c r="H24" s="36">
        <f>+'[2]USL Customers'!G16</f>
        <v>62.5</v>
      </c>
      <c r="I24" s="37">
        <f>+'[2]USL Customers'!H16</f>
        <v>62</v>
      </c>
    </row>
    <row r="25" spans="1:9" ht="12.75">
      <c r="A25" s="229"/>
      <c r="B25" s="31" t="s">
        <v>30</v>
      </c>
      <c r="C25" s="36">
        <v>0</v>
      </c>
      <c r="D25" s="158">
        <f>'[2]Customers'!$AF$15</f>
        <v>1207</v>
      </c>
      <c r="E25" s="158">
        <f>'[2]Customers'!$AO$15</f>
        <v>1250</v>
      </c>
      <c r="F25" s="158">
        <f>'[2]Customers'!$AX$15</f>
        <v>1267</v>
      </c>
      <c r="G25" s="158">
        <f>'[2]Customers'!$BG$15</f>
        <v>1280</v>
      </c>
      <c r="H25" s="36">
        <f>'[2]Customers'!$E$47</f>
        <v>1287.1362723368832</v>
      </c>
      <c r="I25" s="37">
        <f>'[2]Customers'!$N$47</f>
        <v>1300.4051714878062</v>
      </c>
    </row>
    <row r="26" spans="1:9" ht="12.75">
      <c r="A26" s="230"/>
      <c r="B26" s="29" t="s">
        <v>23</v>
      </c>
      <c r="C26" s="34">
        <v>0</v>
      </c>
      <c r="D26" s="157">
        <v>5294847</v>
      </c>
      <c r="E26" s="157">
        <v>5047284</v>
      </c>
      <c r="F26" s="157">
        <v>5109078</v>
      </c>
      <c r="G26" s="157">
        <v>5104985</v>
      </c>
      <c r="H26" s="34">
        <f>'[2]kWh'!$BP$79</f>
        <v>5013040.354278895</v>
      </c>
      <c r="I26" s="35">
        <f>'[2]kWh'!$BY$79</f>
        <v>4899876</v>
      </c>
    </row>
    <row r="27" spans="4:6" ht="12.75">
      <c r="D27" s="106"/>
      <c r="E27" s="73"/>
      <c r="F27" s="73"/>
    </row>
    <row r="28" spans="4:6" ht="12.75">
      <c r="D28" s="73"/>
      <c r="E28" s="73"/>
      <c r="F28" s="73"/>
    </row>
    <row r="29" spans="4:6" ht="12.75">
      <c r="D29" s="106"/>
      <c r="E29" s="73"/>
      <c r="F29" s="73"/>
    </row>
    <row r="30" spans="4:6" ht="12.75">
      <c r="D30" s="106"/>
      <c r="E30" s="73"/>
      <c r="F30" s="73"/>
    </row>
    <row r="31" spans="4:6" ht="12.75">
      <c r="D31" s="106"/>
      <c r="E31" s="73"/>
      <c r="F31" s="73"/>
    </row>
    <row r="32" spans="4:6" ht="12.75">
      <c r="D32" s="106"/>
      <c r="E32" s="73"/>
      <c r="F32" s="73"/>
    </row>
  </sheetData>
  <sheetProtection/>
  <mergeCells count="11">
    <mergeCell ref="A24:A26"/>
    <mergeCell ref="A21:A23"/>
    <mergeCell ref="A3:B3"/>
    <mergeCell ref="C3:I3"/>
    <mergeCell ref="A5:A6"/>
    <mergeCell ref="A13:A16"/>
    <mergeCell ref="A1:I1"/>
    <mergeCell ref="A2:I2"/>
    <mergeCell ref="A7:A8"/>
    <mergeCell ref="A9:A12"/>
    <mergeCell ref="A17:A20"/>
  </mergeCells>
  <printOptions/>
  <pageMargins left="0.7480314960629921" right="0.7480314960629921" top="0.984251968503937" bottom="0.984251968503937" header="0.5118110236220472" footer="0.5118110236220472"/>
  <pageSetup blackAndWhite="1" fitToHeight="1" fitToWidth="1" horizontalDpi="355" verticalDpi="355" orientation="landscape" scale="85"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showGridLines="0" zoomScale="90" zoomScaleNormal="90" zoomScalePageLayoutView="0" workbookViewId="0" topLeftCell="A1">
      <selection activeCell="A27" sqref="A27:J27"/>
    </sheetView>
  </sheetViews>
  <sheetFormatPr defaultColWidth="9.140625" defaultRowHeight="12.75"/>
  <cols>
    <col min="1" max="1" width="26.57421875" style="0" customWidth="1"/>
    <col min="2" max="2" width="12.7109375" style="0" bestFit="1" customWidth="1"/>
    <col min="3" max="3" width="14.8515625" style="0" customWidth="1"/>
    <col min="4" max="4" width="15.421875" style="0" customWidth="1"/>
    <col min="5" max="5" width="14.8515625" style="0" customWidth="1"/>
    <col min="6" max="6" width="16.140625" style="0" customWidth="1"/>
    <col min="7" max="9" width="15.8515625" style="0" customWidth="1"/>
    <col min="10" max="10" width="15.28125" style="0" customWidth="1"/>
  </cols>
  <sheetData>
    <row r="1" spans="1:10" ht="15.75">
      <c r="A1" s="238" t="s">
        <v>87</v>
      </c>
      <c r="B1" s="238"/>
      <c r="C1" s="238"/>
      <c r="D1" s="238"/>
      <c r="E1" s="238"/>
      <c r="F1" s="238"/>
      <c r="G1" s="238"/>
      <c r="H1" s="238"/>
      <c r="I1" s="238"/>
      <c r="J1" s="238"/>
    </row>
    <row r="2" spans="1:10" ht="8.25" customHeight="1">
      <c r="A2" s="239"/>
      <c r="B2" s="239"/>
      <c r="C2" s="239"/>
      <c r="D2" s="239"/>
      <c r="E2" s="239"/>
      <c r="F2" s="239"/>
      <c r="G2" s="239"/>
      <c r="H2" s="239"/>
      <c r="I2" s="239"/>
      <c r="J2" s="239"/>
    </row>
    <row r="3" spans="1:10" ht="12.75">
      <c r="A3" s="241" t="s">
        <v>18</v>
      </c>
      <c r="B3" s="242"/>
      <c r="C3" s="243"/>
      <c r="D3" s="243"/>
      <c r="E3" s="243"/>
      <c r="F3" s="243"/>
      <c r="G3" s="243"/>
      <c r="H3" s="243"/>
      <c r="I3" s="243"/>
      <c r="J3" s="243"/>
    </row>
    <row r="4" spans="1:10" ht="43.5">
      <c r="A4" s="13" t="s">
        <v>20</v>
      </c>
      <c r="B4" s="13" t="s">
        <v>21</v>
      </c>
      <c r="C4" s="13" t="s">
        <v>112</v>
      </c>
      <c r="D4" s="13" t="s">
        <v>106</v>
      </c>
      <c r="E4" s="13" t="s">
        <v>105</v>
      </c>
      <c r="F4" s="13" t="s">
        <v>103</v>
      </c>
      <c r="G4" s="13" t="s">
        <v>104</v>
      </c>
      <c r="H4" s="13" t="s">
        <v>107</v>
      </c>
      <c r="I4" s="13" t="s">
        <v>120</v>
      </c>
      <c r="J4" s="22" t="s">
        <v>75</v>
      </c>
    </row>
    <row r="5" spans="1:10" ht="12.75">
      <c r="A5" s="244" t="s">
        <v>2</v>
      </c>
      <c r="B5" s="16" t="s">
        <v>22</v>
      </c>
      <c r="C5" s="86">
        <f>'[2]Rates Schedule'!$C$6</f>
        <v>10.744682409572201</v>
      </c>
      <c r="D5" s="86">
        <f>'[2]Rates Schedule'!$C$6+0.28</f>
        <v>11.0246824095722</v>
      </c>
      <c r="E5" s="86">
        <f>'[2]Rates Schedule'!$D$6+0.67</f>
        <v>11.45</v>
      </c>
      <c r="F5" s="86">
        <f>'[2]Rates Schedule'!$E$6-0.09+0.12+0.67</f>
        <v>11.36</v>
      </c>
      <c r="G5" s="86">
        <f>'[2]Rates Schedule'!$F$6+1.12</f>
        <v>11.79</v>
      </c>
      <c r="H5" s="86">
        <f>'[2]Rates Schedule'!$G$6+1.12</f>
        <v>11.600000000000001</v>
      </c>
      <c r="I5" s="86">
        <f>'[2]Rates Schedule'!$G$6+0.12</f>
        <v>10.6</v>
      </c>
      <c r="J5" s="86">
        <f>'[2]Rates Schedule'!$H$6</f>
        <v>10.51</v>
      </c>
    </row>
    <row r="6" spans="1:10" ht="12.75">
      <c r="A6" s="224"/>
      <c r="B6" s="17" t="s">
        <v>23</v>
      </c>
      <c r="C6" s="87">
        <f>'[2]Rates Schedule'!$C$5</f>
        <v>0.015808777989247583</v>
      </c>
      <c r="D6" s="87">
        <f>'[2]Rates Schedule'!$C$5</f>
        <v>0.015808777989247583</v>
      </c>
      <c r="E6" s="87">
        <f>'[2]Rates Schedule'!$D$5</f>
        <v>0.0159</v>
      </c>
      <c r="F6" s="87">
        <f>'[2]Rates Schedule'!$E$5</f>
        <v>0.0157</v>
      </c>
      <c r="G6" s="87">
        <f>'[2]Rates Schedule'!$F$5</f>
        <v>0.0157</v>
      </c>
      <c r="H6" s="87">
        <f>'[2]Rates Schedule'!$G$5</f>
        <v>0.0154</v>
      </c>
      <c r="I6" s="87">
        <f>'[2]Rates Schedule'!$G$5</f>
        <v>0.0154</v>
      </c>
      <c r="J6" s="87">
        <f>'[2]Rates Schedule'!$H$5</f>
        <v>0.0153</v>
      </c>
    </row>
    <row r="7" spans="1:10" ht="12.75">
      <c r="A7" s="223" t="s">
        <v>24</v>
      </c>
      <c r="B7" s="16" t="s">
        <v>22</v>
      </c>
      <c r="C7" s="86">
        <f>'[2]Rates Schedule'!$C$9</f>
        <v>20.664979496327238</v>
      </c>
      <c r="D7" s="86">
        <f>'[2]Rates Schedule'!$C$9+0.28</f>
        <v>20.94497949632724</v>
      </c>
      <c r="E7" s="86">
        <f>'[2]Rates Schedule'!$D$9+0.67</f>
        <v>21.4</v>
      </c>
      <c r="F7" s="86">
        <f>'[2]Rates Schedule'!$E$9-0.09+0.12+0.67</f>
        <v>21.2</v>
      </c>
      <c r="G7" s="86">
        <f>'[2]Rates Schedule'!$F$9+1.12</f>
        <v>21.64</v>
      </c>
      <c r="H7" s="86">
        <f>'[2]Rates Schedule'!$G$9+1.12</f>
        <v>21.27</v>
      </c>
      <c r="I7" s="86">
        <f>'[2]Rates Schedule'!$G$9+0.12</f>
        <v>20.27</v>
      </c>
      <c r="J7" s="86">
        <f>'[2]Rates Schedule'!$H$9</f>
        <v>18.76</v>
      </c>
    </row>
    <row r="8" spans="1:10" ht="12.75">
      <c r="A8" s="224"/>
      <c r="B8" s="17" t="s">
        <v>23</v>
      </c>
      <c r="C8" s="87">
        <f>'[2]Rates Schedule'!$C$8</f>
        <v>0.018248582370842203</v>
      </c>
      <c r="D8" s="87">
        <f>'[2]Rates Schedule'!$C$8</f>
        <v>0.018248582370842203</v>
      </c>
      <c r="E8" s="87">
        <f>'[2]Rates Schedule'!$D$8</f>
        <v>0.0183</v>
      </c>
      <c r="F8" s="87">
        <f>'[2]Rates Schedule'!$E$8</f>
        <v>0.0181</v>
      </c>
      <c r="G8" s="87">
        <f>'[2]Rates Schedule'!$F$8</f>
        <v>0.0181</v>
      </c>
      <c r="H8" s="87">
        <f>'[2]Rates Schedule'!$G$8</f>
        <v>0.0178</v>
      </c>
      <c r="I8" s="87">
        <f>'[2]Rates Schedule'!$G$8</f>
        <v>0.0178</v>
      </c>
      <c r="J8" s="87">
        <f>'[2]Rates Schedule'!$H$8</f>
        <v>0.0165</v>
      </c>
    </row>
    <row r="9" spans="1:10" ht="12.75">
      <c r="A9" s="223" t="s">
        <v>25</v>
      </c>
      <c r="B9" s="16" t="s">
        <v>22</v>
      </c>
      <c r="C9" s="88">
        <f>'[2]Rates Schedule'!$C$13</f>
        <v>104.09140999665594</v>
      </c>
      <c r="D9" s="88">
        <f>'[2]Rates Schedule'!$C$13+0.28</f>
        <v>104.37140999665594</v>
      </c>
      <c r="E9" s="88">
        <f>'[2]Rates Schedule'!$D$13+0.67</f>
        <v>105.14</v>
      </c>
      <c r="F9" s="88">
        <f>'[2]Rates Schedule'!$E$13-0.09+0.12+0.67</f>
        <v>104.02</v>
      </c>
      <c r="G9" s="88">
        <f>'[2]Rates Schedule'!$F$13+1.12</f>
        <v>104.53</v>
      </c>
      <c r="H9" s="88">
        <f>'[2]Rates Schedule'!$G$13+1.12</f>
        <v>102.68</v>
      </c>
      <c r="I9" s="88">
        <f>'[2]Rates Schedule'!$G$13+0.12</f>
        <v>101.68</v>
      </c>
      <c r="J9" s="89">
        <f>'[2]Rates Schedule'!$H$13</f>
        <v>114.83</v>
      </c>
    </row>
    <row r="10" spans="1:10" ht="12.75">
      <c r="A10" s="227"/>
      <c r="B10" s="17" t="s">
        <v>26</v>
      </c>
      <c r="C10" s="90">
        <f>'[2]Rates Schedule'!$C$11</f>
        <v>2.3508266482743387</v>
      </c>
      <c r="D10" s="90">
        <f>'[2]Rates Schedule'!$C$11</f>
        <v>2.3508266482743387</v>
      </c>
      <c r="E10" s="90">
        <f>'[2]Rates Schedule'!$D$11</f>
        <v>2.3593</v>
      </c>
      <c r="F10" s="90">
        <f>'[2]Rates Schedule'!$E$11</f>
        <v>2.3333</v>
      </c>
      <c r="G10" s="90">
        <f>'[2]Rates Schedule'!$F$11</f>
        <v>2.3354</v>
      </c>
      <c r="H10" s="90">
        <f>'[2]Rates Schedule'!$G$11</f>
        <v>2.2935</v>
      </c>
      <c r="I10" s="90">
        <f>'[2]Rates Schedule'!$G$11</f>
        <v>2.2935</v>
      </c>
      <c r="J10" s="91">
        <f>'[2]Rates Schedule'!$H$11</f>
        <v>2.5804</v>
      </c>
    </row>
    <row r="11" spans="1:10" ht="12.75">
      <c r="A11" s="227"/>
      <c r="B11" s="17" t="s">
        <v>31</v>
      </c>
      <c r="C11" s="94">
        <f>+'[2]Rates Schedule'!B66</f>
        <v>-0.6</v>
      </c>
      <c r="D11" s="94">
        <f>+'[2]Rates Schedule'!C66</f>
        <v>-0.6</v>
      </c>
      <c r="E11" s="94">
        <f>+'[2]Rates Schedule'!D66</f>
        <v>-0.6</v>
      </c>
      <c r="F11" s="94">
        <f>+'[2]Rates Schedule'!E66</f>
        <v>-0.6</v>
      </c>
      <c r="G11" s="94">
        <f>+'[2]Rates Schedule'!F66</f>
        <v>-0.6</v>
      </c>
      <c r="H11" s="94">
        <f>+'[2]Rates Schedule'!G66</f>
        <v>-0.6</v>
      </c>
      <c r="I11" s="94">
        <f>+H11</f>
        <v>-0.6</v>
      </c>
      <c r="J11" s="91">
        <f>+'[3]Transformer Allowance'!$F$7</f>
        <v>-0.7048</v>
      </c>
    </row>
    <row r="12" spans="1:10" ht="12.75">
      <c r="A12" s="224"/>
      <c r="B12" s="17" t="s">
        <v>23</v>
      </c>
      <c r="C12" s="92">
        <f>'[2]Rates Schedule'!$C$12</f>
        <v>0</v>
      </c>
      <c r="D12" s="92">
        <f>'[2]Rates Schedule'!$C$12</f>
        <v>0</v>
      </c>
      <c r="E12" s="92">
        <f>'[2]Rates Schedule'!$D$12</f>
        <v>0</v>
      </c>
      <c r="F12" s="92">
        <f>'[2]Rates Schedule'!$E$12</f>
        <v>0</v>
      </c>
      <c r="G12" s="92">
        <f>'[2]Rates Schedule'!$F$12</f>
        <v>0</v>
      </c>
      <c r="H12" s="92">
        <f>'[2]Rates Schedule'!$G$12</f>
        <v>0</v>
      </c>
      <c r="I12" s="92">
        <f>'[2]Rates Schedule'!$G$12</f>
        <v>0</v>
      </c>
      <c r="J12" s="93">
        <f>'[2]Rates Schedule'!$H$12</f>
        <v>0</v>
      </c>
    </row>
    <row r="13" spans="1:10" ht="12.75">
      <c r="A13" s="72"/>
      <c r="B13" s="16" t="s">
        <v>22</v>
      </c>
      <c r="C13" s="94">
        <f>'[2]Rates Schedule'!$C$17</f>
        <v>1445.5448152898343</v>
      </c>
      <c r="D13" s="94">
        <f>'[2]Rates Schedule'!$C$17+0.28</f>
        <v>1445.8248152898343</v>
      </c>
      <c r="E13" s="94">
        <f>'[2]Rates Schedule'!$D$17+0.67</f>
        <v>1451.43</v>
      </c>
      <c r="F13" s="94">
        <f>'[2]Rates Schedule'!$E$17-0.09+0.12+0.67</f>
        <v>1435.5</v>
      </c>
      <c r="G13" s="94">
        <f>'[2]Rates Schedule'!$F$17+1.12</f>
        <v>1437.21</v>
      </c>
      <c r="H13" s="94">
        <f>'[2]Rates Schedule'!$G$17+1.12</f>
        <v>1411.45</v>
      </c>
      <c r="I13" s="94">
        <f>'[2]Rates Schedule'!$G$17+0.12</f>
        <v>1410.45</v>
      </c>
      <c r="J13" s="95">
        <f>'[2]Rates Schedule'!$H$17</f>
        <v>1223.86</v>
      </c>
    </row>
    <row r="14" spans="1:10" ht="12.75">
      <c r="A14" s="72"/>
      <c r="B14" s="17" t="s">
        <v>26</v>
      </c>
      <c r="C14" s="90">
        <f>'[2]Rates Schedule'!$C$15</f>
        <v>3.82882215954499</v>
      </c>
      <c r="D14" s="90">
        <f>'[2]Rates Schedule'!$C$15</f>
        <v>3.82882215954499</v>
      </c>
      <c r="E14" s="90">
        <f>'[2]Rates Schedule'!$D$15</f>
        <v>3.8426</v>
      </c>
      <c r="F14" s="90">
        <f>'[2]Rates Schedule'!$E$15</f>
        <v>3.8003</v>
      </c>
      <c r="G14" s="90">
        <f>'[2]Rates Schedule'!$F$15</f>
        <v>3.8037</v>
      </c>
      <c r="H14" s="90">
        <f>'[2]Rates Schedule'!$G$15</f>
        <v>3.7355</v>
      </c>
      <c r="I14" s="90">
        <f>'[2]Rates Schedule'!$G$15</f>
        <v>3.7355</v>
      </c>
      <c r="J14" s="91">
        <f>'[2]Rates Schedule'!$H$15</f>
        <v>3.5228</v>
      </c>
    </row>
    <row r="15" spans="1:10" ht="12.75">
      <c r="A15" s="72"/>
      <c r="B15" s="17" t="s">
        <v>31</v>
      </c>
      <c r="C15" s="94">
        <f>+'[2]Rates Schedule'!B66</f>
        <v>-0.6</v>
      </c>
      <c r="D15" s="94">
        <f>+'[2]Rates Schedule'!C66</f>
        <v>-0.6</v>
      </c>
      <c r="E15" s="94">
        <f>+'[2]Rates Schedule'!D66</f>
        <v>-0.6</v>
      </c>
      <c r="F15" s="94">
        <f>+'[2]Rates Schedule'!E66</f>
        <v>-0.6</v>
      </c>
      <c r="G15" s="94">
        <f>+'[2]Rates Schedule'!F66</f>
        <v>-0.6</v>
      </c>
      <c r="H15" s="94">
        <f>+'[2]Rates Schedule'!G66</f>
        <v>-0.6</v>
      </c>
      <c r="I15" s="94">
        <f>+H15</f>
        <v>-0.6</v>
      </c>
      <c r="J15" s="91">
        <f>+'[3]Transformer Allowance'!$F$8</f>
        <v>-0.8758</v>
      </c>
    </row>
    <row r="16" spans="1:10" ht="12.75">
      <c r="A16" s="72" t="s">
        <v>85</v>
      </c>
      <c r="B16" s="17" t="s">
        <v>23</v>
      </c>
      <c r="C16" s="94">
        <f>'[2]Rates Schedule'!$C$16</f>
        <v>0</v>
      </c>
      <c r="D16" s="94">
        <f>'[2]Rates Schedule'!$C$16</f>
        <v>0</v>
      </c>
      <c r="E16" s="94">
        <f>'[2]Rates Schedule'!$D$16</f>
        <v>0</v>
      </c>
      <c r="F16" s="94">
        <f>'[2]Rates Schedule'!$E$16</f>
        <v>0</v>
      </c>
      <c r="G16" s="94">
        <f>'[2]Rates Schedule'!$F$16</f>
        <v>0</v>
      </c>
      <c r="H16" s="94">
        <f>'[2]Rates Schedule'!$G$16</f>
        <v>0</v>
      </c>
      <c r="I16" s="94">
        <f>'[2]Rates Schedule'!$G$16</f>
        <v>0</v>
      </c>
      <c r="J16" s="93">
        <f>'[2]Rates Schedule'!$H$16</f>
        <v>0</v>
      </c>
    </row>
    <row r="17" spans="1:10" ht="12.75">
      <c r="A17" s="223" t="s">
        <v>28</v>
      </c>
      <c r="B17" s="16" t="s">
        <v>22</v>
      </c>
      <c r="C17" s="96">
        <f>'[2]Rates Schedule'!$C$21</f>
        <v>4840.07222931651</v>
      </c>
      <c r="D17" s="96">
        <f>'[2]Rates Schedule'!$C$21+0.28</f>
        <v>4840.35222931651</v>
      </c>
      <c r="E17" s="96">
        <f>'[2]Rates Schedule'!$D$21+0.67</f>
        <v>4858.22</v>
      </c>
      <c r="F17" s="96">
        <f>'[2]Rates Schedule'!$E$21-0.09+0.12+0.67</f>
        <v>4804.82</v>
      </c>
      <c r="G17" s="96">
        <f>'[2]Rates Schedule'!$F$21+1.12</f>
        <v>4809.57</v>
      </c>
      <c r="H17" s="96">
        <f>'[2]Rates Schedule'!$G$21+1.12</f>
        <v>4723.33</v>
      </c>
      <c r="I17" s="96">
        <f>'[2]Rates Schedule'!$G$21+0.12</f>
        <v>4722.33</v>
      </c>
      <c r="J17" s="89">
        <f>'[2]Rates Schedule'!$H$21</f>
        <v>4748.97</v>
      </c>
    </row>
    <row r="18" spans="1:10" ht="12.75">
      <c r="A18" s="227"/>
      <c r="B18" s="17" t="s">
        <v>26</v>
      </c>
      <c r="C18" s="90">
        <f>'[2]Rates Schedule'!$C$19</f>
        <v>2.9747445818474643</v>
      </c>
      <c r="D18" s="90">
        <f>'[2]Rates Schedule'!$C$19</f>
        <v>2.9747445818474643</v>
      </c>
      <c r="E18" s="90">
        <f>'[2]Rates Schedule'!$D$19</f>
        <v>2.9854</v>
      </c>
      <c r="F18" s="90">
        <f>'[2]Rates Schedule'!$E$19</f>
        <v>2.9526</v>
      </c>
      <c r="G18" s="90">
        <f>'[2]Rates Schedule'!$F$19</f>
        <v>2.9553</v>
      </c>
      <c r="H18" s="90">
        <f>'[2]Rates Schedule'!$G$19</f>
        <v>2.9023</v>
      </c>
      <c r="I18" s="90">
        <f>'[2]Rates Schedule'!$G$19</f>
        <v>2.9023</v>
      </c>
      <c r="J18" s="91">
        <f>'[2]Rates Schedule'!$H$19</f>
        <v>2.3003</v>
      </c>
    </row>
    <row r="19" spans="1:10" ht="12.75">
      <c r="A19" s="227"/>
      <c r="B19" s="17" t="s">
        <v>31</v>
      </c>
      <c r="C19" s="94">
        <f>+'[2]Rates Schedule'!B66</f>
        <v>-0.6</v>
      </c>
      <c r="D19" s="94">
        <f>+'[2]Rates Schedule'!C66</f>
        <v>-0.6</v>
      </c>
      <c r="E19" s="94">
        <f>+'[2]Rates Schedule'!D66</f>
        <v>-0.6</v>
      </c>
      <c r="F19" s="94">
        <f>+'[2]Rates Schedule'!E66</f>
        <v>-0.6</v>
      </c>
      <c r="G19" s="94">
        <f>+'[2]Rates Schedule'!F66</f>
        <v>-0.6</v>
      </c>
      <c r="H19" s="94">
        <f>+'[2]Rates Schedule'!G66</f>
        <v>-0.6</v>
      </c>
      <c r="I19" s="94">
        <f>+H19</f>
        <v>-0.6</v>
      </c>
      <c r="J19" s="121">
        <v>0</v>
      </c>
    </row>
    <row r="20" spans="1:10" ht="12.75">
      <c r="A20" s="227"/>
      <c r="B20" s="17" t="s">
        <v>23</v>
      </c>
      <c r="C20" s="94">
        <f>'[2]Rates Schedule'!$C$12</f>
        <v>0</v>
      </c>
      <c r="D20" s="94">
        <f>'[2]Rates Schedule'!$C$12</f>
        <v>0</v>
      </c>
      <c r="E20" s="94">
        <f>'[2]Rates Schedule'!$D$12</f>
        <v>0</v>
      </c>
      <c r="F20" s="94">
        <f>'[2]Rates Schedule'!$E$12</f>
        <v>0</v>
      </c>
      <c r="G20" s="94">
        <f>'[2]Rates Schedule'!$F$12</f>
        <v>0</v>
      </c>
      <c r="H20" s="94">
        <f>'[2]Rates Schedule'!$G$12</f>
        <v>0</v>
      </c>
      <c r="I20" s="94">
        <f>'[2]Rates Schedule'!$G$12</f>
        <v>0</v>
      </c>
      <c r="J20" s="93">
        <f>'[2]Rates Schedule'!$H$12</f>
        <v>0</v>
      </c>
    </row>
    <row r="21" spans="1:10" ht="12.75">
      <c r="A21" s="245" t="s">
        <v>29</v>
      </c>
      <c r="B21" s="16" t="s">
        <v>30</v>
      </c>
      <c r="C21" s="98">
        <f>'[2]Rates Schedule'!$C$32</f>
        <v>0</v>
      </c>
      <c r="D21" s="98">
        <f>'[2]Rates Schedule'!$C$32</f>
        <v>0</v>
      </c>
      <c r="E21" s="98">
        <f>'[2]Rates Schedule'!$D$32</f>
        <v>0</v>
      </c>
      <c r="F21" s="98">
        <f>'[2]Rates Schedule'!$E$32</f>
        <v>0</v>
      </c>
      <c r="G21" s="98">
        <f>'[2]Rates Schedule'!$F$32</f>
        <v>0</v>
      </c>
      <c r="H21" s="98">
        <f>'[2]Rates Schedule'!$G$32</f>
        <v>0</v>
      </c>
      <c r="I21" s="98">
        <f>'[2]Rates Schedule'!$G$32</f>
        <v>0</v>
      </c>
      <c r="J21" s="117">
        <f>'[2]Rates Schedule'!$H$32</f>
        <v>0.42</v>
      </c>
    </row>
    <row r="22" spans="1:10" ht="12.75">
      <c r="A22" s="246"/>
      <c r="B22" s="17" t="s">
        <v>26</v>
      </c>
      <c r="C22" s="97">
        <f>'[2]Rates Schedule'!$C$30</f>
        <v>2.2596420409985956</v>
      </c>
      <c r="D22" s="97">
        <f>'[2]Rates Schedule'!$C$30</f>
        <v>2.2596420409985956</v>
      </c>
      <c r="E22" s="97">
        <f>'[2]Rates Schedule'!$D$30</f>
        <v>2.2678</v>
      </c>
      <c r="F22" s="97">
        <f>'[2]Rates Schedule'!$E$30</f>
        <v>2.2429</v>
      </c>
      <c r="G22" s="97">
        <f>'[2]Rates Schedule'!$F$30</f>
        <v>2.2449</v>
      </c>
      <c r="H22" s="97">
        <f>'[2]Rates Schedule'!$G$30</f>
        <v>2.2046</v>
      </c>
      <c r="I22" s="97">
        <f>'[2]Rates Schedule'!$G$30</f>
        <v>2.2046</v>
      </c>
      <c r="J22" s="118">
        <f>'[2]Rates Schedule'!$H$30</f>
        <v>11.443</v>
      </c>
    </row>
    <row r="23" spans="1:10" ht="12.75">
      <c r="A23" s="247"/>
      <c r="B23" s="119" t="s">
        <v>23</v>
      </c>
      <c r="C23" s="99">
        <f>'[2]Rates Schedule'!$C$31</f>
        <v>0</v>
      </c>
      <c r="D23" s="99">
        <f>'[2]Rates Schedule'!$C$31</f>
        <v>0</v>
      </c>
      <c r="E23" s="99">
        <f>'[2]Rates Schedule'!$D$31</f>
        <v>0</v>
      </c>
      <c r="F23" s="99">
        <f>'[2]Rates Schedule'!$E$31</f>
        <v>0</v>
      </c>
      <c r="G23" s="99">
        <f>'[2]Rates Schedule'!$F$31</f>
        <v>0</v>
      </c>
      <c r="H23" s="99">
        <f>'[2]Rates Schedule'!$G$31</f>
        <v>0</v>
      </c>
      <c r="I23" s="99">
        <f>'[2]Rates Schedule'!$G$31</f>
        <v>0</v>
      </c>
      <c r="J23" s="120">
        <f>'[2]Rates Schedule'!$H$31</f>
        <v>0</v>
      </c>
    </row>
    <row r="24" spans="1:10" ht="12.75">
      <c r="A24" s="227" t="s">
        <v>5</v>
      </c>
      <c r="B24" s="116" t="s">
        <v>22</v>
      </c>
      <c r="C24" s="98">
        <f>'[2]Rates Schedule'!$C$24</f>
        <v>20.664979496327238</v>
      </c>
      <c r="D24" s="98">
        <f>'[2]Rates Schedule'!$C$24</f>
        <v>20.664979496327238</v>
      </c>
      <c r="E24" s="98">
        <f>'[2]Rates Schedule'!$D$24</f>
        <v>20.73</v>
      </c>
      <c r="F24" s="98">
        <f>'[2]Rates Schedule'!$E$24</f>
        <v>20.5</v>
      </c>
      <c r="G24" s="98">
        <f>'[2]Rates Schedule'!$F$24</f>
        <v>20.52</v>
      </c>
      <c r="H24" s="98">
        <f>'[2]Rates Schedule'!$G$24</f>
        <v>20.15</v>
      </c>
      <c r="I24" s="98">
        <f>'[2]Rates Schedule'!$G$24</f>
        <v>20.15</v>
      </c>
      <c r="J24" s="98"/>
    </row>
    <row r="25" spans="1:10" ht="12.75">
      <c r="A25" s="227"/>
      <c r="B25" s="17" t="s">
        <v>30</v>
      </c>
      <c r="C25" s="97"/>
      <c r="D25" s="97"/>
      <c r="E25" s="97"/>
      <c r="F25" s="97"/>
      <c r="G25" s="97"/>
      <c r="H25" s="97"/>
      <c r="I25" s="97"/>
      <c r="J25" s="199">
        <f>+'[2]Rates Schedule'!$H$24</f>
        <v>1</v>
      </c>
    </row>
    <row r="26" spans="1:10" ht="12.75">
      <c r="A26" s="224"/>
      <c r="B26" s="119" t="s">
        <v>23</v>
      </c>
      <c r="C26" s="99">
        <f>'[2]Rates Schedule'!$C$23</f>
        <v>0.018248582370842203</v>
      </c>
      <c r="D26" s="99">
        <f>'[2]Rates Schedule'!$C$23</f>
        <v>0.018248582370842203</v>
      </c>
      <c r="E26" s="99">
        <f>'[2]Rates Schedule'!$D$23</f>
        <v>0.0183</v>
      </c>
      <c r="F26" s="99">
        <f>'[2]Rates Schedule'!$E$23</f>
        <v>0.0181</v>
      </c>
      <c r="G26" s="99">
        <f>'[2]Rates Schedule'!$F$23</f>
        <v>0.0181</v>
      </c>
      <c r="H26" s="99">
        <f>'[2]Rates Schedule'!$G$23</f>
        <v>0.0178</v>
      </c>
      <c r="I26" s="99">
        <f>'[2]Rates Schedule'!$G$23</f>
        <v>0.0178</v>
      </c>
      <c r="J26" s="99">
        <f>'[2]Rates Schedule'!$H$23</f>
        <v>0.0185</v>
      </c>
    </row>
    <row r="27" spans="1:10" s="6" customFormat="1" ht="12.75">
      <c r="A27" s="208"/>
      <c r="B27" s="208"/>
      <c r="C27" s="208"/>
      <c r="D27" s="208"/>
      <c r="E27" s="208"/>
      <c r="F27" s="208"/>
      <c r="G27" s="208"/>
      <c r="H27" s="208"/>
      <c r="I27" s="208"/>
      <c r="J27" s="208"/>
    </row>
    <row r="28" spans="1:10" ht="50.25" customHeight="1">
      <c r="A28" s="240" t="s">
        <v>121</v>
      </c>
      <c r="B28" s="240"/>
      <c r="C28" s="240"/>
      <c r="D28" s="240"/>
      <c r="E28" s="240"/>
      <c r="F28" s="240"/>
      <c r="G28" s="240"/>
      <c r="H28" s="240"/>
      <c r="I28" s="240"/>
      <c r="J28" s="240"/>
    </row>
    <row r="29" spans="1:10" ht="18" customHeight="1">
      <c r="A29" s="237"/>
      <c r="B29" s="237"/>
      <c r="C29" s="237"/>
      <c r="D29" s="237"/>
      <c r="E29" s="237"/>
      <c r="F29" s="237"/>
      <c r="G29" s="237"/>
      <c r="H29" s="237"/>
      <c r="I29" s="237"/>
      <c r="J29" s="237"/>
    </row>
    <row r="30" spans="1:10" ht="38.25">
      <c r="A30" s="22" t="s">
        <v>20</v>
      </c>
      <c r="B30" s="13" t="s">
        <v>21</v>
      </c>
      <c r="C30" s="22" t="s">
        <v>40</v>
      </c>
      <c r="D30" s="13" t="s">
        <v>40</v>
      </c>
      <c r="E30" s="13" t="s">
        <v>78</v>
      </c>
      <c r="F30" s="13" t="s">
        <v>41</v>
      </c>
      <c r="G30" s="13" t="s">
        <v>76</v>
      </c>
      <c r="H30" s="13" t="s">
        <v>77</v>
      </c>
      <c r="I30" s="13"/>
      <c r="J30" s="13" t="s">
        <v>88</v>
      </c>
    </row>
    <row r="31" spans="1:10" ht="12.75">
      <c r="A31" s="66" t="s">
        <v>2</v>
      </c>
      <c r="B31" s="69" t="s">
        <v>23</v>
      </c>
      <c r="C31" s="101">
        <f>+'[2]Charges'!D11</f>
        <v>2.84679957692845E-05</v>
      </c>
      <c r="D31" s="101">
        <v>0</v>
      </c>
      <c r="E31" s="100">
        <f>'[2]Charges'!$E$11</f>
        <v>0</v>
      </c>
      <c r="F31" s="100">
        <f>'[2]Charges'!$F$11</f>
        <v>0</v>
      </c>
      <c r="G31" s="100">
        <f>'[2]Charges'!$G$11</f>
        <v>0</v>
      </c>
      <c r="H31" s="100">
        <f>'[2]Charges'!$H$11</f>
        <v>0</v>
      </c>
      <c r="I31" s="100"/>
      <c r="J31" s="100">
        <f>'[2]Charges'!$I$11</f>
        <v>0</v>
      </c>
    </row>
    <row r="32" spans="1:10" ht="12.75">
      <c r="A32" s="67" t="s">
        <v>24</v>
      </c>
      <c r="B32" s="70" t="s">
        <v>23</v>
      </c>
      <c r="C32" s="101">
        <f>+'[2]Charges'!D12</f>
        <v>2.65558769878025E-05</v>
      </c>
      <c r="D32" s="101">
        <v>0</v>
      </c>
      <c r="E32" s="101">
        <f>'[2]Charges'!$E$12</f>
        <v>0</v>
      </c>
      <c r="F32" s="101">
        <f>'[2]Charges'!$F$12</f>
        <v>0</v>
      </c>
      <c r="G32" s="101">
        <f>'[2]Charges'!$G$12</f>
        <v>0</v>
      </c>
      <c r="H32" s="101">
        <f>'[2]Charges'!$H$12</f>
        <v>0</v>
      </c>
      <c r="I32" s="101"/>
      <c r="J32" s="101">
        <f>'[2]Charges'!$I$12</f>
        <v>0</v>
      </c>
    </row>
    <row r="33" spans="1:10" ht="12.75">
      <c r="A33" s="67" t="s">
        <v>25</v>
      </c>
      <c r="B33" s="70" t="s">
        <v>86</v>
      </c>
      <c r="C33" s="101">
        <f>+'[2]Charges'!D13</f>
        <v>0.010408800795998825</v>
      </c>
      <c r="D33" s="101">
        <v>0.0104</v>
      </c>
      <c r="E33" s="101">
        <f>'[2]Charges'!$E$13</f>
        <v>0.0105</v>
      </c>
      <c r="F33" s="101">
        <f>'[2]Charges'!$F$13</f>
        <v>0.0106</v>
      </c>
      <c r="G33" s="101">
        <f>'[2]Charges'!$G$13</f>
        <v>0.0107</v>
      </c>
      <c r="H33" s="101">
        <f>'[2]Charges'!$H$13</f>
        <v>0.0107</v>
      </c>
      <c r="I33" s="101"/>
      <c r="J33" s="101">
        <f>'[2]Charges'!$I$13</f>
        <v>0</v>
      </c>
    </row>
    <row r="34" spans="1:10" ht="12.75">
      <c r="A34" s="67" t="s">
        <v>85</v>
      </c>
      <c r="B34" s="70" t="s">
        <v>86</v>
      </c>
      <c r="C34" s="101">
        <f>+'[2]Charges'!D14</f>
        <v>0.012085607824809781</v>
      </c>
      <c r="D34" s="101">
        <v>0.0121</v>
      </c>
      <c r="E34" s="101">
        <f>'[2]Charges'!$E$14</f>
        <v>0.0122</v>
      </c>
      <c r="F34" s="101">
        <f>'[2]Charges'!$F$14</f>
        <v>0.0123</v>
      </c>
      <c r="G34" s="101">
        <f>'[2]Charges'!$G$14</f>
        <v>0.0124</v>
      </c>
      <c r="H34" s="101">
        <f>'[2]Charges'!$H$14</f>
        <v>0.0124</v>
      </c>
      <c r="I34" s="101"/>
      <c r="J34" s="101">
        <f>'[2]Charges'!$I$14</f>
        <v>0</v>
      </c>
    </row>
    <row r="35" spans="1:10" ht="12.75">
      <c r="A35" s="67" t="s">
        <v>28</v>
      </c>
      <c r="B35" s="70" t="s">
        <v>86</v>
      </c>
      <c r="C35" s="101">
        <f>+'[2]Charges'!D15</f>
        <v>0.01448395041459454</v>
      </c>
      <c r="D35" s="101">
        <v>0.0145</v>
      </c>
      <c r="E35" s="101">
        <f>'[2]Charges'!$E$15</f>
        <v>0.0146</v>
      </c>
      <c r="F35" s="101">
        <f>'[2]Charges'!$F$15</f>
        <v>0.0147</v>
      </c>
      <c r="G35" s="101">
        <f>'[2]Charges'!$G$15</f>
        <v>0.0149</v>
      </c>
      <c r="H35" s="101">
        <f>'[2]Charges'!$H$15</f>
        <v>0.0149</v>
      </c>
      <c r="I35" s="101"/>
      <c r="J35" s="101">
        <f>'[2]Charges'!$I$15</f>
        <v>0</v>
      </c>
    </row>
    <row r="36" spans="1:10" ht="12.75">
      <c r="A36" s="67" t="s">
        <v>29</v>
      </c>
      <c r="B36" s="70" t="s">
        <v>86</v>
      </c>
      <c r="C36" s="101">
        <f>+'[2]Charges'!D16</f>
        <v>0.008861485444625528</v>
      </c>
      <c r="D36" s="101">
        <v>0.0089</v>
      </c>
      <c r="E36" s="101">
        <f>'[2]Charges'!$E$16</f>
        <v>0.009</v>
      </c>
      <c r="F36" s="101">
        <f>'[2]Charges'!$F$16</f>
        <v>0.009099999999999999</v>
      </c>
      <c r="G36" s="101">
        <f>'[2]Charges'!$G$16</f>
        <v>0.009199999999999998</v>
      </c>
      <c r="H36" s="101">
        <f>'[2]Charges'!$H$16</f>
        <v>0.009199999999999998</v>
      </c>
      <c r="I36" s="101"/>
      <c r="J36" s="101">
        <f>'[2]Charges'!$I$16</f>
        <v>0</v>
      </c>
    </row>
    <row r="37" spans="1:10" ht="12.75">
      <c r="A37" s="68" t="s">
        <v>5</v>
      </c>
      <c r="B37" s="71" t="s">
        <v>23</v>
      </c>
      <c r="C37" s="102">
        <v>0</v>
      </c>
      <c r="D37" s="102">
        <v>0</v>
      </c>
      <c r="E37" s="102">
        <f>'[2]Charges'!$E$18</f>
        <v>0</v>
      </c>
      <c r="F37" s="102">
        <f>'[2]Charges'!$F$18</f>
        <v>0</v>
      </c>
      <c r="G37" s="102">
        <f>'[2]Charges'!$G$18</f>
        <v>0</v>
      </c>
      <c r="H37" s="102">
        <f>'[2]Charges'!$H$18</f>
        <v>0</v>
      </c>
      <c r="I37" s="102"/>
      <c r="J37" s="102">
        <f>'[2]Charges'!$I$18</f>
        <v>0</v>
      </c>
    </row>
  </sheetData>
  <sheetProtection/>
  <mergeCells count="13">
    <mergeCell ref="A27:J27"/>
    <mergeCell ref="A29:J29"/>
    <mergeCell ref="A1:J1"/>
    <mergeCell ref="A2:J2"/>
    <mergeCell ref="A28:J28"/>
    <mergeCell ref="A3:B3"/>
    <mergeCell ref="C3:J3"/>
    <mergeCell ref="A5:A6"/>
    <mergeCell ref="A7:A8"/>
    <mergeCell ref="A9:A12"/>
    <mergeCell ref="A17:A20"/>
    <mergeCell ref="A21:A23"/>
    <mergeCell ref="A24:A26"/>
  </mergeCells>
  <printOptions/>
  <pageMargins left="0.75" right="0.75" top="1" bottom="1" header="0.5" footer="0.5"/>
  <pageSetup blackAndWhite="1" fitToHeight="1" fitToWidth="1" horizontalDpi="355" verticalDpi="355"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Hamilton Utilities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dgapic</cp:lastModifiedBy>
  <cp:lastPrinted>2010-06-25T17:52:03Z</cp:lastPrinted>
  <dcterms:created xsi:type="dcterms:W3CDTF">2007-07-16T14:07:09Z</dcterms:created>
  <dcterms:modified xsi:type="dcterms:W3CDTF">2010-10-04T14:16:27Z</dcterms:modified>
  <cp:category/>
  <cp:version/>
  <cp:contentType/>
  <cp:contentStatus/>
</cp:coreProperties>
</file>