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5" yWindow="45" windowWidth="6405" windowHeight="9045" tabRatio="775" activeTab="2"/>
  </bookViews>
  <sheets>
    <sheet name="REGINFO" sheetId="1" r:id="rId1"/>
    <sheet name="TAXCAL2002INI" sheetId="2" r:id="rId2"/>
    <sheet name="TAXREC 2002" sheetId="3" r:id="rId3"/>
  </sheets>
  <definedNames>
    <definedName name="_xlnm.Print_Area" localSheetId="0">'REGINFO'!$A$1:$D$56</definedName>
    <definedName name="_xlnm.Print_Area" localSheetId="1">'TAXCAL2002INI'!$A$1:$C$88</definedName>
    <definedName name="_xlnm.Print_Area" localSheetId="2">'TAXREC 2002'!$A$1:$F$320</definedName>
    <definedName name="_xlnm.Print_Titles" localSheetId="0">'REGINFO'!$A:$A,'REGINFO'!$1:$6</definedName>
    <definedName name="_xlnm.Print_Titles" localSheetId="1">'TAXCAL2002INI'!$A:$A,'TAXCAL2002INI'!$1:$5</definedName>
    <definedName name="_xlnm.Print_Titles" localSheetId="2">'TAXREC 2002'!$A:$A,'TAXREC 2002'!$1:$6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<sst xmlns="http://schemas.openxmlformats.org/spreadsheetml/2006/main" count="646" uniqueCount="456">
  <si>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</si>
  <si>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</si>
  <si>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</si>
  <si>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</si>
  <si>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</si>
  <si>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</si>
  <si>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</si>
  <si>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</si>
  <si>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</si>
  <si>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</si>
  <si>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</si>
  <si>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</si>
  <si>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</si>
  <si>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</si>
  <si>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</si>
  <si>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</si>
  <si>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</si>
  <si>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</si>
  <si>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</si>
  <si>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</si>
  <si>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</si>
  <si>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</si>
  <si>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</si>
  <si>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</si>
  <si>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</si>
  <si>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</si>
  <si>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</si>
  <si>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</si>
  <si>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</si>
  <si>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</si>
  <si>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</si>
  <si>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</si>
  <si>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</si>
  <si>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</si>
  <si>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</si>
  <si>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</si>
  <si>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</si>
  <si>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</si>
  <si>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</si>
  <si>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</si>
  <si>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</si>
  <si>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</si>
  <si>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</si>
  <si>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</si>
  <si>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</si>
  <si>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</si>
  <si>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</si>
  <si>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</si>
  <si>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</si>
  <si>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</si>
  <si>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</si>
  <si>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</si>
  <si>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</si>
  <si>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</si>
  <si>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</si>
  <si>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</si>
  <si>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</si>
  <si>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</si>
  <si>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</si>
  <si>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</si>
  <si>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</si>
  <si>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</si>
  <si>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</si>
  <si>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</si>
  <si>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</si>
  <si>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</si>
  <si>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</si>
  <si>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</si>
  <si>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</si>
  <si>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</si>
  <si>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</si>
  <si>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</si>
  <si>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</si>
  <si>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</si>
  <si>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</si>
  <si>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</si>
  <si>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</si>
  <si>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</si>
  <si>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</si>
  <si>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</si>
  <si>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</si>
  <si>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</si>
  <si>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</si>
  <si>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</si>
  <si>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</si>
  <si>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</si>
  <si>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</si>
  <si>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</si>
  <si>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</si>
  <si>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</si>
  <si>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</si>
  <si>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</si>
  <si>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</si>
  <si>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</si>
  <si>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</si>
  <si>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</si>
  <si>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</si>
  <si>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</si>
  <si>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</si>
  <si>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</si>
  <si>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</si>
  <si>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</si>
  <si>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</si>
  <si>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</si>
  <si>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</si>
  <si>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</si>
  <si>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</si>
  <si>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</si>
  <si>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</si>
  <si>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</si>
  <si>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</si>
  <si>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</si>
  <si>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</si>
  <si>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</si>
  <si>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</si>
  <si>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</si>
  <si>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</si>
  <si>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</si>
  <si>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</si>
  <si>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</si>
  <si>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</si>
  <si>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</si>
  <si>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</si>
  <si>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</si>
  <si>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</si>
  <si>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</si>
  <si>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</si>
  <si>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</si>
  <si>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</si>
  <si>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</si>
  <si>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</si>
  <si>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</si>
  <si>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</si>
  <si>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</si>
  <si>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</si>
  <si>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</si>
  <si>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</si>
  <si>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</si>
  <si>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</si>
  <si>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</si>
  <si>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</si>
  <si>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</si>
  <si>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</si>
  <si>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</si>
  <si>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</si>
  <si>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</si>
  <si>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</si>
  <si>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</si>
  <si>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</si>
  <si>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</si>
  <si>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</si>
  <si>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</si>
  <si>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</si>
  <si>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</si>
  <si>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</si>
  <si>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</si>
  <si>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</si>
  <si>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</si>
  <si>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</si>
  <si>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</si>
  <si>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</si>
  <si>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</si>
  <si>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</si>
  <si>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</si>
  <si>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</si>
  <si>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</si>
  <si>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</si>
  <si>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</si>
  <si>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</si>
  <si>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</si>
  <si>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</si>
  <si>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</si>
  <si>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</si>
  <si>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</si>
  <si>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</si>
  <si>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</si>
  <si>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</si>
  <si>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</si>
  <si>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</si>
  <si>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</si>
  <si>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</si>
  <si>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</si>
  <si>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</si>
  <si>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</si>
  <si>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</si>
  <si>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</si>
  <si>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</si>
  <si>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</si>
  <si>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</si>
  <si>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</si>
  <si>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</si>
  <si>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</si>
  <si>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</si>
  <si>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</si>
  <si>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</si>
  <si>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</si>
  <si>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</si>
  <si>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</si>
  <si>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</si>
  <si>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</si>
  <si>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</si>
  <si>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</si>
  <si>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</si>
  <si>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</si>
  <si>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</si>
  <si>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</si>
  <si>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</si>
  <si>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</si>
  <si>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</si>
  <si>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</si>
  <si>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</si>
  <si>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</si>
  <si>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</si>
  <si>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</si>
  <si>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</si>
  <si>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</si>
  <si>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</si>
  <si>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</si>
  <si>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</si>
  <si>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</si>
  <si>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</si>
  <si>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</si>
  <si>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</si>
  <si>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</si>
  <si>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</si>
  <si>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</si>
  <si>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</si>
  <si>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</si>
  <si>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</si>
  <si>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</si>
  <si>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</si>
  <si>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</si>
  <si>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</si>
  <si>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</si>
  <si>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</si>
  <si>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</si>
  <si>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</si>
  <si>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</si>
  <si>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</si>
  <si>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</si>
  <si>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</si>
  <si>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</si>
  <si>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</si>
  <si>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</si>
  <si>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</si>
  <si>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</si>
  <si>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</si>
  <si>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</si>
  <si>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</si>
  <si>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</si>
  <si>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</si>
  <si>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</si>
  <si>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</si>
  <si>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</si>
  <si>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</si>
  <si>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</si>
  <si>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</si>
  <si>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</si>
  <si>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</si>
  <si>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</si>
  <si>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</si>
  <si>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</si>
  <si>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</si>
  <si>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</si>
  <si>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</si>
  <si>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</si>
  <si>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</si>
  <si>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</si>
  <si>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</si>
  <si>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</si>
  <si>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</si>
  <si>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</si>
  <si>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</si>
  <si>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</si>
  <si>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</si>
  <si>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</si>
  <si>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</si>
  <si>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</si>
  <si>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</si>
  <si>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</si>
  <si>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</si>
  <si>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</si>
  <si>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</si>
  <si>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</si>
  <si>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</si>
  <si>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</si>
  <si>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</si>
  <si>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</si>
  <si>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</si>
  <si>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</si>
  <si>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</si>
  <si>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</si>
  <si>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</si>
  <si>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</si>
  <si>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</si>
  <si>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</si>
  <si>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</si>
  <si>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</si>
  <si>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</si>
  <si>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</si>
  <si>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</si>
  <si>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</si>
  <si>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</si>
  <si>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</si>
  <si>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</si>
  <si>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</si>
  <si>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</si>
  <si>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</si>
  <si>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</si>
  <si>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</si>
  <si>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</si>
  <si>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</si>
  <si>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</si>
  <si>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</si>
  <si>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</si>
  <si>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</si>
  <si>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</si>
  <si>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</si>
  <si>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</si>
  <si>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</si>
  <si>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</si>
  <si>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</si>
  <si>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</si>
  <si>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</si>
  <si>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</si>
  <si>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</si>
  <si>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</si>
  <si>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</si>
  <si>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</si>
  <si>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</si>
  <si>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</si>
  <si>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</si>
  <si>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</si>
  <si>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</si>
  <si>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</si>
  <si>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</si>
  <si>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</si>
  <si>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</si>
  <si>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</si>
  <si>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</si>
  <si>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</si>
  <si>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</si>
  <si>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</si>
  <si>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</si>
  <si>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</si>
  <si>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</si>
  <si>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</si>
  <si>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</si>
  <si>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</si>
  <si>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</si>
  <si>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</si>
  <si>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</si>
  <si>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</si>
  <si>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</si>
  <si>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</si>
  <si>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</si>
  <si>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</si>
  <si>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</si>
  <si>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</si>
  <si>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</si>
  <si>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</si>
  <si>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</si>
  <si>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</si>
  <si>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</si>
  <si>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</si>
  <si>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</si>
  <si>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</si>
  <si>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</si>
  <si>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</si>
  <si>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</si>
  <si>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</si>
  <si>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</si>
  <si>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</si>
  <si>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</si>
  <si>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</si>
  <si>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</si>
  <si>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</si>
  <si>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</si>
  <si>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</si>
  <si>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</si>
  <si>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</si>
  <si>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</si>
  <si>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</si>
  <si>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</si>
  <si>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</si>
  <si>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</si>
  <si>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</si>
  <si>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</si>
  <si>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</si>
  <si>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</si>
  <si>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</si>
  <si>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</si>
  <si>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</si>
  <si>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</si>
  <si>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</si>
  <si>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</si>
  <si>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</si>
  <si>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</si>
  <si>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</si>
  <si>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</si>
  <si>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</si>
  <si>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</si>
  <si>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</si>
  <si>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</si>
  <si>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</si>
  <si>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</si>
  <si>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</si>
  <si>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</si>
  <si>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</si>
  <si>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</si>
  <si>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</si>
  <si>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</si>
  <si>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</si>
  <si>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</si>
  <si>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</si>
  <si>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</si>
  <si>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</si>
  <si>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</si>
  <si>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</si>
  <si>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</si>
  <si>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</si>
  <si>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</si>
  <si>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</si>
  <si>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</si>
  <si>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</si>
  <si>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</si>
  <si>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</si>
  <si>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</si>
  <si>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</si>
  <si>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</si>
  <si>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</si>
  <si>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</si>
  <si>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</si>
  <si>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</si>
  <si>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</si>
  <si>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</si>
  <si>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</si>
  <si>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</si>
  <si>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</si>
  <si>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</si>
  <si>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</si>
  <si>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</si>
  <si>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</si>
  <si>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</si>
  <si>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</si>
  <si>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</si>
  <si>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</si>
  <si>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</si>
  <si>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</si>
  <si>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</si>
  <si>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</si>
  <si>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</si>
  <si>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Utility Name:  Hydro One Brampton Networks Inc.</t>
  </si>
  <si>
    <t>Y</t>
  </si>
  <si>
    <t>Dec. 31</t>
  </si>
  <si>
    <t>Reporting period: January 1 - December 31,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</si>
</sst>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35">
      <selection activeCell="D39" sqref="D3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452</v>
      </c>
      <c r="C4" s="10"/>
      <c r="D4" s="50" t="s">
        <v>379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453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454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211672968</v>
      </c>
      <c r="H22" s="5"/>
    </row>
    <row r="24" spans="1:8" ht="12.75">
      <c r="A24" t="s">
        <v>394</v>
      </c>
      <c r="D24" s="122">
        <v>0.45</v>
      </c>
      <c r="H24" s="122"/>
    </row>
    <row r="25" ht="12.75">
      <c r="H25" s="114"/>
    </row>
    <row r="26" spans="1:10" ht="12.75">
      <c r="A26" t="s">
        <v>395</v>
      </c>
      <c r="D26" s="123">
        <f>1-D24</f>
        <v>0.55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17560389.42528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7853867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9706522.425280001</v>
      </c>
      <c r="H36" s="125"/>
      <c r="J36" s="5"/>
      <c r="K36" s="5"/>
    </row>
    <row r="37" spans="1:11" ht="12.75">
      <c r="A37" t="s">
        <v>450</v>
      </c>
      <c r="D37" s="125"/>
      <c r="H37" s="125"/>
      <c r="J37" s="5"/>
      <c r="K37" s="5"/>
    </row>
    <row r="38" spans="1:11" ht="12.75">
      <c r="A38" t="s">
        <v>451</v>
      </c>
      <c r="D38" s="125"/>
      <c r="H38" s="125"/>
      <c r="J38" s="5"/>
      <c r="K38" s="5"/>
    </row>
    <row r="39" spans="1:11" ht="12.75">
      <c r="A39" t="s">
        <v>401</v>
      </c>
      <c r="D39" s="125">
        <f>+D36/3</f>
        <v>3235507.4750933335</v>
      </c>
      <c r="F39" s="67"/>
      <c r="H39" s="125"/>
      <c r="J39" s="5"/>
      <c r="K39" s="5"/>
    </row>
    <row r="40" spans="1:11" ht="12.75">
      <c r="A40" t="s">
        <v>402</v>
      </c>
      <c r="D40" s="125">
        <f>D39</f>
        <v>3235507.4750933335</v>
      </c>
      <c r="F40" s="67"/>
      <c r="H40" s="125"/>
      <c r="J40" s="5"/>
      <c r="K40" s="5"/>
    </row>
    <row r="41" spans="1:11" ht="12.75">
      <c r="A41" t="s">
        <v>403</v>
      </c>
      <c r="D41" s="125">
        <f>D39</f>
        <v>3235507.4750933335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95252835.60000001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9410980.15728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116420132.4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8149409.268000001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5146346.6404423015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6647877.954221151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8149409.268000001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48"/>
  <sheetViews>
    <sheetView zoomScalePageLayoutView="0" workbookViewId="0" topLeftCell="B41">
      <selection activeCell="K60" sqref="K60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452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">
        <v>455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11089374+REGINFO!D40</f>
        <v>14324881.475093333</v>
      </c>
      <c r="D15" s="28" t="s">
        <v>141</v>
      </c>
      <c r="E15" s="92">
        <f>+G15-C15</f>
        <v>-14324881.475093333</v>
      </c>
      <c r="F15" s="10"/>
      <c r="G15" s="70"/>
      <c r="H15" s="35" t="s">
        <v>142</v>
      </c>
      <c r="I15" s="92">
        <f>+K15-G15</f>
        <v>13751106.8</v>
      </c>
      <c r="K15" s="100">
        <f>'TAXREC 2002'!E26</f>
        <v>13751106.8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9600202</v>
      </c>
      <c r="D20" s="30" t="s">
        <v>144</v>
      </c>
      <c r="E20" s="92">
        <f aca="true" t="shared" si="0" ref="E20:E28">+G20-C20</f>
        <v>-9600202</v>
      </c>
      <c r="F20" s="5"/>
      <c r="G20" s="70"/>
      <c r="H20" s="39" t="s">
        <v>145</v>
      </c>
      <c r="I20" s="92">
        <f aca="true" t="shared" si="1" ref="I20:I28">+K20-G20</f>
        <v>11800000</v>
      </c>
      <c r="J20" s="5"/>
      <c r="K20" s="100">
        <f>'TAXREC 2002'!E29</f>
        <v>11800000</v>
      </c>
      <c r="L20" s="35" t="s">
        <v>146</v>
      </c>
    </row>
    <row r="21" spans="1:12" ht="12.75">
      <c r="A21" t="s">
        <v>86</v>
      </c>
      <c r="B21" s="10">
        <v>3</v>
      </c>
      <c r="C21" s="64">
        <v>0</v>
      </c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453837.6</v>
      </c>
      <c r="J21" s="5"/>
      <c r="K21" s="100">
        <f>'TAXREC 2002'!E30</f>
        <v>453837.6</v>
      </c>
      <c r="L21" s="35" t="s">
        <v>149</v>
      </c>
    </row>
    <row r="22" spans="1:12" ht="12.75">
      <c r="A22" t="s">
        <v>362</v>
      </c>
      <c r="B22" s="10">
        <v>4</v>
      </c>
      <c r="C22" s="64">
        <v>263000</v>
      </c>
      <c r="D22" s="23" t="s">
        <v>150</v>
      </c>
      <c r="E22" s="92">
        <f t="shared" si="0"/>
        <v>-263000</v>
      </c>
      <c r="F22" s="5"/>
      <c r="G22" s="70"/>
      <c r="H22" s="39" t="s">
        <v>151</v>
      </c>
      <c r="I22" s="92">
        <f t="shared" si="1"/>
        <v>449491.19999999995</v>
      </c>
      <c r="J22" s="5"/>
      <c r="K22" s="100">
        <f>'TAXREC 2002'!E31</f>
        <v>449491.19999999995</v>
      </c>
      <c r="L22" s="35" t="s">
        <v>152</v>
      </c>
    </row>
    <row r="23" spans="1:12" ht="12.75">
      <c r="A23" t="s">
        <v>363</v>
      </c>
      <c r="B23" s="10">
        <v>5</v>
      </c>
      <c r="C23" s="64">
        <v>0</v>
      </c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'TAXREC 2002'!E32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4"/>
      <c r="H24" s="39" t="s">
        <v>158</v>
      </c>
      <c r="I24" s="92">
        <f t="shared" si="1"/>
        <v>908708</v>
      </c>
      <c r="J24" s="5"/>
      <c r="K24" s="100">
        <f>'TAXREC 2002'!E33</f>
        <v>908708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>
        <v>0</v>
      </c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'TAXREC 2002'!E34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>
        <v>0</v>
      </c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'TAXREC 2002'!E35</f>
        <v>0</v>
      </c>
      <c r="L27" s="35" t="s">
        <v>162</v>
      </c>
    </row>
    <row r="28" spans="1:12" ht="12.75">
      <c r="A28" t="s">
        <v>420</v>
      </c>
      <c r="B28" s="10">
        <v>7</v>
      </c>
      <c r="C28" s="64">
        <v>0</v>
      </c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528784</v>
      </c>
      <c r="J28" s="5"/>
      <c r="K28" s="100">
        <f>'TAXREC 2002'!E84</f>
        <v>528784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-7215016</v>
      </c>
      <c r="D30" s="30" t="s">
        <v>163</v>
      </c>
      <c r="E30" s="92">
        <f aca="true" t="shared" si="2" ref="E30:E38">+G30-C30</f>
        <v>7215016</v>
      </c>
      <c r="F30" s="5"/>
      <c r="G30" s="70"/>
      <c r="H30" s="39" t="s">
        <v>164</v>
      </c>
      <c r="I30" s="92">
        <f aca="true" t="shared" si="3" ref="I30:I38">+K30-G30</f>
        <v>-9307200</v>
      </c>
      <c r="J30" s="5"/>
      <c r="K30" s="100">
        <f>'TAXREC 2002'!E89</f>
        <v>-9307200</v>
      </c>
      <c r="L30" s="35" t="s">
        <v>165</v>
      </c>
    </row>
    <row r="31" spans="1:12" ht="12.75">
      <c r="A31" t="s">
        <v>365</v>
      </c>
      <c r="B31" s="10">
        <v>9</v>
      </c>
      <c r="C31" s="64">
        <v>-90000</v>
      </c>
      <c r="D31" s="30" t="s">
        <v>166</v>
      </c>
      <c r="E31" s="92">
        <f t="shared" si="2"/>
        <v>90000</v>
      </c>
      <c r="F31" s="5"/>
      <c r="G31" s="70"/>
      <c r="H31" s="39" t="s">
        <v>167</v>
      </c>
      <c r="I31" s="92">
        <f t="shared" si="3"/>
        <v>-161491.19999999998</v>
      </c>
      <c r="J31" s="5"/>
      <c r="K31" s="100">
        <f>'TAXREC 2002'!E90</f>
        <v>-161491.19999999998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'TAXREC 2002'!E91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'TAXREC 2002'!E92</f>
        <v>0</v>
      </c>
      <c r="L33" s="35" t="s">
        <v>175</v>
      </c>
    </row>
    <row r="34" spans="1:12" ht="12.75">
      <c r="A34" s="110" t="s">
        <v>431</v>
      </c>
      <c r="B34" s="51">
        <v>12</v>
      </c>
      <c r="C34" s="64">
        <f>-REGINFO!D53</f>
        <v>-6647877.954221151</v>
      </c>
      <c r="D34" s="30" t="s">
        <v>176</v>
      </c>
      <c r="E34" s="92">
        <f t="shared" si="2"/>
        <v>6647877.954221151</v>
      </c>
      <c r="F34" s="5"/>
      <c r="G34" s="70"/>
      <c r="H34" s="39" t="s">
        <v>177</v>
      </c>
      <c r="I34" s="92">
        <f t="shared" si="3"/>
        <v>-10200000</v>
      </c>
      <c r="J34" s="5"/>
      <c r="K34" s="100">
        <f>'TAXREC 2002'!E93</f>
        <v>-10200000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'TAXREC 2002'!E94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'TAXREC 2002'!E95</f>
        <v>0</v>
      </c>
      <c r="L37" s="35" t="s">
        <v>181</v>
      </c>
    </row>
    <row r="38" spans="1:12" ht="12.75">
      <c r="A38" t="s">
        <v>419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-222558</v>
      </c>
      <c r="J38" s="5"/>
      <c r="K38" s="100">
        <f>'TAXREC 2002'!E133</f>
        <v>-222558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10235189.520872183</v>
      </c>
      <c r="D40" s="42"/>
      <c r="E40" s="93">
        <f>SUM(E15:E39)</f>
        <v>-10235189.520872183</v>
      </c>
      <c r="F40" s="7"/>
      <c r="G40" s="96">
        <f>SUM(G15:G39)</f>
        <v>0</v>
      </c>
      <c r="H40" s="43"/>
      <c r="I40" s="93">
        <f>SUM(I15:I39)</f>
        <v>8000678.400000002</v>
      </c>
      <c r="J40" s="7"/>
      <c r="K40" s="96">
        <f>SUM(K15:K39)</f>
        <v>8000678.400000002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3952830.192960837</v>
      </c>
      <c r="D47" s="42"/>
      <c r="E47" s="96">
        <f>+G47-C47</f>
        <v>-3952830.192960837</v>
      </c>
      <c r="F47" s="7"/>
      <c r="G47" s="96">
        <f>G40*G44</f>
        <v>0</v>
      </c>
      <c r="H47" s="43"/>
      <c r="I47" s="98">
        <f>K47-G47</f>
        <v>3089861.9980800007</v>
      </c>
      <c r="J47" s="7"/>
      <c r="K47" s="96">
        <f>K40*K44</f>
        <v>3089861.9980800007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3952830.192960837</v>
      </c>
      <c r="D51" s="32"/>
      <c r="E51" s="97">
        <f>+E47-E49</f>
        <v>-3952830.192960837</v>
      </c>
      <c r="F51" s="6"/>
      <c r="G51" s="97">
        <f>+G47-G49</f>
        <v>0</v>
      </c>
      <c r="H51" s="40"/>
      <c r="I51" s="97">
        <f>+I47-I49</f>
        <v>3089861.9980800007</v>
      </c>
      <c r="J51" s="6"/>
      <c r="K51" s="97">
        <f>+K47-K49</f>
        <v>3089861.9980800007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211672968</v>
      </c>
      <c r="D59" s="30" t="s">
        <v>188</v>
      </c>
      <c r="E59" s="92">
        <f>+G59-C59</f>
        <v>-211672968</v>
      </c>
      <c r="F59" s="5"/>
      <c r="G59" s="70"/>
      <c r="H59" s="39" t="s">
        <v>189</v>
      </c>
      <c r="I59" s="92">
        <f>+K59-G59</f>
        <v>257346694.01298878</v>
      </c>
      <c r="J59" s="5"/>
      <c r="K59" s="100">
        <f>'TAXREC 2002'!E228</f>
        <v>257346694.01298878</v>
      </c>
      <c r="L59" s="35" t="s">
        <v>190</v>
      </c>
    </row>
    <row r="60" spans="1:12" ht="12.75">
      <c r="A60" s="4" t="s">
        <v>120</v>
      </c>
      <c r="B60" s="51">
        <v>17</v>
      </c>
      <c r="C60" s="64">
        <v>-100000</v>
      </c>
      <c r="D60" s="30" t="s">
        <v>191</v>
      </c>
      <c r="E60" s="92">
        <f>+G60-C60</f>
        <v>100000</v>
      </c>
      <c r="F60" s="5"/>
      <c r="G60" s="70"/>
      <c r="H60" s="39" t="s">
        <v>192</v>
      </c>
      <c r="I60" s="92">
        <f>+K60-G60</f>
        <v>-146105</v>
      </c>
      <c r="J60" s="5"/>
      <c r="K60" s="100">
        <f>'TAXREC 2002'!E230</f>
        <v>-146105</v>
      </c>
      <c r="L60" s="35" t="s">
        <v>193</v>
      </c>
    </row>
    <row r="61" spans="1:12" ht="12.75">
      <c r="A61" s="4" t="s">
        <v>119</v>
      </c>
      <c r="B61" s="51"/>
      <c r="C61" s="93">
        <f>SUM(C59:C60)</f>
        <v>211572968</v>
      </c>
      <c r="D61" s="42"/>
      <c r="E61" s="98">
        <f>SUM(E59:E60)</f>
        <v>-211572968</v>
      </c>
      <c r="F61" s="7"/>
      <c r="G61" s="96">
        <f>SUM(G59:G60)</f>
        <v>0</v>
      </c>
      <c r="H61" s="43"/>
      <c r="I61" s="98">
        <f>SUM(I59:I60)</f>
        <v>257200589.01298878</v>
      </c>
      <c r="J61" s="7"/>
      <c r="K61" s="96">
        <f>SUM(K59:K60)</f>
        <v>257200589.01298878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634718.904</v>
      </c>
      <c r="D65" s="62"/>
      <c r="E65" s="96">
        <f>+G65-C65</f>
        <v>-634718.904</v>
      </c>
      <c r="F65" s="7"/>
      <c r="G65" s="96">
        <f>+G61*G63</f>
        <v>0</v>
      </c>
      <c r="H65" s="21"/>
      <c r="I65" s="98">
        <f>+K65-G65</f>
        <v>771601.7670389663</v>
      </c>
      <c r="J65" s="7"/>
      <c r="K65" s="96">
        <f>+K61*K63</f>
        <v>771601.7670389663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211672968</v>
      </c>
      <c r="D68" s="30" t="s">
        <v>197</v>
      </c>
      <c r="E68" s="92">
        <f>+G68-C68</f>
        <v>-211672968</v>
      </c>
      <c r="F68" s="8"/>
      <c r="G68" s="70"/>
      <c r="H68" s="39" t="s">
        <v>198</v>
      </c>
      <c r="I68" s="92">
        <f>+K68-G68</f>
        <v>255940984</v>
      </c>
      <c r="J68" s="8"/>
      <c r="K68" s="100">
        <f>'TAXREC 2002'!E299</f>
        <v>255940984</v>
      </c>
      <c r="L68" s="35" t="s">
        <v>199</v>
      </c>
    </row>
    <row r="69" spans="1:12" ht="12.75">
      <c r="A69" s="4" t="s">
        <v>120</v>
      </c>
      <c r="B69" s="51">
        <v>20</v>
      </c>
      <c r="C69" s="64">
        <v>-300000</v>
      </c>
      <c r="D69" s="30" t="s">
        <v>200</v>
      </c>
      <c r="E69" s="92">
        <f>+G69-C69</f>
        <v>300000</v>
      </c>
      <c r="F69" s="8"/>
      <c r="G69" s="70"/>
      <c r="H69" s="39" t="s">
        <v>201</v>
      </c>
      <c r="I69" s="92">
        <f>+K69-G69</f>
        <v>-292306</v>
      </c>
      <c r="J69" s="8"/>
      <c r="K69" s="100">
        <f>'TAXREC 2002'!E301</f>
        <v>-292306</v>
      </c>
      <c r="L69" s="35" t="s">
        <v>202</v>
      </c>
    </row>
    <row r="70" spans="1:12" ht="12.75">
      <c r="A70" s="4" t="s">
        <v>119</v>
      </c>
      <c r="B70" s="51"/>
      <c r="C70" s="93">
        <f>SUM(C68:C69)</f>
        <v>211372968</v>
      </c>
      <c r="D70" s="42"/>
      <c r="E70" s="98">
        <f>SUM(E68:E69)</f>
        <v>-211372968</v>
      </c>
      <c r="F70" s="7"/>
      <c r="G70" s="96">
        <f>SUM(G68:G69)</f>
        <v>0</v>
      </c>
      <c r="H70" s="43"/>
      <c r="I70" s="98">
        <f>SUM(I68:I69)</f>
        <v>255648678</v>
      </c>
      <c r="J70" s="7"/>
      <c r="K70" s="96">
        <f>SUM(K68:K69)</f>
        <v>255648678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475589.17799999996</v>
      </c>
      <c r="D74" s="30"/>
      <c r="E74" s="92">
        <f>+G74-C74</f>
        <v>-475589.17799999996</v>
      </c>
      <c r="F74" s="8"/>
      <c r="G74" s="100">
        <f>+G70*G72</f>
        <v>0</v>
      </c>
      <c r="H74" s="39"/>
      <c r="I74" s="92">
        <f>+K74-G74</f>
        <v>575209.5255</v>
      </c>
      <c r="J74" s="8"/>
      <c r="K74" s="100">
        <f>+K70*K72</f>
        <v>575209.5255</v>
      </c>
      <c r="L74" s="35"/>
    </row>
    <row r="75" spans="1:12" ht="12.75">
      <c r="A75" s="4" t="s">
        <v>103</v>
      </c>
      <c r="B75" s="51">
        <v>22</v>
      </c>
      <c r="C75" s="102">
        <f>(0.0112*C40)*-1</f>
        <v>-114634.12263376845</v>
      </c>
      <c r="D75" s="30" t="s">
        <v>206</v>
      </c>
      <c r="E75" s="92">
        <f>+G75-C75</f>
        <v>114634.12263376845</v>
      </c>
      <c r="F75" s="8"/>
      <c r="G75" s="100">
        <f>(G40*0.0112)*-1</f>
        <v>0</v>
      </c>
      <c r="H75" s="39" t="s">
        <v>207</v>
      </c>
      <c r="I75" s="92">
        <f>+K75-G75</f>
        <v>-89607.59808000003</v>
      </c>
      <c r="J75" s="8"/>
      <c r="K75" s="100">
        <f>(0.0112*K40)*-1</f>
        <v>-89607.59808000003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360955.0553662315</v>
      </c>
      <c r="D77" s="31"/>
      <c r="E77" s="96">
        <f>SUM(E74:E76)</f>
        <v>-360955.0553662315</v>
      </c>
      <c r="F77" s="7"/>
      <c r="G77" s="96">
        <f>SUM(G74:G76)</f>
        <v>0</v>
      </c>
      <c r="H77" s="21"/>
      <c r="I77" s="98">
        <f>SUM(I74:I76)</f>
        <v>485601.92741999996</v>
      </c>
      <c r="J77" s="63"/>
      <c r="K77" s="96">
        <f>SUM(K74:K76)</f>
        <v>485601.92741999996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6324528.308737339</v>
      </c>
      <c r="D82" s="30" t="s">
        <v>209</v>
      </c>
      <c r="E82" s="92">
        <f>+G82-C82</f>
        <v>-6324528.308737339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577528.0885859703</v>
      </c>
      <c r="D83" s="30" t="s">
        <v>211</v>
      </c>
      <c r="E83" s="92">
        <f>+G83-C83</f>
        <v>-577528.0885859703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634718.904</v>
      </c>
      <c r="D84" s="30" t="s">
        <v>213</v>
      </c>
      <c r="E84" s="92">
        <f>+G84-C84</f>
        <v>-634718.904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7536775.30132331</v>
      </c>
      <c r="D87" s="41"/>
      <c r="E87" s="99">
        <f>SUM(E82:E85)</f>
        <v>-7536775.30132331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449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449491.19999999995</v>
      </c>
      <c r="J98" s="120" t="s">
        <v>425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908708</v>
      </c>
      <c r="J100" s="120" t="s">
        <v>425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-161491.19999999998</v>
      </c>
      <c r="J105" s="120" t="s">
        <v>425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-2050590.731999999</v>
      </c>
      <c r="J108" s="120" t="s">
        <v>427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-853882.7319999991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-REGINFO!D49</f>
        <v>-8149409.268000001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-8149409.268000001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-10200000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8149409.268000001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-2050590.731999999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-2050590.731999999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-10200000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97" right="0.18" top="0.7" bottom="0.34" header="0.5" footer="0.41"/>
  <pageSetup fitToHeight="3" fitToWidth="1" horizontalDpi="600" verticalDpi="600" orientation="portrait" scale="89" r:id="rId1"/>
  <rowBreaks count="2" manualBreakCount="2">
    <brk id="54" max="2" man="1"/>
    <brk id="9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tabSelected="1" zoomScalePageLayoutView="0" workbookViewId="0" topLeftCell="A206">
      <selection activeCell="C230" sqref="C230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452</v>
      </c>
      <c r="B7" s="45"/>
      <c r="C7" s="82"/>
      <c r="D7" s="82"/>
      <c r="E7" s="82"/>
      <c r="F7" s="45"/>
      <c r="G7" s="3"/>
      <c r="H7" s="3"/>
    </row>
    <row r="8" spans="1:8" ht="12.75">
      <c r="A8" t="s">
        <v>455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41500000</v>
      </c>
      <c r="D15" s="128"/>
      <c r="E15" s="129">
        <f>+C15+D15</f>
        <v>41500000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f>725000+739000</f>
        <v>1464000</v>
      </c>
      <c r="D16" s="128">
        <v>-400000</v>
      </c>
      <c r="E16" s="129">
        <f aca="true" t="shared" si="0" ref="E16:E24">+C16+D16</f>
        <v>1064000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f>-(423500+2786000+1280000+3645500+325000)</f>
        <v>-8460000</v>
      </c>
      <c r="D18" s="128"/>
      <c r="E18" s="129">
        <f t="shared" si="0"/>
        <v>-8460000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>
        <f>-(530000+3600000+320000+210000+600000+190000+1255000)</f>
        <v>-6705000</v>
      </c>
      <c r="D20" s="128"/>
      <c r="E20" s="129">
        <f t="shared" si="0"/>
        <v>-6705000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-11800000</v>
      </c>
      <c r="D21" s="128"/>
      <c r="E21" s="129">
        <f t="shared" si="0"/>
        <v>-11800000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>
        <v>-617802</v>
      </c>
      <c r="D22" s="128"/>
      <c r="E22" s="129">
        <f t="shared" si="0"/>
        <v>-617802</v>
      </c>
      <c r="F22" s="13"/>
      <c r="G22" s="13"/>
      <c r="H22" s="8"/>
    </row>
    <row r="23" spans="1:8" ht="12.75">
      <c r="A23" s="4" t="s">
        <v>89</v>
      </c>
      <c r="B23" s="80">
        <v>8</v>
      </c>
      <c r="C23" s="158">
        <f>-(323439/(0.416666666666667))</f>
        <v>-776253.6</v>
      </c>
      <c r="D23" s="128"/>
      <c r="E23" s="129">
        <f t="shared" si="0"/>
        <v>-776253.6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58">
        <f>-(189099/(0.416666666666667))</f>
        <v>-453837.6</v>
      </c>
      <c r="D24" s="128"/>
      <c r="E24" s="129">
        <f t="shared" si="0"/>
        <v>-453837.6</v>
      </c>
      <c r="F24" s="13"/>
      <c r="G24" s="13" t="s">
        <v>358</v>
      </c>
      <c r="H24" s="90">
        <f>-C316</f>
        <v>-491299.45702</v>
      </c>
      <c r="I24" s="89">
        <f>-D316</f>
        <v>-4480</v>
      </c>
      <c r="J24" s="89">
        <f>-E316</f>
        <v>-485601.92741999996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14151106.8</v>
      </c>
      <c r="D26" s="131">
        <f>SUM(D15:D25)</f>
        <v>-400000</v>
      </c>
      <c r="E26" s="132">
        <f>SUM(E15:E25)</f>
        <v>13751106.8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11800000</v>
      </c>
      <c r="D29" s="134">
        <f>-D21</f>
        <v>0</v>
      </c>
      <c r="E29" s="129">
        <f aca="true" t="shared" si="1" ref="E29:E35">+C29+D29</f>
        <v>11800000</v>
      </c>
      <c r="F29" s="10" t="s">
        <v>146</v>
      </c>
    </row>
    <row r="30" spans="1:6" ht="12.75">
      <c r="A30" t="s">
        <v>86</v>
      </c>
      <c r="B30" s="10"/>
      <c r="C30" s="134">
        <f>-C24</f>
        <v>453837.6</v>
      </c>
      <c r="D30" s="134">
        <f>-D24</f>
        <v>0</v>
      </c>
      <c r="E30" s="129">
        <f t="shared" si="1"/>
        <v>453837.6</v>
      </c>
      <c r="F30" s="10" t="s">
        <v>149</v>
      </c>
    </row>
    <row r="31" spans="1:6" ht="12.75">
      <c r="A31" t="s">
        <v>19</v>
      </c>
      <c r="B31" s="10"/>
      <c r="C31" s="159">
        <f>187288/(5/12)</f>
        <v>449491.19999999995</v>
      </c>
      <c r="D31" s="133"/>
      <c r="E31" s="129">
        <f t="shared" si="1"/>
        <v>449491.19999999995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v>908708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12703328.799999999</v>
      </c>
      <c r="D36" s="136">
        <f>SUM(D29:D35)</f>
        <v>0</v>
      </c>
      <c r="E36" s="137">
        <f>SUM(E29:E35)</f>
        <v>13612036.799999999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25000</v>
      </c>
      <c r="D41" s="67"/>
      <c r="E41" s="129">
        <f t="shared" si="2"/>
        <v>25000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>
        <v>44180</v>
      </c>
      <c r="D68" s="67"/>
      <c r="E68" s="129">
        <f t="shared" si="2"/>
        <v>44180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>
        <v>2000</v>
      </c>
      <c r="D71" s="67"/>
      <c r="E71" s="129">
        <f t="shared" si="2"/>
        <v>2000</v>
      </c>
      <c r="F71" s="10" t="s">
        <v>162</v>
      </c>
    </row>
    <row r="72" spans="1:6" ht="12.75">
      <c r="A72" t="s">
        <v>49</v>
      </c>
      <c r="C72" s="157">
        <v>229306</v>
      </c>
      <c r="D72" s="67"/>
      <c r="E72" s="129">
        <f t="shared" si="2"/>
        <v>229306</v>
      </c>
      <c r="F72" s="10" t="s">
        <v>162</v>
      </c>
    </row>
    <row r="73" spans="1:6" ht="12.75">
      <c r="A73" t="s">
        <v>50</v>
      </c>
      <c r="C73" s="67">
        <v>228298</v>
      </c>
      <c r="D73" s="67"/>
      <c r="E73" s="129">
        <f t="shared" si="2"/>
        <v>228298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326</v>
      </c>
      <c r="C84" s="138">
        <f>SUM(C38:C82)</f>
        <v>528784</v>
      </c>
      <c r="D84" s="139">
        <f>SUM(D38:D82)</f>
        <v>0</v>
      </c>
      <c r="E84" s="140">
        <f>SUM(E38:E82)</f>
        <v>528784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13232112.799999999</v>
      </c>
      <c r="D86" s="139">
        <f>D36+D84</f>
        <v>0</v>
      </c>
      <c r="E86" s="140">
        <f>E36+E84</f>
        <v>14140820.799999999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f>-(3878000/(0.416666666666667))</f>
        <v>-9307200</v>
      </c>
      <c r="D89" s="67"/>
      <c r="E89" s="129">
        <f aca="true" t="shared" si="3" ref="E89:E95">+C89+D89</f>
        <v>-9307200</v>
      </c>
      <c r="F89" s="10" t="s">
        <v>165</v>
      </c>
    </row>
    <row r="90" spans="1:6" ht="12.75">
      <c r="A90" t="s">
        <v>59</v>
      </c>
      <c r="B90" s="10"/>
      <c r="C90" s="67">
        <f>-67288/(0.416666666666667)</f>
        <v>-161491.19999999998</v>
      </c>
      <c r="D90" s="67"/>
      <c r="E90" s="129">
        <f t="shared" si="3"/>
        <v>-161491.19999999998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>
        <v>-10200000</v>
      </c>
      <c r="D93" s="67"/>
      <c r="E93" s="129">
        <f t="shared" si="3"/>
        <v>-10200000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-19668691.2</v>
      </c>
      <c r="D96" s="139">
        <f>SUM(D89:D95)</f>
        <v>0</v>
      </c>
      <c r="E96" s="140">
        <f>SUM(E89:E95)</f>
        <v>-19668691.2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>
        <v>-44180</v>
      </c>
      <c r="D110" s="67"/>
      <c r="E110" s="129">
        <f t="shared" si="4"/>
        <v>-44180</v>
      </c>
      <c r="F110" s="10" t="s">
        <v>181</v>
      </c>
    </row>
    <row r="111" spans="1:6" ht="12.75">
      <c r="A111" t="s">
        <v>69</v>
      </c>
      <c r="B111" s="10"/>
      <c r="C111" s="67">
        <v>-179878</v>
      </c>
      <c r="D111" s="67"/>
      <c r="E111" s="129">
        <f t="shared" si="4"/>
        <v>-179878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>
        <f>2000*0.75</f>
        <v>1500</v>
      </c>
      <c r="D122" s="67"/>
      <c r="E122" s="129">
        <f t="shared" si="4"/>
        <v>1500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-222558</v>
      </c>
      <c r="D133" s="139">
        <f>SUM(D97:D132)</f>
        <v>0</v>
      </c>
      <c r="E133" s="140">
        <f>SUM(E97:E132)</f>
        <v>-222558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-19891249.2</v>
      </c>
      <c r="D135" s="139">
        <f>D96+D133</f>
        <v>0</v>
      </c>
      <c r="E135" s="140">
        <f>+E96+E133</f>
        <v>-19891249.2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7491970.400000002</v>
      </c>
      <c r="D138" s="142">
        <f>D26+D86+D135</f>
        <v>-400000</v>
      </c>
      <c r="E138" s="143">
        <f>E26+E86+E135</f>
        <v>8000678.400000002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157">
        <v>52970556</v>
      </c>
      <c r="D148" s="67"/>
      <c r="E148" s="129">
        <f aca="true" t="shared" si="5" ref="E148:E163">+C148+D148</f>
        <v>52970556</v>
      </c>
      <c r="F148" s="10"/>
    </row>
    <row r="149" spans="1:6" ht="12.75">
      <c r="A149" t="s">
        <v>221</v>
      </c>
      <c r="B149" s="10"/>
      <c r="C149" s="157">
        <v>9910847</v>
      </c>
      <c r="D149" s="67"/>
      <c r="E149" s="129">
        <f t="shared" si="5"/>
        <v>9910847</v>
      </c>
      <c r="F149" s="10"/>
    </row>
    <row r="150" spans="1:6" ht="12.75">
      <c r="A150" t="s">
        <v>222</v>
      </c>
      <c r="B150" s="10"/>
      <c r="C150" s="15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157">
        <v>60059581</v>
      </c>
      <c r="D151" s="67"/>
      <c r="E151" s="129">
        <f t="shared" si="5"/>
        <v>60059581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>
        <v>143000000</v>
      </c>
      <c r="D157" s="67"/>
      <c r="E157" s="129">
        <f t="shared" si="5"/>
        <v>143000000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265940984</v>
      </c>
      <c r="D164" s="139">
        <f>SUM(D148:D163)</f>
        <v>0</v>
      </c>
      <c r="E164" s="140">
        <f>SUM(E148:E163)</f>
        <v>265940984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265940984</v>
      </c>
      <c r="D171" s="139">
        <f>SUM(D164:D170)</f>
        <v>0</v>
      </c>
      <c r="E171" s="140">
        <f>SUM(E164:E170)</f>
        <v>265940984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157">
        <v>10000000</v>
      </c>
      <c r="D179" s="67"/>
      <c r="E179" s="129">
        <f t="shared" si="6"/>
        <v>10000000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10000000</v>
      </c>
      <c r="D184" s="139">
        <f>SUM(D175:D183)</f>
        <v>0</v>
      </c>
      <c r="E184" s="140">
        <f>SUM(E175:E182)</f>
        <v>10000000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157">
        <v>309439155</v>
      </c>
      <c r="D190" s="67"/>
      <c r="E190" s="129">
        <f aca="true" t="shared" si="7" ref="E190:E196">+C190+D190</f>
        <v>309439155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309439155</v>
      </c>
      <c r="D198" s="139">
        <f>SUM(D190:D197)</f>
        <v>0</v>
      </c>
      <c r="E198" s="140">
        <f>SUM(E190:E197)</f>
        <v>309439155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309439156</v>
      </c>
      <c r="D212" s="139">
        <f>SUM(D198:D211)</f>
        <v>1</v>
      </c>
      <c r="E212" s="140">
        <f>SUM(E198:E211)</f>
        <v>309439157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8594289.987011211</v>
      </c>
      <c r="D217" s="138">
        <f>(D184/D212)*D171</f>
        <v>0</v>
      </c>
      <c r="E217" s="140">
        <f>(E184/E212)*E171</f>
        <v>8594289.959237447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265940984</v>
      </c>
      <c r="D221" s="124">
        <f>+D171</f>
        <v>0</v>
      </c>
      <c r="E221" s="129">
        <f>+C221+D221</f>
        <v>265940984</v>
      </c>
      <c r="F221" s="10"/>
    </row>
    <row r="222" spans="1:6" ht="12.75">
      <c r="A222" s="4" t="s">
        <v>276</v>
      </c>
      <c r="B222" s="10"/>
      <c r="C222" s="124">
        <f>-C217</f>
        <v>-8594289.987011211</v>
      </c>
      <c r="D222" s="124">
        <f>-D217</f>
        <v>0</v>
      </c>
      <c r="E222" s="129">
        <f>+C222+D222</f>
        <v>-8594289.987011211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257346694.01298878</v>
      </c>
      <c r="D224" s="139">
        <f>SUM(D221:D223)</f>
        <v>0</v>
      </c>
      <c r="E224" s="140">
        <f>SUM(E221:E223)</f>
        <v>257346694.01298878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257346694.01298878</v>
      </c>
      <c r="D228" s="124">
        <f>+D224</f>
        <v>0</v>
      </c>
      <c r="E228" s="129">
        <f>+C228+D228</f>
        <v>257346694.01298878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157">
        <v>-146105</v>
      </c>
      <c r="D230" s="67"/>
      <c r="E230" s="129">
        <f>+C230+D230</f>
        <v>-146105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257200589.01298878</v>
      </c>
      <c r="D232" s="145">
        <f>SUM(D228:D231)</f>
        <v>0</v>
      </c>
      <c r="E232" s="146">
        <f>SUM(E228:E231)</f>
        <v>257200589.01298878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771601.7670389663</v>
      </c>
      <c r="D239" s="145">
        <f>+D232*D234*D237</f>
        <v>0</v>
      </c>
      <c r="E239" s="146">
        <f>+E232*E234*E237</f>
        <v>771601.7670389663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157">
        <v>52970556</v>
      </c>
      <c r="D250" s="67"/>
      <c r="E250" s="129">
        <f t="shared" si="9"/>
        <v>52970556</v>
      </c>
      <c r="F250" s="10"/>
    </row>
    <row r="251" spans="1:6" ht="12.75">
      <c r="A251" t="s">
        <v>288</v>
      </c>
      <c r="B251" s="10"/>
      <c r="C251" s="157">
        <v>9910847</v>
      </c>
      <c r="D251" s="67"/>
      <c r="E251" s="129">
        <f t="shared" si="9"/>
        <v>9910847</v>
      </c>
      <c r="F251" s="10"/>
    </row>
    <row r="252" spans="1:6" ht="12.75">
      <c r="A252" t="s">
        <v>289</v>
      </c>
      <c r="B252" s="10"/>
      <c r="C252" s="15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157">
        <v>60059581</v>
      </c>
      <c r="D253" s="67"/>
      <c r="E253" s="129">
        <f t="shared" si="9"/>
        <v>60059581</v>
      </c>
      <c r="F253" s="10"/>
    </row>
    <row r="254" spans="1:6" ht="12.75">
      <c r="A254" t="s">
        <v>291</v>
      </c>
      <c r="B254" s="10"/>
      <c r="C254" s="15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15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157">
        <v>143000000</v>
      </c>
      <c r="D256" s="67"/>
      <c r="E256" s="129">
        <f t="shared" si="9"/>
        <v>143000000</v>
      </c>
      <c r="F256" s="10"/>
    </row>
    <row r="257" spans="1:6" ht="12.75">
      <c r="A257" t="s">
        <v>294</v>
      </c>
      <c r="B257" s="10"/>
      <c r="C257" s="15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265940984</v>
      </c>
      <c r="D263" s="139">
        <f>SUM(D248:D262)</f>
        <v>0</v>
      </c>
      <c r="E263" s="140">
        <f>SUM(E248:E262)</f>
        <v>265940984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265940984</v>
      </c>
      <c r="D276" s="145">
        <f>+D263+D274</f>
        <v>0</v>
      </c>
      <c r="E276" s="146">
        <f>+E263+E274</f>
        <v>265940984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157">
        <v>10000000</v>
      </c>
      <c r="D281" s="67"/>
      <c r="E281" s="129">
        <f t="shared" si="11"/>
        <v>10000000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10000000</v>
      </c>
      <c r="D290" s="139">
        <f>SUM(D280:D289)</f>
        <v>0</v>
      </c>
      <c r="E290" s="140">
        <f>SUM(E280:E289)</f>
        <v>10000000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265940984</v>
      </c>
      <c r="D295" s="124">
        <f>+D276</f>
        <v>0</v>
      </c>
      <c r="E295" s="129">
        <f>+C295+D295</f>
        <v>265940984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-C290</f>
        <v>-10000000</v>
      </c>
      <c r="D297" s="124">
        <f>+D290</f>
        <v>0</v>
      </c>
      <c r="E297" s="129">
        <f>+C297+D297</f>
        <v>-10000000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255940984</v>
      </c>
      <c r="D299" s="139">
        <f>SUM(D295:D298)</f>
        <v>0</v>
      </c>
      <c r="E299" s="140">
        <f>SUM(E295:E298)</f>
        <v>255940984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157">
        <v>-292306</v>
      </c>
      <c r="D301" s="67"/>
      <c r="E301" s="129">
        <f>+C301+D301</f>
        <v>-292306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255648678</v>
      </c>
      <c r="D303" s="145">
        <f>+D299+D301</f>
        <v>0</v>
      </c>
      <c r="E303" s="146">
        <f>+E299+E301</f>
        <v>255648678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575209.5255</v>
      </c>
      <c r="D310" s="145">
        <f>+D303*D305*D308</f>
        <v>0</v>
      </c>
      <c r="E310" s="146">
        <f>+E303*E305*E308</f>
        <v>575209.5255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83910.06848000003</v>
      </c>
      <c r="D314" s="124">
        <f>+D138*D312</f>
        <v>-4480</v>
      </c>
      <c r="E314" s="124">
        <f>+E138*E312</f>
        <v>89607.59808000003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491299.45702</v>
      </c>
      <c r="D316" s="142">
        <f>+D310-D314</f>
        <v>4480</v>
      </c>
      <c r="E316" s="143">
        <f>+E310-E314</f>
        <v>485601.92741999996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78" right="0.25" top="0.7" bottom="0.42" header="0.5" footer="0.5"/>
  <pageSetup fitToHeight="4" fitToWidth="1" horizontalDpi="600" verticalDpi="600" orientation="portrait" scale="60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2005-08-11T15:33:49Z</cp:lastPrinted>
  <dcterms:created xsi:type="dcterms:W3CDTF">2001-11-07T16:15:53Z</dcterms:created>
  <dcterms:modified xsi:type="dcterms:W3CDTF">2010-08-23T18:51:34Z</dcterms:modified>
  <cp:category/>
  <cp:version/>
  <cp:contentType/>
  <cp:contentStatus/>
</cp:coreProperties>
</file>