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580" windowHeight="5505" activeTab="0"/>
  </bookViews>
  <sheets>
    <sheet name="Recovery of Smart Meter Costs" sheetId="1" r:id="rId1"/>
    <sheet name="Revenue Requirement" sheetId="2" r:id="rId2"/>
    <sheet name="PILs" sheetId="3" r:id="rId3"/>
    <sheet name="Avg Nt Fix Ass &amp;UCC" sheetId="4" r:id="rId4"/>
    <sheet name="Table 1" sheetId="5" r:id="rId5"/>
    <sheet name="Table 2" sheetId="6" r:id="rId6"/>
  </sheets>
  <externalReferences>
    <externalReference r:id="rId9"/>
    <externalReference r:id="rId10"/>
  </externalReferences>
  <definedNames>
    <definedName name="_xlnm.Print_Area" localSheetId="4">'Table 1'!$A$1:$E$67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mthompson</author>
  </authors>
  <commentList>
    <comment ref="C47" authorId="0">
      <text>
        <r>
          <rPr>
            <b/>
            <sz val="9"/>
            <rFont val="Tahoma"/>
            <family val="2"/>
          </rPr>
          <t>mthompson:</t>
        </r>
        <r>
          <rPr>
            <sz val="9"/>
            <rFont val="Tahoma"/>
            <family val="2"/>
          </rPr>
          <t xml:space="preserve">
from 2010 GL recovery per month</t>
        </r>
      </text>
    </comment>
  </commentList>
</comments>
</file>

<file path=xl/sharedStrings.xml><?xml version="1.0" encoding="utf-8"?>
<sst xmlns="http://schemas.openxmlformats.org/spreadsheetml/2006/main" count="200" uniqueCount="92">
  <si>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</si>
  <si>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</si>
  <si>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</si>
  <si>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</si>
  <si>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</si>
  <si>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</si>
  <si>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</si>
  <si>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</si>
  <si>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</si>
  <si>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</si>
  <si>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</si>
  <si>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</si>
  <si>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</si>
  <si>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</si>
  <si>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</si>
  <si>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</si>
  <si>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</si>
  <si>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</si>
  <si>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</si>
  <si>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</si>
  <si>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</si>
  <si>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</si>
  <si>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</si>
  <si>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</si>
  <si>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</si>
  <si>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</si>
  <si>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</si>
  <si>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</si>
  <si>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</si>
  <si>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</si>
  <si>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</si>
  <si>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</si>
  <si>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</si>
  <si>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</si>
  <si>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</si>
  <si>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</si>
  <si>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</si>
  <si>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</si>
  <si>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</si>
  <si>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</si>
  <si>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</si>
  <si>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</si>
  <si>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</si>
  <si>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</si>
  <si>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</si>
  <si>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r>
      <t>Amortization</t>
    </r>
    <r>
      <rPr>
        <i/>
        <sz val="8"/>
        <rFont val="Arial"/>
        <family val="2"/>
      </rPr>
      <t xml:space="preserve"> </t>
    </r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</si>
  <si>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</si>
  <si>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</si>
  <si>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</si>
  <si>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</si>
  <si>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</si>
  <si>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</si>
  <si>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</si>
  <si>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 xml:space="preserve">Table Staff 16-1: Account 1555 Smart Meter Capital and Offset Account – Principal </t>
  </si>
  <si>
    <t xml:space="preserve">Month </t>
  </si>
  <si>
    <t xml:space="preserve">Opening Balance </t>
  </si>
  <si>
    <t xml:space="preserve">SM Adder </t>
  </si>
  <si>
    <t xml:space="preserve">Costs excluding Stranded meters </t>
  </si>
  <si>
    <t xml:space="preserve">Closing Balance (excluding Stranded) </t>
  </si>
  <si>
    <t xml:space="preserve"> </t>
  </si>
  <si>
    <t xml:space="preserve">Table Staff 16-2: Account 1555 – Interest </t>
  </si>
  <si>
    <t>Opening Balance (excluding Stranded)</t>
  </si>
  <si>
    <t xml:space="preserve">Days </t>
  </si>
  <si>
    <t xml:space="preserve">Rate </t>
  </si>
  <si>
    <t xml:space="preserve">Interest </t>
  </si>
  <si>
    <t xml:space="preserve">To Date </t>
  </si>
  <si>
    <t>15 years</t>
  </si>
  <si>
    <t>3 years</t>
  </si>
  <si>
    <t>Revenue Requirement 2006</t>
  </si>
  <si>
    <t>Revenue Requirement 2007</t>
  </si>
  <si>
    <t>Revenue Requirement 2008</t>
  </si>
  <si>
    <t>Revenue Requirement Total</t>
  </si>
  <si>
    <t>Smart Meter Rate Adder</t>
  </si>
  <si>
    <t>Carrying Cost</t>
  </si>
  <si>
    <t>Smart Meter True-up</t>
  </si>
  <si>
    <t>Metered Customers</t>
  </si>
  <si>
    <t>Rate Rider to Recover Smart Meter Costs</t>
  </si>
  <si>
    <t>2009 Addition to Rate Base</t>
  </si>
  <si>
    <t>Smart Meters</t>
  </si>
  <si>
    <t>Fixed Assets</t>
  </si>
  <si>
    <t>Computer Software</t>
  </si>
  <si>
    <t>Accumulated Depreciation</t>
  </si>
  <si>
    <t>2009 Amortization Expense</t>
  </si>
  <si>
    <t>Rate Base</t>
  </si>
  <si>
    <t>Actual</t>
  </si>
  <si>
    <t>GL 1555</t>
  </si>
  <si>
    <t>Computer Componewnts</t>
  </si>
  <si>
    <t>Meters</t>
  </si>
  <si>
    <t>Revenue Requirement 2009</t>
  </si>
  <si>
    <t>Forecast</t>
  </si>
  <si>
    <t>Revenue Requirement 2010 on 2009 assest</t>
  </si>
  <si>
    <t xml:space="preserve">Parry Sound Power Corporation
EB-2010-0140
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</si>
</sst>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</numFmts>
  <fonts count="32"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0" fontId="0" fillId="0" borderId="0" xfId="44" applyFont="1" applyAlignment="1">
      <alignment/>
    </xf>
    <xf numFmtId="173" fontId="0" fillId="0" borderId="0" xfId="44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0" fontId="0" fillId="0" borderId="0" xfId="62" applyNumberFormat="1" applyFont="1" applyAlignment="1">
      <alignment/>
    </xf>
    <xf numFmtId="9" fontId="0" fillId="0" borderId="0" xfId="0" applyNumberFormat="1" applyAlignment="1">
      <alignment horizontal="center"/>
    </xf>
    <xf numFmtId="9" fontId="0" fillId="0" borderId="0" xfId="62" applyFont="1" applyBorder="1" applyAlignment="1">
      <alignment horizontal="center"/>
    </xf>
    <xf numFmtId="9" fontId="0" fillId="0" borderId="0" xfId="62" applyFont="1" applyAlignment="1">
      <alignment horizontal="center"/>
    </xf>
    <xf numFmtId="10" fontId="0" fillId="0" borderId="0" xfId="62" applyNumberFormat="1" applyFont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57" applyFill="1" applyProtection="1">
      <alignment/>
      <protection/>
    </xf>
    <xf numFmtId="0" fontId="23" fillId="0" borderId="0" xfId="57" applyFont="1" applyFill="1" applyProtection="1">
      <alignment/>
      <protection/>
    </xf>
    <xf numFmtId="0" fontId="8" fillId="0" borderId="0" xfId="57" applyFill="1">
      <alignment/>
      <protection/>
    </xf>
    <xf numFmtId="0" fontId="8" fillId="0" borderId="0" xfId="57" applyFill="1" applyAlignment="1" applyProtection="1">
      <alignment horizontal="center"/>
      <protection/>
    </xf>
    <xf numFmtId="0" fontId="24" fillId="0" borderId="0" xfId="57" applyFont="1" applyFill="1" applyProtection="1">
      <alignment/>
      <protection/>
    </xf>
    <xf numFmtId="170" fontId="8" fillId="0" borderId="11" xfId="44" applyFont="1" applyFill="1" applyBorder="1" applyAlignment="1" applyProtection="1">
      <alignment/>
      <protection/>
    </xf>
    <xf numFmtId="10" fontId="25" fillId="0" borderId="0" xfId="57" applyNumberFormat="1" applyFont="1" applyFill="1" applyAlignment="1" applyProtection="1">
      <alignment horizontal="center"/>
      <protection/>
    </xf>
    <xf numFmtId="170" fontId="8" fillId="0" borderId="0" xfId="44" applyFont="1" applyFill="1" applyAlignment="1" applyProtection="1">
      <alignment/>
      <protection/>
    </xf>
    <xf numFmtId="176" fontId="8" fillId="0" borderId="0" xfId="59" applyNumberFormat="1" applyFill="1">
      <alignment/>
      <protection/>
    </xf>
    <xf numFmtId="176" fontId="8" fillId="0" borderId="0" xfId="62" applyNumberFormat="1" applyFont="1" applyFill="1" applyAlignment="1" applyProtection="1">
      <alignment/>
      <protection/>
    </xf>
    <xf numFmtId="0" fontId="1" fillId="0" borderId="0" xfId="57" applyFont="1" applyFill="1" applyAlignment="1" applyProtection="1">
      <alignment horizontal="left"/>
      <protection/>
    </xf>
    <xf numFmtId="10" fontId="8" fillId="0" borderId="0" xfId="57" applyNumberFormat="1" applyFill="1" applyAlignment="1" applyProtection="1">
      <alignment horizontal="center"/>
      <protection/>
    </xf>
    <xf numFmtId="0" fontId="8" fillId="0" borderId="0" xfId="57" applyFill="1" applyAlignment="1" applyProtection="1">
      <alignment horizontal="center" wrapText="1"/>
      <protection/>
    </xf>
    <xf numFmtId="170" fontId="27" fillId="0" borderId="11" xfId="44" applyFont="1" applyFill="1" applyBorder="1" applyAlignment="1" applyProtection="1">
      <alignment/>
      <protection/>
    </xf>
    <xf numFmtId="0" fontId="8" fillId="0" borderId="0" xfId="58" applyFill="1" applyProtection="1">
      <alignment/>
      <protection/>
    </xf>
    <xf numFmtId="0" fontId="23" fillId="0" borderId="0" xfId="58" applyFont="1" applyFill="1" applyProtection="1">
      <alignment/>
      <protection/>
    </xf>
    <xf numFmtId="0" fontId="28" fillId="0" borderId="0" xfId="58" applyFont="1" applyFill="1" applyProtection="1">
      <alignment/>
      <protection/>
    </xf>
    <xf numFmtId="0" fontId="8" fillId="0" borderId="0" xfId="58" applyFill="1">
      <alignment/>
      <protection/>
    </xf>
    <xf numFmtId="0" fontId="8" fillId="0" borderId="0" xfId="58" applyFont="1" applyFill="1" applyProtection="1">
      <alignment/>
      <protection/>
    </xf>
    <xf numFmtId="173" fontId="0" fillId="0" borderId="0" xfId="44" applyNumberFormat="1" applyFont="1" applyFill="1" applyAlignment="1">
      <alignment/>
    </xf>
    <xf numFmtId="173" fontId="8" fillId="0" borderId="0" xfId="44" applyNumberFormat="1" applyFont="1" applyFill="1" applyAlignment="1" applyProtection="1">
      <alignment/>
      <protection/>
    </xf>
    <xf numFmtId="173" fontId="8" fillId="0" borderId="0" xfId="44" applyNumberFormat="1" applyFont="1" applyFill="1" applyAlignment="1" applyProtection="1">
      <alignment horizontal="center"/>
      <protection/>
    </xf>
    <xf numFmtId="173" fontId="8" fillId="0" borderId="11" xfId="44" applyNumberFormat="1" applyFont="1" applyFill="1" applyBorder="1" applyAlignment="1" applyProtection="1">
      <alignment/>
      <protection/>
    </xf>
    <xf numFmtId="173" fontId="25" fillId="4" borderId="0" xfId="44" applyNumberFormat="1" applyFont="1" applyFill="1" applyBorder="1" applyAlignment="1" applyProtection="1">
      <alignment/>
      <protection/>
    </xf>
    <xf numFmtId="173" fontId="8" fillId="0" borderId="0" xfId="44" applyNumberFormat="1" applyFont="1" applyFill="1" applyBorder="1" applyAlignment="1" applyProtection="1">
      <alignment/>
      <protection/>
    </xf>
    <xf numFmtId="173" fontId="8" fillId="0" borderId="0" xfId="44" applyNumberFormat="1" applyFont="1" applyFill="1" applyAlignment="1">
      <alignment/>
    </xf>
    <xf numFmtId="173" fontId="8" fillId="0" borderId="10" xfId="44" applyNumberFormat="1" applyFont="1" applyFill="1" applyBorder="1" applyAlignment="1" applyProtection="1">
      <alignment/>
      <protection/>
    </xf>
    <xf numFmtId="0" fontId="8" fillId="0" borderId="0" xfId="44" applyNumberFormat="1" applyFont="1" applyFill="1" applyAlignment="1" applyProtection="1">
      <alignment horizontal="center"/>
      <protection/>
    </xf>
    <xf numFmtId="0" fontId="8" fillId="4" borderId="0" xfId="44" applyNumberFormat="1" applyFont="1" applyFill="1" applyAlignment="1" applyProtection="1">
      <alignment horizontal="center"/>
      <protection/>
    </xf>
    <xf numFmtId="9" fontId="8" fillId="4" borderId="0" xfId="62" applyFont="1" applyFill="1" applyAlignment="1" applyProtection="1">
      <alignment horizontal="center"/>
      <protection/>
    </xf>
    <xf numFmtId="0" fontId="0" fillId="24" borderId="0" xfId="0" applyFill="1" applyAlignment="1">
      <alignment/>
    </xf>
    <xf numFmtId="173" fontId="8" fillId="24" borderId="0" xfId="44" applyNumberFormat="1" applyFont="1" applyFill="1" applyBorder="1" applyAlignment="1" applyProtection="1">
      <alignment horizontal="center"/>
      <protection/>
    </xf>
    <xf numFmtId="173" fontId="1" fillId="4" borderId="0" xfId="0" applyNumberFormat="1" applyFont="1" applyFill="1" applyAlignment="1">
      <alignment/>
    </xf>
    <xf numFmtId="168" fontId="0" fillId="0" borderId="0" xfId="0" applyNumberFormat="1" applyAlignment="1">
      <alignment horizontal="center"/>
    </xf>
    <xf numFmtId="173" fontId="25" fillId="0" borderId="0" xfId="44" applyNumberFormat="1" applyFont="1" applyFill="1" applyAlignment="1" applyProtection="1">
      <alignment/>
      <protection/>
    </xf>
    <xf numFmtId="0" fontId="8" fillId="0" borderId="0" xfId="57" applyFont="1" applyFill="1" applyProtection="1">
      <alignment/>
      <protection/>
    </xf>
    <xf numFmtId="173" fontId="25" fillId="0" borderId="12" xfId="44" applyNumberFormat="1" applyFont="1" applyFill="1" applyBorder="1" applyAlignment="1" applyProtection="1">
      <alignment/>
      <protection/>
    </xf>
    <xf numFmtId="170" fontId="8" fillId="4" borderId="0" xfId="44" applyFont="1" applyFill="1" applyAlignment="1" applyProtection="1">
      <alignment/>
      <protection/>
    </xf>
    <xf numFmtId="9" fontId="0" fillId="4" borderId="0" xfId="0" applyNumberFormat="1" applyFill="1" applyAlignment="1">
      <alignment horizontal="center"/>
    </xf>
    <xf numFmtId="9" fontId="0" fillId="4" borderId="0" xfId="62" applyFont="1" applyFill="1" applyBorder="1" applyAlignment="1">
      <alignment horizontal="center"/>
    </xf>
    <xf numFmtId="9" fontId="0" fillId="4" borderId="0" xfId="62" applyFont="1" applyFill="1" applyAlignment="1">
      <alignment horizontal="center"/>
    </xf>
    <xf numFmtId="10" fontId="0" fillId="4" borderId="0" xfId="62" applyNumberFormat="1" applyFont="1" applyFill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62" applyNumberFormat="1" applyAlignment="1">
      <alignment/>
    </xf>
    <xf numFmtId="0" fontId="0" fillId="0" borderId="0" xfId="0" applyNumberFormat="1" applyAlignment="1">
      <alignment/>
    </xf>
    <xf numFmtId="175" fontId="0" fillId="0" borderId="0" xfId="62" applyNumberFormat="1" applyFont="1" applyAlignment="1">
      <alignment/>
    </xf>
    <xf numFmtId="173" fontId="0" fillId="0" borderId="10" xfId="44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173" fontId="8" fillId="0" borderId="0" xfId="44" applyNumberFormat="1" applyFont="1" applyFill="1" applyAlignment="1" applyProtection="1">
      <alignment horizontal="center"/>
      <protection/>
    </xf>
    <xf numFmtId="44" fontId="0" fillId="0" borderId="0" xfId="0" applyNumberFormat="1" applyAlignment="1">
      <alignment/>
    </xf>
    <xf numFmtId="184" fontId="0" fillId="0" borderId="0" xfId="42" applyNumberFormat="1" applyFont="1" applyFill="1" applyAlignment="1">
      <alignment/>
    </xf>
    <xf numFmtId="0" fontId="8" fillId="0" borderId="13" xfId="57" applyFill="1" applyBorder="1" applyAlignment="1" applyProtection="1">
      <alignment horizontal="center"/>
      <protection/>
    </xf>
    <xf numFmtId="0" fontId="8" fillId="0" borderId="14" xfId="57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4" fillId="0" borderId="13" xfId="57" applyFont="1" applyFill="1" applyBorder="1" applyAlignment="1" applyProtection="1">
      <alignment horizontal="center"/>
      <protection/>
    </xf>
    <xf numFmtId="0" fontId="24" fillId="0" borderId="14" xfId="57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rmal_Tax Rates for 2006-2012_Sep4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power26\2011%20cos%20filing%20psp%20data\Documents%20and%20Settings\mthompson.PARRYSOUND\Local%20Settings\Temporary%20Internet%20Files\Content.Outlook\R2362EBL\Parry%20Sound\2011%20Rate%20Appl\PSP%20SM%20dollar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power26\2011%20cos%20filing%20psp%20data\Documents%20and%20Settings\mthompson.PARRYSOUND\Local%20Settings\Temporary%20Internet%20Files\Content.Outlook\R2362EBL\Parry%20Sound\2011%20Rate%20Appl\SM%20dolla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 GL"/>
      <sheetName val="Sheet2"/>
      <sheetName val="Sheet3"/>
      <sheetName val="Summary"/>
      <sheetName val="ops 1556"/>
      <sheetName val="1556 2010"/>
      <sheetName val="1555 2010"/>
    </sheetNames>
    <sheetDataSet>
      <sheetData sheetId="3">
        <row r="17">
          <cell r="F17">
            <v>1336.82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 GL"/>
      <sheetName val="Sheet2"/>
      <sheetName val="Sheet3"/>
      <sheetName val="Summary"/>
      <sheetName val="ops 1556"/>
      <sheetName val="SM dollars"/>
    </sheetNames>
    <sheetDataSet>
      <sheetData sheetId="3">
        <row r="2">
          <cell r="B2">
            <v>-5156.47</v>
          </cell>
          <cell r="C2">
            <v>-9390.259999999998</v>
          </cell>
          <cell r="D2">
            <v>-9407.67</v>
          </cell>
          <cell r="E2">
            <v>-26634.940000000002</v>
          </cell>
        </row>
        <row r="13">
          <cell r="B13">
            <v>11649.099999999999</v>
          </cell>
          <cell r="C13">
            <v>18574.309999999998</v>
          </cell>
          <cell r="D13">
            <v>16909.54</v>
          </cell>
          <cell r="E13">
            <v>476303.74000000005</v>
          </cell>
        </row>
        <row r="15">
          <cell r="G15">
            <v>1184.07</v>
          </cell>
        </row>
        <row r="16">
          <cell r="G16">
            <v>2958.51</v>
          </cell>
        </row>
        <row r="22">
          <cell r="G22">
            <v>33960.62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8"/>
  <sheetViews>
    <sheetView tabSelected="1" zoomScalePageLayoutView="0" workbookViewId="0" topLeftCell="A1">
      <selection activeCell="C5" sqref="C3:C5"/>
    </sheetView>
  </sheetViews>
  <sheetFormatPr defaultColWidth="8.88671875" defaultRowHeight="15"/>
  <cols>
    <col min="2" max="2" width="36.21484375" style="0" bestFit="1" customWidth="1"/>
    <col min="3" max="3" width="15.4453125" style="0" customWidth="1"/>
  </cols>
  <sheetData>
    <row r="1" ht="45">
      <c r="B1" s="57" t="s">
        <v>91</v>
      </c>
    </row>
    <row r="6" ht="15.75">
      <c r="B6" s="64" t="s">
        <v>76</v>
      </c>
    </row>
    <row r="8" spans="2:3" ht="15">
      <c r="B8" t="s">
        <v>68</v>
      </c>
      <c r="C8" s="2">
        <f>'Revenue Requirement'!D27</f>
        <v>978.9066550894905</v>
      </c>
    </row>
    <row r="9" spans="2:3" ht="15">
      <c r="B9" t="s">
        <v>69</v>
      </c>
      <c r="C9" s="2">
        <f>'Revenue Requirement'!F27</f>
        <v>3440.871055772516</v>
      </c>
    </row>
    <row r="10" spans="2:3" ht="15">
      <c r="B10" t="s">
        <v>70</v>
      </c>
      <c r="C10" s="2">
        <f>'Revenue Requirement'!H27</f>
        <v>6199.788428305512</v>
      </c>
    </row>
    <row r="11" spans="2:3" ht="15" customHeight="1">
      <c r="B11" t="s">
        <v>88</v>
      </c>
      <c r="C11" s="2">
        <f>'Revenue Requirement'!J27</f>
        <v>56054.9066121915</v>
      </c>
    </row>
    <row r="12" spans="2:3" ht="15" customHeight="1">
      <c r="B12" t="s">
        <v>90</v>
      </c>
      <c r="C12" s="2">
        <f>'Revenue Requirement'!L27</f>
        <v>88620.46816041667</v>
      </c>
    </row>
    <row r="13" spans="2:3" ht="15">
      <c r="B13" t="s">
        <v>71</v>
      </c>
      <c r="C13" s="10">
        <f>SUM(C8:C12)</f>
        <v>155294.9409117757</v>
      </c>
    </row>
    <row r="14" spans="2:3" ht="15">
      <c r="B14" t="s">
        <v>72</v>
      </c>
      <c r="C14" s="2">
        <f>'Table 1'!C67</f>
        <v>-88989.34000000001</v>
      </c>
    </row>
    <row r="15" spans="2:3" ht="15">
      <c r="B15" t="s">
        <v>73</v>
      </c>
      <c r="C15" s="2">
        <f>'Table 2'!F62</f>
        <v>-567.243310755546</v>
      </c>
    </row>
    <row r="16" spans="2:3" ht="15">
      <c r="B16" t="s">
        <v>74</v>
      </c>
      <c r="C16" s="10">
        <f>SUM(C13:C15)</f>
        <v>65738.35760102014</v>
      </c>
    </row>
    <row r="19" spans="2:3" ht="15">
      <c r="B19" t="s">
        <v>75</v>
      </c>
      <c r="C19" s="68">
        <v>3200</v>
      </c>
    </row>
    <row r="21" spans="2:3" ht="15">
      <c r="B21" t="s">
        <v>76</v>
      </c>
      <c r="C21" s="1">
        <f>C16/C19/12</f>
        <v>1.7119363958598994</v>
      </c>
    </row>
    <row r="25" ht="15">
      <c r="B25" t="s">
        <v>77</v>
      </c>
    </row>
    <row r="26" ht="15">
      <c r="B26" t="s">
        <v>79</v>
      </c>
    </row>
    <row r="27" spans="2:3" ht="15">
      <c r="B27" t="s">
        <v>78</v>
      </c>
      <c r="C27" s="2">
        <f>'Avg Nt Fix Ass &amp;UCC'!H8</f>
        <v>523436.69000000006</v>
      </c>
    </row>
    <row r="28" spans="2:3" ht="15">
      <c r="B28" t="s">
        <v>80</v>
      </c>
      <c r="C28" s="2">
        <f>'Avg Nt Fix Ass &amp;UCC'!H25</f>
        <v>33960.62</v>
      </c>
    </row>
    <row r="29" ht="15">
      <c r="C29" s="10">
        <f>SUM(C27:C28)</f>
        <v>557397.31</v>
      </c>
    </row>
    <row r="30" ht="15">
      <c r="B30" t="s">
        <v>81</v>
      </c>
    </row>
    <row r="31" spans="2:3" ht="15">
      <c r="B31" t="s">
        <v>78</v>
      </c>
      <c r="C31" s="2">
        <f>-'Avg Nt Fix Ass &amp;UCC'!H12</f>
        <v>-23381.587000000003</v>
      </c>
    </row>
    <row r="32" spans="2:3" ht="15">
      <c r="B32" t="s">
        <v>80</v>
      </c>
      <c r="C32" s="2">
        <f>-'Avg Nt Fix Ass &amp;UCC'!H29</f>
        <v>-5660.1033333333335</v>
      </c>
    </row>
    <row r="33" ht="15">
      <c r="C33" s="10">
        <f>SUM(C31:C32)</f>
        <v>-29041.690333333336</v>
      </c>
    </row>
    <row r="35" ht="15">
      <c r="B35" t="s">
        <v>82</v>
      </c>
    </row>
    <row r="36" spans="2:3" ht="15">
      <c r="B36" t="s">
        <v>78</v>
      </c>
      <c r="C36" s="2">
        <f>SUM('Avg Nt Fix Ass &amp;UCC'!G13:G14)</f>
        <v>19018.988</v>
      </c>
    </row>
    <row r="37" spans="2:3" ht="15">
      <c r="B37" t="s">
        <v>80</v>
      </c>
      <c r="C37" s="2">
        <f>SUM('Avg Nt Fix Ass &amp;UCC'!G30:G31)</f>
        <v>5660.1033333333335</v>
      </c>
    </row>
    <row r="38" ht="15">
      <c r="C38" s="10">
        <f>SUM(C36:C37)</f>
        <v>24679.091333333334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4"/>
  <sheetViews>
    <sheetView zoomScale="80" zoomScaleNormal="80" zoomScalePageLayoutView="0" workbookViewId="0" topLeftCell="F12">
      <selection activeCell="L23" sqref="L23"/>
    </sheetView>
  </sheetViews>
  <sheetFormatPr defaultColWidth="8.88671875" defaultRowHeight="15"/>
  <cols>
    <col min="2" max="2" width="20.88671875" style="0" customWidth="1"/>
    <col min="3" max="3" width="12.88671875" style="0" customWidth="1"/>
    <col min="4" max="4" width="13.99609375" style="0" customWidth="1"/>
    <col min="5" max="5" width="13.4453125" style="0" customWidth="1"/>
    <col min="6" max="6" width="18.3359375" style="0" bestFit="1" customWidth="1"/>
    <col min="7" max="7" width="10.99609375" style="0" bestFit="1" customWidth="1"/>
    <col min="8" max="8" width="12.10546875" style="0" customWidth="1"/>
    <col min="9" max="9" width="10.99609375" style="0" bestFit="1" customWidth="1"/>
    <col min="10" max="10" width="12.10546875" style="0" customWidth="1"/>
    <col min="11" max="11" width="10.99609375" style="0" bestFit="1" customWidth="1"/>
    <col min="12" max="12" width="12.10546875" style="0" customWidth="1"/>
  </cols>
  <sheetData>
    <row r="4" ht="15.75" thickBot="1"/>
    <row r="5" spans="2:4" ht="16.5" thickBot="1">
      <c r="B5" s="71" t="s">
        <v>51</v>
      </c>
      <c r="C5" s="72"/>
      <c r="D5" s="73"/>
    </row>
    <row r="6" ht="15.75" thickBot="1"/>
    <row r="7" spans="3:12" ht="15.75" thickBot="1">
      <c r="C7" s="74">
        <v>2006</v>
      </c>
      <c r="D7" s="75"/>
      <c r="E7" s="69">
        <v>2007</v>
      </c>
      <c r="F7" s="70"/>
      <c r="G7" s="69">
        <v>2008</v>
      </c>
      <c r="H7" s="70"/>
      <c r="I7" s="69">
        <v>2009</v>
      </c>
      <c r="J7" s="70"/>
      <c r="K7" s="69">
        <v>2010</v>
      </c>
      <c r="L7" s="70"/>
    </row>
    <row r="8" spans="2:12" ht="15">
      <c r="B8" t="s">
        <v>46</v>
      </c>
      <c r="C8" s="6"/>
      <c r="D8" s="2">
        <f>'Avg Nt Fix Ass &amp;UCC'!D19+'Avg Nt Fix Ass &amp;UCC'!D36</f>
        <v>5630.398333333333</v>
      </c>
      <c r="E8" s="6"/>
      <c r="F8" s="2">
        <f>'Avg Nt Fix Ass &amp;UCC'!E19+'Avg Nt Fix Ass &amp;UCC'!E36</f>
        <v>19850.076499999996</v>
      </c>
      <c r="G8" s="6"/>
      <c r="H8" s="2">
        <f>'Avg Nt Fix Ass &amp;UCC'!F19+'Avg Nt Fix Ass &amp;UCC'!F36</f>
        <v>35604.85366666666</v>
      </c>
      <c r="I8" s="6"/>
      <c r="J8" s="2">
        <f>'Avg Nt Fix Ass &amp;UCC'!G19+'Avg Nt Fix Ass &amp;UCC'!G36</f>
        <v>285562.9853333334</v>
      </c>
      <c r="K8" s="6"/>
      <c r="L8" s="2">
        <f>'Avg Nt Fix Ass &amp;UCC'!H19+'Avg Nt Fix Ass &amp;UCC'!H36</f>
        <v>505247.6266666667</v>
      </c>
    </row>
    <row r="9" spans="2:11" ht="15">
      <c r="B9" t="s">
        <v>0</v>
      </c>
      <c r="C9" s="48">
        <f>D23</f>
        <v>0</v>
      </c>
      <c r="E9" s="48">
        <f>F23</f>
        <v>0</v>
      </c>
      <c r="G9" s="48">
        <f>H23</f>
        <v>0</v>
      </c>
      <c r="I9" s="48">
        <f>J23</f>
        <v>4142.58</v>
      </c>
      <c r="K9" s="48">
        <f>L23</f>
        <v>1336.82</v>
      </c>
    </row>
    <row r="10" spans="2:12" ht="15">
      <c r="B10" t="s">
        <v>1</v>
      </c>
      <c r="C10" s="6">
        <v>0.15</v>
      </c>
      <c r="D10" s="11">
        <f>C9*C10</f>
        <v>0</v>
      </c>
      <c r="E10" s="6">
        <v>0.15</v>
      </c>
      <c r="F10" s="11">
        <f>E9*E10</f>
        <v>0</v>
      </c>
      <c r="G10" s="6">
        <v>0.15</v>
      </c>
      <c r="H10" s="11">
        <f>G9*G10</f>
        <v>0</v>
      </c>
      <c r="I10" s="6">
        <v>0.15</v>
      </c>
      <c r="J10" s="11">
        <f>I9*I10</f>
        <v>621.387</v>
      </c>
      <c r="K10" s="6">
        <v>0.15</v>
      </c>
      <c r="L10" s="11">
        <f>K9*K10</f>
        <v>200.523</v>
      </c>
    </row>
    <row r="11" spans="2:12" ht="15">
      <c r="B11" t="s">
        <v>83</v>
      </c>
      <c r="D11" s="3">
        <f>SUM(D8:D10)</f>
        <v>5630.398333333333</v>
      </c>
      <c r="F11" s="3">
        <f>SUM(F8:F10)</f>
        <v>19850.076499999996</v>
      </c>
      <c r="H11" s="3">
        <f>SUM(H8:H10)</f>
        <v>35604.85366666666</v>
      </c>
      <c r="J11" s="3">
        <f>SUM(J8:J10)</f>
        <v>286184.37233333336</v>
      </c>
      <c r="L11" s="3">
        <f>SUM(L8:L10)</f>
        <v>505448.1496666667</v>
      </c>
    </row>
    <row r="14" spans="2:12" ht="15">
      <c r="B14" t="s">
        <v>3</v>
      </c>
      <c r="C14" s="53">
        <v>0</v>
      </c>
      <c r="D14" s="3">
        <f>D11*C14</f>
        <v>0</v>
      </c>
      <c r="E14" s="6">
        <f>C14</f>
        <v>0</v>
      </c>
      <c r="F14" s="3">
        <f>F11*E14</f>
        <v>0</v>
      </c>
      <c r="G14" s="6">
        <f>E14</f>
        <v>0</v>
      </c>
      <c r="H14" s="3">
        <f>H11*G14</f>
        <v>0</v>
      </c>
      <c r="I14" s="6">
        <f>G14</f>
        <v>0</v>
      </c>
      <c r="J14" s="3">
        <f>J11*I14</f>
        <v>0</v>
      </c>
      <c r="K14" s="6">
        <f>I14</f>
        <v>0</v>
      </c>
      <c r="L14" s="3">
        <f>L11*K14</f>
        <v>0</v>
      </c>
    </row>
    <row r="15" spans="2:12" ht="15">
      <c r="B15" t="s">
        <v>4</v>
      </c>
      <c r="C15" s="54">
        <v>0.5</v>
      </c>
      <c r="D15" s="3">
        <f>D11*C15</f>
        <v>2815.1991666666663</v>
      </c>
      <c r="E15" s="7">
        <f>C15</f>
        <v>0.5</v>
      </c>
      <c r="F15" s="3">
        <f>F11*E15</f>
        <v>9925.038249999998</v>
      </c>
      <c r="G15" s="7">
        <f>E15</f>
        <v>0.5</v>
      </c>
      <c r="H15" s="3">
        <f>H11*G15</f>
        <v>17802.42683333333</v>
      </c>
      <c r="I15" s="7">
        <f>G15</f>
        <v>0.5</v>
      </c>
      <c r="J15" s="3">
        <f>J11*I15</f>
        <v>143092.18616666668</v>
      </c>
      <c r="K15" s="7">
        <f>I15</f>
        <v>0.5</v>
      </c>
      <c r="L15" s="3">
        <f>L11*K15</f>
        <v>252724.07483333335</v>
      </c>
    </row>
    <row r="16" spans="2:12" ht="15">
      <c r="B16" t="s">
        <v>2</v>
      </c>
      <c r="C16" s="55">
        <v>0.5</v>
      </c>
      <c r="D16" s="3">
        <f>D11*C16</f>
        <v>2815.1991666666663</v>
      </c>
      <c r="E16" s="8">
        <f>C16</f>
        <v>0.5</v>
      </c>
      <c r="F16" s="3">
        <f>F11*E16</f>
        <v>9925.038249999998</v>
      </c>
      <c r="G16" s="8">
        <f>E16</f>
        <v>0.5</v>
      </c>
      <c r="H16" s="3">
        <f>H11*G16</f>
        <v>17802.42683333333</v>
      </c>
      <c r="I16" s="8">
        <f>G16</f>
        <v>0.5</v>
      </c>
      <c r="J16" s="3">
        <f>J11*I16</f>
        <v>143092.18616666668</v>
      </c>
      <c r="K16" s="8">
        <f>I16</f>
        <v>0.5</v>
      </c>
      <c r="L16" s="3">
        <f>L11*K16</f>
        <v>252724.07483333335</v>
      </c>
    </row>
    <row r="17" spans="4:12" ht="15">
      <c r="D17" s="1"/>
      <c r="F17" s="1"/>
      <c r="H17" s="1"/>
      <c r="J17" s="1"/>
      <c r="L17" s="1"/>
    </row>
    <row r="18" spans="2:12" ht="15">
      <c r="B18" t="s">
        <v>5</v>
      </c>
      <c r="C18" s="56">
        <v>0</v>
      </c>
      <c r="D18" s="3">
        <f>D14*C18</f>
        <v>0</v>
      </c>
      <c r="E18" s="9">
        <f>C18</f>
        <v>0</v>
      </c>
      <c r="F18" s="3">
        <f>F14*E18</f>
        <v>0</v>
      </c>
      <c r="G18" s="9">
        <f>E18</f>
        <v>0</v>
      </c>
      <c r="H18" s="3">
        <f>H14*G18</f>
        <v>0</v>
      </c>
      <c r="I18" s="9">
        <f>G18</f>
        <v>0</v>
      </c>
      <c r="J18" s="3">
        <f>J14*I18</f>
        <v>0</v>
      </c>
      <c r="K18" s="9">
        <f>I18</f>
        <v>0</v>
      </c>
      <c r="L18" s="3">
        <f>L14*K18</f>
        <v>0</v>
      </c>
    </row>
    <row r="19" spans="2:12" ht="15">
      <c r="B19" t="s">
        <v>6</v>
      </c>
      <c r="C19" s="56">
        <v>0.0725</v>
      </c>
      <c r="D19" s="3">
        <f>D15*C19</f>
        <v>204.1019395833333</v>
      </c>
      <c r="E19" s="9">
        <f>C19</f>
        <v>0.0725</v>
      </c>
      <c r="F19" s="3">
        <f>F15*E19</f>
        <v>719.5652731249997</v>
      </c>
      <c r="G19" s="9">
        <f>E19</f>
        <v>0.0725</v>
      </c>
      <c r="H19" s="3">
        <f>H15*G19</f>
        <v>1290.6759454166663</v>
      </c>
      <c r="I19" s="9">
        <f>G19</f>
        <v>0.0725</v>
      </c>
      <c r="J19" s="3">
        <f>J15*I19</f>
        <v>10374.183497083333</v>
      </c>
      <c r="K19" s="9">
        <f>I19</f>
        <v>0.0725</v>
      </c>
      <c r="L19" s="3">
        <f>L15*K19</f>
        <v>18322.495425416666</v>
      </c>
    </row>
    <row r="20" spans="2:12" ht="15">
      <c r="B20" t="s">
        <v>7</v>
      </c>
      <c r="C20" s="56">
        <v>0.09</v>
      </c>
      <c r="D20" s="3">
        <f>D16*C20</f>
        <v>253.36792499999996</v>
      </c>
      <c r="E20" s="9">
        <f>C20</f>
        <v>0.09</v>
      </c>
      <c r="F20" s="3">
        <f>F16*E20</f>
        <v>893.2534424999998</v>
      </c>
      <c r="G20" s="9">
        <f>E20</f>
        <v>0.09</v>
      </c>
      <c r="H20" s="3">
        <f>H16*G20</f>
        <v>1602.2184149999998</v>
      </c>
      <c r="I20" s="9">
        <f>G20</f>
        <v>0.09</v>
      </c>
      <c r="J20" s="3">
        <f>J16*I20</f>
        <v>12878.296755000001</v>
      </c>
      <c r="K20" s="9">
        <f>I20</f>
        <v>0.09</v>
      </c>
      <c r="L20" s="3">
        <f>L16*K20</f>
        <v>22745.166735</v>
      </c>
    </row>
    <row r="21" spans="4:12" ht="15">
      <c r="D21" s="10">
        <f>SUM(D18:D20)</f>
        <v>457.4698645833332</v>
      </c>
      <c r="F21" s="10">
        <f>SUM(F18:F20)</f>
        <v>1612.8187156249996</v>
      </c>
      <c r="H21" s="10">
        <f>SUM(H18:H20)</f>
        <v>2892.894360416666</v>
      </c>
      <c r="J21" s="10">
        <f>SUM(J18:J20)</f>
        <v>23252.480252083333</v>
      </c>
      <c r="L21" s="10">
        <f>SUM(L18:L20)</f>
        <v>41067.662160416665</v>
      </c>
    </row>
    <row r="23" spans="1:12" ht="15.75">
      <c r="A23">
        <v>1556</v>
      </c>
      <c r="B23" t="s">
        <v>0</v>
      </c>
      <c r="D23" s="47">
        <v>0</v>
      </c>
      <c r="F23" s="47"/>
      <c r="H23" s="47">
        <v>0</v>
      </c>
      <c r="J23" s="47">
        <f>'[2]Summary'!$G$15+'[2]Summary'!$G$16</f>
        <v>4142.58</v>
      </c>
      <c r="L23" s="47">
        <f>'[1]Summary'!$F$17</f>
        <v>1336.82</v>
      </c>
    </row>
    <row r="24" spans="2:12" ht="15">
      <c r="B24" t="s">
        <v>10</v>
      </c>
      <c r="D24" s="13">
        <f>SUM('Avg Nt Fix Ass &amp;UCC'!D13:D14)+SUM('Avg Nt Fix Ass &amp;UCC'!D30:D31)</f>
        <v>388.3033333333333</v>
      </c>
      <c r="F24" s="13">
        <f>SUM('Avg Nt Fix Ass &amp;UCC'!E13:E14)+SUM('Avg Nt Fix Ass &amp;UCC'!E30:E31)</f>
        <v>1395.7503333333332</v>
      </c>
      <c r="H24" s="13">
        <f>SUM('Avg Nt Fix Ass &amp;UCC'!F13:F14)+SUM('Avg Nt Fix Ass &amp;UCC'!F30:F31)</f>
        <v>2578.545333333333</v>
      </c>
      <c r="J24" s="13">
        <f>SUM('Avg Nt Fix Ass &amp;UCC'!G13:G14)+SUM('Avg Nt Fix Ass &amp;UCC'!G30:G31)</f>
        <v>24679.091333333334</v>
      </c>
      <c r="L24" s="13">
        <f>SUM('Avg Nt Fix Ass &amp;UCC'!H13:H14)+SUM('Avg Nt Fix Ass &amp;UCC'!H30:H31)</f>
        <v>46215.986000000004</v>
      </c>
    </row>
    <row r="25" spans="2:12" ht="15">
      <c r="B25" t="s">
        <v>8</v>
      </c>
      <c r="D25" s="2">
        <f>PILs!C35</f>
        <v>133.13345717282405</v>
      </c>
      <c r="F25" s="2">
        <f>PILs!D35</f>
        <v>432.3020068141827</v>
      </c>
      <c r="H25" s="2">
        <f>PILs!E35</f>
        <v>728.3487345555134</v>
      </c>
      <c r="J25" s="2">
        <f>PILs!F35</f>
        <v>3980.7550267748347</v>
      </c>
      <c r="L25" s="2">
        <f>PILs!H35</f>
        <v>0</v>
      </c>
    </row>
    <row r="27" spans="2:12" ht="15.75" thickBot="1">
      <c r="B27" t="s">
        <v>9</v>
      </c>
      <c r="D27" s="4">
        <f>SUM(D21:D25)</f>
        <v>978.9066550894905</v>
      </c>
      <c r="F27" s="4">
        <f>SUM(F21:F25)</f>
        <v>3440.871055772516</v>
      </c>
      <c r="H27" s="4">
        <f>SUM(H21:H25)</f>
        <v>6199.788428305512</v>
      </c>
      <c r="J27" s="4">
        <f>SUM(J21:J25)</f>
        <v>56054.9066121915</v>
      </c>
      <c r="L27" s="4">
        <f>SUM(L21:L25)</f>
        <v>88620.46816041667</v>
      </c>
    </row>
    <row r="30" spans="4:12" ht="15">
      <c r="D30" s="3"/>
      <c r="L30">
        <v>94857.79628125002</v>
      </c>
    </row>
    <row r="31" spans="3:4" ht="15">
      <c r="C31" s="2"/>
      <c r="D31" s="3"/>
    </row>
    <row r="32" spans="3:4" ht="15">
      <c r="C32" s="12"/>
      <c r="D32" s="5"/>
    </row>
    <row r="33" spans="3:4" ht="15">
      <c r="C33" s="2"/>
      <c r="D33" s="1"/>
    </row>
    <row r="34" ht="15">
      <c r="D34" s="5"/>
    </row>
  </sheetData>
  <sheetProtection/>
  <mergeCells count="6">
    <mergeCell ref="K7:L7"/>
    <mergeCell ref="I7:J7"/>
    <mergeCell ref="G7:H7"/>
    <mergeCell ref="B5:D5"/>
    <mergeCell ref="C7:D7"/>
    <mergeCell ref="E7:F7"/>
  </mergeCells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35"/>
  <sheetViews>
    <sheetView zoomScalePageLayoutView="0" workbookViewId="0" topLeftCell="A8">
      <selection activeCell="F16" sqref="F16"/>
    </sheetView>
  </sheetViews>
  <sheetFormatPr defaultColWidth="8.88671875" defaultRowHeight="15"/>
  <cols>
    <col min="1" max="1" width="8.88671875" style="14" customWidth="1"/>
    <col min="2" max="2" width="25.4453125" style="14" bestFit="1" customWidth="1"/>
    <col min="3" max="3" width="13.10546875" style="14" customWidth="1"/>
    <col min="4" max="4" width="13.99609375" style="14" customWidth="1"/>
    <col min="5" max="5" width="15.99609375" style="14" customWidth="1"/>
    <col min="6" max="6" width="13.21484375" style="14" bestFit="1" customWidth="1"/>
    <col min="7" max="16384" width="8.88671875" style="14" customWidth="1"/>
  </cols>
  <sheetData>
    <row r="4" spans="1:5" ht="26.25">
      <c r="A4" s="15"/>
      <c r="B4" s="16" t="s">
        <v>11</v>
      </c>
      <c r="C4" s="15"/>
      <c r="D4" s="17"/>
      <c r="E4" s="17"/>
    </row>
    <row r="5" spans="1:5" ht="15">
      <c r="A5" s="15"/>
      <c r="B5" s="15"/>
      <c r="C5" s="15"/>
      <c r="D5" s="17"/>
      <c r="E5" s="17"/>
    </row>
    <row r="6" spans="1:6" ht="15">
      <c r="A6" s="15"/>
      <c r="B6" s="15"/>
      <c r="C6" s="18">
        <v>2006</v>
      </c>
      <c r="D6" s="18">
        <v>2007</v>
      </c>
      <c r="E6" s="18">
        <v>2008</v>
      </c>
      <c r="F6" s="18">
        <v>2009</v>
      </c>
    </row>
    <row r="7" spans="1:6" ht="15">
      <c r="A7" s="15"/>
      <c r="B7" s="19" t="s">
        <v>12</v>
      </c>
      <c r="C7" s="18" t="s">
        <v>42</v>
      </c>
      <c r="D7" s="18" t="s">
        <v>42</v>
      </c>
      <c r="E7" s="18" t="s">
        <v>42</v>
      </c>
      <c r="F7" s="18" t="s">
        <v>42</v>
      </c>
    </row>
    <row r="8" spans="1:6" ht="15">
      <c r="A8" s="15"/>
      <c r="B8" s="15" t="s">
        <v>13</v>
      </c>
      <c r="C8" s="49">
        <f>'Revenue Requirement'!D20</f>
        <v>253.36792499999996</v>
      </c>
      <c r="D8" s="49">
        <f>'Revenue Requirement'!F20</f>
        <v>893.2534424999998</v>
      </c>
      <c r="E8" s="49">
        <f>'Revenue Requirement'!H20</f>
        <v>1602.2184149999998</v>
      </c>
      <c r="F8" s="49">
        <f>'Revenue Requirement'!J20</f>
        <v>12878.296755000001</v>
      </c>
    </row>
    <row r="9" spans="1:6" ht="15">
      <c r="A9" s="15"/>
      <c r="B9" s="15" t="s">
        <v>45</v>
      </c>
      <c r="C9" s="49">
        <f>'Revenue Requirement'!D24</f>
        <v>388.3033333333333</v>
      </c>
      <c r="D9" s="49">
        <f>'Revenue Requirement'!F24</f>
        <v>1395.7503333333332</v>
      </c>
      <c r="E9" s="49">
        <f>'Revenue Requirement'!H24</f>
        <v>2578.545333333333</v>
      </c>
      <c r="F9" s="49">
        <f>'Revenue Requirement'!J24</f>
        <v>24679.091333333334</v>
      </c>
    </row>
    <row r="10" spans="1:6" ht="15">
      <c r="A10" s="15"/>
      <c r="B10" s="50" t="s">
        <v>40</v>
      </c>
      <c r="C10" s="49">
        <f>-'Avg Nt Fix Ass &amp;UCC'!D57-'Avg Nt Fix Ass &amp;UCC'!D74</f>
        <v>-465.96399999999994</v>
      </c>
      <c r="D10" s="49">
        <f>-'Avg Nt Fix Ass &amp;UCC'!E57-'Avg Nt Fix Ass &amp;UCC'!E74</f>
        <v>-1637.6232799999998</v>
      </c>
      <c r="E10" s="49">
        <f>-'Avg Nt Fix Ass &amp;UCC'!F57-'Avg Nt Fix Ass &amp;UCC'!F74</f>
        <v>-2925.9674176000003</v>
      </c>
      <c r="F10" s="49">
        <f>-'Avg Nt Fix Ass &amp;UCC'!G57-'Avg Nt Fix Ass &amp;UCC'!G74</f>
        <v>-31759.591724192003</v>
      </c>
    </row>
    <row r="11" spans="1:6" ht="15">
      <c r="A11" s="15"/>
      <c r="B11" s="15" t="s">
        <v>14</v>
      </c>
      <c r="C11" s="37">
        <f>SUM(C8:C10)</f>
        <v>175.70725833333336</v>
      </c>
      <c r="D11" s="37">
        <f>SUM(D8:D10)</f>
        <v>651.380495833333</v>
      </c>
      <c r="E11" s="37">
        <f>SUM(E8:E10)</f>
        <v>1254.7963307333325</v>
      </c>
      <c r="F11" s="37">
        <f>SUM(F8:F10)</f>
        <v>5797.79636414133</v>
      </c>
    </row>
    <row r="12" spans="1:6" ht="15">
      <c r="A12" s="15"/>
      <c r="B12" s="50" t="s">
        <v>52</v>
      </c>
      <c r="C12" s="21">
        <v>0.3612</v>
      </c>
      <c r="D12" s="21">
        <v>0.3612</v>
      </c>
      <c r="E12" s="21">
        <v>0.335</v>
      </c>
      <c r="F12" s="21">
        <v>0.33</v>
      </c>
    </row>
    <row r="13" spans="1:6" ht="15">
      <c r="A13" s="15"/>
      <c r="B13" s="15" t="s">
        <v>15</v>
      </c>
      <c r="C13" s="37">
        <f>C11*C12</f>
        <v>63.465461710000014</v>
      </c>
      <c r="D13" s="37">
        <f>D11*D12</f>
        <v>235.2786350949999</v>
      </c>
      <c r="E13" s="37">
        <f>E11*E12</f>
        <v>420.3567707956664</v>
      </c>
      <c r="F13" s="37">
        <f>F11*F12</f>
        <v>1913.272800166639</v>
      </c>
    </row>
    <row r="14" spans="1:6" ht="15">
      <c r="A14" s="15"/>
      <c r="B14" s="15"/>
      <c r="C14" s="15"/>
      <c r="D14" s="15"/>
      <c r="E14" s="17"/>
      <c r="F14" s="17"/>
    </row>
    <row r="15" spans="1:6" ht="15">
      <c r="A15" s="15"/>
      <c r="B15" s="19" t="s">
        <v>16</v>
      </c>
      <c r="C15" s="15"/>
      <c r="D15" s="15"/>
      <c r="E15" s="17"/>
      <c r="F15" s="17"/>
    </row>
    <row r="16" spans="1:6" ht="15">
      <c r="A16" s="15"/>
      <c r="B16" s="29" t="s">
        <v>32</v>
      </c>
      <c r="C16" s="51">
        <f>'Avg Nt Fix Ass &amp;UCC'!D18</f>
        <v>11260.796666666665</v>
      </c>
      <c r="D16" s="51">
        <f>'Avg Nt Fix Ass &amp;UCC'!E18</f>
        <v>28439.35633333333</v>
      </c>
      <c r="E16" s="51">
        <f>'Avg Nt Fix Ass &amp;UCC'!F18</f>
        <v>42770.350999999995</v>
      </c>
      <c r="F16" s="51">
        <f>'Avg Nt Fix Ass &amp;UCC'!G18</f>
        <v>500055.10300000006</v>
      </c>
    </row>
    <row r="17" spans="1:6" ht="15">
      <c r="A17" s="15"/>
      <c r="B17" s="15" t="s">
        <v>17</v>
      </c>
      <c r="C17" s="52">
        <v>0</v>
      </c>
      <c r="D17" s="52">
        <v>0</v>
      </c>
      <c r="E17" s="52">
        <v>0</v>
      </c>
      <c r="F17" s="52">
        <v>0</v>
      </c>
    </row>
    <row r="18" spans="1:6" ht="15">
      <c r="A18" s="15"/>
      <c r="B18" s="15" t="s">
        <v>18</v>
      </c>
      <c r="C18" s="37">
        <f>C16-C17</f>
        <v>11260.796666666665</v>
      </c>
      <c r="D18" s="37">
        <f>D16-D17</f>
        <v>28439.35633333333</v>
      </c>
      <c r="E18" s="37">
        <f>E16-E17</f>
        <v>42770.350999999995</v>
      </c>
      <c r="F18" s="37">
        <f>F16-F17</f>
        <v>500055.10300000006</v>
      </c>
    </row>
    <row r="19" spans="1:6" ht="15">
      <c r="A19" s="15"/>
      <c r="B19" s="15" t="s">
        <v>19</v>
      </c>
      <c r="C19" s="23">
        <v>0.003</v>
      </c>
      <c r="D19" s="23">
        <v>0.00225</v>
      </c>
      <c r="E19" s="24">
        <v>0.00225</v>
      </c>
      <c r="F19" s="24">
        <v>0.00225</v>
      </c>
    </row>
    <row r="20" spans="1:6" ht="15">
      <c r="A20" s="15"/>
      <c r="B20" s="15" t="s">
        <v>20</v>
      </c>
      <c r="C20" s="20">
        <f>C18*C19</f>
        <v>33.78239</v>
      </c>
      <c r="D20" s="20">
        <f>D18*D19</f>
        <v>63.988551749999985</v>
      </c>
      <c r="E20" s="20">
        <f>E18*E19</f>
        <v>96.23328974999998</v>
      </c>
      <c r="F20" s="20">
        <f>F18*F19</f>
        <v>1125.12398175</v>
      </c>
    </row>
    <row r="21" spans="1:6" ht="15">
      <c r="A21" s="15"/>
      <c r="B21" s="15"/>
      <c r="C21" s="15"/>
      <c r="D21" s="15"/>
      <c r="E21" s="17"/>
      <c r="F21" s="17"/>
    </row>
    <row r="22" spans="1:6" ht="15">
      <c r="A22" s="15"/>
      <c r="B22" s="15"/>
      <c r="C22" s="15"/>
      <c r="D22" s="15"/>
      <c r="E22" s="17"/>
      <c r="F22" s="17"/>
    </row>
    <row r="23" spans="1:6" ht="15.75">
      <c r="A23" s="15"/>
      <c r="B23" s="25" t="s">
        <v>21</v>
      </c>
      <c r="C23" s="15"/>
      <c r="D23" s="15"/>
      <c r="E23" s="17"/>
      <c r="F23" s="17"/>
    </row>
    <row r="24" spans="1:6" ht="15">
      <c r="A24" s="15"/>
      <c r="B24" s="15"/>
      <c r="C24" s="18" t="s">
        <v>22</v>
      </c>
      <c r="D24" s="18" t="s">
        <v>22</v>
      </c>
      <c r="E24" s="18" t="s">
        <v>22</v>
      </c>
      <c r="F24" s="18" t="s">
        <v>22</v>
      </c>
    </row>
    <row r="25" spans="1:6" ht="15">
      <c r="A25" s="15"/>
      <c r="B25" s="15" t="s">
        <v>23</v>
      </c>
      <c r="C25" s="22">
        <f>C13</f>
        <v>63.465461710000014</v>
      </c>
      <c r="D25" s="22">
        <f>D13</f>
        <v>235.2786350949999</v>
      </c>
      <c r="E25" s="22">
        <f>E13</f>
        <v>420.3567707956664</v>
      </c>
      <c r="F25" s="22">
        <f>F13</f>
        <v>1913.272800166639</v>
      </c>
    </row>
    <row r="26" spans="1:6" ht="15">
      <c r="A26" s="15"/>
      <c r="B26" s="15" t="s">
        <v>24</v>
      </c>
      <c r="C26" s="22">
        <f>C20</f>
        <v>33.78239</v>
      </c>
      <c r="D26" s="22">
        <f>D20</f>
        <v>63.988551749999985</v>
      </c>
      <c r="E26" s="22">
        <f>E20</f>
        <v>96.23328974999998</v>
      </c>
      <c r="F26" s="22">
        <f>F20</f>
        <v>1125.12398175</v>
      </c>
    </row>
    <row r="27" spans="1:6" ht="15">
      <c r="A27" s="15"/>
      <c r="B27" s="15" t="s">
        <v>25</v>
      </c>
      <c r="C27" s="20">
        <f>SUM(C25:C26)</f>
        <v>97.24785171000002</v>
      </c>
      <c r="D27" s="20">
        <f>SUM(D25:D26)</f>
        <v>299.2671868449999</v>
      </c>
      <c r="E27" s="20">
        <f>SUM(E25:E26)</f>
        <v>516.5900605456663</v>
      </c>
      <c r="F27" s="20">
        <f>SUM(F25:F26)</f>
        <v>3038.396781916639</v>
      </c>
    </row>
    <row r="28" spans="1:6" ht="15">
      <c r="A28" s="17"/>
      <c r="B28" s="17"/>
      <c r="C28" s="17"/>
      <c r="D28" s="17"/>
      <c r="E28" s="17"/>
      <c r="F28" s="17"/>
    </row>
    <row r="29" spans="1:6" ht="15">
      <c r="A29" s="17"/>
      <c r="B29" s="17"/>
      <c r="C29" s="18" t="s">
        <v>21</v>
      </c>
      <c r="D29" s="18" t="s">
        <v>21</v>
      </c>
      <c r="E29" s="18" t="s">
        <v>21</v>
      </c>
      <c r="F29" s="18" t="s">
        <v>21</v>
      </c>
    </row>
    <row r="30" spans="1:6" ht="15">
      <c r="A30" s="17"/>
      <c r="B30" s="17"/>
      <c r="C30" s="26">
        <v>0.33</v>
      </c>
      <c r="D30" s="26">
        <v>0.32</v>
      </c>
      <c r="E30" s="26">
        <v>0.305</v>
      </c>
      <c r="F30" s="26">
        <v>0.305</v>
      </c>
    </row>
    <row r="31" spans="1:6" ht="15">
      <c r="A31" s="17"/>
      <c r="B31" s="17"/>
      <c r="C31" s="17"/>
      <c r="D31" s="17"/>
      <c r="E31" s="17"/>
      <c r="F31" s="17"/>
    </row>
    <row r="32" spans="1:6" ht="15">
      <c r="A32" s="17"/>
      <c r="B32" s="17"/>
      <c r="C32" s="27" t="s">
        <v>26</v>
      </c>
      <c r="D32" s="27" t="s">
        <v>26</v>
      </c>
      <c r="E32" s="27" t="s">
        <v>26</v>
      </c>
      <c r="F32" s="27" t="s">
        <v>26</v>
      </c>
    </row>
    <row r="33" spans="1:6" ht="15">
      <c r="A33" s="17"/>
      <c r="B33" s="15" t="s">
        <v>23</v>
      </c>
      <c r="C33" s="22">
        <f>C25/(1-C12)</f>
        <v>99.35106717282406</v>
      </c>
      <c r="D33" s="22">
        <f>D25/(1-D12)</f>
        <v>368.3134550641827</v>
      </c>
      <c r="E33" s="22">
        <f>E25/(1-E12)</f>
        <v>632.1154448055133</v>
      </c>
      <c r="F33" s="22">
        <f>F25/(1-F12)</f>
        <v>2855.6310450248347</v>
      </c>
    </row>
    <row r="34" spans="1:6" ht="15">
      <c r="A34" s="17"/>
      <c r="B34" s="15" t="s">
        <v>24</v>
      </c>
      <c r="C34" s="22">
        <f>C20</f>
        <v>33.78239</v>
      </c>
      <c r="D34" s="22">
        <f>D20</f>
        <v>63.988551749999985</v>
      </c>
      <c r="E34" s="22">
        <f>E20</f>
        <v>96.23328974999998</v>
      </c>
      <c r="F34" s="22">
        <f>F20</f>
        <v>1125.12398175</v>
      </c>
    </row>
    <row r="35" spans="1:6" ht="15">
      <c r="A35" s="17"/>
      <c r="B35" s="15" t="s">
        <v>25</v>
      </c>
      <c r="C35" s="28">
        <f>SUM(C33:C34)</f>
        <v>133.13345717282405</v>
      </c>
      <c r="D35" s="28">
        <f>SUM(D33:D34)</f>
        <v>432.3020068141827</v>
      </c>
      <c r="E35" s="28">
        <f>SUM(E33:E34)</f>
        <v>728.3487345555134</v>
      </c>
      <c r="F35" s="28">
        <f>SUM(F33:F34)</f>
        <v>3980.7550267748347</v>
      </c>
    </row>
  </sheetData>
  <sheetProtection formatColumns="0" selectLockedCells="1"/>
  <printOptions/>
  <pageMargins left="0.75" right="0.75" top="1" bottom="1" header="0.5" footer="0.5"/>
  <pageSetup horizontalDpi="600" verticalDpi="600" orientation="portrait" scale="82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76"/>
  <sheetViews>
    <sheetView zoomScale="70" zoomScaleNormal="70" zoomScalePageLayoutView="0" workbookViewId="0" topLeftCell="C7">
      <selection activeCell="H7" sqref="H7"/>
    </sheetView>
  </sheetViews>
  <sheetFormatPr defaultColWidth="8.88671875" defaultRowHeight="15"/>
  <cols>
    <col min="1" max="1" width="8.88671875" style="14" customWidth="1"/>
    <col min="2" max="2" width="58.10546875" style="14" bestFit="1" customWidth="1"/>
    <col min="3" max="3" width="7.3359375" style="14" customWidth="1"/>
    <col min="4" max="4" width="9.6640625" style="34" bestFit="1" customWidth="1"/>
    <col min="5" max="6" width="10.3359375" style="34" bestFit="1" customWidth="1"/>
    <col min="7" max="8" width="10.3359375" style="14" bestFit="1" customWidth="1"/>
    <col min="9" max="16384" width="8.88671875" style="14" customWidth="1"/>
  </cols>
  <sheetData>
    <row r="3" spans="1:8" ht="15">
      <c r="A3" s="29"/>
      <c r="B3" s="29"/>
      <c r="C3" s="29"/>
      <c r="D3" s="35"/>
      <c r="E3" s="35"/>
      <c r="F3" s="35"/>
      <c r="G3" s="29"/>
      <c r="H3" s="29"/>
    </row>
    <row r="4" spans="1:8" ht="26.25">
      <c r="A4" s="29"/>
      <c r="B4" s="30" t="s">
        <v>33</v>
      </c>
      <c r="C4" s="30"/>
      <c r="D4" s="35"/>
      <c r="E4" s="35"/>
      <c r="F4" s="35"/>
      <c r="G4" s="29"/>
      <c r="H4" s="29"/>
    </row>
    <row r="5" spans="1:8" ht="15">
      <c r="A5" s="29"/>
      <c r="B5" s="29"/>
      <c r="C5" s="29"/>
      <c r="D5" s="42">
        <v>2006</v>
      </c>
      <c r="E5" s="42">
        <v>2007</v>
      </c>
      <c r="F5" s="42">
        <v>2008</v>
      </c>
      <c r="G5" s="42">
        <v>2009</v>
      </c>
      <c r="H5" s="42">
        <v>2010</v>
      </c>
    </row>
    <row r="6" spans="1:8" ht="18">
      <c r="A6" s="29" t="s">
        <v>85</v>
      </c>
      <c r="B6" s="31" t="s">
        <v>46</v>
      </c>
      <c r="C6" s="31"/>
      <c r="D6" s="36" t="s">
        <v>84</v>
      </c>
      <c r="E6" s="36" t="s">
        <v>84</v>
      </c>
      <c r="F6" s="36" t="s">
        <v>84</v>
      </c>
      <c r="G6" s="36" t="s">
        <v>84</v>
      </c>
      <c r="H6" s="66" t="s">
        <v>89</v>
      </c>
    </row>
    <row r="7" spans="1:8" ht="15">
      <c r="A7" s="29"/>
      <c r="B7" s="29"/>
      <c r="C7" s="29"/>
      <c r="D7" s="35"/>
      <c r="E7" s="35"/>
      <c r="F7" s="35"/>
      <c r="G7" s="35"/>
      <c r="H7" s="35"/>
    </row>
    <row r="8" spans="1:8" ht="15">
      <c r="A8" s="29"/>
      <c r="B8" s="29" t="s">
        <v>27</v>
      </c>
      <c r="C8" s="29"/>
      <c r="D8" s="37">
        <v>0</v>
      </c>
      <c r="E8" s="37">
        <f>D10</f>
        <v>11649.099999999999</v>
      </c>
      <c r="F8" s="37">
        <f>E10</f>
        <v>30223.409999999996</v>
      </c>
      <c r="G8" s="37">
        <f>F10</f>
        <v>47132.95</v>
      </c>
      <c r="H8" s="37">
        <f>G10</f>
        <v>523436.69000000006</v>
      </c>
    </row>
    <row r="9" spans="1:8" ht="15">
      <c r="A9" s="29" t="s">
        <v>87</v>
      </c>
      <c r="B9" s="33" t="s">
        <v>47</v>
      </c>
      <c r="C9" s="33"/>
      <c r="D9" s="38">
        <f>'[2]Summary'!$B$13</f>
        <v>11649.099999999999</v>
      </c>
      <c r="E9" s="38">
        <f>'[2]Summary'!$C$13</f>
        <v>18574.309999999998</v>
      </c>
      <c r="F9" s="38">
        <f>'[2]Summary'!$D$13</f>
        <v>16909.54</v>
      </c>
      <c r="G9" s="38">
        <f>'[2]Summary'!$E$13</f>
        <v>476303.74000000005</v>
      </c>
      <c r="H9" s="38"/>
    </row>
    <row r="10" spans="1:8" ht="15">
      <c r="A10" s="29"/>
      <c r="B10" s="29" t="s">
        <v>28</v>
      </c>
      <c r="C10" s="29"/>
      <c r="D10" s="37">
        <f>SUM(D8:D9)</f>
        <v>11649.099999999999</v>
      </c>
      <c r="E10" s="37">
        <f>SUM(E8:E9)</f>
        <v>30223.409999999996</v>
      </c>
      <c r="F10" s="37">
        <f>SUM(F8:F9)</f>
        <v>47132.95</v>
      </c>
      <c r="G10" s="37">
        <f>SUM(G8:G9)</f>
        <v>523436.69000000006</v>
      </c>
      <c r="H10" s="37">
        <f>SUM(H8:H9)</f>
        <v>523436.69000000006</v>
      </c>
    </row>
    <row r="11" spans="1:8" ht="15">
      <c r="A11" s="29"/>
      <c r="B11" s="29"/>
      <c r="C11" s="29"/>
      <c r="D11" s="39"/>
      <c r="E11" s="39"/>
      <c r="F11" s="35"/>
      <c r="G11" s="35"/>
      <c r="H11" s="35"/>
    </row>
    <row r="12" spans="1:8" ht="15">
      <c r="A12" s="29"/>
      <c r="B12" s="29" t="s">
        <v>29</v>
      </c>
      <c r="C12" s="29"/>
      <c r="D12" s="37">
        <v>0</v>
      </c>
      <c r="E12" s="37">
        <f>D15</f>
        <v>388.3033333333333</v>
      </c>
      <c r="F12" s="37">
        <f>E15</f>
        <v>1784.0536666666665</v>
      </c>
      <c r="G12" s="37">
        <f>F15</f>
        <v>4362.599</v>
      </c>
      <c r="H12" s="37">
        <f>G15</f>
        <v>23381.587000000003</v>
      </c>
    </row>
    <row r="13" spans="1:8" ht="15">
      <c r="A13" s="29"/>
      <c r="B13" s="33" t="s">
        <v>49</v>
      </c>
      <c r="C13" s="44" t="s">
        <v>66</v>
      </c>
      <c r="D13" s="35">
        <f>D9/15/2</f>
        <v>388.3033333333333</v>
      </c>
      <c r="E13" s="35">
        <f>E9/15/2</f>
        <v>619.1436666666666</v>
      </c>
      <c r="F13" s="35">
        <f>F9/15/2</f>
        <v>563.6513333333334</v>
      </c>
      <c r="G13" s="35">
        <f>G9/15/2</f>
        <v>15876.791333333334</v>
      </c>
      <c r="H13" s="35">
        <f>H9/15/2</f>
        <v>0</v>
      </c>
    </row>
    <row r="14" spans="1:8" ht="15">
      <c r="A14" s="29"/>
      <c r="B14" s="33" t="s">
        <v>50</v>
      </c>
      <c r="C14"/>
      <c r="D14" s="35">
        <f>D8/15</f>
        <v>0</v>
      </c>
      <c r="E14" s="35">
        <f>E8/15</f>
        <v>776.6066666666666</v>
      </c>
      <c r="F14" s="35">
        <f>F8/15</f>
        <v>2014.8939999999998</v>
      </c>
      <c r="G14" s="35">
        <f>G8/15</f>
        <v>3142.1966666666663</v>
      </c>
      <c r="H14" s="35">
        <f>H8/15</f>
        <v>34895.77933333334</v>
      </c>
    </row>
    <row r="15" spans="1:8" ht="15">
      <c r="A15" s="29"/>
      <c r="B15" s="29" t="s">
        <v>30</v>
      </c>
      <c r="C15" s="29"/>
      <c r="D15" s="37">
        <f>SUM(D12:D14)</f>
        <v>388.3033333333333</v>
      </c>
      <c r="E15" s="37">
        <f>SUM(E12:E14)</f>
        <v>1784.0536666666665</v>
      </c>
      <c r="F15" s="37">
        <f>SUM(F12:F14)</f>
        <v>4362.599</v>
      </c>
      <c r="G15" s="37">
        <f>SUM(G12:G14)</f>
        <v>23381.587000000003</v>
      </c>
      <c r="H15" s="37">
        <f>SUM(H12:H14)</f>
        <v>58277.36633333334</v>
      </c>
    </row>
    <row r="16" spans="1:8" ht="15">
      <c r="A16" s="29"/>
      <c r="B16" s="29"/>
      <c r="C16" s="29"/>
      <c r="D16" s="40"/>
      <c r="E16" s="40"/>
      <c r="F16" s="35"/>
      <c r="G16" s="35"/>
      <c r="H16" s="35"/>
    </row>
    <row r="17" spans="1:8" ht="15">
      <c r="A17" s="29"/>
      <c r="B17" s="29" t="s">
        <v>31</v>
      </c>
      <c r="C17" s="29"/>
      <c r="D17" s="35">
        <f>D8-D12</f>
        <v>0</v>
      </c>
      <c r="E17" s="35">
        <f>E8-E12</f>
        <v>11260.796666666665</v>
      </c>
      <c r="F17" s="35">
        <f>F8-F12</f>
        <v>28439.35633333333</v>
      </c>
      <c r="G17" s="35">
        <f>G8-G12</f>
        <v>42770.350999999995</v>
      </c>
      <c r="H17" s="35">
        <f>H8-H12</f>
        <v>500055.10300000006</v>
      </c>
    </row>
    <row r="18" spans="1:8" ht="15">
      <c r="A18" s="29"/>
      <c r="B18" s="29" t="s">
        <v>32</v>
      </c>
      <c r="C18" s="29"/>
      <c r="D18" s="37">
        <f>D10-D15</f>
        <v>11260.796666666665</v>
      </c>
      <c r="E18" s="37">
        <f>E10-E15</f>
        <v>28439.35633333333</v>
      </c>
      <c r="F18" s="37">
        <f>F10-F15</f>
        <v>42770.350999999995</v>
      </c>
      <c r="G18" s="37">
        <f>G10-G15</f>
        <v>500055.10300000006</v>
      </c>
      <c r="H18" s="37">
        <f>H10-H15</f>
        <v>465159.32366666675</v>
      </c>
    </row>
    <row r="19" spans="1:8" ht="15.75" thickBot="1">
      <c r="A19" s="29"/>
      <c r="B19" s="29" t="s">
        <v>33</v>
      </c>
      <c r="C19" s="29"/>
      <c r="D19" s="41">
        <f>SUM(D17:D18)/2</f>
        <v>5630.398333333333</v>
      </c>
      <c r="E19" s="41">
        <f>SUM(E17:E18)/2</f>
        <v>19850.076499999996</v>
      </c>
      <c r="F19" s="41">
        <f>SUM(F17:F18)/2</f>
        <v>35604.85366666666</v>
      </c>
      <c r="G19" s="41">
        <f>SUM(G17:G18)/2</f>
        <v>271412.727</v>
      </c>
      <c r="H19" s="41">
        <f>SUM(H17:H18)/2</f>
        <v>482607.2133333334</v>
      </c>
    </row>
    <row r="20" spans="1:8" ht="15">
      <c r="A20" s="29"/>
      <c r="B20" s="29"/>
      <c r="C20" s="29"/>
      <c r="D20" s="39"/>
      <c r="E20" s="39"/>
      <c r="F20" s="39"/>
      <c r="G20" s="32"/>
      <c r="H20" s="32"/>
    </row>
    <row r="21" spans="1:8" ht="15">
      <c r="A21" s="29"/>
      <c r="B21" s="29"/>
      <c r="C21" s="29"/>
      <c r="D21" s="36"/>
      <c r="E21" s="36"/>
      <c r="F21" s="36"/>
      <c r="G21" s="29"/>
      <c r="H21" s="29"/>
    </row>
    <row r="22" spans="1:8" ht="15">
      <c r="A22" s="29"/>
      <c r="B22" s="29"/>
      <c r="C22" s="29"/>
      <c r="D22" s="42">
        <v>2006</v>
      </c>
      <c r="E22" s="42">
        <v>2007</v>
      </c>
      <c r="F22" s="42">
        <v>2008</v>
      </c>
      <c r="G22" s="42">
        <v>2009</v>
      </c>
      <c r="H22" s="42">
        <v>2010</v>
      </c>
    </row>
    <row r="23" spans="1:8" ht="18">
      <c r="A23" s="29" t="s">
        <v>86</v>
      </c>
      <c r="B23" s="31" t="s">
        <v>46</v>
      </c>
      <c r="C23" s="31"/>
      <c r="D23" s="36" t="s">
        <v>84</v>
      </c>
      <c r="E23" s="36" t="s">
        <v>84</v>
      </c>
      <c r="F23" s="36" t="s">
        <v>84</v>
      </c>
      <c r="G23" s="36" t="s">
        <v>84</v>
      </c>
      <c r="H23" s="66" t="s">
        <v>89</v>
      </c>
    </row>
    <row r="24" spans="1:8" ht="15">
      <c r="A24" s="29"/>
      <c r="B24" s="29"/>
      <c r="C24" s="29"/>
      <c r="D24" s="35"/>
      <c r="E24" s="35"/>
      <c r="F24" s="35"/>
      <c r="G24" s="35"/>
      <c r="H24" s="35"/>
    </row>
    <row r="25" spans="1:8" ht="15">
      <c r="A25" s="29"/>
      <c r="B25" s="29" t="s">
        <v>27</v>
      </c>
      <c r="C25" s="29"/>
      <c r="D25" s="37">
        <v>0</v>
      </c>
      <c r="E25" s="37">
        <f>D27</f>
        <v>0</v>
      </c>
      <c r="F25" s="37">
        <f>E27</f>
        <v>0</v>
      </c>
      <c r="G25" s="37">
        <f>F27</f>
        <v>0</v>
      </c>
      <c r="H25" s="37">
        <f>G27</f>
        <v>33960.62</v>
      </c>
    </row>
    <row r="26" spans="1:8" ht="15">
      <c r="A26" s="29"/>
      <c r="B26" s="33" t="s">
        <v>47</v>
      </c>
      <c r="C26" s="33"/>
      <c r="D26" s="38">
        <v>0</v>
      </c>
      <c r="E26" s="38"/>
      <c r="F26" s="38"/>
      <c r="G26" s="38">
        <f>'[2]Summary'!$G$22</f>
        <v>33960.62</v>
      </c>
      <c r="H26" s="38"/>
    </row>
    <row r="27" spans="1:8" ht="15">
      <c r="A27" s="29"/>
      <c r="B27" s="29" t="s">
        <v>28</v>
      </c>
      <c r="C27" s="29"/>
      <c r="D27" s="37">
        <f>SUM(D25:D26)</f>
        <v>0</v>
      </c>
      <c r="E27" s="37">
        <f>SUM(E25:E26)</f>
        <v>0</v>
      </c>
      <c r="F27" s="37">
        <f>SUM(F25:F26)</f>
        <v>0</v>
      </c>
      <c r="G27" s="37">
        <f>SUM(G25:G26)</f>
        <v>33960.62</v>
      </c>
      <c r="H27" s="37">
        <f>SUM(H25:H26)</f>
        <v>33960.62</v>
      </c>
    </row>
    <row r="28" spans="1:8" ht="15">
      <c r="A28" s="29"/>
      <c r="B28" s="29"/>
      <c r="C28" s="29"/>
      <c r="D28" s="39"/>
      <c r="E28" s="39"/>
      <c r="F28" s="35"/>
      <c r="G28" s="35"/>
      <c r="H28" s="35"/>
    </row>
    <row r="29" spans="1:8" ht="15">
      <c r="A29" s="29"/>
      <c r="B29" s="29" t="s">
        <v>29</v>
      </c>
      <c r="C29" s="29"/>
      <c r="D29" s="37">
        <v>0</v>
      </c>
      <c r="E29" s="37">
        <f>D32</f>
        <v>0</v>
      </c>
      <c r="F29" s="37">
        <f>E32</f>
        <v>0</v>
      </c>
      <c r="G29" s="37">
        <f>F32</f>
        <v>0</v>
      </c>
      <c r="H29" s="37">
        <f>G32</f>
        <v>5660.1033333333335</v>
      </c>
    </row>
    <row r="30" spans="1:8" ht="15">
      <c r="A30" s="29"/>
      <c r="B30" s="33" t="s">
        <v>49</v>
      </c>
      <c r="C30" s="44" t="s">
        <v>67</v>
      </c>
      <c r="D30" s="35">
        <f>D26/3/2</f>
        <v>0</v>
      </c>
      <c r="E30" s="35">
        <f>E26/3/2</f>
        <v>0</v>
      </c>
      <c r="F30" s="35">
        <f>F26/3/2</f>
        <v>0</v>
      </c>
      <c r="G30" s="35">
        <f>G26/3/2</f>
        <v>5660.1033333333335</v>
      </c>
      <c r="H30" s="35">
        <f>H26/3/2</f>
        <v>0</v>
      </c>
    </row>
    <row r="31" spans="1:8" ht="15">
      <c r="A31" s="29"/>
      <c r="B31" s="33" t="s">
        <v>50</v>
      </c>
      <c r="C31"/>
      <c r="D31" s="35">
        <f>D25/3</f>
        <v>0</v>
      </c>
      <c r="E31" s="35">
        <f>E25/3</f>
        <v>0</v>
      </c>
      <c r="F31" s="35">
        <f>F25/3</f>
        <v>0</v>
      </c>
      <c r="G31" s="35">
        <f>G25/3</f>
        <v>0</v>
      </c>
      <c r="H31" s="35">
        <f>H25/3</f>
        <v>11320.206666666667</v>
      </c>
    </row>
    <row r="32" spans="1:8" ht="15">
      <c r="A32" s="29"/>
      <c r="B32" s="29" t="s">
        <v>30</v>
      </c>
      <c r="C32" s="29"/>
      <c r="D32" s="37">
        <f>SUM(D29:D31)</f>
        <v>0</v>
      </c>
      <c r="E32" s="37">
        <f>SUM(E29:E31)</f>
        <v>0</v>
      </c>
      <c r="F32" s="37">
        <f>SUM(F29:F31)</f>
        <v>0</v>
      </c>
      <c r="G32" s="37">
        <f>SUM(G29:G31)</f>
        <v>5660.1033333333335</v>
      </c>
      <c r="H32" s="37">
        <f>SUM(H29:H31)</f>
        <v>16980.31</v>
      </c>
    </row>
    <row r="33" spans="1:8" ht="15">
      <c r="A33" s="29"/>
      <c r="B33" s="29"/>
      <c r="C33" s="29"/>
      <c r="D33" s="40"/>
      <c r="E33" s="40"/>
      <c r="F33" s="35"/>
      <c r="G33" s="35"/>
      <c r="H33" s="35"/>
    </row>
    <row r="34" spans="1:8" ht="15">
      <c r="A34" s="29"/>
      <c r="B34" s="29" t="s">
        <v>31</v>
      </c>
      <c r="C34" s="29"/>
      <c r="D34" s="35">
        <f>D25-D29</f>
        <v>0</v>
      </c>
      <c r="E34" s="35">
        <f>E25-E29</f>
        <v>0</v>
      </c>
      <c r="F34" s="35">
        <f>F25-F29</f>
        <v>0</v>
      </c>
      <c r="G34" s="35">
        <f>G25-G29</f>
        <v>0</v>
      </c>
      <c r="H34" s="35">
        <f>H25-H29</f>
        <v>28300.51666666667</v>
      </c>
    </row>
    <row r="35" spans="1:8" ht="15">
      <c r="A35" s="29"/>
      <c r="B35" s="29" t="s">
        <v>32</v>
      </c>
      <c r="C35" s="29"/>
      <c r="D35" s="37">
        <f>D27-D32</f>
        <v>0</v>
      </c>
      <c r="E35" s="37">
        <f>E27-E32</f>
        <v>0</v>
      </c>
      <c r="F35" s="37">
        <f>F27-F32</f>
        <v>0</v>
      </c>
      <c r="G35" s="37">
        <f>G27-G32</f>
        <v>28300.51666666667</v>
      </c>
      <c r="H35" s="37">
        <f>H27-H32</f>
        <v>16980.31</v>
      </c>
    </row>
    <row r="36" spans="1:8" ht="15.75" thickBot="1">
      <c r="A36" s="29"/>
      <c r="B36" s="29" t="s">
        <v>33</v>
      </c>
      <c r="C36" s="29"/>
      <c r="D36" s="41">
        <f>SUM(D34:D35)/2</f>
        <v>0</v>
      </c>
      <c r="E36" s="41">
        <f>SUM(E34:E35)/2</f>
        <v>0</v>
      </c>
      <c r="F36" s="41">
        <f>SUM(F34:F35)/2</f>
        <v>0</v>
      </c>
      <c r="G36" s="41">
        <f>SUM(G34:G35)/2</f>
        <v>14150.258333333335</v>
      </c>
      <c r="H36" s="41">
        <f>SUM(H34:H35)/2</f>
        <v>22640.413333333338</v>
      </c>
    </row>
    <row r="37" spans="1:8" ht="15">
      <c r="A37" s="29"/>
      <c r="B37" s="29"/>
      <c r="C37" s="29"/>
      <c r="D37" s="35"/>
      <c r="E37" s="35"/>
      <c r="F37" s="35"/>
      <c r="G37" s="29"/>
      <c r="H37" s="29"/>
    </row>
    <row r="38" spans="1:8" ht="15">
      <c r="A38" s="29"/>
      <c r="B38" s="29"/>
      <c r="C38" s="29"/>
      <c r="D38" s="35"/>
      <c r="E38" s="35"/>
      <c r="F38" s="35"/>
      <c r="G38" s="29"/>
      <c r="H38" s="29"/>
    </row>
    <row r="39" spans="1:8" ht="15">
      <c r="A39" s="29"/>
      <c r="B39" s="29"/>
      <c r="C39" s="29"/>
      <c r="D39" s="35"/>
      <c r="E39" s="35"/>
      <c r="F39" s="35"/>
      <c r="G39" s="29"/>
      <c r="H39" s="29"/>
    </row>
    <row r="40" spans="1:8" ht="15">
      <c r="A40" s="29"/>
      <c r="B40" s="29"/>
      <c r="C40" s="29"/>
      <c r="D40" s="35"/>
      <c r="E40" s="35"/>
      <c r="F40" s="35"/>
      <c r="G40" s="29"/>
      <c r="H40" s="29"/>
    </row>
    <row r="41" spans="1:8" ht="15">
      <c r="A41" s="29"/>
      <c r="B41" s="29"/>
      <c r="C41" s="29"/>
      <c r="D41" s="35"/>
      <c r="E41" s="35"/>
      <c r="F41" s="35"/>
      <c r="G41" s="29"/>
      <c r="H41" s="29"/>
    </row>
    <row r="42" spans="1:8" ht="15">
      <c r="A42" s="29"/>
      <c r="B42" s="29"/>
      <c r="C42" s="29"/>
      <c r="D42" s="35"/>
      <c r="E42" s="35"/>
      <c r="F42" s="35"/>
      <c r="G42" s="29"/>
      <c r="H42" s="29"/>
    </row>
    <row r="43" spans="1:8" ht="15">
      <c r="A43" s="29"/>
      <c r="B43" s="29"/>
      <c r="C43" s="29"/>
      <c r="D43" s="35"/>
      <c r="E43" s="35"/>
      <c r="F43" s="35"/>
      <c r="G43" s="29"/>
      <c r="H43" s="29"/>
    </row>
    <row r="44" spans="1:8" ht="15">
      <c r="A44" s="29"/>
      <c r="B44" s="29"/>
      <c r="C44" s="29"/>
      <c r="D44" s="35"/>
      <c r="E44" s="35"/>
      <c r="F44" s="35"/>
      <c r="G44" s="29"/>
      <c r="H44" s="29"/>
    </row>
    <row r="45" spans="1:8" ht="26.25">
      <c r="A45" s="29"/>
      <c r="B45" s="30" t="s">
        <v>34</v>
      </c>
      <c r="C45" s="30"/>
      <c r="D45" s="35"/>
      <c r="E45" s="35"/>
      <c r="F45" s="35"/>
      <c r="G45" s="29"/>
      <c r="H45" s="29"/>
    </row>
    <row r="46" spans="1:8" ht="15">
      <c r="A46" s="29"/>
      <c r="B46" s="29"/>
      <c r="C46" s="29"/>
      <c r="D46" s="35"/>
      <c r="E46" s="35"/>
      <c r="F46" s="35"/>
      <c r="G46" s="29"/>
      <c r="H46" s="29"/>
    </row>
    <row r="47" spans="1:8" ht="18">
      <c r="A47" s="29"/>
      <c r="B47" s="31" t="s">
        <v>48</v>
      </c>
      <c r="C47" s="31"/>
      <c r="D47" s="42">
        <v>2006</v>
      </c>
      <c r="E47" s="42">
        <v>2007</v>
      </c>
      <c r="F47" s="42">
        <v>2008</v>
      </c>
      <c r="G47" s="42">
        <v>2009</v>
      </c>
      <c r="H47" s="42">
        <v>2009</v>
      </c>
    </row>
    <row r="48" spans="1:8" ht="15">
      <c r="A48" s="29"/>
      <c r="B48" s="29"/>
      <c r="C48" s="29"/>
      <c r="D48" s="36" t="s">
        <v>42</v>
      </c>
      <c r="E48" s="36" t="s">
        <v>42</v>
      </c>
      <c r="F48" s="36" t="s">
        <v>42</v>
      </c>
      <c r="G48" s="36" t="s">
        <v>42</v>
      </c>
      <c r="H48" s="36" t="s">
        <v>42</v>
      </c>
    </row>
    <row r="49" spans="1:8" ht="15">
      <c r="A49" s="29"/>
      <c r="B49" s="29"/>
      <c r="C49" s="29"/>
      <c r="D49" s="35"/>
      <c r="E49" s="35"/>
      <c r="F49" s="35"/>
      <c r="G49" s="35"/>
      <c r="H49" s="35"/>
    </row>
    <row r="50" spans="1:8" ht="15">
      <c r="A50" s="29"/>
      <c r="B50" s="29" t="s">
        <v>35</v>
      </c>
      <c r="C50" s="29"/>
      <c r="D50" s="37">
        <v>0</v>
      </c>
      <c r="E50" s="37">
        <f>D58</f>
        <v>11183.135999999999</v>
      </c>
      <c r="F50" s="37">
        <f>E58</f>
        <v>28119.822719999996</v>
      </c>
      <c r="G50" s="37">
        <f>F58</f>
        <v>42103.3953024</v>
      </c>
      <c r="H50" s="37">
        <f>G58</f>
        <v>495986.714078208</v>
      </c>
    </row>
    <row r="51" spans="1:8" ht="15">
      <c r="A51" s="29"/>
      <c r="B51" s="29" t="s">
        <v>36</v>
      </c>
      <c r="C51" s="29"/>
      <c r="D51" s="35">
        <f>D9</f>
        <v>11649.099999999999</v>
      </c>
      <c r="E51" s="35">
        <f>E9</f>
        <v>18574.309999999998</v>
      </c>
      <c r="F51" s="35">
        <f>F9</f>
        <v>16909.54</v>
      </c>
      <c r="G51" s="35">
        <f>G9</f>
        <v>476303.74000000005</v>
      </c>
      <c r="H51" s="35">
        <f>H9</f>
        <v>0</v>
      </c>
    </row>
    <row r="52" spans="1:8" ht="15">
      <c r="A52" s="29"/>
      <c r="B52" s="29" t="s">
        <v>37</v>
      </c>
      <c r="C52" s="29"/>
      <c r="D52" s="37">
        <f>SUM(D50:D51)</f>
        <v>11649.099999999999</v>
      </c>
      <c r="E52" s="37">
        <f>SUM(E50:E51)</f>
        <v>29757.445999999996</v>
      </c>
      <c r="F52" s="37">
        <f>SUM(F50:F51)</f>
        <v>45029.36272</v>
      </c>
      <c r="G52" s="37">
        <f>SUM(G50:G51)</f>
        <v>518407.13530240004</v>
      </c>
      <c r="H52" s="37">
        <f>SUM(H50:H51)</f>
        <v>495986.714078208</v>
      </c>
    </row>
    <row r="53" spans="1:8" ht="15">
      <c r="A53" s="29"/>
      <c r="B53" s="29" t="s">
        <v>38</v>
      </c>
      <c r="C53" s="29"/>
      <c r="D53" s="35">
        <f>D51/2</f>
        <v>5824.549999999999</v>
      </c>
      <c r="E53" s="35">
        <f>E51/2</f>
        <v>9287.154999999999</v>
      </c>
      <c r="F53" s="35">
        <f>F51/2</f>
        <v>8454.77</v>
      </c>
      <c r="G53" s="35">
        <f>G51/2</f>
        <v>238151.87000000002</v>
      </c>
      <c r="H53" s="35">
        <f>H51/2</f>
        <v>0</v>
      </c>
    </row>
    <row r="54" spans="1:8" ht="15">
      <c r="A54" s="29"/>
      <c r="B54" s="29" t="s">
        <v>39</v>
      </c>
      <c r="C54" s="29"/>
      <c r="D54" s="37">
        <f>D52-D53</f>
        <v>5824.549999999999</v>
      </c>
      <c r="E54" s="37">
        <f>E52-E53</f>
        <v>20470.290999999997</v>
      </c>
      <c r="F54" s="37">
        <f>F52-F53</f>
        <v>36574.59272</v>
      </c>
      <c r="G54" s="37">
        <f>G52-G53</f>
        <v>280255.2653024</v>
      </c>
      <c r="H54" s="37">
        <f>H52-H53</f>
        <v>495986.714078208</v>
      </c>
    </row>
    <row r="55" spans="1:8" ht="15">
      <c r="A55" s="29"/>
      <c r="B55" s="29" t="s">
        <v>43</v>
      </c>
      <c r="C55" s="43">
        <v>47</v>
      </c>
      <c r="D55" s="45"/>
      <c r="E55" s="46"/>
      <c r="F55" s="46"/>
      <c r="G55" s="46"/>
      <c r="H55" s="46"/>
    </row>
    <row r="56" spans="1:8" ht="15">
      <c r="A56" s="29"/>
      <c r="B56" s="29" t="s">
        <v>44</v>
      </c>
      <c r="C56" s="44">
        <v>0.08</v>
      </c>
      <c r="D56" s="45"/>
      <c r="E56" s="46"/>
      <c r="F56" s="46"/>
      <c r="G56" s="46"/>
      <c r="H56" s="46"/>
    </row>
    <row r="57" spans="1:8" ht="15">
      <c r="A57" s="29"/>
      <c r="B57" s="29" t="s">
        <v>40</v>
      </c>
      <c r="C57" s="29"/>
      <c r="D57" s="37">
        <f>D54*$C$56</f>
        <v>465.96399999999994</v>
      </c>
      <c r="E57" s="37">
        <f>E54*$C$56</f>
        <v>1637.6232799999998</v>
      </c>
      <c r="F57" s="37">
        <f>F54*$C$56</f>
        <v>2925.9674176000003</v>
      </c>
      <c r="G57" s="37">
        <f>G54*$C$56</f>
        <v>22420.421224192</v>
      </c>
      <c r="H57" s="37">
        <f>H54*$C$56</f>
        <v>39678.93712625664</v>
      </c>
    </row>
    <row r="58" spans="1:8" ht="15.75" thickBot="1">
      <c r="A58" s="29"/>
      <c r="B58" s="29" t="s">
        <v>41</v>
      </c>
      <c r="C58" s="29"/>
      <c r="D58" s="41">
        <f>D52-D57</f>
        <v>11183.135999999999</v>
      </c>
      <c r="E58" s="41">
        <f>E52-E57</f>
        <v>28119.822719999996</v>
      </c>
      <c r="F58" s="41">
        <f>F52-F57</f>
        <v>42103.3953024</v>
      </c>
      <c r="G58" s="41">
        <f>G52-G57</f>
        <v>495986.714078208</v>
      </c>
      <c r="H58" s="41">
        <f>H52-H57</f>
        <v>456307.7769519514</v>
      </c>
    </row>
    <row r="59" spans="1:8" ht="15">
      <c r="A59" s="29"/>
      <c r="B59" s="29"/>
      <c r="C59" s="29"/>
      <c r="D59" s="35"/>
      <c r="E59" s="35"/>
      <c r="F59" s="35"/>
      <c r="G59" s="29"/>
      <c r="H59" s="29"/>
    </row>
    <row r="64" spans="2:8" ht="18">
      <c r="B64" s="31" t="s">
        <v>48</v>
      </c>
      <c r="C64" s="31"/>
      <c r="D64" s="42">
        <v>2006</v>
      </c>
      <c r="E64" s="42">
        <v>2007</v>
      </c>
      <c r="F64" s="42">
        <v>2008</v>
      </c>
      <c r="G64" s="42">
        <v>2009</v>
      </c>
      <c r="H64" s="42">
        <v>2009</v>
      </c>
    </row>
    <row r="65" spans="2:8" ht="15">
      <c r="B65" s="29"/>
      <c r="C65" s="29"/>
      <c r="D65" s="36" t="s">
        <v>42</v>
      </c>
      <c r="E65" s="36" t="s">
        <v>42</v>
      </c>
      <c r="F65" s="36" t="s">
        <v>42</v>
      </c>
      <c r="G65" s="36" t="s">
        <v>42</v>
      </c>
      <c r="H65" s="36" t="s">
        <v>42</v>
      </c>
    </row>
    <row r="66" spans="2:8" ht="15">
      <c r="B66" s="29"/>
      <c r="C66" s="29"/>
      <c r="D66" s="35"/>
      <c r="E66" s="35"/>
      <c r="F66" s="35"/>
      <c r="G66" s="35"/>
      <c r="H66" s="35"/>
    </row>
    <row r="67" spans="2:8" ht="15">
      <c r="B67" s="29" t="s">
        <v>35</v>
      </c>
      <c r="C67" s="29"/>
      <c r="D67" s="37">
        <v>0</v>
      </c>
      <c r="E67" s="37">
        <f>D75</f>
        <v>0</v>
      </c>
      <c r="F67" s="37">
        <f>E75</f>
        <v>0</v>
      </c>
      <c r="G67" s="37">
        <f>F75</f>
        <v>0</v>
      </c>
      <c r="H67" s="37">
        <f>G75</f>
        <v>24621.449500000002</v>
      </c>
    </row>
    <row r="68" spans="2:8" ht="15">
      <c r="B68" s="29" t="s">
        <v>36</v>
      </c>
      <c r="C68" s="29"/>
      <c r="D68" s="35">
        <f>D26</f>
        <v>0</v>
      </c>
      <c r="E68" s="35">
        <f>E26</f>
        <v>0</v>
      </c>
      <c r="F68" s="35">
        <f>F26</f>
        <v>0</v>
      </c>
      <c r="G68" s="35">
        <f>G26</f>
        <v>33960.62</v>
      </c>
      <c r="H68" s="35">
        <f>H26</f>
        <v>0</v>
      </c>
    </row>
    <row r="69" spans="2:8" ht="15">
      <c r="B69" s="29" t="s">
        <v>37</v>
      </c>
      <c r="C69" s="29"/>
      <c r="D69" s="37">
        <f>SUM(D67:D68)</f>
        <v>0</v>
      </c>
      <c r="E69" s="37">
        <f>SUM(E67:E68)</f>
        <v>0</v>
      </c>
      <c r="F69" s="37">
        <f>SUM(F67:F68)</f>
        <v>0</v>
      </c>
      <c r="G69" s="37">
        <f>SUM(G67:G68)</f>
        <v>33960.62</v>
      </c>
      <c r="H69" s="37">
        <f>SUM(H67:H68)</f>
        <v>24621.449500000002</v>
      </c>
    </row>
    <row r="70" spans="2:8" ht="15">
      <c r="B70" s="29" t="s">
        <v>38</v>
      </c>
      <c r="C70" s="29"/>
      <c r="D70" s="35">
        <f>D68/2</f>
        <v>0</v>
      </c>
      <c r="E70" s="35">
        <f>E68/2</f>
        <v>0</v>
      </c>
      <c r="F70" s="35">
        <f>F68/2</f>
        <v>0</v>
      </c>
      <c r="G70" s="35">
        <f>G68/2</f>
        <v>16980.31</v>
      </c>
      <c r="H70" s="35">
        <f>H68/2</f>
        <v>0</v>
      </c>
    </row>
    <row r="71" spans="2:8" ht="15">
      <c r="B71" s="29" t="s">
        <v>39</v>
      </c>
      <c r="C71" s="29"/>
      <c r="D71" s="37">
        <f>D69-D70</f>
        <v>0</v>
      </c>
      <c r="E71" s="37">
        <f>E69-E70</f>
        <v>0</v>
      </c>
      <c r="F71" s="37">
        <f>F69-F70</f>
        <v>0</v>
      </c>
      <c r="G71" s="37">
        <f>G69-G70</f>
        <v>16980.31</v>
      </c>
      <c r="H71" s="37">
        <f>H69-H70</f>
        <v>24621.449500000002</v>
      </c>
    </row>
    <row r="72" spans="2:8" ht="15">
      <c r="B72" s="29" t="s">
        <v>43</v>
      </c>
      <c r="C72" s="43">
        <v>50</v>
      </c>
      <c r="D72" s="45"/>
      <c r="E72" s="46"/>
      <c r="F72" s="46"/>
      <c r="G72" s="46"/>
      <c r="H72" s="46"/>
    </row>
    <row r="73" spans="2:8" ht="15">
      <c r="B73" s="29" t="s">
        <v>44</v>
      </c>
      <c r="C73" s="44">
        <v>0.55</v>
      </c>
      <c r="D73" s="45"/>
      <c r="E73" s="46"/>
      <c r="F73" s="46"/>
      <c r="G73" s="46"/>
      <c r="H73" s="46"/>
    </row>
    <row r="74" spans="2:8" ht="15">
      <c r="B74" s="29" t="s">
        <v>40</v>
      </c>
      <c r="C74" s="29"/>
      <c r="D74" s="37">
        <f>D71*$C$56</f>
        <v>0</v>
      </c>
      <c r="E74" s="37">
        <f>E71*$C$73</f>
        <v>0</v>
      </c>
      <c r="F74" s="37">
        <f>F71*$C$73</f>
        <v>0</v>
      </c>
      <c r="G74" s="37">
        <f>G71*$C$73</f>
        <v>9339.170500000002</v>
      </c>
      <c r="H74" s="37">
        <f>H71*$C$73</f>
        <v>13541.797225000002</v>
      </c>
    </row>
    <row r="75" spans="2:8" ht="15.75" thickBot="1">
      <c r="B75" s="29" t="s">
        <v>41</v>
      </c>
      <c r="C75" s="29"/>
      <c r="D75" s="41">
        <f>D69-D74</f>
        <v>0</v>
      </c>
      <c r="E75" s="41">
        <f>E69-E74</f>
        <v>0</v>
      </c>
      <c r="F75" s="41">
        <f>F69-F74</f>
        <v>0</v>
      </c>
      <c r="G75" s="41">
        <f>G69-G74</f>
        <v>24621.449500000002</v>
      </c>
      <c r="H75" s="41">
        <f>H69-H74</f>
        <v>11079.652275</v>
      </c>
    </row>
    <row r="76" spans="2:8" ht="15">
      <c r="B76" s="29"/>
      <c r="C76" s="29"/>
      <c r="D76" s="35"/>
      <c r="E76" s="35"/>
      <c r="F76" s="35"/>
      <c r="G76" s="29"/>
      <c r="H76" s="29"/>
    </row>
  </sheetData>
  <sheetProtection formatColumns="0" selectLockedCells="1"/>
  <printOptions/>
  <pageMargins left="0.75" right="0.75" top="1" bottom="1" header="0.5" footer="0.5"/>
  <pageSetup fitToHeight="2" horizontalDpi="600" verticalDpi="600" orientation="portrait" scale="65" r:id="rId1"/>
  <headerFooter alignWithMargins="0">
    <oddFooter>&amp;CPage &amp;P of &amp;N</oddFooter>
  </headerFooter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="90" zoomScaleNormal="90" zoomScalePageLayoutView="0" workbookViewId="0" topLeftCell="A44">
      <selection activeCell="D3" sqref="D3"/>
    </sheetView>
  </sheetViews>
  <sheetFormatPr defaultColWidth="8.88671875" defaultRowHeight="15"/>
  <cols>
    <col min="1" max="1" width="11.99609375" style="0" customWidth="1"/>
    <col min="2" max="3" width="14.99609375" style="0" customWidth="1"/>
    <col min="4" max="4" width="15.99609375" style="0" customWidth="1"/>
    <col min="5" max="5" width="14.99609375" style="0" customWidth="1"/>
    <col min="6" max="6" width="8.6640625" style="0" customWidth="1"/>
    <col min="7" max="7" width="13.99609375" style="0" customWidth="1"/>
    <col min="8" max="8" width="9.77734375" style="0" customWidth="1"/>
    <col min="9" max="9" width="10.6640625" style="0" customWidth="1"/>
  </cols>
  <sheetData>
    <row r="1" ht="15">
      <c r="A1" t="s">
        <v>53</v>
      </c>
    </row>
    <row r="2" spans="1:7" s="57" customFormat="1" ht="60">
      <c r="A2" s="65" t="s">
        <v>54</v>
      </c>
      <c r="B2" s="65" t="s">
        <v>55</v>
      </c>
      <c r="C2" s="65" t="s">
        <v>56</v>
      </c>
      <c r="D2" s="65" t="s">
        <v>9</v>
      </c>
      <c r="E2" s="65" t="s">
        <v>58</v>
      </c>
      <c r="F2" s="57" t="s">
        <v>59</v>
      </c>
      <c r="G2" s="57" t="s">
        <v>57</v>
      </c>
    </row>
    <row r="3" spans="1:8" ht="15">
      <c r="A3" s="58">
        <v>38838</v>
      </c>
      <c r="B3" s="2">
        <v>0</v>
      </c>
      <c r="C3" s="2">
        <f>'[2]Summary'!$B$2/8</f>
        <v>-644.55875</v>
      </c>
      <c r="D3" s="2">
        <f>'Revenue Requirement'!$D$27*'Table 1'!H3</f>
        <v>122.36333188618632</v>
      </c>
      <c r="E3" s="2">
        <f>B3+C3+D3</f>
        <v>-522.1954181138137</v>
      </c>
      <c r="F3" t="s">
        <v>59</v>
      </c>
      <c r="G3" s="1">
        <f>'Avg Nt Fix Ass &amp;UCC'!$D$9/8</f>
        <v>1456.1374999999998</v>
      </c>
      <c r="H3" s="62">
        <f>G3/$G$62</f>
        <v>0.125</v>
      </c>
    </row>
    <row r="4" spans="1:8" ht="15">
      <c r="A4" s="58">
        <v>38869</v>
      </c>
      <c r="B4" s="2">
        <f>E3</f>
        <v>-522.1954181138137</v>
      </c>
      <c r="C4" s="2">
        <f>'[2]Summary'!$B$2/8</f>
        <v>-644.55875</v>
      </c>
      <c r="D4" s="2">
        <f>'Revenue Requirement'!$D$27*'Table 1'!H4</f>
        <v>122.36333188618632</v>
      </c>
      <c r="E4" s="2">
        <f aca="true" t="shared" si="0" ref="E4:E45">B4+C4+D4</f>
        <v>-1044.3908362276272</v>
      </c>
      <c r="F4" t="s">
        <v>59</v>
      </c>
      <c r="G4" s="1">
        <f>'Avg Nt Fix Ass &amp;UCC'!$D$9/8</f>
        <v>1456.1374999999998</v>
      </c>
      <c r="H4" s="62">
        <f aca="true" t="shared" si="1" ref="H4:H10">G4/$G$62</f>
        <v>0.125</v>
      </c>
    </row>
    <row r="5" spans="1:8" ht="15">
      <c r="A5" s="58">
        <v>38899</v>
      </c>
      <c r="B5" s="2">
        <f aca="true" t="shared" si="2" ref="B5:B58">E4</f>
        <v>-1044.3908362276272</v>
      </c>
      <c r="C5" s="2">
        <f>'[2]Summary'!$B$2/8</f>
        <v>-644.55875</v>
      </c>
      <c r="D5" s="2">
        <f>'Revenue Requirement'!$D$27*'Table 1'!H5</f>
        <v>122.36333188618632</v>
      </c>
      <c r="E5" s="2">
        <f t="shared" si="0"/>
        <v>-1566.5862543414407</v>
      </c>
      <c r="F5" t="s">
        <v>59</v>
      </c>
      <c r="G5" s="1">
        <f>'Avg Nt Fix Ass &amp;UCC'!$D$9/8</f>
        <v>1456.1374999999998</v>
      </c>
      <c r="H5" s="62">
        <f t="shared" si="1"/>
        <v>0.125</v>
      </c>
    </row>
    <row r="6" spans="1:8" ht="15">
      <c r="A6" s="58">
        <v>38930</v>
      </c>
      <c r="B6" s="2">
        <f t="shared" si="2"/>
        <v>-1566.5862543414407</v>
      </c>
      <c r="C6" s="2">
        <f>'[2]Summary'!$B$2/8</f>
        <v>-644.55875</v>
      </c>
      <c r="D6" s="2">
        <f>'Revenue Requirement'!$D$27*'Table 1'!H6</f>
        <v>122.36333188618632</v>
      </c>
      <c r="E6" s="2">
        <f t="shared" si="0"/>
        <v>-2088.7816724552545</v>
      </c>
      <c r="F6" t="s">
        <v>59</v>
      </c>
      <c r="G6" s="1">
        <f>'Avg Nt Fix Ass &amp;UCC'!$D$9/8</f>
        <v>1456.1374999999998</v>
      </c>
      <c r="H6" s="62">
        <f t="shared" si="1"/>
        <v>0.125</v>
      </c>
    </row>
    <row r="7" spans="1:8" ht="15">
      <c r="A7" s="58">
        <v>38961</v>
      </c>
      <c r="B7" s="2">
        <f t="shared" si="2"/>
        <v>-2088.7816724552545</v>
      </c>
      <c r="C7" s="2">
        <f>'[2]Summary'!$B$2/8</f>
        <v>-644.55875</v>
      </c>
      <c r="D7" s="2">
        <f>'Revenue Requirement'!$D$27*'Table 1'!H7</f>
        <v>122.36333188618632</v>
      </c>
      <c r="E7" s="2">
        <f t="shared" si="0"/>
        <v>-2610.9770905690684</v>
      </c>
      <c r="F7" t="s">
        <v>59</v>
      </c>
      <c r="G7" s="1">
        <f>'Avg Nt Fix Ass &amp;UCC'!$D$9/8</f>
        <v>1456.1374999999998</v>
      </c>
      <c r="H7" s="62">
        <f t="shared" si="1"/>
        <v>0.125</v>
      </c>
    </row>
    <row r="8" spans="1:8" ht="15">
      <c r="A8" s="58">
        <v>38991</v>
      </c>
      <c r="B8" s="2">
        <f t="shared" si="2"/>
        <v>-2610.9770905690684</v>
      </c>
      <c r="C8" s="2">
        <f>'[2]Summary'!$B$2/8</f>
        <v>-644.55875</v>
      </c>
      <c r="D8" s="2">
        <f>'Revenue Requirement'!$D$27*'Table 1'!H8</f>
        <v>122.36333188618632</v>
      </c>
      <c r="E8" s="2">
        <f t="shared" si="0"/>
        <v>-3133.1725086828824</v>
      </c>
      <c r="F8" t="s">
        <v>59</v>
      </c>
      <c r="G8" s="1">
        <f>'Avg Nt Fix Ass &amp;UCC'!$D$9/8</f>
        <v>1456.1374999999998</v>
      </c>
      <c r="H8" s="62">
        <f t="shared" si="1"/>
        <v>0.125</v>
      </c>
    </row>
    <row r="9" spans="1:8" ht="15">
      <c r="A9" s="58">
        <v>39022</v>
      </c>
      <c r="B9" s="2">
        <f t="shared" si="2"/>
        <v>-3133.1725086828824</v>
      </c>
      <c r="C9" s="2">
        <f>'[2]Summary'!$B$2/8</f>
        <v>-644.55875</v>
      </c>
      <c r="D9" s="2">
        <f>'Revenue Requirement'!$D$27*'Table 1'!H9</f>
        <v>122.36333188618632</v>
      </c>
      <c r="E9" s="2">
        <f t="shared" si="0"/>
        <v>-3655.3679267966963</v>
      </c>
      <c r="F9" t="s">
        <v>59</v>
      </c>
      <c r="G9" s="1">
        <f>'Avg Nt Fix Ass &amp;UCC'!$D$9/8</f>
        <v>1456.1374999999998</v>
      </c>
      <c r="H9" s="62">
        <f t="shared" si="1"/>
        <v>0.125</v>
      </c>
    </row>
    <row r="10" spans="1:8" ht="15">
      <c r="A10" s="58">
        <v>39052</v>
      </c>
      <c r="B10" s="2">
        <f t="shared" si="2"/>
        <v>-3655.3679267966963</v>
      </c>
      <c r="C10" s="2">
        <f>'[2]Summary'!$B$2/8</f>
        <v>-644.55875</v>
      </c>
      <c r="D10" s="2">
        <f>'Revenue Requirement'!$D$27*'Table 1'!H10</f>
        <v>122.36333188618632</v>
      </c>
      <c r="E10" s="2">
        <f t="shared" si="0"/>
        <v>-4177.56334491051</v>
      </c>
      <c r="F10" t="s">
        <v>59</v>
      </c>
      <c r="G10" s="1">
        <f>'Avg Nt Fix Ass &amp;UCC'!$D$9/8</f>
        <v>1456.1374999999998</v>
      </c>
      <c r="H10" s="62">
        <f t="shared" si="1"/>
        <v>0.125</v>
      </c>
    </row>
    <row r="11" spans="1:8" ht="15">
      <c r="A11" s="58">
        <v>39083</v>
      </c>
      <c r="B11" s="2">
        <f t="shared" si="2"/>
        <v>-4177.56334491051</v>
      </c>
      <c r="C11" s="2">
        <f>'[2]Summary'!$C$2/12</f>
        <v>-782.5216666666665</v>
      </c>
      <c r="D11" s="2">
        <f>'Revenue Requirement'!$F$27*H11</f>
        <v>286.73925464770963</v>
      </c>
      <c r="E11" s="2">
        <f t="shared" si="0"/>
        <v>-4673.345756929467</v>
      </c>
      <c r="F11" t="s">
        <v>59</v>
      </c>
      <c r="G11" s="1">
        <f>'Avg Nt Fix Ass &amp;UCC'!$E$9/12</f>
        <v>1547.8591666666664</v>
      </c>
      <c r="H11" s="62">
        <f aca="true" t="shared" si="3" ref="H11:H22">G11/$G$63</f>
        <v>0.08333333333333333</v>
      </c>
    </row>
    <row r="12" spans="1:8" ht="15">
      <c r="A12" s="58">
        <v>39114</v>
      </c>
      <c r="B12" s="2">
        <f t="shared" si="2"/>
        <v>-4673.345756929467</v>
      </c>
      <c r="C12" s="2">
        <f>'[2]Summary'!$C$2/12</f>
        <v>-782.5216666666665</v>
      </c>
      <c r="D12" s="2">
        <f>'Revenue Requirement'!$F$27*H12</f>
        <v>286.73925464770963</v>
      </c>
      <c r="E12" s="2">
        <f t="shared" si="0"/>
        <v>-5169.128168948424</v>
      </c>
      <c r="F12" t="s">
        <v>59</v>
      </c>
      <c r="G12" s="1">
        <f>'Avg Nt Fix Ass &amp;UCC'!$E$9/12</f>
        <v>1547.8591666666664</v>
      </c>
      <c r="H12" s="62">
        <f t="shared" si="3"/>
        <v>0.08333333333333333</v>
      </c>
    </row>
    <row r="13" spans="1:8" ht="15">
      <c r="A13" s="58">
        <v>39142</v>
      </c>
      <c r="B13" s="2">
        <f t="shared" si="2"/>
        <v>-5169.128168948424</v>
      </c>
      <c r="C13" s="2">
        <f>'[2]Summary'!$C$2/12</f>
        <v>-782.5216666666665</v>
      </c>
      <c r="D13" s="2">
        <f>'Revenue Requirement'!$F$27*H13</f>
        <v>286.73925464770963</v>
      </c>
      <c r="E13" s="2">
        <f t="shared" si="0"/>
        <v>-5664.910580967381</v>
      </c>
      <c r="F13" t="s">
        <v>59</v>
      </c>
      <c r="G13" s="1">
        <f>'Avg Nt Fix Ass &amp;UCC'!$E$9/12</f>
        <v>1547.8591666666664</v>
      </c>
      <c r="H13" s="62">
        <f t="shared" si="3"/>
        <v>0.08333333333333333</v>
      </c>
    </row>
    <row r="14" spans="1:8" ht="15">
      <c r="A14" s="58">
        <v>39173</v>
      </c>
      <c r="B14" s="2">
        <f t="shared" si="2"/>
        <v>-5664.910580967381</v>
      </c>
      <c r="C14" s="2">
        <f>'[2]Summary'!$C$2/12</f>
        <v>-782.5216666666665</v>
      </c>
      <c r="D14" s="2">
        <f>'Revenue Requirement'!$F$27*H14</f>
        <v>286.73925464770963</v>
      </c>
      <c r="E14" s="2">
        <f t="shared" si="0"/>
        <v>-6160.692992986338</v>
      </c>
      <c r="F14" t="s">
        <v>59</v>
      </c>
      <c r="G14" s="1">
        <f>'Avg Nt Fix Ass &amp;UCC'!$E$9/12</f>
        <v>1547.8591666666664</v>
      </c>
      <c r="H14" s="62">
        <f>G14/$G$63</f>
        <v>0.08333333333333333</v>
      </c>
    </row>
    <row r="15" spans="1:8" ht="15">
      <c r="A15" s="58">
        <v>39203</v>
      </c>
      <c r="B15" s="2">
        <f t="shared" si="2"/>
        <v>-6160.692992986338</v>
      </c>
      <c r="C15" s="2">
        <f>'[2]Summary'!$C$2/12</f>
        <v>-782.5216666666665</v>
      </c>
      <c r="D15" s="2">
        <f>'Revenue Requirement'!$F$27*H15</f>
        <v>286.73925464770963</v>
      </c>
      <c r="E15" s="2">
        <f t="shared" si="0"/>
        <v>-6656.475405005295</v>
      </c>
      <c r="F15" t="s">
        <v>59</v>
      </c>
      <c r="G15" s="1">
        <f>'Avg Nt Fix Ass &amp;UCC'!$E$9/12</f>
        <v>1547.8591666666664</v>
      </c>
      <c r="H15" s="62">
        <f t="shared" si="3"/>
        <v>0.08333333333333333</v>
      </c>
    </row>
    <row r="16" spans="1:8" ht="15">
      <c r="A16" s="58">
        <v>39234</v>
      </c>
      <c r="B16" s="2">
        <f t="shared" si="2"/>
        <v>-6656.475405005295</v>
      </c>
      <c r="C16" s="2">
        <f>'[2]Summary'!$C$2/12</f>
        <v>-782.5216666666665</v>
      </c>
      <c r="D16" s="2">
        <f>'Revenue Requirement'!$F$27*H16</f>
        <v>286.73925464770963</v>
      </c>
      <c r="E16" s="2">
        <f t="shared" si="0"/>
        <v>-7152.257817024252</v>
      </c>
      <c r="F16" t="s">
        <v>59</v>
      </c>
      <c r="G16" s="1">
        <f>'Avg Nt Fix Ass &amp;UCC'!$E$9/12</f>
        <v>1547.8591666666664</v>
      </c>
      <c r="H16" s="62">
        <f t="shared" si="3"/>
        <v>0.08333333333333333</v>
      </c>
    </row>
    <row r="17" spans="1:8" ht="15">
      <c r="A17" s="58">
        <v>39264</v>
      </c>
      <c r="B17" s="2">
        <f t="shared" si="2"/>
        <v>-7152.257817024252</v>
      </c>
      <c r="C17" s="2">
        <f>'[2]Summary'!$C$2/12</f>
        <v>-782.5216666666665</v>
      </c>
      <c r="D17" s="2">
        <f>'Revenue Requirement'!$F$27*H17</f>
        <v>286.73925464770963</v>
      </c>
      <c r="E17" s="2">
        <f t="shared" si="0"/>
        <v>-7648.040229043209</v>
      </c>
      <c r="F17" t="s">
        <v>59</v>
      </c>
      <c r="G17" s="1">
        <f>'Avg Nt Fix Ass &amp;UCC'!$E$9/12</f>
        <v>1547.8591666666664</v>
      </c>
      <c r="H17" s="62">
        <f t="shared" si="3"/>
        <v>0.08333333333333333</v>
      </c>
    </row>
    <row r="18" spans="1:8" ht="15">
      <c r="A18" s="58">
        <v>39295</v>
      </c>
      <c r="B18" s="2">
        <f t="shared" si="2"/>
        <v>-7648.040229043209</v>
      </c>
      <c r="C18" s="2">
        <f>'[2]Summary'!$C$2/12</f>
        <v>-782.5216666666665</v>
      </c>
      <c r="D18" s="2">
        <f>'Revenue Requirement'!$F$27*H18</f>
        <v>286.73925464770963</v>
      </c>
      <c r="E18" s="2">
        <f t="shared" si="0"/>
        <v>-8143.822641062166</v>
      </c>
      <c r="F18" t="s">
        <v>59</v>
      </c>
      <c r="G18" s="1">
        <f>'Avg Nt Fix Ass &amp;UCC'!$E$9/12</f>
        <v>1547.8591666666664</v>
      </c>
      <c r="H18" s="62">
        <f t="shared" si="3"/>
        <v>0.08333333333333333</v>
      </c>
    </row>
    <row r="19" spans="1:8" ht="15">
      <c r="A19" s="58">
        <v>39326</v>
      </c>
      <c r="B19" s="2">
        <f t="shared" si="2"/>
        <v>-8143.822641062166</v>
      </c>
      <c r="C19" s="2">
        <f>'[2]Summary'!$C$2/12</f>
        <v>-782.5216666666665</v>
      </c>
      <c r="D19" s="2">
        <f>'Revenue Requirement'!$F$27*H19</f>
        <v>286.73925464770963</v>
      </c>
      <c r="E19" s="2">
        <f t="shared" si="0"/>
        <v>-8639.605053081123</v>
      </c>
      <c r="F19" t="s">
        <v>59</v>
      </c>
      <c r="G19" s="1">
        <f>'Avg Nt Fix Ass &amp;UCC'!$E$9/12</f>
        <v>1547.8591666666664</v>
      </c>
      <c r="H19" s="62">
        <f t="shared" si="3"/>
        <v>0.08333333333333333</v>
      </c>
    </row>
    <row r="20" spans="1:8" ht="15">
      <c r="A20" s="58">
        <v>39356</v>
      </c>
      <c r="B20" s="2">
        <f t="shared" si="2"/>
        <v>-8639.605053081123</v>
      </c>
      <c r="C20" s="2">
        <f>'[2]Summary'!$C$2/12</f>
        <v>-782.5216666666665</v>
      </c>
      <c r="D20" s="2">
        <f>'Revenue Requirement'!$F$27*H20</f>
        <v>286.73925464770963</v>
      </c>
      <c r="E20" s="2">
        <f t="shared" si="0"/>
        <v>-9135.38746510008</v>
      </c>
      <c r="F20" t="s">
        <v>59</v>
      </c>
      <c r="G20" s="1">
        <f>'Avg Nt Fix Ass &amp;UCC'!$E$9/12</f>
        <v>1547.8591666666664</v>
      </c>
      <c r="H20" s="62">
        <f t="shared" si="3"/>
        <v>0.08333333333333333</v>
      </c>
    </row>
    <row r="21" spans="1:8" ht="15">
      <c r="A21" s="58">
        <v>39387</v>
      </c>
      <c r="B21" s="2">
        <f t="shared" si="2"/>
        <v>-9135.38746510008</v>
      </c>
      <c r="C21" s="2">
        <f>'[2]Summary'!$C$2/12</f>
        <v>-782.5216666666665</v>
      </c>
      <c r="D21" s="2">
        <f>'Revenue Requirement'!$F$27*H21</f>
        <v>286.73925464770963</v>
      </c>
      <c r="E21" s="2">
        <f t="shared" si="0"/>
        <v>-9631.169877119039</v>
      </c>
      <c r="F21" t="s">
        <v>59</v>
      </c>
      <c r="G21" s="1">
        <f>'Avg Nt Fix Ass &amp;UCC'!$E$9/12</f>
        <v>1547.8591666666664</v>
      </c>
      <c r="H21" s="62">
        <f t="shared" si="3"/>
        <v>0.08333333333333333</v>
      </c>
    </row>
    <row r="22" spans="1:8" ht="15">
      <c r="A22" s="58">
        <v>39417</v>
      </c>
      <c r="B22" s="2">
        <f t="shared" si="2"/>
        <v>-9631.169877119039</v>
      </c>
      <c r="C22" s="2">
        <f>'[2]Summary'!$C$2/12</f>
        <v>-782.5216666666665</v>
      </c>
      <c r="D22" s="2">
        <f>'Revenue Requirement'!$F$27*H22</f>
        <v>286.73925464770963</v>
      </c>
      <c r="E22" s="2">
        <f t="shared" si="0"/>
        <v>-10126.952289137997</v>
      </c>
      <c r="F22" t="s">
        <v>59</v>
      </c>
      <c r="G22" s="1">
        <f>'Avg Nt Fix Ass &amp;UCC'!$E$9/12</f>
        <v>1547.8591666666664</v>
      </c>
      <c r="H22" s="62">
        <f t="shared" si="3"/>
        <v>0.08333333333333333</v>
      </c>
    </row>
    <row r="23" spans="1:8" ht="15">
      <c r="A23" s="58">
        <v>39448</v>
      </c>
      <c r="B23" s="2">
        <f t="shared" si="2"/>
        <v>-10126.952289137997</v>
      </c>
      <c r="C23" s="2">
        <f>'[2]Summary'!$D$2/12</f>
        <v>-783.9725</v>
      </c>
      <c r="D23" s="2">
        <f>'Revenue Requirement'!$H$27/12</f>
        <v>516.649035692126</v>
      </c>
      <c r="E23" s="2">
        <f t="shared" si="0"/>
        <v>-10394.27575344587</v>
      </c>
      <c r="G23" s="1">
        <f>'Avg Nt Fix Ass &amp;UCC'!$F$9/12</f>
        <v>1409.1283333333333</v>
      </c>
      <c r="H23" s="62">
        <f>G23/$G$64</f>
        <v>0.08333333333333331</v>
      </c>
    </row>
    <row r="24" spans="1:8" ht="15">
      <c r="A24" s="58">
        <v>39479</v>
      </c>
      <c r="B24" s="2">
        <f t="shared" si="2"/>
        <v>-10394.27575344587</v>
      </c>
      <c r="C24" s="2">
        <f>'[2]Summary'!$D$2/12</f>
        <v>-783.9725</v>
      </c>
      <c r="D24" s="2">
        <f>'Revenue Requirement'!$H$27/12</f>
        <v>516.649035692126</v>
      </c>
      <c r="E24" s="2">
        <f t="shared" si="0"/>
        <v>-10661.599217753745</v>
      </c>
      <c r="G24" s="1">
        <f>'Avg Nt Fix Ass &amp;UCC'!$F$9/12</f>
        <v>1409.1283333333333</v>
      </c>
      <c r="H24" s="62">
        <f aca="true" t="shared" si="4" ref="H24:H34">G24/$G$64</f>
        <v>0.08333333333333331</v>
      </c>
    </row>
    <row r="25" spans="1:8" ht="15">
      <c r="A25" s="58">
        <v>39508</v>
      </c>
      <c r="B25" s="2">
        <f t="shared" si="2"/>
        <v>-10661.599217753745</v>
      </c>
      <c r="C25" s="2">
        <f>'[2]Summary'!$D$2/12</f>
        <v>-783.9725</v>
      </c>
      <c r="D25" s="2">
        <f>'Revenue Requirement'!$H$27/12</f>
        <v>516.649035692126</v>
      </c>
      <c r="E25" s="2">
        <f t="shared" si="0"/>
        <v>-10928.922682061619</v>
      </c>
      <c r="G25" s="1">
        <f>'Avg Nt Fix Ass &amp;UCC'!$F$9/12</f>
        <v>1409.1283333333333</v>
      </c>
      <c r="H25" s="62">
        <f t="shared" si="4"/>
        <v>0.08333333333333331</v>
      </c>
    </row>
    <row r="26" spans="1:8" ht="15">
      <c r="A26" s="58">
        <v>39539</v>
      </c>
      <c r="B26" s="2">
        <f t="shared" si="2"/>
        <v>-10928.922682061619</v>
      </c>
      <c r="C26" s="2">
        <f>'[2]Summary'!$D$2/12</f>
        <v>-783.9725</v>
      </c>
      <c r="D26" s="2">
        <f>'Revenue Requirement'!$H$27/12</f>
        <v>516.649035692126</v>
      </c>
      <c r="E26" s="2">
        <f t="shared" si="0"/>
        <v>-11196.246146369493</v>
      </c>
      <c r="G26" s="1">
        <f>'Avg Nt Fix Ass &amp;UCC'!$F$9/12</f>
        <v>1409.1283333333333</v>
      </c>
      <c r="H26" s="62">
        <f t="shared" si="4"/>
        <v>0.08333333333333331</v>
      </c>
    </row>
    <row r="27" spans="1:8" ht="15">
      <c r="A27" s="58">
        <v>39569</v>
      </c>
      <c r="B27" s="2">
        <f t="shared" si="2"/>
        <v>-11196.246146369493</v>
      </c>
      <c r="C27" s="2">
        <f>'[2]Summary'!$D$2/12</f>
        <v>-783.9725</v>
      </c>
      <c r="D27" s="2">
        <f>'Revenue Requirement'!$H$27/12</f>
        <v>516.649035692126</v>
      </c>
      <c r="E27" s="2">
        <f t="shared" si="0"/>
        <v>-11463.569610677367</v>
      </c>
      <c r="G27" s="1">
        <f>'Avg Nt Fix Ass &amp;UCC'!$F$9/12</f>
        <v>1409.1283333333333</v>
      </c>
      <c r="H27" s="62">
        <f t="shared" si="4"/>
        <v>0.08333333333333331</v>
      </c>
    </row>
    <row r="28" spans="1:8" ht="15">
      <c r="A28" s="58">
        <v>39600</v>
      </c>
      <c r="B28" s="2">
        <f t="shared" si="2"/>
        <v>-11463.569610677367</v>
      </c>
      <c r="C28" s="2">
        <f>'[2]Summary'!$D$2/12</f>
        <v>-783.9725</v>
      </c>
      <c r="D28" s="2">
        <f>'Revenue Requirement'!$H$27/12</f>
        <v>516.649035692126</v>
      </c>
      <c r="E28" s="2">
        <f t="shared" si="0"/>
        <v>-11730.89307498524</v>
      </c>
      <c r="G28" s="1">
        <f>'Avg Nt Fix Ass &amp;UCC'!$F$9/12</f>
        <v>1409.1283333333333</v>
      </c>
      <c r="H28" s="62">
        <f t="shared" si="4"/>
        <v>0.08333333333333331</v>
      </c>
    </row>
    <row r="29" spans="1:8" ht="15">
      <c r="A29" s="58">
        <v>39630</v>
      </c>
      <c r="B29" s="2">
        <f t="shared" si="2"/>
        <v>-11730.89307498524</v>
      </c>
      <c r="C29" s="2">
        <f>'[2]Summary'!$D$2/12</f>
        <v>-783.9725</v>
      </c>
      <c r="D29" s="2">
        <f>'Revenue Requirement'!$H$27/12</f>
        <v>516.649035692126</v>
      </c>
      <c r="E29" s="2">
        <f t="shared" si="0"/>
        <v>-11998.216539293115</v>
      </c>
      <c r="G29" s="1">
        <f>'Avg Nt Fix Ass &amp;UCC'!$F$9/12</f>
        <v>1409.1283333333333</v>
      </c>
      <c r="H29" s="62">
        <f t="shared" si="4"/>
        <v>0.08333333333333331</v>
      </c>
    </row>
    <row r="30" spans="1:8" ht="15">
      <c r="A30" s="58">
        <v>39661</v>
      </c>
      <c r="B30" s="2">
        <f t="shared" si="2"/>
        <v>-11998.216539293115</v>
      </c>
      <c r="C30" s="2">
        <f>'[2]Summary'!$D$2/12</f>
        <v>-783.9725</v>
      </c>
      <c r="D30" s="2">
        <f>'Revenue Requirement'!$H$27/12</f>
        <v>516.649035692126</v>
      </c>
      <c r="E30" s="2">
        <f t="shared" si="0"/>
        <v>-12265.540003600989</v>
      </c>
      <c r="G30" s="1">
        <f>'Avg Nt Fix Ass &amp;UCC'!$F$9/12</f>
        <v>1409.1283333333333</v>
      </c>
      <c r="H30" s="62">
        <f t="shared" si="4"/>
        <v>0.08333333333333331</v>
      </c>
    </row>
    <row r="31" spans="1:8" ht="15">
      <c r="A31" s="58">
        <v>39692</v>
      </c>
      <c r="B31" s="2">
        <f t="shared" si="2"/>
        <v>-12265.540003600989</v>
      </c>
      <c r="C31" s="2">
        <f>'[2]Summary'!$D$2/12</f>
        <v>-783.9725</v>
      </c>
      <c r="D31" s="2">
        <f>'Revenue Requirement'!$H$27/12</f>
        <v>516.649035692126</v>
      </c>
      <c r="E31" s="2">
        <f t="shared" si="0"/>
        <v>-12532.863467908863</v>
      </c>
      <c r="G31" s="1">
        <f>'Avg Nt Fix Ass &amp;UCC'!$F$9/12</f>
        <v>1409.1283333333333</v>
      </c>
      <c r="H31" s="62">
        <f t="shared" si="4"/>
        <v>0.08333333333333331</v>
      </c>
    </row>
    <row r="32" spans="1:8" ht="15">
      <c r="A32" s="58">
        <v>39722</v>
      </c>
      <c r="B32" s="2">
        <f t="shared" si="2"/>
        <v>-12532.863467908863</v>
      </c>
      <c r="C32" s="2">
        <f>'[2]Summary'!$D$2/12</f>
        <v>-783.9725</v>
      </c>
      <c r="D32" s="2">
        <f>'Revenue Requirement'!$H$27/12</f>
        <v>516.649035692126</v>
      </c>
      <c r="E32" s="2">
        <f t="shared" si="0"/>
        <v>-12800.186932216737</v>
      </c>
      <c r="G32" s="1">
        <f>'Avg Nt Fix Ass &amp;UCC'!$F$9/12</f>
        <v>1409.1283333333333</v>
      </c>
      <c r="H32" s="62">
        <f t="shared" si="4"/>
        <v>0.08333333333333331</v>
      </c>
    </row>
    <row r="33" spans="1:8" ht="15">
      <c r="A33" s="58">
        <v>39753</v>
      </c>
      <c r="B33" s="2">
        <f t="shared" si="2"/>
        <v>-12800.186932216737</v>
      </c>
      <c r="C33" s="2">
        <f>'[2]Summary'!$D$2/12</f>
        <v>-783.9725</v>
      </c>
      <c r="D33" s="2">
        <f>'Revenue Requirement'!$H$27/12</f>
        <v>516.649035692126</v>
      </c>
      <c r="E33" s="2">
        <f t="shared" si="0"/>
        <v>-13067.51039652461</v>
      </c>
      <c r="G33" s="1">
        <f>'Avg Nt Fix Ass &amp;UCC'!$F$9/12</f>
        <v>1409.1283333333333</v>
      </c>
      <c r="H33" s="62">
        <f t="shared" si="4"/>
        <v>0.08333333333333331</v>
      </c>
    </row>
    <row r="34" spans="1:8" ht="15">
      <c r="A34" s="58">
        <v>39783</v>
      </c>
      <c r="B34" s="2">
        <f t="shared" si="2"/>
        <v>-13067.51039652461</v>
      </c>
      <c r="C34" s="2">
        <f>'[2]Summary'!$D$2/12</f>
        <v>-783.9725</v>
      </c>
      <c r="D34" s="2">
        <f>'Revenue Requirement'!$H$27/12</f>
        <v>516.649035692126</v>
      </c>
      <c r="E34" s="2">
        <f t="shared" si="0"/>
        <v>-13334.833860832485</v>
      </c>
      <c r="G34" s="1">
        <f>'Avg Nt Fix Ass &amp;UCC'!$F$9/12</f>
        <v>1409.1283333333333</v>
      </c>
      <c r="H34" s="62">
        <f t="shared" si="4"/>
        <v>0.08333333333333331</v>
      </c>
    </row>
    <row r="35" spans="1:8" ht="15">
      <c r="A35" s="58">
        <v>39814</v>
      </c>
      <c r="B35" s="2">
        <f t="shared" si="2"/>
        <v>-13334.833860832485</v>
      </c>
      <c r="C35" s="2">
        <f>'[2]Summary'!$E$2/12</f>
        <v>-2219.5783333333334</v>
      </c>
      <c r="D35" s="2">
        <f>'Revenue Requirement'!$J$27/12</f>
        <v>4671.242217682625</v>
      </c>
      <c r="E35" s="2">
        <f t="shared" si="0"/>
        <v>-10883.169976483194</v>
      </c>
      <c r="G35" s="1">
        <f>'Avg Nt Fix Ass &amp;UCC'!$G$9/12</f>
        <v>39691.97833333334</v>
      </c>
      <c r="H35" s="62">
        <f>G35/$G$65</f>
        <v>0.08333333333333334</v>
      </c>
    </row>
    <row r="36" spans="1:8" ht="15">
      <c r="A36" s="58">
        <v>39845</v>
      </c>
      <c r="B36" s="2">
        <f t="shared" si="2"/>
        <v>-10883.169976483194</v>
      </c>
      <c r="C36" s="2">
        <f>'[2]Summary'!$E$2/12</f>
        <v>-2219.5783333333334</v>
      </c>
      <c r="D36" s="2">
        <f>'Revenue Requirement'!$J$27/12</f>
        <v>4671.242217682625</v>
      </c>
      <c r="E36" s="2">
        <f t="shared" si="0"/>
        <v>-8431.506092133903</v>
      </c>
      <c r="G36" s="1">
        <f>'Avg Nt Fix Ass &amp;UCC'!$G$9/12</f>
        <v>39691.97833333334</v>
      </c>
      <c r="H36" s="62">
        <f aca="true" t="shared" si="5" ref="H36:H46">G36/$G$65</f>
        <v>0.08333333333333334</v>
      </c>
    </row>
    <row r="37" spans="1:8" ht="15">
      <c r="A37" s="58">
        <v>39873</v>
      </c>
      <c r="B37" s="2">
        <f t="shared" si="2"/>
        <v>-8431.506092133903</v>
      </c>
      <c r="C37" s="2">
        <f>'[2]Summary'!$E$2/12</f>
        <v>-2219.5783333333334</v>
      </c>
      <c r="D37" s="2">
        <f>'Revenue Requirement'!$J$27/12</f>
        <v>4671.242217682625</v>
      </c>
      <c r="E37" s="2">
        <f t="shared" si="0"/>
        <v>-5979.842207784611</v>
      </c>
      <c r="G37" s="1">
        <f>'Avg Nt Fix Ass &amp;UCC'!$G$9/12</f>
        <v>39691.97833333334</v>
      </c>
      <c r="H37" s="62">
        <f t="shared" si="5"/>
        <v>0.08333333333333334</v>
      </c>
    </row>
    <row r="38" spans="1:8" ht="15">
      <c r="A38" s="58">
        <v>39904</v>
      </c>
      <c r="B38" s="2">
        <f t="shared" si="2"/>
        <v>-5979.842207784611</v>
      </c>
      <c r="C38" s="2">
        <f>'[2]Summary'!$E$2/12</f>
        <v>-2219.5783333333334</v>
      </c>
      <c r="D38" s="2">
        <f>'Revenue Requirement'!$J$27/12</f>
        <v>4671.242217682625</v>
      </c>
      <c r="E38" s="2">
        <f t="shared" si="0"/>
        <v>-3528.1783234353197</v>
      </c>
      <c r="G38" s="1">
        <f>'Avg Nt Fix Ass &amp;UCC'!$G$9/12</f>
        <v>39691.97833333334</v>
      </c>
      <c r="H38" s="62">
        <f t="shared" si="5"/>
        <v>0.08333333333333334</v>
      </c>
    </row>
    <row r="39" spans="1:8" ht="15">
      <c r="A39" s="58">
        <v>39934</v>
      </c>
      <c r="B39" s="2">
        <f t="shared" si="2"/>
        <v>-3528.1783234353197</v>
      </c>
      <c r="C39" s="2">
        <f>'[2]Summary'!$E$2/12</f>
        <v>-2219.5783333333334</v>
      </c>
      <c r="D39" s="2">
        <f>'Revenue Requirement'!$J$27/12</f>
        <v>4671.242217682625</v>
      </c>
      <c r="E39" s="2">
        <f t="shared" si="0"/>
        <v>-1076.5144390860287</v>
      </c>
      <c r="G39" s="1">
        <f>'Avg Nt Fix Ass &amp;UCC'!$G$9/12</f>
        <v>39691.97833333334</v>
      </c>
      <c r="H39" s="62">
        <f t="shared" si="5"/>
        <v>0.08333333333333334</v>
      </c>
    </row>
    <row r="40" spans="1:8" ht="15">
      <c r="A40" s="58">
        <v>39965</v>
      </c>
      <c r="B40" s="2">
        <f t="shared" si="2"/>
        <v>-1076.5144390860287</v>
      </c>
      <c r="C40" s="2">
        <f>'[2]Summary'!$E$2/12</f>
        <v>-2219.5783333333334</v>
      </c>
      <c r="D40" s="2">
        <f>'Revenue Requirement'!$J$27/12</f>
        <v>4671.242217682625</v>
      </c>
      <c r="E40" s="2">
        <f t="shared" si="0"/>
        <v>1375.1494452632628</v>
      </c>
      <c r="G40" s="1">
        <f>'Avg Nt Fix Ass &amp;UCC'!$G$9/12</f>
        <v>39691.97833333334</v>
      </c>
      <c r="H40" s="62">
        <f t="shared" si="5"/>
        <v>0.08333333333333334</v>
      </c>
    </row>
    <row r="41" spans="1:8" ht="15">
      <c r="A41" s="58">
        <v>39995</v>
      </c>
      <c r="B41" s="2">
        <f t="shared" si="2"/>
        <v>1375.1494452632628</v>
      </c>
      <c r="C41" s="2">
        <f>'[2]Summary'!$E$2/12</f>
        <v>-2219.5783333333334</v>
      </c>
      <c r="D41" s="2">
        <f>'Revenue Requirement'!$J$27/12</f>
        <v>4671.242217682625</v>
      </c>
      <c r="E41" s="2">
        <f t="shared" si="0"/>
        <v>3826.8133296125543</v>
      </c>
      <c r="G41" s="1">
        <f>'Avg Nt Fix Ass &amp;UCC'!$G$9/12</f>
        <v>39691.97833333334</v>
      </c>
      <c r="H41" s="62">
        <f t="shared" si="5"/>
        <v>0.08333333333333334</v>
      </c>
    </row>
    <row r="42" spans="1:8" ht="15">
      <c r="A42" s="58">
        <v>40026</v>
      </c>
      <c r="B42" s="2">
        <f t="shared" si="2"/>
        <v>3826.8133296125543</v>
      </c>
      <c r="C42" s="2">
        <f>'[2]Summary'!$E$2/12</f>
        <v>-2219.5783333333334</v>
      </c>
      <c r="D42" s="2">
        <f>'Revenue Requirement'!$J$27/12</f>
        <v>4671.242217682625</v>
      </c>
      <c r="E42" s="2">
        <f t="shared" si="0"/>
        <v>6278.477213961845</v>
      </c>
      <c r="G42" s="1">
        <f>'Avg Nt Fix Ass &amp;UCC'!$G$9/12</f>
        <v>39691.97833333334</v>
      </c>
      <c r="H42" s="62">
        <f t="shared" si="5"/>
        <v>0.08333333333333334</v>
      </c>
    </row>
    <row r="43" spans="1:8" ht="15">
      <c r="A43" s="58">
        <v>40057</v>
      </c>
      <c r="B43" s="2">
        <f t="shared" si="2"/>
        <v>6278.477213961845</v>
      </c>
      <c r="C43" s="2">
        <f>'[2]Summary'!$E$2/12</f>
        <v>-2219.5783333333334</v>
      </c>
      <c r="D43" s="2">
        <f>'Revenue Requirement'!$J$27/12</f>
        <v>4671.242217682625</v>
      </c>
      <c r="E43" s="2">
        <f t="shared" si="0"/>
        <v>8730.141098311136</v>
      </c>
      <c r="G43" s="1">
        <f>'Avg Nt Fix Ass &amp;UCC'!$G$9/12</f>
        <v>39691.97833333334</v>
      </c>
      <c r="H43" s="62">
        <f t="shared" si="5"/>
        <v>0.08333333333333334</v>
      </c>
    </row>
    <row r="44" spans="1:8" ht="15">
      <c r="A44" s="58">
        <v>40087</v>
      </c>
      <c r="B44" s="2">
        <f t="shared" si="2"/>
        <v>8730.141098311136</v>
      </c>
      <c r="C44" s="2">
        <f>'[2]Summary'!$E$2/12</f>
        <v>-2219.5783333333334</v>
      </c>
      <c r="D44" s="2">
        <f>'Revenue Requirement'!$J$27/12</f>
        <v>4671.242217682625</v>
      </c>
      <c r="E44" s="2">
        <f t="shared" si="0"/>
        <v>11181.80498266043</v>
      </c>
      <c r="G44" s="1">
        <f>'Avg Nt Fix Ass &amp;UCC'!$G$9/12</f>
        <v>39691.97833333334</v>
      </c>
      <c r="H44" s="62">
        <f t="shared" si="5"/>
        <v>0.08333333333333334</v>
      </c>
    </row>
    <row r="45" spans="1:8" ht="15">
      <c r="A45" s="58">
        <v>40118</v>
      </c>
      <c r="B45" s="2">
        <f t="shared" si="2"/>
        <v>11181.80498266043</v>
      </c>
      <c r="C45" s="2">
        <f>'[2]Summary'!$E$2/12</f>
        <v>-2219.5783333333334</v>
      </c>
      <c r="D45" s="2">
        <f>'Revenue Requirement'!$J$27/12</f>
        <v>4671.242217682625</v>
      </c>
      <c r="E45" s="2">
        <f t="shared" si="0"/>
        <v>13633.46886700972</v>
      </c>
      <c r="G45" s="1">
        <f>'Avg Nt Fix Ass &amp;UCC'!$G$9/12</f>
        <v>39691.97833333334</v>
      </c>
      <c r="H45" s="62">
        <f t="shared" si="5"/>
        <v>0.08333333333333334</v>
      </c>
    </row>
    <row r="46" spans="1:8" ht="15">
      <c r="A46" s="58">
        <v>40148</v>
      </c>
      <c r="B46" s="2">
        <f t="shared" si="2"/>
        <v>13633.46886700972</v>
      </c>
      <c r="C46" s="2">
        <f>'[2]Summary'!$E$2/12</f>
        <v>-2219.5783333333334</v>
      </c>
      <c r="D46" s="2">
        <f>'Revenue Requirement'!$J$27/12</f>
        <v>4671.242217682625</v>
      </c>
      <c r="E46" s="2">
        <f>B46+C46+D46</f>
        <v>16085.132751359011</v>
      </c>
      <c r="G46" s="1">
        <f>'Avg Nt Fix Ass &amp;UCC'!$G$9/12</f>
        <v>39691.97833333334</v>
      </c>
      <c r="H46" s="62">
        <f t="shared" si="5"/>
        <v>0.08333333333333334</v>
      </c>
    </row>
    <row r="47" spans="1:8" ht="15">
      <c r="A47" s="58">
        <v>40179</v>
      </c>
      <c r="B47" s="2">
        <f t="shared" si="2"/>
        <v>16085.132751359011</v>
      </c>
      <c r="C47" s="2">
        <v>-3200</v>
      </c>
      <c r="D47" s="2">
        <f>'Revenue Requirement'!$L$27/12</f>
        <v>7385.039013368056</v>
      </c>
      <c r="E47" s="2">
        <f aca="true" t="shared" si="6" ref="E47:E58">B47+C47+D47</f>
        <v>20270.171764727067</v>
      </c>
      <c r="G47" s="1">
        <f>'Avg Nt Fix Ass &amp;UCC'!$H$9/12</f>
        <v>0</v>
      </c>
      <c r="H47" s="62" t="e">
        <f>G47/$G$66</f>
        <v>#DIV/0!</v>
      </c>
    </row>
    <row r="48" spans="1:8" ht="15">
      <c r="A48" s="58">
        <v>40210</v>
      </c>
      <c r="B48" s="2">
        <f t="shared" si="2"/>
        <v>20270.171764727067</v>
      </c>
      <c r="C48" s="2">
        <v>-3200</v>
      </c>
      <c r="D48" s="2">
        <f>'Revenue Requirement'!$L$27/12</f>
        <v>7385.039013368056</v>
      </c>
      <c r="E48" s="2">
        <f t="shared" si="6"/>
        <v>24455.210778095123</v>
      </c>
      <c r="G48" s="1">
        <f>'Avg Nt Fix Ass &amp;UCC'!$H$9/12</f>
        <v>0</v>
      </c>
      <c r="H48" s="62" t="e">
        <f aca="true" t="shared" si="7" ref="H48:H58">G48/$G$66</f>
        <v>#DIV/0!</v>
      </c>
    </row>
    <row r="49" spans="1:8" ht="15">
      <c r="A49" s="58">
        <v>40238</v>
      </c>
      <c r="B49" s="2">
        <f t="shared" si="2"/>
        <v>24455.210778095123</v>
      </c>
      <c r="C49" s="2">
        <v>-3200</v>
      </c>
      <c r="D49" s="2">
        <f>'Revenue Requirement'!$L$27/12</f>
        <v>7385.039013368056</v>
      </c>
      <c r="E49" s="2">
        <f t="shared" si="6"/>
        <v>28640.24979146318</v>
      </c>
      <c r="G49" s="1">
        <f>'Avg Nt Fix Ass &amp;UCC'!$H$9/12</f>
        <v>0</v>
      </c>
      <c r="H49" s="62" t="e">
        <f t="shared" si="7"/>
        <v>#DIV/0!</v>
      </c>
    </row>
    <row r="50" spans="1:8" ht="15">
      <c r="A50" s="58">
        <v>40269</v>
      </c>
      <c r="B50" s="2">
        <f t="shared" si="2"/>
        <v>28640.24979146318</v>
      </c>
      <c r="C50" s="2">
        <v>-3200</v>
      </c>
      <c r="D50" s="2">
        <f>'Revenue Requirement'!$L$27/12</f>
        <v>7385.039013368056</v>
      </c>
      <c r="E50" s="2">
        <f t="shared" si="6"/>
        <v>32825.28880483123</v>
      </c>
      <c r="G50" s="1">
        <f>'Avg Nt Fix Ass &amp;UCC'!$H$9/12</f>
        <v>0</v>
      </c>
      <c r="H50" s="62" t="e">
        <f t="shared" si="7"/>
        <v>#DIV/0!</v>
      </c>
    </row>
    <row r="51" spans="1:8" ht="15">
      <c r="A51" s="58">
        <v>40299</v>
      </c>
      <c r="B51" s="2">
        <f t="shared" si="2"/>
        <v>32825.28880483123</v>
      </c>
      <c r="C51" s="2">
        <v>-3200</v>
      </c>
      <c r="D51" s="2">
        <f>'Revenue Requirement'!$L$27/12</f>
        <v>7385.039013368056</v>
      </c>
      <c r="E51" s="2">
        <f t="shared" si="6"/>
        <v>37010.32781819929</v>
      </c>
      <c r="G51" s="1">
        <f>'Avg Nt Fix Ass &amp;UCC'!$H$9/12</f>
        <v>0</v>
      </c>
      <c r="H51" s="62" t="e">
        <f t="shared" si="7"/>
        <v>#DIV/0!</v>
      </c>
    </row>
    <row r="52" spans="1:8" ht="15">
      <c r="A52" s="58">
        <v>40330</v>
      </c>
      <c r="B52" s="2">
        <f t="shared" si="2"/>
        <v>37010.32781819929</v>
      </c>
      <c r="C52" s="2">
        <v>-3200</v>
      </c>
      <c r="D52" s="2">
        <f>'Revenue Requirement'!$L$27/12</f>
        <v>7385.039013368056</v>
      </c>
      <c r="E52" s="2">
        <f t="shared" si="6"/>
        <v>41195.36683156734</v>
      </c>
      <c r="G52" s="1">
        <f>'Avg Nt Fix Ass &amp;UCC'!$H$9/12</f>
        <v>0</v>
      </c>
      <c r="H52" s="62" t="e">
        <f t="shared" si="7"/>
        <v>#DIV/0!</v>
      </c>
    </row>
    <row r="53" spans="1:8" ht="15">
      <c r="A53" s="58">
        <v>40360</v>
      </c>
      <c r="B53" s="2">
        <f t="shared" si="2"/>
        <v>41195.36683156734</v>
      </c>
      <c r="C53" s="2">
        <v>-3200</v>
      </c>
      <c r="D53" s="2">
        <f>'Revenue Requirement'!$L$27/12</f>
        <v>7385.039013368056</v>
      </c>
      <c r="E53" s="2">
        <f t="shared" si="6"/>
        <v>45380.4058449354</v>
      </c>
      <c r="G53" s="1">
        <f>'Avg Nt Fix Ass &amp;UCC'!$H$9/12</f>
        <v>0</v>
      </c>
      <c r="H53" s="62" t="e">
        <f t="shared" si="7"/>
        <v>#DIV/0!</v>
      </c>
    </row>
    <row r="54" spans="1:8" ht="15">
      <c r="A54" s="58">
        <v>40391</v>
      </c>
      <c r="B54" s="2">
        <f t="shared" si="2"/>
        <v>45380.4058449354</v>
      </c>
      <c r="C54" s="2">
        <v>-3200</v>
      </c>
      <c r="D54" s="2">
        <f>'Revenue Requirement'!$L$27/12</f>
        <v>7385.039013368056</v>
      </c>
      <c r="E54" s="2">
        <f t="shared" si="6"/>
        <v>49565.444858303454</v>
      </c>
      <c r="G54" s="1">
        <f>'Avg Nt Fix Ass &amp;UCC'!$H$9/12</f>
        <v>0</v>
      </c>
      <c r="H54" s="62" t="e">
        <f t="shared" si="7"/>
        <v>#DIV/0!</v>
      </c>
    </row>
    <row r="55" spans="1:8" ht="15">
      <c r="A55" s="58">
        <v>40422</v>
      </c>
      <c r="B55" s="2">
        <f t="shared" si="2"/>
        <v>49565.444858303454</v>
      </c>
      <c r="C55" s="2">
        <v>-3200</v>
      </c>
      <c r="D55" s="2">
        <f>'Revenue Requirement'!$L$27/12</f>
        <v>7385.039013368056</v>
      </c>
      <c r="E55" s="2">
        <f t="shared" si="6"/>
        <v>53750.48387167151</v>
      </c>
      <c r="G55" s="1">
        <f>'Avg Nt Fix Ass &amp;UCC'!$H$9/12</f>
        <v>0</v>
      </c>
      <c r="H55" s="62" t="e">
        <f t="shared" si="7"/>
        <v>#DIV/0!</v>
      </c>
    </row>
    <row r="56" spans="1:8" ht="15">
      <c r="A56" s="58">
        <v>40452</v>
      </c>
      <c r="B56" s="2">
        <f t="shared" si="2"/>
        <v>53750.48387167151</v>
      </c>
      <c r="C56" s="2">
        <v>-3200</v>
      </c>
      <c r="D56" s="2">
        <f>'Revenue Requirement'!$L$27/12</f>
        <v>7385.039013368056</v>
      </c>
      <c r="E56" s="2">
        <f t="shared" si="6"/>
        <v>57935.522885039565</v>
      </c>
      <c r="G56" s="1">
        <f>'Avg Nt Fix Ass &amp;UCC'!$H$9/12</f>
        <v>0</v>
      </c>
      <c r="H56" s="62" t="e">
        <f t="shared" si="7"/>
        <v>#DIV/0!</v>
      </c>
    </row>
    <row r="57" spans="1:8" ht="15">
      <c r="A57" s="58">
        <v>40483</v>
      </c>
      <c r="B57" s="2">
        <f t="shared" si="2"/>
        <v>57935.522885039565</v>
      </c>
      <c r="C57" s="2">
        <v>-3200</v>
      </c>
      <c r="D57" s="2">
        <f>'Revenue Requirement'!$L$27/12</f>
        <v>7385.039013368056</v>
      </c>
      <c r="E57" s="2">
        <f t="shared" si="6"/>
        <v>62120.56189840762</v>
      </c>
      <c r="G57" s="1">
        <f>'Avg Nt Fix Ass &amp;UCC'!$H$9/12</f>
        <v>0</v>
      </c>
      <c r="H57" s="62" t="e">
        <f t="shared" si="7"/>
        <v>#DIV/0!</v>
      </c>
    </row>
    <row r="58" spans="1:8" ht="15">
      <c r="A58" s="58">
        <v>40513</v>
      </c>
      <c r="B58" s="2">
        <f t="shared" si="2"/>
        <v>62120.56189840762</v>
      </c>
      <c r="C58" s="2">
        <v>-3200</v>
      </c>
      <c r="D58" s="2">
        <f>'Revenue Requirement'!$L$27/12</f>
        <v>7385.039013368056</v>
      </c>
      <c r="E58" s="2">
        <f t="shared" si="6"/>
        <v>66305.60091177568</v>
      </c>
      <c r="G58" s="1">
        <f>'Avg Nt Fix Ass &amp;UCC'!$H$9/12</f>
        <v>0</v>
      </c>
      <c r="H58" s="62" t="e">
        <f t="shared" si="7"/>
        <v>#DIV/0!</v>
      </c>
    </row>
    <row r="59" spans="1:8" ht="15">
      <c r="A59" s="58"/>
      <c r="B59" s="2"/>
      <c r="C59" s="2"/>
      <c r="D59" s="2"/>
      <c r="E59" s="2"/>
      <c r="G59" s="1"/>
      <c r="H59" s="62"/>
    </row>
    <row r="60" spans="1:5" ht="15">
      <c r="A60" s="58"/>
      <c r="B60" s="2"/>
      <c r="C60" s="2"/>
      <c r="D60" s="2"/>
      <c r="E60" s="2"/>
    </row>
    <row r="62" spans="1:7" ht="15">
      <c r="A62" s="61">
        <v>2006</v>
      </c>
      <c r="C62" s="2">
        <f>SUM(C3:C10)</f>
        <v>-5156.47</v>
      </c>
      <c r="D62" s="2">
        <f>SUM(D3:D10)</f>
        <v>978.9066550894905</v>
      </c>
      <c r="F62" s="61">
        <v>2006</v>
      </c>
      <c r="G62" s="2">
        <f>SUM(G3:G10)</f>
        <v>11649.099999999999</v>
      </c>
    </row>
    <row r="63" spans="1:7" ht="15">
      <c r="A63" s="61">
        <v>2007</v>
      </c>
      <c r="C63" s="2">
        <f>SUM(C11:C22)</f>
        <v>-9390.259999999998</v>
      </c>
      <c r="D63" s="2">
        <f>SUM(D11:D22)</f>
        <v>3440.871055772515</v>
      </c>
      <c r="F63" s="61">
        <v>2007</v>
      </c>
      <c r="G63" s="2">
        <f>SUM(G11:G22)</f>
        <v>18574.309999999998</v>
      </c>
    </row>
    <row r="64" spans="1:7" ht="15" customHeight="1">
      <c r="A64" s="61">
        <v>2008</v>
      </c>
      <c r="C64" s="3">
        <f>SUM(C23:C34)</f>
        <v>-9407.67</v>
      </c>
      <c r="D64" s="3">
        <f>SUM(D23:D34)</f>
        <v>6199.788428305511</v>
      </c>
      <c r="F64">
        <v>2008</v>
      </c>
      <c r="G64" s="2">
        <f>SUM(G23:G34)</f>
        <v>16909.540000000005</v>
      </c>
    </row>
    <row r="65" spans="1:7" ht="15" customHeight="1">
      <c r="A65" s="61">
        <v>2009</v>
      </c>
      <c r="C65" s="3">
        <f>SUM(C35:C46)</f>
        <v>-26634.940000000006</v>
      </c>
      <c r="D65" s="3">
        <f>SUM(D35:D46)</f>
        <v>56054.90661219149</v>
      </c>
      <c r="F65">
        <v>2009</v>
      </c>
      <c r="G65" s="2">
        <f>SUM(G35:G46)</f>
        <v>476303.74000000005</v>
      </c>
    </row>
    <row r="66" spans="1:7" ht="15" customHeight="1">
      <c r="A66" s="61">
        <v>2010</v>
      </c>
      <c r="C66" s="3">
        <f>SUM(C47:C58)</f>
        <v>-38400</v>
      </c>
      <c r="D66" s="3">
        <f>SUM(D47:D58)</f>
        <v>88620.46816041664</v>
      </c>
      <c r="F66">
        <v>2010</v>
      </c>
      <c r="G66" s="2">
        <f>SUM(G47:G58)</f>
        <v>0</v>
      </c>
    </row>
    <row r="67" spans="3:7" ht="15.75" thickBot="1">
      <c r="C67" s="63">
        <f>SUM(C62:C66)</f>
        <v>-88989.34000000001</v>
      </c>
      <c r="D67" s="63">
        <f>SUM(D62:D66)</f>
        <v>155294.94091177563</v>
      </c>
      <c r="G67" s="63">
        <f>SUM(G62:G66)</f>
        <v>523436.69000000006</v>
      </c>
    </row>
    <row r="69" ht="15">
      <c r="C69" s="67"/>
    </row>
  </sheetData>
  <sheetProtection/>
  <printOptions/>
  <pageMargins left="0.75" right="0.75" top="1" bottom="1" header="0.5" footer="0.5"/>
  <pageSetup horizontalDpi="600" verticalDpi="600" orientation="portrait" scale="97" r:id="rId3"/>
  <headerFooter alignWithMargins="0"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49">
      <selection activeCell="B63" sqref="B63"/>
    </sheetView>
  </sheetViews>
  <sheetFormatPr defaultColWidth="8.88671875" defaultRowHeight="15"/>
  <cols>
    <col min="1" max="1" width="10.4453125" style="0" customWidth="1"/>
    <col min="2" max="6" width="11.3359375" style="0" customWidth="1"/>
  </cols>
  <sheetData>
    <row r="1" ht="15">
      <c r="A1" t="s">
        <v>60</v>
      </c>
    </row>
    <row r="2" spans="1:8" ht="60">
      <c r="A2" s="65" t="s">
        <v>54</v>
      </c>
      <c r="B2" s="65" t="s">
        <v>61</v>
      </c>
      <c r="C2" s="65" t="s">
        <v>62</v>
      </c>
      <c r="D2" s="65" t="s">
        <v>63</v>
      </c>
      <c r="E2" s="65" t="s">
        <v>64</v>
      </c>
      <c r="F2" s="65" t="s">
        <v>65</v>
      </c>
      <c r="G2" s="57" t="s">
        <v>59</v>
      </c>
      <c r="H2" s="57"/>
    </row>
    <row r="3" spans="1:7" ht="15">
      <c r="A3" s="58">
        <v>38838</v>
      </c>
      <c r="B3" s="2">
        <f>'Table 1'!B3</f>
        <v>0</v>
      </c>
      <c r="C3" s="59">
        <v>31</v>
      </c>
      <c r="D3" s="60">
        <v>0.0414</v>
      </c>
      <c r="E3" s="2">
        <f>B3*D3/365*C3</f>
        <v>0</v>
      </c>
      <c r="F3" s="2">
        <f>E3</f>
        <v>0</v>
      </c>
      <c r="G3" t="s">
        <v>59</v>
      </c>
    </row>
    <row r="4" spans="1:7" ht="15">
      <c r="A4" s="58">
        <v>38869</v>
      </c>
      <c r="B4" s="2">
        <f>'Table 1'!B4</f>
        <v>-522.1954181138137</v>
      </c>
      <c r="C4" s="59">
        <v>30</v>
      </c>
      <c r="D4" s="60">
        <v>0.0414</v>
      </c>
      <c r="E4" s="2">
        <f>B4*D4/365*C4</f>
        <v>-1.7768950939653605</v>
      </c>
      <c r="F4" s="2">
        <f>E4+F3</f>
        <v>-1.7768950939653605</v>
      </c>
      <c r="G4" t="s">
        <v>59</v>
      </c>
    </row>
    <row r="5" spans="1:7" ht="15">
      <c r="A5" s="58">
        <v>38899</v>
      </c>
      <c r="B5" s="2">
        <f>'Table 1'!B5</f>
        <v>-1044.3908362276272</v>
      </c>
      <c r="C5" s="59">
        <v>31</v>
      </c>
      <c r="D5" s="60">
        <v>0.0459</v>
      </c>
      <c r="E5" s="2">
        <f aca="true" t="shared" si="0" ref="E5:E22">B5*D5/365*C5</f>
        <v>-4.071407454433674</v>
      </c>
      <c r="F5" s="2">
        <f aca="true" t="shared" si="1" ref="F5:F62">E5+F4</f>
        <v>-5.848302548399034</v>
      </c>
      <c r="G5" t="s">
        <v>59</v>
      </c>
    </row>
    <row r="6" spans="1:7" ht="15">
      <c r="A6" s="58">
        <v>38930</v>
      </c>
      <c r="B6" s="2">
        <f>'Table 1'!B6</f>
        <v>-1566.5862543414407</v>
      </c>
      <c r="C6" s="59">
        <v>31</v>
      </c>
      <c r="D6" s="60">
        <v>0.0459</v>
      </c>
      <c r="E6" s="2">
        <f t="shared" si="0"/>
        <v>-6.1071111816505095</v>
      </c>
      <c r="F6" s="2">
        <f t="shared" si="1"/>
        <v>-11.955413730049543</v>
      </c>
      <c r="G6" t="s">
        <v>59</v>
      </c>
    </row>
    <row r="7" spans="1:7" ht="15">
      <c r="A7" s="58">
        <v>38961</v>
      </c>
      <c r="B7" s="2">
        <f>'Table 1'!B7</f>
        <v>-2088.7816724552545</v>
      </c>
      <c r="C7" s="59">
        <v>30</v>
      </c>
      <c r="D7" s="60">
        <v>0.0459</v>
      </c>
      <c r="E7" s="2">
        <f t="shared" si="0"/>
        <v>-7.8801434601942075</v>
      </c>
      <c r="F7" s="2">
        <f t="shared" si="1"/>
        <v>-19.83555719024375</v>
      </c>
      <c r="G7" t="s">
        <v>59</v>
      </c>
    </row>
    <row r="8" spans="1:7" ht="15">
      <c r="A8" s="58">
        <v>38991</v>
      </c>
      <c r="B8" s="2">
        <f>'Table 1'!B8</f>
        <v>-2610.9770905690684</v>
      </c>
      <c r="C8" s="59">
        <v>31</v>
      </c>
      <c r="D8" s="60">
        <v>0.0459</v>
      </c>
      <c r="E8" s="2">
        <f t="shared" si="0"/>
        <v>-10.178518636084185</v>
      </c>
      <c r="F8" s="2">
        <f t="shared" si="1"/>
        <v>-30.014075826327936</v>
      </c>
      <c r="G8" t="s">
        <v>59</v>
      </c>
    </row>
    <row r="9" spans="1:7" ht="15">
      <c r="A9" s="58">
        <v>39022</v>
      </c>
      <c r="B9" s="2">
        <f>'Table 1'!B9</f>
        <v>-3133.1725086828824</v>
      </c>
      <c r="C9" s="59">
        <v>30</v>
      </c>
      <c r="D9" s="60">
        <v>0.0459</v>
      </c>
      <c r="E9" s="2">
        <f t="shared" si="0"/>
        <v>-11.820215190291313</v>
      </c>
      <c r="F9" s="2">
        <f t="shared" si="1"/>
        <v>-41.83429101661925</v>
      </c>
      <c r="G9" t="s">
        <v>59</v>
      </c>
    </row>
    <row r="10" spans="1:7" ht="15">
      <c r="A10" s="58">
        <v>39052</v>
      </c>
      <c r="B10" s="2">
        <f>'Table 1'!B10</f>
        <v>-3655.3679267966963</v>
      </c>
      <c r="C10" s="59">
        <v>31</v>
      </c>
      <c r="D10" s="60">
        <v>0.0459</v>
      </c>
      <c r="E10" s="2">
        <f t="shared" si="0"/>
        <v>-14.249926090517862</v>
      </c>
      <c r="F10" s="2">
        <f t="shared" si="1"/>
        <v>-56.08421710713711</v>
      </c>
      <c r="G10" t="s">
        <v>59</v>
      </c>
    </row>
    <row r="11" spans="1:7" ht="15">
      <c r="A11" s="58">
        <v>39083</v>
      </c>
      <c r="B11" s="2">
        <f>'Table 1'!B11</f>
        <v>-4177.56334491051</v>
      </c>
      <c r="C11" s="59">
        <v>31</v>
      </c>
      <c r="D11" s="60">
        <v>0.0459</v>
      </c>
      <c r="E11" s="2">
        <f t="shared" si="0"/>
        <v>-16.285629817734698</v>
      </c>
      <c r="F11" s="2">
        <f t="shared" si="1"/>
        <v>-72.36984692487181</v>
      </c>
      <c r="G11" t="s">
        <v>59</v>
      </c>
    </row>
    <row r="12" spans="1:7" ht="15">
      <c r="A12" s="58">
        <v>39114</v>
      </c>
      <c r="B12" s="2">
        <f>'Table 1'!B12</f>
        <v>-4673.345756929467</v>
      </c>
      <c r="C12" s="59">
        <v>28</v>
      </c>
      <c r="D12" s="60">
        <v>0.0459</v>
      </c>
      <c r="E12" s="2">
        <f t="shared" si="0"/>
        <v>-16.45529853919384</v>
      </c>
      <c r="F12" s="2">
        <f t="shared" si="1"/>
        <v>-88.82514546406566</v>
      </c>
      <c r="G12" t="s">
        <v>59</v>
      </c>
    </row>
    <row r="13" spans="1:7" ht="15">
      <c r="A13" s="58">
        <v>39142</v>
      </c>
      <c r="B13" s="2">
        <f>'Table 1'!B13</f>
        <v>-5169.128168948424</v>
      </c>
      <c r="C13" s="59">
        <v>31</v>
      </c>
      <c r="D13" s="60">
        <v>0.0459</v>
      </c>
      <c r="E13" s="2">
        <f t="shared" si="0"/>
        <v>-20.151102661908805</v>
      </c>
      <c r="F13" s="2">
        <f t="shared" si="1"/>
        <v>-108.97624812597446</v>
      </c>
      <c r="G13" t="s">
        <v>59</v>
      </c>
    </row>
    <row r="14" spans="1:7" ht="15">
      <c r="A14" s="58">
        <v>39173</v>
      </c>
      <c r="B14" s="2">
        <f>'Table 1'!B14</f>
        <v>-5664.910580967381</v>
      </c>
      <c r="C14" s="59">
        <v>30</v>
      </c>
      <c r="D14" s="60">
        <v>0.0459</v>
      </c>
      <c r="E14" s="2">
        <f t="shared" si="0"/>
        <v>-21.371457178060506</v>
      </c>
      <c r="F14" s="2">
        <f t="shared" si="1"/>
        <v>-130.34770530403497</v>
      </c>
      <c r="G14" t="s">
        <v>59</v>
      </c>
    </row>
    <row r="15" spans="1:7" ht="15">
      <c r="A15" s="58">
        <v>39203</v>
      </c>
      <c r="B15" s="2">
        <f>'Table 1'!B15</f>
        <v>-6160.692992986338</v>
      </c>
      <c r="C15" s="59">
        <v>31</v>
      </c>
      <c r="D15" s="60">
        <v>0.0459</v>
      </c>
      <c r="E15" s="2">
        <f t="shared" si="0"/>
        <v>-24.01657550608291</v>
      </c>
      <c r="F15" s="2">
        <f t="shared" si="1"/>
        <v>-154.3642808101179</v>
      </c>
      <c r="G15" t="s">
        <v>59</v>
      </c>
    </row>
    <row r="16" spans="1:7" ht="15">
      <c r="A16" s="58">
        <v>39234</v>
      </c>
      <c r="B16" s="2">
        <f>'Table 1'!B16</f>
        <v>-6656.475405005295</v>
      </c>
      <c r="C16" s="59">
        <v>30</v>
      </c>
      <c r="D16" s="60">
        <v>0.0459</v>
      </c>
      <c r="E16" s="2">
        <f t="shared" si="0"/>
        <v>-25.112237349841894</v>
      </c>
      <c r="F16" s="2">
        <f t="shared" si="1"/>
        <v>-179.4765181599598</v>
      </c>
      <c r="G16" t="s">
        <v>59</v>
      </c>
    </row>
    <row r="17" spans="1:7" ht="15">
      <c r="A17" s="58">
        <v>39264</v>
      </c>
      <c r="B17" s="2">
        <f>'Table 1'!B17</f>
        <v>-7152.257817024252</v>
      </c>
      <c r="C17" s="59">
        <v>31</v>
      </c>
      <c r="D17" s="60">
        <v>0.0459</v>
      </c>
      <c r="E17" s="2">
        <f t="shared" si="0"/>
        <v>-27.882048350257012</v>
      </c>
      <c r="F17" s="2">
        <f t="shared" si="1"/>
        <v>-207.3585665102168</v>
      </c>
      <c r="G17" t="s">
        <v>59</v>
      </c>
    </row>
    <row r="18" spans="1:7" ht="15">
      <c r="A18" s="58">
        <v>39295</v>
      </c>
      <c r="B18" s="2">
        <f>'Table 1'!B18</f>
        <v>-7648.040229043209</v>
      </c>
      <c r="C18" s="59">
        <v>31</v>
      </c>
      <c r="D18" s="60">
        <v>0.0459</v>
      </c>
      <c r="E18" s="2">
        <f t="shared" si="0"/>
        <v>-29.814784772344062</v>
      </c>
      <c r="F18" s="2">
        <f t="shared" si="1"/>
        <v>-237.17335128256087</v>
      </c>
      <c r="G18" t="s">
        <v>59</v>
      </c>
    </row>
    <row r="19" spans="1:7" ht="15">
      <c r="A19" s="58">
        <v>39326</v>
      </c>
      <c r="B19" s="2">
        <f>'Table 1'!B19</f>
        <v>-8143.822641062166</v>
      </c>
      <c r="C19" s="59">
        <v>30</v>
      </c>
      <c r="D19" s="60">
        <v>0.0459</v>
      </c>
      <c r="E19" s="2">
        <f t="shared" si="0"/>
        <v>-30.72340760751398</v>
      </c>
      <c r="F19" s="2">
        <f t="shared" si="1"/>
        <v>-267.89675889007486</v>
      </c>
      <c r="G19" t="s">
        <v>59</v>
      </c>
    </row>
    <row r="20" spans="1:7" ht="15">
      <c r="A20" s="58">
        <v>39356</v>
      </c>
      <c r="B20" s="2">
        <f>'Table 1'!B20</f>
        <v>-8639.605053081123</v>
      </c>
      <c r="C20" s="59">
        <v>31</v>
      </c>
      <c r="D20" s="60">
        <v>0.0514</v>
      </c>
      <c r="E20" s="2">
        <f t="shared" si="0"/>
        <v>-37.71601833309442</v>
      </c>
      <c r="F20" s="2">
        <f t="shared" si="1"/>
        <v>-305.6127772231693</v>
      </c>
      <c r="G20" t="s">
        <v>59</v>
      </c>
    </row>
    <row r="21" spans="1:7" ht="15">
      <c r="A21" s="58">
        <v>39387</v>
      </c>
      <c r="B21" s="2">
        <f>'Table 1'!B21</f>
        <v>-9135.38746510008</v>
      </c>
      <c r="C21" s="59">
        <v>30</v>
      </c>
      <c r="D21" s="60">
        <v>0.0514</v>
      </c>
      <c r="E21" s="2">
        <f t="shared" si="0"/>
        <v>-38.59388348269678</v>
      </c>
      <c r="F21" s="2">
        <f t="shared" si="1"/>
        <v>-344.20666070586606</v>
      </c>
      <c r="G21" t="s">
        <v>59</v>
      </c>
    </row>
    <row r="22" spans="1:7" ht="15">
      <c r="A22" s="58">
        <v>39417</v>
      </c>
      <c r="B22" s="2">
        <f>'Table 1'!B22</f>
        <v>-9631.169877119039</v>
      </c>
      <c r="C22" s="59">
        <v>31</v>
      </c>
      <c r="D22" s="60">
        <v>0.0514</v>
      </c>
      <c r="E22" s="2">
        <f t="shared" si="0"/>
        <v>-42.04467419781226</v>
      </c>
      <c r="F22" s="2">
        <f t="shared" si="1"/>
        <v>-386.2513349036783</v>
      </c>
      <c r="G22" s="59" t="s">
        <v>59</v>
      </c>
    </row>
    <row r="23" spans="1:6" ht="15">
      <c r="A23" s="58">
        <v>39448</v>
      </c>
      <c r="B23" s="2">
        <f>'Table 1'!B23</f>
        <v>-10126.952289137997</v>
      </c>
      <c r="C23" s="59">
        <v>31</v>
      </c>
      <c r="D23" s="60">
        <v>0.0514</v>
      </c>
      <c r="E23" s="2">
        <f>B23*D23/366*C23</f>
        <v>-44.08821250686471</v>
      </c>
      <c r="F23" s="2">
        <f t="shared" si="1"/>
        <v>-430.339547410543</v>
      </c>
    </row>
    <row r="24" spans="1:6" ht="15">
      <c r="A24" s="58">
        <v>39479</v>
      </c>
      <c r="B24" s="2">
        <f>'Table 1'!B24</f>
        <v>-10394.27575344587</v>
      </c>
      <c r="C24" s="59">
        <v>29</v>
      </c>
      <c r="D24" s="60">
        <v>0.0514</v>
      </c>
      <c r="E24" s="2">
        <f aca="true" t="shared" si="2" ref="E24:E34">B24*D24/366*C24</f>
        <v>-42.332533983842666</v>
      </c>
      <c r="F24" s="2">
        <f t="shared" si="1"/>
        <v>-472.67208139438566</v>
      </c>
    </row>
    <row r="25" spans="1:6" ht="15">
      <c r="A25" s="58">
        <v>39508</v>
      </c>
      <c r="B25" s="2">
        <f>'Table 1'!B25</f>
        <v>-10661.599217753745</v>
      </c>
      <c r="C25" s="59">
        <v>31</v>
      </c>
      <c r="D25" s="60">
        <v>0.0514</v>
      </c>
      <c r="E25" s="2">
        <f t="shared" si="2"/>
        <v>-46.41582566548857</v>
      </c>
      <c r="F25" s="2">
        <f t="shared" si="1"/>
        <v>-519.0879070598742</v>
      </c>
    </row>
    <row r="26" spans="1:6" ht="15">
      <c r="A26" s="58">
        <v>39539</v>
      </c>
      <c r="B26" s="2">
        <f>'Table 1'!B26</f>
        <v>-10928.922682061619</v>
      </c>
      <c r="C26" s="59">
        <v>30</v>
      </c>
      <c r="D26" s="60">
        <v>0.0408</v>
      </c>
      <c r="E26" s="2">
        <f t="shared" si="2"/>
        <v>-36.54918405148476</v>
      </c>
      <c r="F26" s="2">
        <f t="shared" si="1"/>
        <v>-555.6370911113589</v>
      </c>
    </row>
    <row r="27" spans="1:6" ht="15">
      <c r="A27" s="58">
        <v>39569</v>
      </c>
      <c r="B27" s="2">
        <f>'Table 1'!B27</f>
        <v>-11196.246146369493</v>
      </c>
      <c r="C27" s="59">
        <v>31</v>
      </c>
      <c r="D27" s="60">
        <v>0.0408</v>
      </c>
      <c r="E27" s="2">
        <f t="shared" si="2"/>
        <v>-38.691289961552286</v>
      </c>
      <c r="F27" s="2">
        <f t="shared" si="1"/>
        <v>-594.3283810729113</v>
      </c>
    </row>
    <row r="28" spans="1:6" ht="15">
      <c r="A28" s="58">
        <v>39600</v>
      </c>
      <c r="B28" s="2">
        <f>'Table 1'!B28</f>
        <v>-11463.569610677367</v>
      </c>
      <c r="C28" s="59">
        <v>30</v>
      </c>
      <c r="D28" s="60">
        <v>0.0408</v>
      </c>
      <c r="E28" s="2">
        <f t="shared" si="2"/>
        <v>-38.33718361603579</v>
      </c>
      <c r="F28" s="2">
        <f t="shared" si="1"/>
        <v>-632.665564688947</v>
      </c>
    </row>
    <row r="29" spans="1:6" ht="15">
      <c r="A29" s="58">
        <v>39630</v>
      </c>
      <c r="B29" s="2">
        <f>'Table 1'!B29</f>
        <v>-11730.89307498524</v>
      </c>
      <c r="C29" s="59">
        <v>31</v>
      </c>
      <c r="D29" s="60">
        <v>0.0335</v>
      </c>
      <c r="E29" s="2">
        <f t="shared" si="2"/>
        <v>-33.28560780976004</v>
      </c>
      <c r="F29" s="2">
        <f t="shared" si="1"/>
        <v>-665.951172498707</v>
      </c>
    </row>
    <row r="30" spans="1:6" ht="15">
      <c r="A30" s="58">
        <v>39661</v>
      </c>
      <c r="B30" s="2">
        <f>'Table 1'!B30</f>
        <v>-11998.216539293115</v>
      </c>
      <c r="C30" s="59">
        <v>31</v>
      </c>
      <c r="D30" s="60">
        <v>0.0335</v>
      </c>
      <c r="E30" s="2">
        <f t="shared" si="2"/>
        <v>-34.04411987993415</v>
      </c>
      <c r="F30" s="2">
        <f t="shared" si="1"/>
        <v>-699.9952923786411</v>
      </c>
    </row>
    <row r="31" spans="1:6" ht="15">
      <c r="A31" s="58">
        <v>39692</v>
      </c>
      <c r="B31" s="2">
        <f>'Table 1'!B31</f>
        <v>-12265.540003600989</v>
      </c>
      <c r="C31" s="59">
        <v>30</v>
      </c>
      <c r="D31" s="60">
        <v>0.0335</v>
      </c>
      <c r="E31" s="2">
        <f t="shared" si="2"/>
        <v>-33.67996640333058</v>
      </c>
      <c r="F31" s="2">
        <f t="shared" si="1"/>
        <v>-733.6752587819717</v>
      </c>
    </row>
    <row r="32" spans="1:6" ht="15">
      <c r="A32" s="58">
        <v>39722</v>
      </c>
      <c r="B32" s="2">
        <f>'Table 1'!B32</f>
        <v>-12532.863467908863</v>
      </c>
      <c r="C32" s="59">
        <v>31</v>
      </c>
      <c r="D32" s="60">
        <v>0.0335</v>
      </c>
      <c r="E32" s="2">
        <f t="shared" si="2"/>
        <v>-35.5611440202824</v>
      </c>
      <c r="F32" s="2">
        <f t="shared" si="1"/>
        <v>-769.2364028022541</v>
      </c>
    </row>
    <row r="33" spans="1:6" ht="15">
      <c r="A33" s="58">
        <v>39753</v>
      </c>
      <c r="B33" s="2">
        <f>'Table 1'!B33</f>
        <v>-12800.186932216737</v>
      </c>
      <c r="C33" s="59">
        <v>30</v>
      </c>
      <c r="D33" s="60">
        <v>0.0335</v>
      </c>
      <c r="E33" s="2">
        <f t="shared" si="2"/>
        <v>-35.14805428108694</v>
      </c>
      <c r="F33" s="2">
        <f t="shared" si="1"/>
        <v>-804.3844570833411</v>
      </c>
    </row>
    <row r="34" spans="1:6" ht="15">
      <c r="A34" s="58">
        <v>39783</v>
      </c>
      <c r="B34" s="2">
        <f>'Table 1'!B34</f>
        <v>-13067.51039652461</v>
      </c>
      <c r="C34" s="59">
        <v>31</v>
      </c>
      <c r="D34" s="60">
        <v>0.0335</v>
      </c>
      <c r="E34" s="2">
        <f t="shared" si="2"/>
        <v>-37.078168160630625</v>
      </c>
      <c r="F34" s="2">
        <f t="shared" si="1"/>
        <v>-841.4626252439717</v>
      </c>
    </row>
    <row r="35" spans="1:6" ht="15">
      <c r="A35" s="58">
        <v>39814</v>
      </c>
      <c r="B35" s="2">
        <f>'Table 1'!B35</f>
        <v>-13334.833860832485</v>
      </c>
      <c r="C35" s="59">
        <v>31</v>
      </c>
      <c r="D35" s="60">
        <v>0.0245</v>
      </c>
      <c r="E35" s="2">
        <f>B35*D35/365*C35</f>
        <v>-27.74741456795143</v>
      </c>
      <c r="F35" s="2">
        <f t="shared" si="1"/>
        <v>-869.2100398119231</v>
      </c>
    </row>
    <row r="36" spans="1:6" ht="15">
      <c r="A36" s="58">
        <v>39845</v>
      </c>
      <c r="B36" s="2">
        <f>'Table 1'!B36</f>
        <v>-10883.169976483194</v>
      </c>
      <c r="C36" s="59">
        <v>28</v>
      </c>
      <c r="D36" s="60">
        <v>0.0245</v>
      </c>
      <c r="E36" s="2">
        <f>B36*D36/365*C36</f>
        <v>-20.454396174979372</v>
      </c>
      <c r="F36" s="2">
        <f t="shared" si="1"/>
        <v>-889.6644359869025</v>
      </c>
    </row>
    <row r="37" spans="1:6" ht="15">
      <c r="A37" s="58">
        <v>39873</v>
      </c>
      <c r="B37" s="2">
        <f>'Table 1'!B37</f>
        <v>-8431.506092133903</v>
      </c>
      <c r="C37" s="59">
        <v>31</v>
      </c>
      <c r="D37" s="60">
        <v>0.0245</v>
      </c>
      <c r="E37" s="2">
        <f>B37*D37/365*C37</f>
        <v>-17.54446267664575</v>
      </c>
      <c r="F37" s="2">
        <f t="shared" si="1"/>
        <v>-907.2088986635482</v>
      </c>
    </row>
    <row r="38" spans="1:6" ht="15">
      <c r="A38" s="58">
        <v>39904</v>
      </c>
      <c r="B38" s="2">
        <f>'Table 1'!B38</f>
        <v>-5979.842207784611</v>
      </c>
      <c r="C38" s="59">
        <v>30</v>
      </c>
      <c r="D38" s="60">
        <v>0.01</v>
      </c>
      <c r="E38" s="2">
        <f>B38*D38/365*C38</f>
        <v>-4.914938800918859</v>
      </c>
      <c r="F38" s="2">
        <f t="shared" si="1"/>
        <v>-912.1238374644671</v>
      </c>
    </row>
    <row r="39" spans="1:6" ht="15">
      <c r="A39" s="58">
        <v>39934</v>
      </c>
      <c r="B39" s="2">
        <f>'Table 1'!B39</f>
        <v>-3528.1783234353197</v>
      </c>
      <c r="C39" s="59">
        <v>31</v>
      </c>
      <c r="D39" s="60">
        <v>0.01</v>
      </c>
      <c r="E39" s="2">
        <f aca="true" t="shared" si="3" ref="E39:E62">B39*D39/365*C39</f>
        <v>-2.9965350144245186</v>
      </c>
      <c r="F39" s="2">
        <f t="shared" si="1"/>
        <v>-915.1203724788916</v>
      </c>
    </row>
    <row r="40" spans="1:6" ht="15">
      <c r="A40" s="58">
        <v>39965</v>
      </c>
      <c r="B40" s="2">
        <f>'Table 1'!B40</f>
        <v>-1076.5144390860287</v>
      </c>
      <c r="C40" s="59">
        <v>30</v>
      </c>
      <c r="D40" s="60">
        <v>0.01</v>
      </c>
      <c r="E40" s="2">
        <f t="shared" si="3"/>
        <v>-0.8848063882898867</v>
      </c>
      <c r="F40" s="2">
        <f t="shared" si="1"/>
        <v>-916.0051788671815</v>
      </c>
    </row>
    <row r="41" spans="1:6" ht="15">
      <c r="A41" s="58">
        <v>39995</v>
      </c>
      <c r="B41" s="2">
        <f>'Table 1'!B41</f>
        <v>1375.1494452632628</v>
      </c>
      <c r="C41" s="59">
        <v>31</v>
      </c>
      <c r="D41" s="60">
        <v>0.0055</v>
      </c>
      <c r="E41" s="2">
        <f t="shared" si="3"/>
        <v>0.6423643299106474</v>
      </c>
      <c r="F41" s="2">
        <f>E41+F40</f>
        <v>-915.3628145372709</v>
      </c>
    </row>
    <row r="42" spans="1:6" ht="15">
      <c r="A42" s="58">
        <v>40026</v>
      </c>
      <c r="B42" s="2">
        <f>'Table 1'!B42</f>
        <v>3826.8133296125543</v>
      </c>
      <c r="C42" s="59">
        <v>31</v>
      </c>
      <c r="D42" s="60">
        <v>0.0055</v>
      </c>
      <c r="E42" s="2">
        <f t="shared" si="3"/>
        <v>1.7875936238327135</v>
      </c>
      <c r="F42" s="2">
        <f t="shared" si="1"/>
        <v>-913.5752209134382</v>
      </c>
    </row>
    <row r="43" spans="1:6" ht="15">
      <c r="A43" s="58">
        <v>40057</v>
      </c>
      <c r="B43" s="2">
        <f>'Table 1'!B43</f>
        <v>6278.477213961845</v>
      </c>
      <c r="C43" s="59">
        <v>30</v>
      </c>
      <c r="D43" s="60">
        <v>0.0055</v>
      </c>
      <c r="E43" s="2">
        <f t="shared" si="3"/>
        <v>2.838215726859464</v>
      </c>
      <c r="F43" s="2">
        <f t="shared" si="1"/>
        <v>-910.7370051865787</v>
      </c>
    </row>
    <row r="44" spans="1:6" ht="15">
      <c r="A44" s="58">
        <v>40087</v>
      </c>
      <c r="B44" s="2">
        <f>'Table 1'!B44</f>
        <v>8730.141098311136</v>
      </c>
      <c r="C44" s="59">
        <v>31</v>
      </c>
      <c r="D44" s="60">
        <v>0.0055</v>
      </c>
      <c r="E44" s="2">
        <f t="shared" si="3"/>
        <v>4.078052211676845</v>
      </c>
      <c r="F44" s="2">
        <f t="shared" si="1"/>
        <v>-906.6589529749018</v>
      </c>
    </row>
    <row r="45" spans="1:6" ht="15">
      <c r="A45" s="58">
        <v>40118</v>
      </c>
      <c r="B45" s="2">
        <f>'Table 1'!B45</f>
        <v>11181.80498266043</v>
      </c>
      <c r="C45" s="59">
        <v>30</v>
      </c>
      <c r="D45" s="60">
        <v>0.0055</v>
      </c>
      <c r="E45" s="2">
        <f t="shared" si="3"/>
        <v>5.054788553805399</v>
      </c>
      <c r="F45" s="2">
        <f t="shared" si="1"/>
        <v>-901.6041644210964</v>
      </c>
    </row>
    <row r="46" spans="1:6" ht="15">
      <c r="A46" s="58">
        <v>40148</v>
      </c>
      <c r="B46" s="2">
        <f>'Table 1'!B46</f>
        <v>13633.46886700972</v>
      </c>
      <c r="C46" s="59">
        <v>31</v>
      </c>
      <c r="D46" s="60">
        <v>0.0055</v>
      </c>
      <c r="E46" s="2">
        <f t="shared" si="3"/>
        <v>6.368510799520979</v>
      </c>
      <c r="F46" s="2">
        <f t="shared" si="1"/>
        <v>-895.2356536215754</v>
      </c>
    </row>
    <row r="47" spans="1:6" ht="15">
      <c r="A47" s="58">
        <v>40179</v>
      </c>
      <c r="B47" s="3">
        <f>'Table 1'!B47</f>
        <v>16085.132751359011</v>
      </c>
      <c r="C47" s="59">
        <v>31</v>
      </c>
      <c r="D47" s="60">
        <v>0.0055</v>
      </c>
      <c r="E47" s="2">
        <f t="shared" si="3"/>
        <v>7.513740093443045</v>
      </c>
      <c r="F47" s="2">
        <f t="shared" si="1"/>
        <v>-887.7219135281323</v>
      </c>
    </row>
    <row r="48" spans="1:6" ht="15">
      <c r="A48" s="58">
        <v>40210</v>
      </c>
      <c r="B48" s="3">
        <f>'Table 1'!B48</f>
        <v>20270.171764727067</v>
      </c>
      <c r="C48" s="59">
        <v>28</v>
      </c>
      <c r="D48" s="60">
        <v>0.0055</v>
      </c>
      <c r="E48" s="2">
        <f t="shared" si="3"/>
        <v>8.552346443199912</v>
      </c>
      <c r="F48" s="2">
        <f t="shared" si="1"/>
        <v>-879.1695670849324</v>
      </c>
    </row>
    <row r="49" spans="1:6" ht="15">
      <c r="A49" s="58">
        <v>40238</v>
      </c>
      <c r="B49" s="3">
        <f>'Table 1'!B49</f>
        <v>24455.210778095123</v>
      </c>
      <c r="C49" s="59">
        <v>31</v>
      </c>
      <c r="D49" s="60">
        <v>0.0055</v>
      </c>
      <c r="E49" s="2">
        <f t="shared" si="3"/>
        <v>11.423598459356763</v>
      </c>
      <c r="F49" s="2">
        <f t="shared" si="1"/>
        <v>-867.7459686255756</v>
      </c>
    </row>
    <row r="50" spans="1:6" ht="15">
      <c r="A50" s="58">
        <v>40269</v>
      </c>
      <c r="B50" s="3">
        <f>'Table 1'!B50</f>
        <v>28640.24979146318</v>
      </c>
      <c r="C50" s="59">
        <v>30</v>
      </c>
      <c r="D50" s="60">
        <v>0.0055</v>
      </c>
      <c r="E50" s="2">
        <f t="shared" si="3"/>
        <v>12.946962234497052</v>
      </c>
      <c r="F50" s="2">
        <f t="shared" si="1"/>
        <v>-854.7990063910786</v>
      </c>
    </row>
    <row r="51" spans="1:6" ht="15">
      <c r="A51" s="58">
        <v>40299</v>
      </c>
      <c r="B51" s="3">
        <f>'Table 1'!B51</f>
        <v>32825.28880483123</v>
      </c>
      <c r="C51" s="59">
        <v>31</v>
      </c>
      <c r="D51" s="60">
        <v>0.0055</v>
      </c>
      <c r="E51" s="2">
        <f t="shared" si="3"/>
        <v>15.33345682527048</v>
      </c>
      <c r="F51" s="2">
        <f t="shared" si="1"/>
        <v>-839.4655495658081</v>
      </c>
    </row>
    <row r="52" spans="1:6" ht="15">
      <c r="A52" s="58">
        <v>40330</v>
      </c>
      <c r="B52" s="3">
        <f>'Table 1'!B52</f>
        <v>37010.32781819929</v>
      </c>
      <c r="C52" s="59">
        <v>30</v>
      </c>
      <c r="D52" s="60">
        <v>0.0055</v>
      </c>
      <c r="E52" s="2">
        <f t="shared" si="3"/>
        <v>16.730696136994197</v>
      </c>
      <c r="F52" s="2">
        <f t="shared" si="1"/>
        <v>-822.734853428814</v>
      </c>
    </row>
    <row r="53" spans="1:6" ht="15">
      <c r="A53" s="58">
        <v>40360</v>
      </c>
      <c r="B53" s="3">
        <f>'Table 1'!B53</f>
        <v>41195.36683156734</v>
      </c>
      <c r="C53" s="59">
        <v>31</v>
      </c>
      <c r="D53" s="60">
        <v>0.0055</v>
      </c>
      <c r="E53" s="2">
        <f t="shared" si="3"/>
        <v>19.243315191184195</v>
      </c>
      <c r="F53" s="2">
        <f t="shared" si="1"/>
        <v>-803.4915382376298</v>
      </c>
    </row>
    <row r="54" spans="1:6" ht="15">
      <c r="A54" s="58">
        <v>40391</v>
      </c>
      <c r="B54" s="3">
        <f>'Table 1'!B54</f>
        <v>45380.4058449354</v>
      </c>
      <c r="C54" s="59">
        <v>31</v>
      </c>
      <c r="D54" s="60">
        <v>0.0055</v>
      </c>
      <c r="E54" s="2">
        <f t="shared" si="3"/>
        <v>21.198244374141055</v>
      </c>
      <c r="F54" s="2">
        <f t="shared" si="1"/>
        <v>-782.2932938634888</v>
      </c>
    </row>
    <row r="55" spans="1:6" ht="15">
      <c r="A55" s="58">
        <v>40422</v>
      </c>
      <c r="B55" s="3">
        <f>'Table 1'!B55</f>
        <v>49565.444858303454</v>
      </c>
      <c r="C55" s="59">
        <v>30</v>
      </c>
      <c r="D55" s="60">
        <v>0.0055</v>
      </c>
      <c r="E55" s="2">
        <f t="shared" si="3"/>
        <v>22.406296990739914</v>
      </c>
      <c r="F55" s="2">
        <f t="shared" si="1"/>
        <v>-759.8869968727489</v>
      </c>
    </row>
    <row r="56" spans="1:6" ht="15">
      <c r="A56" s="58">
        <v>40452</v>
      </c>
      <c r="B56" s="3">
        <f>'Table 1'!B56</f>
        <v>53750.48387167151</v>
      </c>
      <c r="C56" s="59">
        <v>31</v>
      </c>
      <c r="D56" s="60">
        <v>0.0055</v>
      </c>
      <c r="E56" s="2">
        <f t="shared" si="3"/>
        <v>25.108102740054772</v>
      </c>
      <c r="F56" s="2">
        <f t="shared" si="1"/>
        <v>-734.7788941326942</v>
      </c>
    </row>
    <row r="57" spans="1:6" ht="15">
      <c r="A57" s="58">
        <v>40483</v>
      </c>
      <c r="B57" s="3">
        <f>'Table 1'!B57</f>
        <v>57935.522885039565</v>
      </c>
      <c r="C57" s="59">
        <v>30</v>
      </c>
      <c r="D57" s="60">
        <v>0.0055</v>
      </c>
      <c r="E57" s="2">
        <f t="shared" si="3"/>
        <v>26.19003089323706</v>
      </c>
      <c r="F57" s="2">
        <f t="shared" si="1"/>
        <v>-708.5888632394572</v>
      </c>
    </row>
    <row r="58" spans="1:6" ht="15">
      <c r="A58" s="58">
        <v>40513</v>
      </c>
      <c r="B58" s="3">
        <f>'Table 1'!B58</f>
        <v>62120.56189840762</v>
      </c>
      <c r="C58" s="59">
        <v>31</v>
      </c>
      <c r="D58" s="60">
        <v>0.0055</v>
      </c>
      <c r="E58" s="2">
        <f t="shared" si="3"/>
        <v>29.01796110596849</v>
      </c>
      <c r="F58" s="2">
        <f t="shared" si="1"/>
        <v>-679.5709021334886</v>
      </c>
    </row>
    <row r="59" spans="1:6" ht="15">
      <c r="A59" s="58">
        <v>40544</v>
      </c>
      <c r="B59" s="3">
        <f>B58</f>
        <v>62120.56189840762</v>
      </c>
      <c r="C59" s="59">
        <v>31</v>
      </c>
      <c r="D59" s="60">
        <v>0.0055</v>
      </c>
      <c r="E59" s="2">
        <f t="shared" si="3"/>
        <v>29.01796110596849</v>
      </c>
      <c r="F59" s="2">
        <f t="shared" si="1"/>
        <v>-650.5529410275201</v>
      </c>
    </row>
    <row r="60" spans="1:6" ht="15">
      <c r="A60" s="58">
        <v>40575</v>
      </c>
      <c r="B60" s="3">
        <f>B59</f>
        <v>62120.56189840762</v>
      </c>
      <c r="C60" s="59">
        <v>28</v>
      </c>
      <c r="D60" s="60">
        <v>0.0055</v>
      </c>
      <c r="E60" s="2">
        <f t="shared" si="3"/>
        <v>26.209771321519924</v>
      </c>
      <c r="F60" s="2">
        <f t="shared" si="1"/>
        <v>-624.3431697060001</v>
      </c>
    </row>
    <row r="61" spans="1:6" ht="15">
      <c r="A61" s="58">
        <v>40603</v>
      </c>
      <c r="B61" s="3">
        <f>B60</f>
        <v>62120.56189840762</v>
      </c>
      <c r="C61" s="59">
        <v>31</v>
      </c>
      <c r="D61" s="60">
        <v>0.0055</v>
      </c>
      <c r="E61" s="2">
        <f t="shared" si="3"/>
        <v>29.01796110596849</v>
      </c>
      <c r="F61" s="2">
        <f t="shared" si="1"/>
        <v>-595.3252086000316</v>
      </c>
    </row>
    <row r="62" spans="1:6" ht="15">
      <c r="A62" s="58">
        <v>40634</v>
      </c>
      <c r="B62" s="3">
        <f>B61</f>
        <v>62120.56189840762</v>
      </c>
      <c r="C62" s="59">
        <v>30</v>
      </c>
      <c r="D62" s="60">
        <v>0.0055</v>
      </c>
      <c r="E62" s="2">
        <f t="shared" si="3"/>
        <v>28.081897844485635</v>
      </c>
      <c r="F62" s="2">
        <f t="shared" si="1"/>
        <v>-567.243310755546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Lenovo User</cp:lastModifiedBy>
  <cp:lastPrinted>2009-06-02T21:53:12Z</cp:lastPrinted>
  <dcterms:created xsi:type="dcterms:W3CDTF">2009-03-31T14:51:00Z</dcterms:created>
  <dcterms:modified xsi:type="dcterms:W3CDTF">2010-10-14T15:28:35Z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