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90" windowWidth="10365" windowHeight="7935" firstSheet="4" activeTab="6"/>
  </bookViews>
  <sheets>
    <sheet name="prep notes" sheetId="1" r:id="rId1"/>
    <sheet name="removed 2009 (past useful life)" sheetId="2" r:id="rId2"/>
    <sheet name="RateRider" sheetId="3" r:id="rId3"/>
    <sheet name="LRAM Detail (2)" sheetId="4" r:id="rId4"/>
    <sheet name="LRAM Detail (3)" sheetId="5" r:id="rId5"/>
    <sheet name="LRAM Detail" sheetId="6" r:id="rId6"/>
    <sheet name="Summary by Rate Class" sheetId="7" r:id="rId7"/>
  </sheets>
  <externalReferences>
    <externalReference r:id="rId11"/>
    <externalReference r:id="rId12"/>
  </externalReferences>
  <definedNames>
    <definedName name="_xlnm.Print_Area" localSheetId="5">'LRAM Detail'!$A$1:$U$151</definedName>
    <definedName name="_xlnm.Print_Area" localSheetId="3">'LRAM Detail (2)'!$A$1:$U$178</definedName>
    <definedName name="_xlnm.Print_Area" localSheetId="4">'LRAM Detail (3)'!$A$1:$T$179</definedName>
    <definedName name="_xlnm.Print_Area" localSheetId="0">'prep notes'!$A$1:$B$37</definedName>
    <definedName name="_xlnm.Print_Area" localSheetId="2">'RateRider'!$A$1:$F$11</definedName>
    <definedName name="_xlnm.Print_Area" localSheetId="1">'removed 2009 (past useful life)'!$A$1:$R$8</definedName>
    <definedName name="_xlnm.Print_Area" localSheetId="6">'Summary by Rate Class'!$A$2:$F$14</definedName>
    <definedName name="_xlnm.Print_Titles" localSheetId="5">'LRAM Detail'!$2:$2</definedName>
    <definedName name="_xlnm.Print_Titles" localSheetId="3">'LRAM Detail (2)'!$2:$2</definedName>
    <definedName name="_xlnm.Print_Titles" localSheetId="4">'LRAM Detail (3)'!$2:$2</definedName>
  </definedNames>
  <calcPr fullCalcOnLoad="1"/>
  <pivotCaches>
    <pivotCache cacheId="5" r:id="rId8"/>
  </pivotCaches>
</workbook>
</file>

<file path=xl/comments2.xml><?xml version="1.0" encoding="utf-8"?>
<comments xmlns="http://schemas.openxmlformats.org/spreadsheetml/2006/main">
  <authors>
    <author> S Jackson</author>
  </authors>
  <commentList>
    <comment ref="J3" authorId="0">
      <text>
        <r>
          <rPr>
            <b/>
            <sz val="8"/>
            <rFont val="Tahoma"/>
            <family val="2"/>
          </rPr>
          <t xml:space="preserve"> S Jackson:</t>
        </r>
        <r>
          <rPr>
            <sz val="8"/>
            <rFont val="Tahoma"/>
            <family val="2"/>
          </rPr>
          <t xml:space="preserve">
assumed 4450 annual operating hours (large/small retail incl restaraunts)</t>
        </r>
      </text>
    </comment>
  </commentList>
</comments>
</file>

<file path=xl/comments4.xml><?xml version="1.0" encoding="utf-8"?>
<comments xmlns="http://schemas.openxmlformats.org/spreadsheetml/2006/main">
  <authors>
    <author> S Jackson</author>
    <author>A satisfied Microsoft Office User</author>
  </authors>
  <commentList>
    <comment ref="R2" authorId="0">
      <text>
        <r>
          <rPr>
            <b/>
            <sz val="8"/>
            <rFont val="Tahoma"/>
            <family val="2"/>
          </rPr>
          <t xml:space="preserve"> S Jackson:</t>
        </r>
        <r>
          <rPr>
            <sz val="8"/>
            <rFont val="Tahoma"/>
            <family val="2"/>
          </rPr>
          <t xml:space="preserve">
No LRAM was claimed for 2008 for the commercial rate class since the rider was more than 4 decimal places.  Therefore included this revenue along with the 2009 LRAM.</t>
        </r>
      </text>
    </comment>
    <comment ref="S2" authorId="0">
      <text>
        <r>
          <rPr>
            <b/>
            <sz val="8"/>
            <rFont val="Tahoma"/>
            <family val="2"/>
          </rPr>
          <t xml:space="preserve"> S Jackson:</t>
        </r>
        <r>
          <rPr>
            <sz val="8"/>
            <rFont val="Tahoma"/>
            <family val="2"/>
          </rPr>
          <t xml:space="preserve">
No LRAM was claimed for 2008 for the commercial rate class since the rider was more than 4 decimal places.  Therefore included this revenue along with the 2009 LRAM.</t>
        </r>
      </text>
    </comment>
    <comment ref="T2" authorId="0">
      <text>
        <r>
          <rPr>
            <b/>
            <sz val="8"/>
            <rFont val="Tahoma"/>
            <family val="2"/>
          </rPr>
          <t xml:space="preserve"> S Jackson:</t>
        </r>
        <r>
          <rPr>
            <sz val="8"/>
            <rFont val="Tahoma"/>
            <family val="2"/>
          </rPr>
          <t xml:space="preserve">
No LRAM was claimed for 2008 for the commercial rate class since the rider was more than 4 decimal places.  Therefore included this revenue along with the 2009 LRAM.</t>
        </r>
      </text>
    </comment>
    <comment ref="I8" authorId="0">
      <text>
        <r>
          <rPr>
            <b/>
            <sz val="8"/>
            <rFont val="Tahoma"/>
            <family val="2"/>
          </rPr>
          <t xml:space="preserve"> S Jackson:</t>
        </r>
        <r>
          <rPr>
            <sz val="8"/>
            <rFont val="Tahoma"/>
            <family val="2"/>
          </rPr>
          <t xml:space="preserve">
assumed gas forced-air</t>
        </r>
      </text>
    </comment>
    <comment ref="P9" authorId="1">
      <text>
        <r>
          <rPr>
            <b/>
            <sz val="8"/>
            <rFont val="Tahoma"/>
            <family val="2"/>
          </rPr>
          <t xml:space="preserve"> :</t>
        </r>
        <r>
          <rPr>
            <sz val="8"/>
            <rFont val="Tahoma"/>
            <family val="2"/>
          </rPr>
          <t xml:space="preserve">
updated per Mar 08 assumptions.</t>
        </r>
      </text>
    </comment>
    <comment ref="I14" authorId="0">
      <text>
        <r>
          <rPr>
            <b/>
            <sz val="8"/>
            <rFont val="Tahoma"/>
            <family val="2"/>
          </rPr>
          <t xml:space="preserve"> S Jackson:</t>
        </r>
        <r>
          <rPr>
            <sz val="8"/>
            <rFont val="Tahoma"/>
            <family val="2"/>
          </rPr>
          <t xml:space="preserve">
assumed 2 lamp
</t>
        </r>
      </text>
    </comment>
    <comment ref="I15" authorId="0">
      <text>
        <r>
          <rPr>
            <b/>
            <sz val="8"/>
            <rFont val="Tahoma"/>
            <family val="2"/>
          </rPr>
          <t xml:space="preserve"> S Jackson:</t>
        </r>
        <r>
          <rPr>
            <sz val="8"/>
            <rFont val="Tahoma"/>
            <family val="2"/>
          </rPr>
          <t xml:space="preserve">
assumed 15w</t>
        </r>
      </text>
    </comment>
    <comment ref="I19" authorId="0">
      <text>
        <r>
          <rPr>
            <b/>
            <sz val="8"/>
            <rFont val="Tahoma"/>
            <family val="2"/>
          </rPr>
          <t xml:space="preserve"> S Jackson:</t>
        </r>
        <r>
          <rPr>
            <sz val="8"/>
            <rFont val="Tahoma"/>
            <family val="2"/>
          </rPr>
          <t xml:space="preserve">
assumed gas forced-air</t>
        </r>
      </text>
    </comment>
    <comment ref="J21" authorId="1">
      <text>
        <r>
          <rPr>
            <b/>
            <sz val="8"/>
            <rFont val="Tahoma"/>
            <family val="2"/>
          </rPr>
          <t xml:space="preserve"> S Jackson:</t>
        </r>
        <r>
          <rPr>
            <sz val="8"/>
            <rFont val="Tahoma"/>
            <family val="2"/>
          </rPr>
          <t xml:space="preserve">
assumed avg between kitchen and bathroom</t>
        </r>
      </text>
    </comment>
    <comment ref="I23" authorId="0">
      <text>
        <r>
          <rPr>
            <b/>
            <sz val="8"/>
            <rFont val="Tahoma"/>
            <family val="2"/>
          </rPr>
          <t xml:space="preserve"> S Jackson:</t>
        </r>
        <r>
          <rPr>
            <sz val="8"/>
            <rFont val="Tahoma"/>
            <family val="2"/>
          </rPr>
          <t xml:space="preserve">
assumed gas forced-air</t>
        </r>
      </text>
    </comment>
    <comment ref="J23"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25"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28"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31"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32"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P32" authorId="1">
      <text>
        <r>
          <rPr>
            <b/>
            <sz val="8"/>
            <rFont val="Tahoma"/>
            <family val="2"/>
          </rPr>
          <t xml:space="preserve"> S Jackson:</t>
        </r>
        <r>
          <rPr>
            <sz val="8"/>
            <rFont val="Tahoma"/>
            <family val="2"/>
          </rPr>
          <t xml:space="preserve">
assumed small retail</t>
        </r>
      </text>
    </comment>
    <comment ref="J33"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K33" authorId="0">
      <text>
        <r>
          <rPr>
            <b/>
            <sz val="8"/>
            <rFont val="Tahoma"/>
            <family val="2"/>
          </rPr>
          <t xml:space="preserve"> S Jackson:</t>
        </r>
        <r>
          <rPr>
            <sz val="8"/>
            <rFont val="Tahoma"/>
            <family val="2"/>
          </rPr>
          <t xml:space="preserve">
assumed standard perform, 2 lamp</t>
        </r>
      </text>
    </comment>
    <comment ref="J34" authorId="0">
      <text>
        <r>
          <rPr>
            <b/>
            <sz val="8"/>
            <rFont val="Tahoma"/>
            <family val="2"/>
          </rPr>
          <t xml:space="preserve"> S Jackson:</t>
        </r>
        <r>
          <rPr>
            <sz val="8"/>
            <rFont val="Tahoma"/>
            <family val="2"/>
          </rPr>
          <t xml:space="preserve">
assumed small retail</t>
        </r>
      </text>
    </comment>
    <comment ref="K34" authorId="0">
      <text>
        <r>
          <rPr>
            <b/>
            <sz val="8"/>
            <rFont val="Tahoma"/>
            <family val="2"/>
          </rPr>
          <t xml:space="preserve"> S Jackson:</t>
        </r>
        <r>
          <rPr>
            <sz val="8"/>
            <rFont val="Tahoma"/>
            <family val="2"/>
          </rPr>
          <t xml:space="preserve">
assumed standard perform</t>
        </r>
      </text>
    </comment>
    <comment ref="Q34" authorId="1">
      <text>
        <r>
          <rPr>
            <b/>
            <sz val="8"/>
            <rFont val="Tahoma"/>
            <family val="2"/>
          </rPr>
          <t xml:space="preserve"> S Jackson:</t>
        </r>
        <r>
          <rPr>
            <sz val="8"/>
            <rFont val="Tahoma"/>
            <family val="2"/>
          </rPr>
          <t xml:space="preserve">
assumed standard perform</t>
        </r>
      </text>
    </comment>
    <comment ref="J35" authorId="0">
      <text>
        <r>
          <rPr>
            <b/>
            <sz val="8"/>
            <rFont val="Tahoma"/>
            <family val="2"/>
          </rPr>
          <t xml:space="preserve"> S Jackson:</t>
        </r>
        <r>
          <rPr>
            <sz val="8"/>
            <rFont val="Tahoma"/>
            <family val="2"/>
          </rPr>
          <t xml:space="preserve">
assumed small retail</t>
        </r>
      </text>
    </comment>
    <comment ref="K35" authorId="0">
      <text>
        <r>
          <rPr>
            <b/>
            <sz val="8"/>
            <rFont val="Tahoma"/>
            <family val="2"/>
          </rPr>
          <t xml:space="preserve"> :</t>
        </r>
        <r>
          <rPr>
            <sz val="8"/>
            <rFont val="Tahoma"/>
            <family val="2"/>
          </rPr>
          <t xml:space="preserve">
used summer savings assumption</t>
        </r>
      </text>
    </comment>
    <comment ref="J36" authorId="0">
      <text>
        <r>
          <rPr>
            <b/>
            <sz val="8"/>
            <rFont val="Tahoma"/>
            <family val="2"/>
          </rPr>
          <t xml:space="preserve"> S Jackson:</t>
        </r>
        <r>
          <rPr>
            <sz val="8"/>
            <rFont val="Tahoma"/>
            <family val="2"/>
          </rPr>
          <t xml:space="preserve">
assumed small retail</t>
        </r>
      </text>
    </comment>
    <comment ref="K36" authorId="0">
      <text>
        <r>
          <rPr>
            <b/>
            <sz val="8"/>
            <rFont val="Tahoma"/>
            <family val="2"/>
          </rPr>
          <t xml:space="preserve"> S Jackson:</t>
        </r>
        <r>
          <rPr>
            <sz val="8"/>
            <rFont val="Tahoma"/>
            <family val="2"/>
          </rPr>
          <t xml:space="preserve">
assumed standard perform</t>
        </r>
      </text>
    </comment>
    <comment ref="J37" authorId="0">
      <text>
        <r>
          <rPr>
            <b/>
            <sz val="8"/>
            <rFont val="Tahoma"/>
            <family val="2"/>
          </rPr>
          <t xml:space="preserve"> S Jackson:</t>
        </r>
        <r>
          <rPr>
            <sz val="8"/>
            <rFont val="Tahoma"/>
            <family val="2"/>
          </rPr>
          <t xml:space="preserve">
assumed small retail</t>
        </r>
      </text>
    </comment>
    <comment ref="K37" authorId="0">
      <text>
        <r>
          <rPr>
            <b/>
            <sz val="8"/>
            <rFont val="Tahoma"/>
            <family val="2"/>
          </rPr>
          <t xml:space="preserve"> S Jackson:</t>
        </r>
        <r>
          <rPr>
            <sz val="8"/>
            <rFont val="Tahoma"/>
            <family val="2"/>
          </rPr>
          <t xml:space="preserve">
assumed standard perform</t>
        </r>
      </text>
    </comment>
    <comment ref="M37" authorId="1">
      <text>
        <r>
          <rPr>
            <b/>
            <sz val="8"/>
            <rFont val="Tahoma"/>
            <family val="2"/>
          </rPr>
          <t xml:space="preserve"> :</t>
        </r>
        <r>
          <rPr>
            <sz val="8"/>
            <rFont val="Tahoma"/>
            <family val="2"/>
          </rPr>
          <t xml:space="preserve">
Assume 0% free ridership due to need for specific application.</t>
        </r>
      </text>
    </comment>
    <comment ref="N37" authorId="1">
      <text>
        <r>
          <rPr>
            <b/>
            <sz val="8"/>
            <rFont val="Tahoma"/>
            <family val="2"/>
          </rPr>
          <t xml:space="preserve"> S Jackson:</t>
        </r>
        <r>
          <rPr>
            <sz val="8"/>
            <rFont val="Tahoma"/>
            <family val="2"/>
          </rPr>
          <t xml:space="preserve">
total KWh reductions saved per Harris</t>
        </r>
      </text>
    </comment>
    <comment ref="J38" authorId="0">
      <text>
        <r>
          <rPr>
            <b/>
            <sz val="8"/>
            <rFont val="Tahoma"/>
            <family val="2"/>
          </rPr>
          <t xml:space="preserve"> S Jackson:</t>
        </r>
        <r>
          <rPr>
            <sz val="8"/>
            <rFont val="Tahoma"/>
            <family val="2"/>
          </rPr>
          <t xml:space="preserve">
assumed small retail</t>
        </r>
      </text>
    </comment>
    <comment ref="K38" authorId="0">
      <text>
        <r>
          <rPr>
            <b/>
            <sz val="8"/>
            <rFont val="Tahoma"/>
            <family val="2"/>
          </rPr>
          <t xml:space="preserve"> S Jackson:</t>
        </r>
        <r>
          <rPr>
            <sz val="8"/>
            <rFont val="Tahoma"/>
            <family val="2"/>
          </rPr>
          <t xml:space="preserve">
assumed standard perform</t>
        </r>
      </text>
    </comment>
    <comment ref="L38" authorId="1">
      <text>
        <r>
          <rPr>
            <b/>
            <sz val="8"/>
            <rFont val="Tahoma"/>
            <family val="2"/>
          </rPr>
          <t xml:space="preserve"> S Jackson:</t>
        </r>
        <r>
          <rPr>
            <sz val="8"/>
            <rFont val="Tahoma"/>
            <family val="2"/>
          </rPr>
          <t xml:space="preserve">
no OPA assumptions available; previous inputs used.</t>
        </r>
      </text>
    </comment>
    <comment ref="R38" authorId="1">
      <text>
        <r>
          <rPr>
            <b/>
            <sz val="8"/>
            <rFont val="Tahoma"/>
            <family val="2"/>
          </rPr>
          <t xml:space="preserve"> S Jackson:</t>
        </r>
        <r>
          <rPr>
            <sz val="8"/>
            <rFont val="Tahoma"/>
            <family val="2"/>
          </rPr>
          <t xml:space="preserve">
no OPA assumptions available; previous inputs used.</t>
        </r>
      </text>
    </comment>
    <comment ref="J39" authorId="0">
      <text>
        <r>
          <rPr>
            <b/>
            <sz val="8"/>
            <rFont val="Tahoma"/>
            <family val="2"/>
          </rPr>
          <t xml:space="preserve"> S Jackson:</t>
        </r>
        <r>
          <rPr>
            <sz val="8"/>
            <rFont val="Tahoma"/>
            <family val="2"/>
          </rPr>
          <t xml:space="preserve">
assumed small retail</t>
        </r>
      </text>
    </comment>
    <comment ref="K39" authorId="0">
      <text>
        <r>
          <rPr>
            <b/>
            <sz val="8"/>
            <rFont val="Tahoma"/>
            <family val="2"/>
          </rPr>
          <t xml:space="preserve"> S Jackson:</t>
        </r>
        <r>
          <rPr>
            <sz val="8"/>
            <rFont val="Tahoma"/>
            <family val="2"/>
          </rPr>
          <t xml:space="preserve">
assumed standard perform</t>
        </r>
      </text>
    </comment>
    <comment ref="J40" authorId="0">
      <text>
        <r>
          <rPr>
            <b/>
            <sz val="8"/>
            <rFont val="Tahoma"/>
            <family val="2"/>
          </rPr>
          <t xml:space="preserve"> S Jackson:</t>
        </r>
        <r>
          <rPr>
            <sz val="8"/>
            <rFont val="Tahoma"/>
            <family val="2"/>
          </rPr>
          <t xml:space="preserve">
assumed small retail</t>
        </r>
      </text>
    </comment>
    <comment ref="K40" authorId="0">
      <text>
        <r>
          <rPr>
            <b/>
            <sz val="8"/>
            <rFont val="Tahoma"/>
            <family val="2"/>
          </rPr>
          <t xml:space="preserve"> S Jackson:</t>
        </r>
        <r>
          <rPr>
            <sz val="8"/>
            <rFont val="Tahoma"/>
            <family val="2"/>
          </rPr>
          <t xml:space="preserve">
assumed standard perform</t>
        </r>
      </text>
    </comment>
    <comment ref="P40" authorId="1">
      <text>
        <r>
          <rPr>
            <b/>
            <sz val="8"/>
            <rFont val="Tahoma"/>
            <family val="2"/>
          </rPr>
          <t xml:space="preserve"> S Jackson:</t>
        </r>
        <r>
          <rPr>
            <sz val="8"/>
            <rFont val="Tahoma"/>
            <family val="2"/>
          </rPr>
          <t xml:space="preserve">
assumed small retail</t>
        </r>
      </text>
    </comment>
    <comment ref="J41" authorId="0">
      <text>
        <r>
          <rPr>
            <b/>
            <sz val="8"/>
            <rFont val="Tahoma"/>
            <family val="2"/>
          </rPr>
          <t xml:space="preserve"> S Jackson:</t>
        </r>
        <r>
          <rPr>
            <sz val="8"/>
            <rFont val="Tahoma"/>
            <family val="2"/>
          </rPr>
          <t xml:space="preserve">
assumed 2150 annual operating hours (Schools)</t>
        </r>
      </text>
    </comment>
    <comment ref="P41" authorId="1">
      <text>
        <r>
          <rPr>
            <b/>
            <sz val="8"/>
            <rFont val="Tahoma"/>
            <family val="2"/>
          </rPr>
          <t xml:space="preserve"> S Jackson:</t>
        </r>
        <r>
          <rPr>
            <sz val="8"/>
            <rFont val="Tahoma"/>
            <family val="2"/>
          </rPr>
          <t xml:space="preserve">
assumed small retail</t>
        </r>
      </text>
    </comment>
    <comment ref="J42" authorId="0">
      <text>
        <r>
          <rPr>
            <b/>
            <sz val="8"/>
            <rFont val="Tahoma"/>
            <family val="2"/>
          </rPr>
          <t xml:space="preserve"> S Jackson:</t>
        </r>
        <r>
          <rPr>
            <sz val="8"/>
            <rFont val="Tahoma"/>
            <family val="2"/>
          </rPr>
          <t xml:space="preserve">
assumed 2150 annual operating hours (Schools)</t>
        </r>
      </text>
    </comment>
    <comment ref="P42" authorId="1">
      <text>
        <r>
          <rPr>
            <b/>
            <sz val="8"/>
            <rFont val="Tahoma"/>
            <family val="2"/>
          </rPr>
          <t xml:space="preserve"> S Jackson:</t>
        </r>
        <r>
          <rPr>
            <sz val="8"/>
            <rFont val="Tahoma"/>
            <family val="2"/>
          </rPr>
          <t xml:space="preserve">
assumed small retail</t>
        </r>
      </text>
    </comment>
    <comment ref="J43" authorId="0">
      <text>
        <r>
          <rPr>
            <b/>
            <sz val="8"/>
            <rFont val="Tahoma"/>
            <family val="2"/>
          </rPr>
          <t xml:space="preserve"> S Jackson:</t>
        </r>
        <r>
          <rPr>
            <sz val="8"/>
            <rFont val="Tahoma"/>
            <family val="2"/>
          </rPr>
          <t xml:space="preserve">
assumed 2150 annual operating hours (Schools)</t>
        </r>
      </text>
    </comment>
    <comment ref="P43" authorId="1">
      <text>
        <r>
          <rPr>
            <b/>
            <sz val="8"/>
            <rFont val="Tahoma"/>
            <family val="2"/>
          </rPr>
          <t xml:space="preserve"> S Jackson:</t>
        </r>
        <r>
          <rPr>
            <sz val="8"/>
            <rFont val="Tahoma"/>
            <family val="2"/>
          </rPr>
          <t xml:space="preserve">
assumed small retail</t>
        </r>
      </text>
    </comment>
    <comment ref="J44" authorId="0">
      <text>
        <r>
          <rPr>
            <b/>
            <sz val="8"/>
            <rFont val="Tahoma"/>
            <family val="2"/>
          </rPr>
          <t xml:space="preserve"> S Jackson:</t>
        </r>
        <r>
          <rPr>
            <sz val="8"/>
            <rFont val="Tahoma"/>
            <family val="2"/>
          </rPr>
          <t xml:space="preserve">
assumed 2150 annual operating hours (Schools)</t>
        </r>
      </text>
    </comment>
    <comment ref="P44" authorId="1">
      <text>
        <r>
          <rPr>
            <b/>
            <sz val="8"/>
            <rFont val="Tahoma"/>
            <family val="2"/>
          </rPr>
          <t xml:space="preserve"> S Jackson:</t>
        </r>
        <r>
          <rPr>
            <sz val="8"/>
            <rFont val="Tahoma"/>
            <family val="2"/>
          </rPr>
          <t xml:space="preserve">
assumed small retail</t>
        </r>
      </text>
    </comment>
    <comment ref="J45" authorId="0">
      <text>
        <r>
          <rPr>
            <b/>
            <sz val="8"/>
            <rFont val="Tahoma"/>
            <family val="2"/>
          </rPr>
          <t xml:space="preserve"> S Jackson:</t>
        </r>
        <r>
          <rPr>
            <sz val="8"/>
            <rFont val="Tahoma"/>
            <family val="2"/>
          </rPr>
          <t xml:space="preserve">
assumed 2150 annual operating hours (Schools)</t>
        </r>
      </text>
    </comment>
    <comment ref="P45" authorId="1">
      <text>
        <r>
          <rPr>
            <b/>
            <sz val="8"/>
            <rFont val="Tahoma"/>
            <family val="2"/>
          </rPr>
          <t xml:space="preserve"> S Jackson:</t>
        </r>
        <r>
          <rPr>
            <sz val="8"/>
            <rFont val="Tahoma"/>
            <family val="2"/>
          </rPr>
          <t xml:space="preserve">
assumed small retail</t>
        </r>
      </text>
    </comment>
    <comment ref="J46" authorId="0">
      <text>
        <r>
          <rPr>
            <b/>
            <sz val="8"/>
            <rFont val="Tahoma"/>
            <family val="2"/>
          </rPr>
          <t xml:space="preserve"> S Jackson:</t>
        </r>
        <r>
          <rPr>
            <sz val="8"/>
            <rFont val="Tahoma"/>
            <family val="2"/>
          </rPr>
          <t xml:space="preserve">
assumed 2150 annual operating hours (Schools)</t>
        </r>
      </text>
    </comment>
    <comment ref="P46" authorId="1">
      <text>
        <r>
          <rPr>
            <b/>
            <sz val="8"/>
            <rFont val="Tahoma"/>
            <family val="2"/>
          </rPr>
          <t xml:space="preserve"> S Jackson:</t>
        </r>
        <r>
          <rPr>
            <sz val="8"/>
            <rFont val="Tahoma"/>
            <family val="2"/>
          </rPr>
          <t xml:space="preserve">
assumed small retail</t>
        </r>
      </text>
    </comment>
    <comment ref="J47" authorId="0">
      <text>
        <r>
          <rPr>
            <b/>
            <sz val="8"/>
            <rFont val="Tahoma"/>
            <family val="2"/>
          </rPr>
          <t xml:space="preserve"> S Jackson:</t>
        </r>
        <r>
          <rPr>
            <sz val="8"/>
            <rFont val="Tahoma"/>
            <family val="2"/>
          </rPr>
          <t xml:space="preserve">
assumed 2150 annual operating hours (Schools)</t>
        </r>
      </text>
    </comment>
    <comment ref="P47" authorId="1">
      <text>
        <r>
          <rPr>
            <b/>
            <sz val="8"/>
            <rFont val="Tahoma"/>
            <family val="2"/>
          </rPr>
          <t xml:space="preserve"> S Jackson:</t>
        </r>
        <r>
          <rPr>
            <sz val="8"/>
            <rFont val="Tahoma"/>
            <family val="2"/>
          </rPr>
          <t xml:space="preserve">
assumed small retail</t>
        </r>
      </text>
    </comment>
    <comment ref="J48" authorId="0">
      <text>
        <r>
          <rPr>
            <b/>
            <sz val="8"/>
            <rFont val="Tahoma"/>
            <family val="2"/>
          </rPr>
          <t xml:space="preserve"> S Jackson:</t>
        </r>
        <r>
          <rPr>
            <sz val="8"/>
            <rFont val="Tahoma"/>
            <family val="2"/>
          </rPr>
          <t xml:space="preserve">
assumed 2150 annual operating hours (Schools)</t>
        </r>
      </text>
    </comment>
    <comment ref="P48" authorId="1">
      <text>
        <r>
          <rPr>
            <b/>
            <sz val="8"/>
            <rFont val="Tahoma"/>
            <family val="2"/>
          </rPr>
          <t xml:space="preserve"> S Jackson:</t>
        </r>
        <r>
          <rPr>
            <sz val="8"/>
            <rFont val="Tahoma"/>
            <family val="2"/>
          </rPr>
          <t xml:space="preserve">
assumed small retail</t>
        </r>
      </text>
    </comment>
    <comment ref="J49" authorId="0">
      <text>
        <r>
          <rPr>
            <b/>
            <sz val="8"/>
            <rFont val="Tahoma"/>
            <family val="2"/>
          </rPr>
          <t xml:space="preserve"> S Jackson:</t>
        </r>
        <r>
          <rPr>
            <sz val="8"/>
            <rFont val="Tahoma"/>
            <family val="2"/>
          </rPr>
          <t xml:space="preserve">
assumed 2150 annual operating hours (Schools)</t>
        </r>
      </text>
    </comment>
    <comment ref="J50" authorId="0">
      <text>
        <r>
          <rPr>
            <b/>
            <sz val="8"/>
            <rFont val="Tahoma"/>
            <family val="2"/>
          </rPr>
          <t xml:space="preserve"> S Jackson:</t>
        </r>
        <r>
          <rPr>
            <sz val="8"/>
            <rFont val="Tahoma"/>
            <family val="2"/>
          </rPr>
          <t xml:space="preserve">
assumed small retail</t>
        </r>
      </text>
    </comment>
    <comment ref="P50" authorId="1">
      <text>
        <r>
          <rPr>
            <b/>
            <sz val="8"/>
            <rFont val="Tahoma"/>
            <family val="2"/>
          </rPr>
          <t xml:space="preserve"> S Jackson:</t>
        </r>
        <r>
          <rPr>
            <sz val="8"/>
            <rFont val="Tahoma"/>
            <family val="2"/>
          </rPr>
          <t xml:space="preserve">
assumed school hours</t>
        </r>
      </text>
    </comment>
    <comment ref="J52" authorId="0">
      <text>
        <r>
          <rPr>
            <b/>
            <sz val="8"/>
            <rFont val="Tahoma"/>
            <family val="2"/>
          </rPr>
          <t xml:space="preserve"> S Jackson:</t>
        </r>
        <r>
          <rPr>
            <sz val="8"/>
            <rFont val="Tahoma"/>
            <family val="2"/>
          </rPr>
          <t xml:space="preserve">
assumed 2150 annual operating hours (Schools)</t>
        </r>
      </text>
    </comment>
    <comment ref="P52" authorId="1">
      <text>
        <r>
          <rPr>
            <b/>
            <sz val="8"/>
            <rFont val="Tahoma"/>
            <family val="2"/>
          </rPr>
          <t xml:space="preserve"> S Jackson:</t>
        </r>
        <r>
          <rPr>
            <sz val="8"/>
            <rFont val="Tahoma"/>
            <family val="2"/>
          </rPr>
          <t xml:space="preserve">
assumed school hours</t>
        </r>
      </text>
    </comment>
    <comment ref="J53" authorId="0">
      <text>
        <r>
          <rPr>
            <b/>
            <sz val="8"/>
            <rFont val="Tahoma"/>
            <family val="2"/>
          </rPr>
          <t xml:space="preserve"> S Jackson:</t>
        </r>
        <r>
          <rPr>
            <sz val="8"/>
            <rFont val="Tahoma"/>
            <family val="2"/>
          </rPr>
          <t xml:space="preserve">
assumed 2150 annual operating hours (Schools)</t>
        </r>
      </text>
    </comment>
    <comment ref="P53" authorId="1">
      <text>
        <r>
          <rPr>
            <b/>
            <sz val="8"/>
            <rFont val="Tahoma"/>
            <family val="2"/>
          </rPr>
          <t xml:space="preserve"> S Jackson:</t>
        </r>
        <r>
          <rPr>
            <sz val="8"/>
            <rFont val="Tahoma"/>
            <family val="2"/>
          </rPr>
          <t xml:space="preserve">
assumed school hours</t>
        </r>
      </text>
    </comment>
    <comment ref="J54" authorId="0">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P54" authorId="1">
      <text>
        <r>
          <rPr>
            <b/>
            <sz val="8"/>
            <rFont val="Tahoma"/>
            <family val="2"/>
          </rPr>
          <t xml:space="preserve"> S Jackson:</t>
        </r>
        <r>
          <rPr>
            <sz val="8"/>
            <rFont val="Tahoma"/>
            <family val="2"/>
          </rPr>
          <t xml:space="preserve">
assumed school hours</t>
        </r>
      </text>
    </comment>
    <comment ref="J55" authorId="0">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P55" authorId="1">
      <text>
        <r>
          <rPr>
            <b/>
            <sz val="8"/>
            <rFont val="Tahoma"/>
            <family val="2"/>
          </rPr>
          <t xml:space="preserve"> S Jackson:</t>
        </r>
        <r>
          <rPr>
            <sz val="8"/>
            <rFont val="Tahoma"/>
            <family val="2"/>
          </rPr>
          <t xml:space="preserve">
assumed school hours</t>
        </r>
      </text>
    </comment>
    <comment ref="J56" authorId="0">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P56" authorId="1">
      <text>
        <r>
          <rPr>
            <b/>
            <sz val="8"/>
            <rFont val="Tahoma"/>
            <family val="2"/>
          </rPr>
          <t xml:space="preserve"> S Jackson:</t>
        </r>
        <r>
          <rPr>
            <sz val="8"/>
            <rFont val="Tahoma"/>
            <family val="2"/>
          </rPr>
          <t xml:space="preserve">
assumed school hours</t>
        </r>
      </text>
    </comment>
    <comment ref="J57" authorId="0">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P57" authorId="1">
      <text>
        <r>
          <rPr>
            <b/>
            <sz val="8"/>
            <rFont val="Tahoma"/>
            <family val="2"/>
          </rPr>
          <t xml:space="preserve"> S Jackson:</t>
        </r>
        <r>
          <rPr>
            <sz val="8"/>
            <rFont val="Tahoma"/>
            <family val="2"/>
          </rPr>
          <t xml:space="preserve">
assumed school hours</t>
        </r>
      </text>
    </comment>
    <comment ref="J58" authorId="0">
      <text>
        <r>
          <rPr>
            <b/>
            <sz val="8"/>
            <rFont val="Tahoma"/>
            <family val="2"/>
          </rPr>
          <t xml:space="preserve"> S Jackson:</t>
        </r>
        <r>
          <rPr>
            <sz val="8"/>
            <rFont val="Tahoma"/>
            <family val="2"/>
          </rPr>
          <t xml:space="preserve">
assumed 4450 annual operating hours (large/small retail incl restaraunts)</t>
        </r>
      </text>
    </comment>
    <comment ref="K58" authorId="1">
      <text>
        <r>
          <rPr>
            <b/>
            <sz val="8"/>
            <rFont val="Tahoma"/>
            <family val="2"/>
          </rPr>
          <t xml:space="preserve"> S Jackson:</t>
        </r>
        <r>
          <rPr>
            <sz val="8"/>
            <rFont val="Tahoma"/>
            <family val="2"/>
          </rPr>
          <t xml:space="preserve">
- W not specified on base or replacement bulb.  Assumed mid bulbs (75 and 18W)</t>
        </r>
      </text>
    </comment>
    <comment ref="J59" authorId="0">
      <text>
        <r>
          <rPr>
            <b/>
            <sz val="8"/>
            <rFont val="Tahoma"/>
            <family val="2"/>
          </rPr>
          <t xml:space="preserve"> S Jackson:</t>
        </r>
        <r>
          <rPr>
            <sz val="8"/>
            <rFont val="Tahoma"/>
            <family val="2"/>
          </rPr>
          <t xml:space="preserve">
assumed school hours</t>
        </r>
      </text>
    </comment>
    <comment ref="K59" authorId="1">
      <text>
        <r>
          <rPr>
            <b/>
            <sz val="8"/>
            <rFont val="Tahoma"/>
            <family val="2"/>
          </rPr>
          <t xml:space="preserve"> S Jackson:</t>
        </r>
        <r>
          <rPr>
            <sz val="8"/>
            <rFont val="Tahoma"/>
            <family val="2"/>
          </rPr>
          <t xml:space="preserve">
- assumed replacing same number of lamps</t>
        </r>
      </text>
    </comment>
    <comment ref="J60" authorId="0">
      <text>
        <r>
          <rPr>
            <b/>
            <sz val="8"/>
            <rFont val="Tahoma"/>
            <family val="2"/>
          </rPr>
          <t xml:space="preserve"> S Jackson:</t>
        </r>
        <r>
          <rPr>
            <sz val="8"/>
            <rFont val="Tahoma"/>
            <family val="2"/>
          </rPr>
          <t xml:space="preserve">
assumed school hours</t>
        </r>
      </text>
    </comment>
    <comment ref="J62" authorId="0">
      <text>
        <r>
          <rPr>
            <b/>
            <sz val="8"/>
            <rFont val="Tahoma"/>
            <family val="2"/>
          </rPr>
          <t xml:space="preserve"> S Jackson:</t>
        </r>
        <r>
          <rPr>
            <sz val="8"/>
            <rFont val="Tahoma"/>
            <family val="2"/>
          </rPr>
          <t xml:space="preserve">
assumed school hours</t>
        </r>
      </text>
    </comment>
    <comment ref="J63" authorId="0">
      <text>
        <r>
          <rPr>
            <b/>
            <sz val="8"/>
            <rFont val="Tahoma"/>
            <family val="2"/>
          </rPr>
          <t xml:space="preserve"> S Jackson:</t>
        </r>
        <r>
          <rPr>
            <sz val="8"/>
            <rFont val="Tahoma"/>
            <family val="2"/>
          </rPr>
          <t xml:space="preserve">
assumed school hours</t>
        </r>
      </text>
    </comment>
    <comment ref="J65" authorId="0">
      <text>
        <r>
          <rPr>
            <b/>
            <sz val="8"/>
            <rFont val="Tahoma"/>
            <family val="2"/>
          </rPr>
          <t xml:space="preserve"> S Jackson:</t>
        </r>
        <r>
          <rPr>
            <sz val="8"/>
            <rFont val="Tahoma"/>
            <family val="2"/>
          </rPr>
          <t xml:space="preserve">
assumed small office</t>
        </r>
      </text>
    </comment>
    <comment ref="J66" authorId="0">
      <text>
        <r>
          <rPr>
            <b/>
            <sz val="8"/>
            <rFont val="Tahoma"/>
            <family val="2"/>
          </rPr>
          <t xml:space="preserve"> S Jackson:</t>
        </r>
        <r>
          <rPr>
            <sz val="8"/>
            <rFont val="Tahoma"/>
            <family val="2"/>
          </rPr>
          <t xml:space="preserve">
assumed small office</t>
        </r>
      </text>
    </comment>
    <comment ref="J67" authorId="0">
      <text>
        <r>
          <rPr>
            <b/>
            <sz val="8"/>
            <rFont val="Tahoma"/>
            <family val="2"/>
          </rPr>
          <t xml:space="preserve"> S Jackson:</t>
        </r>
        <r>
          <rPr>
            <sz val="8"/>
            <rFont val="Tahoma"/>
            <family val="2"/>
          </rPr>
          <t xml:space="preserve">
assumed small office</t>
        </r>
      </text>
    </comment>
    <comment ref="J68" authorId="0">
      <text>
        <r>
          <rPr>
            <b/>
            <sz val="8"/>
            <rFont val="Tahoma"/>
            <family val="2"/>
          </rPr>
          <t xml:space="preserve"> S Jackson:</t>
        </r>
        <r>
          <rPr>
            <sz val="8"/>
            <rFont val="Tahoma"/>
            <family val="2"/>
          </rPr>
          <t xml:space="preserve">
assumed small office</t>
        </r>
      </text>
    </comment>
    <comment ref="J72" authorId="0">
      <text>
        <r>
          <rPr>
            <b/>
            <sz val="8"/>
            <rFont val="Tahoma"/>
            <family val="2"/>
          </rPr>
          <t xml:space="preserve"> S Jackson:</t>
        </r>
        <r>
          <rPr>
            <sz val="8"/>
            <rFont val="Tahoma"/>
            <family val="2"/>
          </rPr>
          <t xml:space="preserve">
assumed T8 hours, small retail</t>
        </r>
      </text>
    </comment>
    <comment ref="K72" authorId="0">
      <text>
        <r>
          <rPr>
            <b/>
            <sz val="8"/>
            <rFont val="Tahoma"/>
            <family val="2"/>
          </rPr>
          <t xml:space="preserve"> S Jackson:
</t>
        </r>
        <r>
          <rPr>
            <sz val="8"/>
            <rFont val="Tahoma"/>
            <family val="2"/>
          </rPr>
          <t>per 2009 portal assumptions</t>
        </r>
      </text>
    </comment>
    <comment ref="J73" authorId="0">
      <text>
        <r>
          <rPr>
            <b/>
            <sz val="8"/>
            <rFont val="Tahoma"/>
            <family val="2"/>
          </rPr>
          <t xml:space="preserve"> S Jackson:</t>
        </r>
        <r>
          <rPr>
            <sz val="8"/>
            <rFont val="Tahoma"/>
            <family val="2"/>
          </rPr>
          <t xml:space="preserve">
assumed T8 hours, small retail</t>
        </r>
      </text>
    </comment>
    <comment ref="J74" authorId="0">
      <text>
        <r>
          <rPr>
            <b/>
            <sz val="8"/>
            <rFont val="Tahoma"/>
            <family val="2"/>
          </rPr>
          <t xml:space="preserve"> S Jackson:</t>
        </r>
        <r>
          <rPr>
            <sz val="8"/>
            <rFont val="Tahoma"/>
            <family val="2"/>
          </rPr>
          <t xml:space="preserve">
assumed T8 hours, small retail</t>
        </r>
      </text>
    </comment>
    <comment ref="J75" authorId="0">
      <text>
        <r>
          <rPr>
            <b/>
            <sz val="8"/>
            <rFont val="Tahoma"/>
            <family val="2"/>
          </rPr>
          <t xml:space="preserve"> S Jackson:</t>
        </r>
        <r>
          <rPr>
            <sz val="8"/>
            <rFont val="Tahoma"/>
            <family val="2"/>
          </rPr>
          <t xml:space="preserve">
assumed T8 hours, small retail</t>
        </r>
      </text>
    </comment>
    <comment ref="J76" authorId="0">
      <text>
        <r>
          <rPr>
            <b/>
            <sz val="8"/>
            <rFont val="Tahoma"/>
            <family val="2"/>
          </rPr>
          <t xml:space="preserve"> S Jackson:</t>
        </r>
        <r>
          <rPr>
            <sz val="8"/>
            <rFont val="Tahoma"/>
            <family val="2"/>
          </rPr>
          <t xml:space="preserve">
assumed T8 hours, small retail</t>
        </r>
      </text>
    </comment>
    <comment ref="J77" authorId="0">
      <text>
        <r>
          <rPr>
            <b/>
            <sz val="8"/>
            <rFont val="Tahoma"/>
            <family val="2"/>
          </rPr>
          <t xml:space="preserve"> S Jackson:</t>
        </r>
        <r>
          <rPr>
            <sz val="8"/>
            <rFont val="Tahoma"/>
            <family val="2"/>
          </rPr>
          <t xml:space="preserve">
assumed T8 hours, small retail</t>
        </r>
      </text>
    </comment>
    <comment ref="J78" authorId="0">
      <text>
        <r>
          <rPr>
            <b/>
            <sz val="8"/>
            <rFont val="Tahoma"/>
            <family val="2"/>
          </rPr>
          <t xml:space="preserve"> S Jackson:</t>
        </r>
        <r>
          <rPr>
            <sz val="8"/>
            <rFont val="Tahoma"/>
            <family val="2"/>
          </rPr>
          <t xml:space="preserve">
assumed T8 hours, small retail</t>
        </r>
      </text>
    </comment>
    <comment ref="J79" authorId="0">
      <text>
        <r>
          <rPr>
            <b/>
            <sz val="8"/>
            <rFont val="Tahoma"/>
            <family val="2"/>
          </rPr>
          <t xml:space="preserve"> S Jackson:</t>
        </r>
        <r>
          <rPr>
            <sz val="8"/>
            <rFont val="Tahoma"/>
            <family val="2"/>
          </rPr>
          <t xml:space="preserve">
assumed T8 hours, small retail</t>
        </r>
      </text>
    </comment>
    <comment ref="J80" authorId="0">
      <text>
        <r>
          <rPr>
            <b/>
            <sz val="8"/>
            <rFont val="Tahoma"/>
            <family val="2"/>
          </rPr>
          <t xml:space="preserve"> S Jackson:</t>
        </r>
        <r>
          <rPr>
            <sz val="8"/>
            <rFont val="Tahoma"/>
            <family val="2"/>
          </rPr>
          <t xml:space="preserve">
assumed T8 hours, small retail</t>
        </r>
      </text>
    </comment>
    <comment ref="J81" authorId="0">
      <text>
        <r>
          <rPr>
            <b/>
            <sz val="8"/>
            <rFont val="Tahoma"/>
            <family val="2"/>
          </rPr>
          <t xml:space="preserve"> S Jackson:</t>
        </r>
        <r>
          <rPr>
            <sz val="8"/>
            <rFont val="Tahoma"/>
            <family val="2"/>
          </rPr>
          <t xml:space="preserve">
assumed T8 hours, small retail</t>
        </r>
      </text>
    </comment>
    <comment ref="J82" authorId="0">
      <text>
        <r>
          <rPr>
            <b/>
            <sz val="8"/>
            <rFont val="Tahoma"/>
            <family val="2"/>
          </rPr>
          <t xml:space="preserve"> S Jackson:</t>
        </r>
        <r>
          <rPr>
            <sz val="8"/>
            <rFont val="Tahoma"/>
            <family val="2"/>
          </rPr>
          <t xml:space="preserve">
assumed T8 hours, small retail</t>
        </r>
      </text>
    </comment>
    <comment ref="J83" authorId="0">
      <text>
        <r>
          <rPr>
            <b/>
            <sz val="8"/>
            <rFont val="Tahoma"/>
            <family val="2"/>
          </rPr>
          <t xml:space="preserve"> S Jackson:</t>
        </r>
        <r>
          <rPr>
            <sz val="8"/>
            <rFont val="Tahoma"/>
            <family val="2"/>
          </rPr>
          <t xml:space="preserve">
assumed T8 hours, small retail</t>
        </r>
      </text>
    </comment>
    <comment ref="J84" authorId="0">
      <text>
        <r>
          <rPr>
            <b/>
            <sz val="8"/>
            <rFont val="Tahoma"/>
            <family val="2"/>
          </rPr>
          <t xml:space="preserve"> S Jackson:</t>
        </r>
        <r>
          <rPr>
            <sz val="8"/>
            <rFont val="Tahoma"/>
            <family val="2"/>
          </rPr>
          <t xml:space="preserve">
assumed T8 hours, small retail</t>
        </r>
      </text>
    </comment>
    <comment ref="J85" authorId="0">
      <text>
        <r>
          <rPr>
            <b/>
            <sz val="8"/>
            <rFont val="Tahoma"/>
            <family val="2"/>
          </rPr>
          <t xml:space="preserve"> S Jackson:</t>
        </r>
        <r>
          <rPr>
            <sz val="8"/>
            <rFont val="Tahoma"/>
            <family val="2"/>
          </rPr>
          <t xml:space="preserve">
assumed T8 hours, small retail</t>
        </r>
      </text>
    </comment>
    <comment ref="J86" authorId="0">
      <text>
        <r>
          <rPr>
            <b/>
            <sz val="8"/>
            <rFont val="Tahoma"/>
            <family val="2"/>
          </rPr>
          <t xml:space="preserve"> S Jackson:</t>
        </r>
        <r>
          <rPr>
            <sz val="8"/>
            <rFont val="Tahoma"/>
            <family val="2"/>
          </rPr>
          <t xml:space="preserve">
assumed T8 hours, small retail</t>
        </r>
      </text>
    </comment>
    <comment ref="J87" authorId="0">
      <text>
        <r>
          <rPr>
            <b/>
            <sz val="8"/>
            <rFont val="Tahoma"/>
            <family val="2"/>
          </rPr>
          <t xml:space="preserve"> S Jackson:</t>
        </r>
        <r>
          <rPr>
            <sz val="8"/>
            <rFont val="Tahoma"/>
            <family val="2"/>
          </rPr>
          <t xml:space="preserve">
assumed T8 hours, small retail</t>
        </r>
      </text>
    </comment>
    <comment ref="J88" authorId="0">
      <text>
        <r>
          <rPr>
            <b/>
            <sz val="8"/>
            <rFont val="Tahoma"/>
            <family val="2"/>
          </rPr>
          <t xml:space="preserve"> S Jackson:</t>
        </r>
        <r>
          <rPr>
            <sz val="8"/>
            <rFont val="Tahoma"/>
            <family val="2"/>
          </rPr>
          <t xml:space="preserve">
assumed ceramic metal halide hours, small retail</t>
        </r>
      </text>
    </comment>
    <comment ref="J89" authorId="0">
      <text>
        <r>
          <rPr>
            <b/>
            <sz val="8"/>
            <rFont val="Tahoma"/>
            <family val="2"/>
          </rPr>
          <t xml:space="preserve"> S Jackson:</t>
        </r>
        <r>
          <rPr>
            <sz val="8"/>
            <rFont val="Tahoma"/>
            <family val="2"/>
          </rPr>
          <t xml:space="preserve">
assumed ceramic metal halide hours, small retail</t>
        </r>
      </text>
    </comment>
    <comment ref="J90" authorId="0">
      <text>
        <r>
          <rPr>
            <b/>
            <sz val="8"/>
            <rFont val="Tahoma"/>
            <family val="2"/>
          </rPr>
          <t xml:space="preserve"> S Jackson:</t>
        </r>
        <r>
          <rPr>
            <sz val="8"/>
            <rFont val="Tahoma"/>
            <family val="2"/>
          </rPr>
          <t xml:space="preserve">
assumed T8 hours, small retail</t>
        </r>
      </text>
    </comment>
    <comment ref="J91" authorId="0">
      <text>
        <r>
          <rPr>
            <b/>
            <sz val="8"/>
            <rFont val="Tahoma"/>
            <family val="2"/>
          </rPr>
          <t xml:space="preserve"> S Jackson:</t>
        </r>
        <r>
          <rPr>
            <sz val="8"/>
            <rFont val="Tahoma"/>
            <family val="2"/>
          </rPr>
          <t xml:space="preserve">
assumed T8 hours, small retail</t>
        </r>
      </text>
    </comment>
    <comment ref="J94" authorId="0">
      <text>
        <r>
          <rPr>
            <b/>
            <sz val="8"/>
            <rFont val="Tahoma"/>
            <family val="2"/>
          </rPr>
          <t xml:space="preserve"> S Jackson:</t>
        </r>
        <r>
          <rPr>
            <sz val="8"/>
            <rFont val="Tahoma"/>
            <family val="2"/>
          </rPr>
          <t xml:space="preserve">
assumed CFL hours, small retail</t>
        </r>
      </text>
    </comment>
    <comment ref="J95" authorId="0">
      <text>
        <r>
          <rPr>
            <b/>
            <sz val="8"/>
            <rFont val="Tahoma"/>
            <family val="2"/>
          </rPr>
          <t xml:space="preserve"> S Jackson:</t>
        </r>
        <r>
          <rPr>
            <sz val="8"/>
            <rFont val="Tahoma"/>
            <family val="2"/>
          </rPr>
          <t xml:space="preserve">
assumed CFL hours, small retail</t>
        </r>
      </text>
    </comment>
    <comment ref="J96" authorId="0">
      <text>
        <r>
          <rPr>
            <b/>
            <sz val="8"/>
            <rFont val="Tahoma"/>
            <family val="2"/>
          </rPr>
          <t xml:space="preserve"> S Jackson:</t>
        </r>
        <r>
          <rPr>
            <sz val="8"/>
            <rFont val="Tahoma"/>
            <family val="2"/>
          </rPr>
          <t xml:space="preserve">
assumed CFL hours, small retail</t>
        </r>
      </text>
    </comment>
    <comment ref="J97" authorId="0">
      <text>
        <r>
          <rPr>
            <b/>
            <sz val="8"/>
            <rFont val="Tahoma"/>
            <family val="2"/>
          </rPr>
          <t xml:space="preserve"> S Jackson:</t>
        </r>
        <r>
          <rPr>
            <sz val="8"/>
            <rFont val="Tahoma"/>
            <family val="2"/>
          </rPr>
          <t xml:space="preserve">
assumed CFL hours, small retail</t>
        </r>
      </text>
    </comment>
    <comment ref="J98" authorId="0">
      <text>
        <r>
          <rPr>
            <b/>
            <sz val="8"/>
            <rFont val="Tahoma"/>
            <family val="2"/>
          </rPr>
          <t xml:space="preserve"> S Jackson:</t>
        </r>
        <r>
          <rPr>
            <sz val="8"/>
            <rFont val="Tahoma"/>
            <family val="2"/>
          </rPr>
          <t xml:space="preserve">
assumed CFL hours, small retail</t>
        </r>
      </text>
    </comment>
    <comment ref="C99" authorId="1">
      <text>
        <r>
          <rPr>
            <b/>
            <sz val="8"/>
            <rFont val="Tahoma"/>
            <family val="2"/>
          </rPr>
          <t xml:space="preserve"> :</t>
        </r>
        <r>
          <rPr>
            <sz val="8"/>
            <rFont val="Tahoma"/>
            <family val="2"/>
          </rPr>
          <t xml:space="preserve">
Assumed 15W (replacement of 60W bulbs, apartment bldg)</t>
        </r>
      </text>
    </comment>
    <comment ref="J99" authorId="0">
      <text>
        <r>
          <rPr>
            <b/>
            <sz val="8"/>
            <rFont val="Tahoma"/>
            <family val="2"/>
          </rPr>
          <t xml:space="preserve"> S Jackson:</t>
        </r>
        <r>
          <rPr>
            <sz val="8"/>
            <rFont val="Tahoma"/>
            <family val="2"/>
          </rPr>
          <t xml:space="preserve">
assumed CFL hours, small retail</t>
        </r>
      </text>
    </comment>
    <comment ref="L99" authorId="1">
      <text>
        <r>
          <rPr>
            <b/>
            <sz val="8"/>
            <rFont val="Tahoma"/>
            <family val="2"/>
          </rPr>
          <t xml:space="preserve"> S Jackson:</t>
        </r>
        <r>
          <rPr>
            <sz val="8"/>
            <rFont val="Tahoma"/>
            <family val="2"/>
          </rPr>
          <t xml:space="preserve">
used prescriptive annual hours (not on quasi-prescriptive assumptions.)</t>
        </r>
      </text>
    </comment>
    <comment ref="J100" authorId="0">
      <text>
        <r>
          <rPr>
            <b/>
            <sz val="8"/>
            <rFont val="Tahoma"/>
            <family val="2"/>
          </rPr>
          <t xml:space="preserve"> S Jackson:</t>
        </r>
        <r>
          <rPr>
            <sz val="8"/>
            <rFont val="Tahoma"/>
            <family val="2"/>
          </rPr>
          <t xml:space="preserve">
assumed 4450 annual operating hours (large/small retail incl restaraunts)</t>
        </r>
      </text>
    </comment>
    <comment ref="L100" authorId="1">
      <text>
        <r>
          <rPr>
            <b/>
            <sz val="8"/>
            <rFont val="Tahoma"/>
            <family val="2"/>
          </rPr>
          <t xml:space="preserve"> S Jackson:</t>
        </r>
        <r>
          <rPr>
            <sz val="8"/>
            <rFont val="Tahoma"/>
            <family val="2"/>
          </rPr>
          <t xml:space="preserve">
used prescriptive annual hours (not on quasi-prescriptive assumptions.)</t>
        </r>
      </text>
    </comment>
    <comment ref="J101" authorId="0">
      <text>
        <r>
          <rPr>
            <b/>
            <sz val="8"/>
            <rFont val="Tahoma"/>
            <family val="2"/>
          </rPr>
          <t xml:space="preserve"> S Jackson:</t>
        </r>
        <r>
          <rPr>
            <sz val="8"/>
            <rFont val="Tahoma"/>
            <family val="2"/>
          </rPr>
          <t xml:space="preserve">
assumed 4450 annual operating hours (large/small retail incl restaraunts)</t>
        </r>
      </text>
    </comment>
    <comment ref="L101" authorId="1">
      <text>
        <r>
          <rPr>
            <b/>
            <sz val="8"/>
            <rFont val="Tahoma"/>
            <family val="2"/>
          </rPr>
          <t xml:space="preserve"> S Jackson:</t>
        </r>
        <r>
          <rPr>
            <sz val="8"/>
            <rFont val="Tahoma"/>
            <family val="2"/>
          </rPr>
          <t xml:space="preserve">
assumed CFL hours, small retail</t>
        </r>
      </text>
    </comment>
    <comment ref="J102" authorId="0">
      <text>
        <r>
          <rPr>
            <b/>
            <sz val="8"/>
            <rFont val="Tahoma"/>
            <family val="2"/>
          </rPr>
          <t xml:space="preserve"> S Jackson:</t>
        </r>
        <r>
          <rPr>
            <sz val="8"/>
            <rFont val="Tahoma"/>
            <family val="2"/>
          </rPr>
          <t xml:space="preserve">
assumed 4450 annual operating hours (large/small retail incl restaraunts)</t>
        </r>
      </text>
    </comment>
    <comment ref="L102" authorId="1">
      <text>
        <r>
          <rPr>
            <b/>
            <sz val="8"/>
            <rFont val="Tahoma"/>
            <family val="2"/>
          </rPr>
          <t xml:space="preserve"> S Jackson:</t>
        </r>
        <r>
          <rPr>
            <sz val="8"/>
            <rFont val="Tahoma"/>
            <family val="2"/>
          </rPr>
          <t xml:space="preserve">
assumed CFL hours, small retail</t>
        </r>
      </text>
    </comment>
    <comment ref="J103"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L103" authorId="1">
      <text>
        <r>
          <rPr>
            <b/>
            <sz val="8"/>
            <rFont val="Tahoma"/>
            <family val="2"/>
          </rPr>
          <t xml:space="preserve"> S Jackson:</t>
        </r>
        <r>
          <rPr>
            <sz val="8"/>
            <rFont val="Tahoma"/>
            <family val="2"/>
          </rPr>
          <t xml:space="preserve">
assumed CFL hours, small retail</t>
        </r>
      </text>
    </comment>
    <comment ref="J104"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H105" authorId="1">
      <text>
        <r>
          <rPr>
            <b/>
            <sz val="8"/>
            <rFont val="Tahoma"/>
            <family val="2"/>
          </rPr>
          <t xml:space="preserve"> :</t>
        </r>
        <r>
          <rPr>
            <sz val="8"/>
            <rFont val="Tahoma"/>
            <family val="2"/>
          </rPr>
          <t xml:space="preserve">
assumed average of 13W and 15W</t>
        </r>
      </text>
    </comment>
    <comment ref="J105" authorId="0">
      <text>
        <r>
          <rPr>
            <b/>
            <sz val="8"/>
            <rFont val="Tahoma"/>
            <family val="2"/>
          </rPr>
          <t xml:space="preserve"> S Jackson:</t>
        </r>
        <r>
          <rPr>
            <sz val="8"/>
            <rFont val="Tahoma"/>
            <family val="2"/>
          </rPr>
          <t xml:space="preserve">
assumed CFL hours, small retail</t>
        </r>
      </text>
    </comment>
    <comment ref="J106" authorId="0">
      <text>
        <r>
          <rPr>
            <b/>
            <sz val="8"/>
            <rFont val="Tahoma"/>
            <family val="2"/>
          </rPr>
          <t xml:space="preserve"> S Jackson:</t>
        </r>
        <r>
          <rPr>
            <sz val="8"/>
            <rFont val="Tahoma"/>
            <family val="2"/>
          </rPr>
          <t xml:space="preserve">
assumed CFL hours, small retail</t>
        </r>
      </text>
    </comment>
    <comment ref="L106" authorId="1">
      <text>
        <r>
          <rPr>
            <b/>
            <sz val="8"/>
            <rFont val="Tahoma"/>
            <family val="2"/>
          </rPr>
          <t xml:space="preserve"> S Jackson:</t>
        </r>
        <r>
          <rPr>
            <sz val="8"/>
            <rFont val="Tahoma"/>
            <family val="2"/>
          </rPr>
          <t xml:space="preserve">
assumed CFL hours, small retail</t>
        </r>
      </text>
    </comment>
    <comment ref="J107"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L107" authorId="1">
      <text>
        <r>
          <rPr>
            <b/>
            <sz val="8"/>
            <rFont val="Tahoma"/>
            <family val="2"/>
          </rPr>
          <t xml:space="preserve"> S Jackson:</t>
        </r>
        <r>
          <rPr>
            <sz val="8"/>
            <rFont val="Tahoma"/>
            <family val="2"/>
          </rPr>
          <t xml:space="preserve">
assumed CFL hours, small retail</t>
        </r>
      </text>
    </comment>
    <comment ref="J108"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109" authorId="0">
      <text>
        <r>
          <rPr>
            <b/>
            <sz val="8"/>
            <rFont val="Tahoma"/>
            <family val="2"/>
          </rPr>
          <t xml:space="preserve"> S Jackson:</t>
        </r>
        <r>
          <rPr>
            <sz val="8"/>
            <rFont val="Tahoma"/>
            <family val="2"/>
          </rPr>
          <t xml:space="preserve">
assumed CFL hours, small retail</t>
        </r>
      </text>
    </comment>
    <comment ref="J110" authorId="0">
      <text>
        <r>
          <rPr>
            <b/>
            <sz val="8"/>
            <rFont val="Tahoma"/>
            <family val="2"/>
          </rPr>
          <t xml:space="preserve"> S Jackson:</t>
        </r>
        <r>
          <rPr>
            <sz val="8"/>
            <rFont val="Tahoma"/>
            <family val="2"/>
          </rPr>
          <t xml:space="preserve">
assumed CFL hours, small retail</t>
        </r>
      </text>
    </comment>
    <comment ref="J112" authorId="1">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J113" authorId="1">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J117" authorId="0">
      <text>
        <r>
          <rPr>
            <b/>
            <sz val="8"/>
            <rFont val="Tahoma"/>
            <family val="2"/>
          </rPr>
          <t xml:space="preserve"> S Jackson:</t>
        </r>
        <r>
          <rPr>
            <sz val="8"/>
            <rFont val="Tahoma"/>
            <family val="2"/>
          </rPr>
          <t xml:space="preserve">
assumed large retail</t>
        </r>
      </text>
    </comment>
    <comment ref="J118" authorId="0">
      <text>
        <r>
          <rPr>
            <b/>
            <sz val="8"/>
            <rFont val="Tahoma"/>
            <family val="2"/>
          </rPr>
          <t xml:space="preserve"> S Jackson:</t>
        </r>
        <r>
          <rPr>
            <sz val="8"/>
            <rFont val="Tahoma"/>
            <family val="2"/>
          </rPr>
          <t xml:space="preserve">
assumed large retail</t>
        </r>
      </text>
    </comment>
    <comment ref="J119" authorId="0">
      <text>
        <r>
          <rPr>
            <b/>
            <sz val="8"/>
            <rFont val="Tahoma"/>
            <family val="2"/>
          </rPr>
          <t xml:space="preserve"> S Jackson:</t>
        </r>
        <r>
          <rPr>
            <sz val="8"/>
            <rFont val="Tahoma"/>
            <family val="2"/>
          </rPr>
          <t xml:space="preserve">
assumed large retail</t>
        </r>
      </text>
    </comment>
    <comment ref="J120" authorId="0">
      <text>
        <r>
          <rPr>
            <b/>
            <sz val="8"/>
            <rFont val="Tahoma"/>
            <family val="2"/>
          </rPr>
          <t xml:space="preserve"> S Jackson:</t>
        </r>
        <r>
          <rPr>
            <sz val="8"/>
            <rFont val="Tahoma"/>
            <family val="2"/>
          </rPr>
          <t xml:space="preserve">
assumed large retail</t>
        </r>
      </text>
    </comment>
    <comment ref="J123" authorId="0">
      <text>
        <r>
          <rPr>
            <b/>
            <sz val="8"/>
            <rFont val="Tahoma"/>
            <family val="2"/>
          </rPr>
          <t xml:space="preserve"> S Jackson:</t>
        </r>
        <r>
          <rPr>
            <sz val="8"/>
            <rFont val="Tahoma"/>
            <family val="2"/>
          </rPr>
          <t xml:space="preserve">
assumed large retail</t>
        </r>
      </text>
    </comment>
    <comment ref="J124" authorId="0">
      <text>
        <r>
          <rPr>
            <b/>
            <sz val="8"/>
            <rFont val="Tahoma"/>
            <family val="2"/>
          </rPr>
          <t xml:space="preserve"> S Jackson:</t>
        </r>
        <r>
          <rPr>
            <sz val="8"/>
            <rFont val="Tahoma"/>
            <family val="2"/>
          </rPr>
          <t xml:space="preserve">
assumed large retail</t>
        </r>
      </text>
    </comment>
    <comment ref="J125" authorId="0">
      <text>
        <r>
          <rPr>
            <b/>
            <sz val="8"/>
            <rFont val="Tahoma"/>
            <family val="2"/>
          </rPr>
          <t xml:space="preserve"> S Jackson:</t>
        </r>
        <r>
          <rPr>
            <sz val="8"/>
            <rFont val="Tahoma"/>
            <family val="2"/>
          </rPr>
          <t xml:space="preserve">
assumed large retail</t>
        </r>
      </text>
    </comment>
    <comment ref="J126" authorId="0">
      <text>
        <r>
          <rPr>
            <b/>
            <sz val="8"/>
            <rFont val="Tahoma"/>
            <family val="2"/>
          </rPr>
          <t xml:space="preserve"> S Jackson:</t>
        </r>
        <r>
          <rPr>
            <sz val="8"/>
            <rFont val="Tahoma"/>
            <family val="2"/>
          </rPr>
          <t xml:space="preserve">
assumed large retail</t>
        </r>
      </text>
    </comment>
    <comment ref="J146" authorId="0">
      <text>
        <r>
          <rPr>
            <b/>
            <sz val="8"/>
            <rFont val="Tahoma"/>
            <family val="2"/>
          </rPr>
          <t xml:space="preserve"> S Jackson:</t>
        </r>
        <r>
          <rPr>
            <sz val="8"/>
            <rFont val="Tahoma"/>
            <family val="2"/>
          </rPr>
          <t xml:space="preserve">
based on 14 hrs per day, M-F, per verification sheet.</t>
        </r>
      </text>
    </comment>
    <comment ref="K146"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J147" authorId="0">
      <text>
        <r>
          <rPr>
            <b/>
            <sz val="8"/>
            <rFont val="Tahoma"/>
            <family val="2"/>
          </rPr>
          <t xml:space="preserve"> S Jackson:</t>
        </r>
        <r>
          <rPr>
            <sz val="8"/>
            <rFont val="Tahoma"/>
            <family val="2"/>
          </rPr>
          <t xml:space="preserve">
based on 14 hrs per day, M-F, per verification sheet.</t>
        </r>
      </text>
    </comment>
    <comment ref="K147" authorId="0">
      <text>
        <r>
          <rPr>
            <b/>
            <sz val="8"/>
            <rFont val="Tahoma"/>
            <family val="2"/>
          </rPr>
          <t xml:space="preserve"> S Jackson:</t>
        </r>
        <r>
          <rPr>
            <sz val="8"/>
            <rFont val="Tahoma"/>
            <family val="2"/>
          </rPr>
          <t xml:space="preserve">
used custom project worksheets for assumptions since this lighting not on quasi-prescriptive assumptions list.
</t>
        </r>
      </text>
    </comment>
    <comment ref="J148" authorId="0">
      <text>
        <r>
          <rPr>
            <b/>
            <sz val="8"/>
            <rFont val="Tahoma"/>
            <family val="2"/>
          </rPr>
          <t xml:space="preserve"> S Jackson:</t>
        </r>
        <r>
          <rPr>
            <sz val="8"/>
            <rFont val="Tahoma"/>
            <family val="2"/>
          </rPr>
          <t xml:space="preserve">
based on 14 hrs per day, M-F, per verification sheet.</t>
        </r>
      </text>
    </comment>
    <comment ref="K148"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J149" authorId="0">
      <text>
        <r>
          <rPr>
            <b/>
            <sz val="8"/>
            <rFont val="Tahoma"/>
            <family val="2"/>
          </rPr>
          <t xml:space="preserve"> S Jackson:</t>
        </r>
        <r>
          <rPr>
            <sz val="8"/>
            <rFont val="Tahoma"/>
            <family val="2"/>
          </rPr>
          <t xml:space="preserve">
based on 14 hrs per day, M-F, per verification sheet.</t>
        </r>
      </text>
    </comment>
    <comment ref="K149"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J151" authorId="0">
      <text>
        <r>
          <rPr>
            <b/>
            <sz val="8"/>
            <rFont val="Tahoma"/>
            <family val="2"/>
          </rPr>
          <t xml:space="preserve"> S Jackson:</t>
        </r>
        <r>
          <rPr>
            <sz val="8"/>
            <rFont val="Tahoma"/>
            <family val="2"/>
          </rPr>
          <t xml:space="preserve">
based on 14 hrs per day, M-F, per verification sheet.</t>
        </r>
      </text>
    </comment>
    <comment ref="K151"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J152" authorId="0">
      <text>
        <r>
          <rPr>
            <b/>
            <sz val="8"/>
            <rFont val="Tahoma"/>
            <family val="2"/>
          </rPr>
          <t xml:space="preserve"> S Jackson:</t>
        </r>
        <r>
          <rPr>
            <sz val="8"/>
            <rFont val="Tahoma"/>
            <family val="2"/>
          </rPr>
          <t xml:space="preserve">
based on 14 hrs per day, M-F, per verification sheet.</t>
        </r>
      </text>
    </comment>
    <comment ref="K152"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J153" authorId="0">
      <text>
        <r>
          <rPr>
            <b/>
            <sz val="8"/>
            <rFont val="Tahoma"/>
            <family val="2"/>
          </rPr>
          <t xml:space="preserve"> S Jackson:</t>
        </r>
        <r>
          <rPr>
            <sz val="8"/>
            <rFont val="Tahoma"/>
            <family val="2"/>
          </rPr>
          <t xml:space="preserve">
based on 14 hrs per day, M-F, per verification sheet.</t>
        </r>
      </text>
    </comment>
    <comment ref="K153"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K173" authorId="0">
      <text>
        <r>
          <rPr>
            <b/>
            <sz val="8"/>
            <rFont val="Tahoma"/>
            <family val="2"/>
          </rPr>
          <t xml:space="preserve"> S Jackson:</t>
        </r>
        <r>
          <rPr>
            <sz val="8"/>
            <rFont val="Tahoma"/>
            <family val="2"/>
          </rPr>
          <t xml:space="preserve">
assumed base 400W</t>
        </r>
      </text>
    </comment>
  </commentList>
</comments>
</file>

<file path=xl/comments5.xml><?xml version="1.0" encoding="utf-8"?>
<comments xmlns="http://schemas.openxmlformats.org/spreadsheetml/2006/main">
  <authors>
    <author> S Jackson</author>
    <author>A satisfied Microsoft Office User</author>
  </authors>
  <commentList>
    <comment ref="R2" authorId="0">
      <text>
        <r>
          <rPr>
            <b/>
            <sz val="8"/>
            <rFont val="Tahoma"/>
            <family val="2"/>
          </rPr>
          <t xml:space="preserve"> S Jackson:</t>
        </r>
        <r>
          <rPr>
            <sz val="8"/>
            <rFont val="Tahoma"/>
            <family val="2"/>
          </rPr>
          <t xml:space="preserve">
No LRAM was claimed for 2008 for the commercial rate class since the rider was more than 4 decimal places.  Therefore included this revenue along with the 2009 LRAM.</t>
        </r>
      </text>
    </comment>
    <comment ref="S2" authorId="0">
      <text>
        <r>
          <rPr>
            <b/>
            <sz val="8"/>
            <rFont val="Tahoma"/>
            <family val="2"/>
          </rPr>
          <t xml:space="preserve"> S Jackson:</t>
        </r>
        <r>
          <rPr>
            <sz val="8"/>
            <rFont val="Tahoma"/>
            <family val="2"/>
          </rPr>
          <t xml:space="preserve">
No LRAM was claimed for 2008 for the commercial rate class since the rider was more than 4 decimal places.  Therefore included this revenue along with the 2009 LRAM.</t>
        </r>
      </text>
    </comment>
    <comment ref="T2" authorId="0">
      <text>
        <r>
          <rPr>
            <b/>
            <sz val="8"/>
            <rFont val="Tahoma"/>
            <family val="2"/>
          </rPr>
          <t xml:space="preserve"> S Jackson:</t>
        </r>
        <r>
          <rPr>
            <sz val="8"/>
            <rFont val="Tahoma"/>
            <family val="2"/>
          </rPr>
          <t xml:space="preserve">
No LRAM was claimed for 2008 for the commercial rate class since the rider was more than 4 decimal places.  Therefore included this revenue along with the 2009 LRAM.</t>
        </r>
      </text>
    </comment>
    <comment ref="I8" authorId="0">
      <text>
        <r>
          <rPr>
            <b/>
            <sz val="8"/>
            <rFont val="Tahoma"/>
            <family val="2"/>
          </rPr>
          <t xml:space="preserve"> S Jackson:</t>
        </r>
        <r>
          <rPr>
            <sz val="8"/>
            <rFont val="Tahoma"/>
            <family val="2"/>
          </rPr>
          <t xml:space="preserve">
assumed gas forced-air</t>
        </r>
      </text>
    </comment>
    <comment ref="P9" authorId="1">
      <text>
        <r>
          <rPr>
            <b/>
            <sz val="8"/>
            <rFont val="Tahoma"/>
            <family val="2"/>
          </rPr>
          <t xml:space="preserve"> :</t>
        </r>
        <r>
          <rPr>
            <sz val="8"/>
            <rFont val="Tahoma"/>
            <family val="2"/>
          </rPr>
          <t xml:space="preserve">
updated per Mar 08 assumptions.</t>
        </r>
      </text>
    </comment>
    <comment ref="I14" authorId="0">
      <text>
        <r>
          <rPr>
            <b/>
            <sz val="8"/>
            <rFont val="Tahoma"/>
            <family val="2"/>
          </rPr>
          <t xml:space="preserve"> S Jackson:</t>
        </r>
        <r>
          <rPr>
            <sz val="8"/>
            <rFont val="Tahoma"/>
            <family val="2"/>
          </rPr>
          <t xml:space="preserve">
assumed 2 lamp
</t>
        </r>
      </text>
    </comment>
    <comment ref="I15" authorId="0">
      <text>
        <r>
          <rPr>
            <b/>
            <sz val="8"/>
            <rFont val="Tahoma"/>
            <family val="2"/>
          </rPr>
          <t xml:space="preserve"> S Jackson:</t>
        </r>
        <r>
          <rPr>
            <sz val="8"/>
            <rFont val="Tahoma"/>
            <family val="2"/>
          </rPr>
          <t xml:space="preserve">
assumed 15w</t>
        </r>
      </text>
    </comment>
    <comment ref="I19" authorId="0">
      <text>
        <r>
          <rPr>
            <b/>
            <sz val="8"/>
            <rFont val="Tahoma"/>
            <family val="2"/>
          </rPr>
          <t xml:space="preserve"> S Jackson:</t>
        </r>
        <r>
          <rPr>
            <sz val="8"/>
            <rFont val="Tahoma"/>
            <family val="2"/>
          </rPr>
          <t xml:space="preserve">
assumed gas forced-air</t>
        </r>
      </text>
    </comment>
    <comment ref="J21" authorId="1">
      <text>
        <r>
          <rPr>
            <b/>
            <sz val="8"/>
            <rFont val="Tahoma"/>
            <family val="2"/>
          </rPr>
          <t xml:space="preserve"> S Jackson:</t>
        </r>
        <r>
          <rPr>
            <sz val="8"/>
            <rFont val="Tahoma"/>
            <family val="2"/>
          </rPr>
          <t xml:space="preserve">
assumed avg between kitchen and bathroom</t>
        </r>
      </text>
    </comment>
    <comment ref="I23" authorId="0">
      <text>
        <r>
          <rPr>
            <b/>
            <sz val="8"/>
            <rFont val="Tahoma"/>
            <family val="2"/>
          </rPr>
          <t xml:space="preserve"> S Jackson:</t>
        </r>
        <r>
          <rPr>
            <sz val="8"/>
            <rFont val="Tahoma"/>
            <family val="2"/>
          </rPr>
          <t xml:space="preserve">
assumed gas forced-air</t>
        </r>
      </text>
    </comment>
    <comment ref="J23"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25"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28"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31"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32"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P32" authorId="1">
      <text>
        <r>
          <rPr>
            <b/>
            <sz val="8"/>
            <rFont val="Tahoma"/>
            <family val="2"/>
          </rPr>
          <t xml:space="preserve"> S Jackson:</t>
        </r>
        <r>
          <rPr>
            <sz val="8"/>
            <rFont val="Tahoma"/>
            <family val="2"/>
          </rPr>
          <t xml:space="preserve">
assumed small retail</t>
        </r>
      </text>
    </comment>
    <comment ref="J33"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K33" authorId="0">
      <text>
        <r>
          <rPr>
            <b/>
            <sz val="8"/>
            <rFont val="Tahoma"/>
            <family val="2"/>
          </rPr>
          <t xml:space="preserve"> S Jackson:</t>
        </r>
        <r>
          <rPr>
            <sz val="8"/>
            <rFont val="Tahoma"/>
            <family val="2"/>
          </rPr>
          <t xml:space="preserve">
assumed standard perform, 2 lamp</t>
        </r>
      </text>
    </comment>
    <comment ref="J34" authorId="0">
      <text>
        <r>
          <rPr>
            <b/>
            <sz val="8"/>
            <rFont val="Tahoma"/>
            <family val="2"/>
          </rPr>
          <t xml:space="preserve"> S Jackson:</t>
        </r>
        <r>
          <rPr>
            <sz val="8"/>
            <rFont val="Tahoma"/>
            <family val="2"/>
          </rPr>
          <t xml:space="preserve">
assumed small retail</t>
        </r>
      </text>
    </comment>
    <comment ref="K34" authorId="0">
      <text>
        <r>
          <rPr>
            <b/>
            <sz val="8"/>
            <rFont val="Tahoma"/>
            <family val="2"/>
          </rPr>
          <t xml:space="preserve"> S Jackson:</t>
        </r>
        <r>
          <rPr>
            <sz val="8"/>
            <rFont val="Tahoma"/>
            <family val="2"/>
          </rPr>
          <t xml:space="preserve">
assumed standard perform</t>
        </r>
      </text>
    </comment>
    <comment ref="Q34" authorId="1">
      <text>
        <r>
          <rPr>
            <b/>
            <sz val="8"/>
            <rFont val="Tahoma"/>
            <family val="2"/>
          </rPr>
          <t xml:space="preserve"> S Jackson:</t>
        </r>
        <r>
          <rPr>
            <sz val="8"/>
            <rFont val="Tahoma"/>
            <family val="2"/>
          </rPr>
          <t xml:space="preserve">
assumed standard perform</t>
        </r>
      </text>
    </comment>
    <comment ref="J35" authorId="0">
      <text>
        <r>
          <rPr>
            <b/>
            <sz val="8"/>
            <rFont val="Tahoma"/>
            <family val="2"/>
          </rPr>
          <t xml:space="preserve"> S Jackson:</t>
        </r>
        <r>
          <rPr>
            <sz val="8"/>
            <rFont val="Tahoma"/>
            <family val="2"/>
          </rPr>
          <t xml:space="preserve">
assumed small retail</t>
        </r>
      </text>
    </comment>
    <comment ref="K35" authorId="0">
      <text>
        <r>
          <rPr>
            <b/>
            <sz val="8"/>
            <rFont val="Tahoma"/>
            <family val="2"/>
          </rPr>
          <t xml:space="preserve"> :</t>
        </r>
        <r>
          <rPr>
            <sz val="8"/>
            <rFont val="Tahoma"/>
            <family val="2"/>
          </rPr>
          <t xml:space="preserve">
used summer savings assumption</t>
        </r>
      </text>
    </comment>
    <comment ref="J36" authorId="0">
      <text>
        <r>
          <rPr>
            <b/>
            <sz val="8"/>
            <rFont val="Tahoma"/>
            <family val="2"/>
          </rPr>
          <t xml:space="preserve"> S Jackson:</t>
        </r>
        <r>
          <rPr>
            <sz val="8"/>
            <rFont val="Tahoma"/>
            <family val="2"/>
          </rPr>
          <t xml:space="preserve">
assumed small retail</t>
        </r>
      </text>
    </comment>
    <comment ref="K36" authorId="0">
      <text>
        <r>
          <rPr>
            <b/>
            <sz val="8"/>
            <rFont val="Tahoma"/>
            <family val="2"/>
          </rPr>
          <t xml:space="preserve"> S Jackson:</t>
        </r>
        <r>
          <rPr>
            <sz val="8"/>
            <rFont val="Tahoma"/>
            <family val="2"/>
          </rPr>
          <t xml:space="preserve">
assumed standard perform</t>
        </r>
      </text>
    </comment>
    <comment ref="J37" authorId="0">
      <text>
        <r>
          <rPr>
            <b/>
            <sz val="8"/>
            <rFont val="Tahoma"/>
            <family val="2"/>
          </rPr>
          <t xml:space="preserve"> S Jackson:</t>
        </r>
        <r>
          <rPr>
            <sz val="8"/>
            <rFont val="Tahoma"/>
            <family val="2"/>
          </rPr>
          <t xml:space="preserve">
assumed small retail</t>
        </r>
      </text>
    </comment>
    <comment ref="K37" authorId="0">
      <text>
        <r>
          <rPr>
            <b/>
            <sz val="8"/>
            <rFont val="Tahoma"/>
            <family val="2"/>
          </rPr>
          <t xml:space="preserve"> S Jackson:</t>
        </r>
        <r>
          <rPr>
            <sz val="8"/>
            <rFont val="Tahoma"/>
            <family val="2"/>
          </rPr>
          <t xml:space="preserve">
assumed standard perform</t>
        </r>
      </text>
    </comment>
    <comment ref="M37" authorId="1">
      <text>
        <r>
          <rPr>
            <b/>
            <sz val="8"/>
            <rFont val="Tahoma"/>
            <family val="2"/>
          </rPr>
          <t xml:space="preserve"> :</t>
        </r>
        <r>
          <rPr>
            <sz val="8"/>
            <rFont val="Tahoma"/>
            <family val="2"/>
          </rPr>
          <t xml:space="preserve">
Assume 0% free ridership due to need for specific application.</t>
        </r>
      </text>
    </comment>
    <comment ref="N37" authorId="1">
      <text>
        <r>
          <rPr>
            <b/>
            <sz val="8"/>
            <rFont val="Tahoma"/>
            <family val="2"/>
          </rPr>
          <t xml:space="preserve"> S Jackson:</t>
        </r>
        <r>
          <rPr>
            <sz val="8"/>
            <rFont val="Tahoma"/>
            <family val="2"/>
          </rPr>
          <t xml:space="preserve">
total KWh reductions saved per Harris</t>
        </r>
      </text>
    </comment>
    <comment ref="J38" authorId="0">
      <text>
        <r>
          <rPr>
            <b/>
            <sz val="8"/>
            <rFont val="Tahoma"/>
            <family val="2"/>
          </rPr>
          <t xml:space="preserve"> S Jackson:</t>
        </r>
        <r>
          <rPr>
            <sz val="8"/>
            <rFont val="Tahoma"/>
            <family val="2"/>
          </rPr>
          <t xml:space="preserve">
assumed small retail</t>
        </r>
      </text>
    </comment>
    <comment ref="K38" authorId="0">
      <text>
        <r>
          <rPr>
            <b/>
            <sz val="8"/>
            <rFont val="Tahoma"/>
            <family val="2"/>
          </rPr>
          <t xml:space="preserve"> S Jackson:</t>
        </r>
        <r>
          <rPr>
            <sz val="8"/>
            <rFont val="Tahoma"/>
            <family val="2"/>
          </rPr>
          <t xml:space="preserve">
assumed standard perform</t>
        </r>
      </text>
    </comment>
    <comment ref="L38" authorId="1">
      <text>
        <r>
          <rPr>
            <b/>
            <sz val="8"/>
            <rFont val="Tahoma"/>
            <family val="2"/>
          </rPr>
          <t xml:space="preserve"> S Jackson:</t>
        </r>
        <r>
          <rPr>
            <sz val="8"/>
            <rFont val="Tahoma"/>
            <family val="2"/>
          </rPr>
          <t xml:space="preserve">
no OPA assumptions available; previous inputs used.</t>
        </r>
      </text>
    </comment>
    <comment ref="R38" authorId="1">
      <text>
        <r>
          <rPr>
            <b/>
            <sz val="8"/>
            <rFont val="Tahoma"/>
            <family val="2"/>
          </rPr>
          <t xml:space="preserve"> S Jackson:</t>
        </r>
        <r>
          <rPr>
            <sz val="8"/>
            <rFont val="Tahoma"/>
            <family val="2"/>
          </rPr>
          <t xml:space="preserve">
no OPA assumptions available; previous inputs used.</t>
        </r>
      </text>
    </comment>
    <comment ref="J39" authorId="0">
      <text>
        <r>
          <rPr>
            <b/>
            <sz val="8"/>
            <rFont val="Tahoma"/>
            <family val="2"/>
          </rPr>
          <t xml:space="preserve"> S Jackson:</t>
        </r>
        <r>
          <rPr>
            <sz val="8"/>
            <rFont val="Tahoma"/>
            <family val="2"/>
          </rPr>
          <t xml:space="preserve">
assumed small retail</t>
        </r>
      </text>
    </comment>
    <comment ref="K39" authorId="0">
      <text>
        <r>
          <rPr>
            <b/>
            <sz val="8"/>
            <rFont val="Tahoma"/>
            <family val="2"/>
          </rPr>
          <t xml:space="preserve"> S Jackson:</t>
        </r>
        <r>
          <rPr>
            <sz val="8"/>
            <rFont val="Tahoma"/>
            <family val="2"/>
          </rPr>
          <t xml:space="preserve">
assumed standard perform</t>
        </r>
      </text>
    </comment>
    <comment ref="J40" authorId="0">
      <text>
        <r>
          <rPr>
            <b/>
            <sz val="8"/>
            <rFont val="Tahoma"/>
            <family val="2"/>
          </rPr>
          <t xml:space="preserve"> S Jackson:</t>
        </r>
        <r>
          <rPr>
            <sz val="8"/>
            <rFont val="Tahoma"/>
            <family val="2"/>
          </rPr>
          <t xml:space="preserve">
assumed small retail</t>
        </r>
      </text>
    </comment>
    <comment ref="K40" authorId="0">
      <text>
        <r>
          <rPr>
            <b/>
            <sz val="8"/>
            <rFont val="Tahoma"/>
            <family val="2"/>
          </rPr>
          <t xml:space="preserve"> S Jackson:</t>
        </r>
        <r>
          <rPr>
            <sz val="8"/>
            <rFont val="Tahoma"/>
            <family val="2"/>
          </rPr>
          <t xml:space="preserve">
assumed standard perform</t>
        </r>
      </text>
    </comment>
    <comment ref="P40" authorId="1">
      <text>
        <r>
          <rPr>
            <b/>
            <sz val="8"/>
            <rFont val="Tahoma"/>
            <family val="2"/>
          </rPr>
          <t xml:space="preserve"> S Jackson:</t>
        </r>
        <r>
          <rPr>
            <sz val="8"/>
            <rFont val="Tahoma"/>
            <family val="2"/>
          </rPr>
          <t xml:space="preserve">
assumed small retail</t>
        </r>
      </text>
    </comment>
    <comment ref="J41" authorId="0">
      <text>
        <r>
          <rPr>
            <b/>
            <sz val="8"/>
            <rFont val="Tahoma"/>
            <family val="2"/>
          </rPr>
          <t xml:space="preserve"> S Jackson:</t>
        </r>
        <r>
          <rPr>
            <sz val="8"/>
            <rFont val="Tahoma"/>
            <family val="2"/>
          </rPr>
          <t xml:space="preserve">
assumed 2150 annual operating hours (Schools)</t>
        </r>
      </text>
    </comment>
    <comment ref="P41" authorId="1">
      <text>
        <r>
          <rPr>
            <b/>
            <sz val="8"/>
            <rFont val="Tahoma"/>
            <family val="2"/>
          </rPr>
          <t xml:space="preserve"> S Jackson:</t>
        </r>
        <r>
          <rPr>
            <sz val="8"/>
            <rFont val="Tahoma"/>
            <family val="2"/>
          </rPr>
          <t xml:space="preserve">
assumed small retail</t>
        </r>
      </text>
    </comment>
    <comment ref="J42" authorId="0">
      <text>
        <r>
          <rPr>
            <b/>
            <sz val="8"/>
            <rFont val="Tahoma"/>
            <family val="2"/>
          </rPr>
          <t xml:space="preserve"> S Jackson:</t>
        </r>
        <r>
          <rPr>
            <sz val="8"/>
            <rFont val="Tahoma"/>
            <family val="2"/>
          </rPr>
          <t xml:space="preserve">
assumed 2150 annual operating hours (Schools)</t>
        </r>
      </text>
    </comment>
    <comment ref="P42" authorId="1">
      <text>
        <r>
          <rPr>
            <b/>
            <sz val="8"/>
            <rFont val="Tahoma"/>
            <family val="2"/>
          </rPr>
          <t xml:space="preserve"> S Jackson:</t>
        </r>
        <r>
          <rPr>
            <sz val="8"/>
            <rFont val="Tahoma"/>
            <family val="2"/>
          </rPr>
          <t xml:space="preserve">
assumed small retail</t>
        </r>
      </text>
    </comment>
    <comment ref="J43" authorId="0">
      <text>
        <r>
          <rPr>
            <b/>
            <sz val="8"/>
            <rFont val="Tahoma"/>
            <family val="2"/>
          </rPr>
          <t xml:space="preserve"> S Jackson:</t>
        </r>
        <r>
          <rPr>
            <sz val="8"/>
            <rFont val="Tahoma"/>
            <family val="2"/>
          </rPr>
          <t xml:space="preserve">
assumed 2150 annual operating hours (Schools)</t>
        </r>
      </text>
    </comment>
    <comment ref="P43" authorId="1">
      <text>
        <r>
          <rPr>
            <b/>
            <sz val="8"/>
            <rFont val="Tahoma"/>
            <family val="2"/>
          </rPr>
          <t xml:space="preserve"> S Jackson:</t>
        </r>
        <r>
          <rPr>
            <sz val="8"/>
            <rFont val="Tahoma"/>
            <family val="2"/>
          </rPr>
          <t xml:space="preserve">
assumed small retail</t>
        </r>
      </text>
    </comment>
    <comment ref="J44" authorId="0">
      <text>
        <r>
          <rPr>
            <b/>
            <sz val="8"/>
            <rFont val="Tahoma"/>
            <family val="2"/>
          </rPr>
          <t xml:space="preserve"> S Jackson:</t>
        </r>
        <r>
          <rPr>
            <sz val="8"/>
            <rFont val="Tahoma"/>
            <family val="2"/>
          </rPr>
          <t xml:space="preserve">
assumed 2150 annual operating hours (Schools)</t>
        </r>
      </text>
    </comment>
    <comment ref="P44" authorId="1">
      <text>
        <r>
          <rPr>
            <b/>
            <sz val="8"/>
            <rFont val="Tahoma"/>
            <family val="2"/>
          </rPr>
          <t xml:space="preserve"> S Jackson:</t>
        </r>
        <r>
          <rPr>
            <sz val="8"/>
            <rFont val="Tahoma"/>
            <family val="2"/>
          </rPr>
          <t xml:space="preserve">
assumed small retail</t>
        </r>
      </text>
    </comment>
    <comment ref="J45" authorId="0">
      <text>
        <r>
          <rPr>
            <b/>
            <sz val="8"/>
            <rFont val="Tahoma"/>
            <family val="2"/>
          </rPr>
          <t xml:space="preserve"> S Jackson:</t>
        </r>
        <r>
          <rPr>
            <sz val="8"/>
            <rFont val="Tahoma"/>
            <family val="2"/>
          </rPr>
          <t xml:space="preserve">
assumed 2150 annual operating hours (Schools)</t>
        </r>
      </text>
    </comment>
    <comment ref="P45" authorId="1">
      <text>
        <r>
          <rPr>
            <b/>
            <sz val="8"/>
            <rFont val="Tahoma"/>
            <family val="2"/>
          </rPr>
          <t xml:space="preserve"> S Jackson:</t>
        </r>
        <r>
          <rPr>
            <sz val="8"/>
            <rFont val="Tahoma"/>
            <family val="2"/>
          </rPr>
          <t xml:space="preserve">
assumed small retail</t>
        </r>
      </text>
    </comment>
    <comment ref="J46" authorId="0">
      <text>
        <r>
          <rPr>
            <b/>
            <sz val="8"/>
            <rFont val="Tahoma"/>
            <family val="2"/>
          </rPr>
          <t xml:space="preserve"> S Jackson:</t>
        </r>
        <r>
          <rPr>
            <sz val="8"/>
            <rFont val="Tahoma"/>
            <family val="2"/>
          </rPr>
          <t xml:space="preserve">
assumed 2150 annual operating hours (Schools)</t>
        </r>
      </text>
    </comment>
    <comment ref="P46" authorId="1">
      <text>
        <r>
          <rPr>
            <b/>
            <sz val="8"/>
            <rFont val="Tahoma"/>
            <family val="2"/>
          </rPr>
          <t xml:space="preserve"> S Jackson:</t>
        </r>
        <r>
          <rPr>
            <sz val="8"/>
            <rFont val="Tahoma"/>
            <family val="2"/>
          </rPr>
          <t xml:space="preserve">
assumed small retail</t>
        </r>
      </text>
    </comment>
    <comment ref="J47" authorId="0">
      <text>
        <r>
          <rPr>
            <b/>
            <sz val="8"/>
            <rFont val="Tahoma"/>
            <family val="2"/>
          </rPr>
          <t xml:space="preserve"> S Jackson:</t>
        </r>
        <r>
          <rPr>
            <sz val="8"/>
            <rFont val="Tahoma"/>
            <family val="2"/>
          </rPr>
          <t xml:space="preserve">
assumed 2150 annual operating hours (Schools)</t>
        </r>
      </text>
    </comment>
    <comment ref="P47" authorId="1">
      <text>
        <r>
          <rPr>
            <b/>
            <sz val="8"/>
            <rFont val="Tahoma"/>
            <family val="2"/>
          </rPr>
          <t xml:space="preserve"> S Jackson:</t>
        </r>
        <r>
          <rPr>
            <sz val="8"/>
            <rFont val="Tahoma"/>
            <family val="2"/>
          </rPr>
          <t xml:space="preserve">
assumed small retail</t>
        </r>
      </text>
    </comment>
    <comment ref="J48" authorId="0">
      <text>
        <r>
          <rPr>
            <b/>
            <sz val="8"/>
            <rFont val="Tahoma"/>
            <family val="2"/>
          </rPr>
          <t xml:space="preserve"> S Jackson:</t>
        </r>
        <r>
          <rPr>
            <sz val="8"/>
            <rFont val="Tahoma"/>
            <family val="2"/>
          </rPr>
          <t xml:space="preserve">
assumed 2150 annual operating hours (Schools)</t>
        </r>
      </text>
    </comment>
    <comment ref="P48" authorId="1">
      <text>
        <r>
          <rPr>
            <b/>
            <sz val="8"/>
            <rFont val="Tahoma"/>
            <family val="2"/>
          </rPr>
          <t xml:space="preserve"> S Jackson:</t>
        </r>
        <r>
          <rPr>
            <sz val="8"/>
            <rFont val="Tahoma"/>
            <family val="2"/>
          </rPr>
          <t xml:space="preserve">
assumed small retail</t>
        </r>
      </text>
    </comment>
    <comment ref="J49" authorId="0">
      <text>
        <r>
          <rPr>
            <b/>
            <sz val="8"/>
            <rFont val="Tahoma"/>
            <family val="2"/>
          </rPr>
          <t xml:space="preserve"> S Jackson:</t>
        </r>
        <r>
          <rPr>
            <sz val="8"/>
            <rFont val="Tahoma"/>
            <family val="2"/>
          </rPr>
          <t xml:space="preserve">
assumed 2150 annual operating hours (Schools)</t>
        </r>
      </text>
    </comment>
    <comment ref="J50" authorId="0">
      <text>
        <r>
          <rPr>
            <b/>
            <sz val="8"/>
            <rFont val="Tahoma"/>
            <family val="2"/>
          </rPr>
          <t xml:space="preserve"> S Jackson:</t>
        </r>
        <r>
          <rPr>
            <sz val="8"/>
            <rFont val="Tahoma"/>
            <family val="2"/>
          </rPr>
          <t xml:space="preserve">
assumed small retail</t>
        </r>
      </text>
    </comment>
    <comment ref="P50" authorId="1">
      <text>
        <r>
          <rPr>
            <b/>
            <sz val="8"/>
            <rFont val="Tahoma"/>
            <family val="2"/>
          </rPr>
          <t xml:space="preserve"> S Jackson:</t>
        </r>
        <r>
          <rPr>
            <sz val="8"/>
            <rFont val="Tahoma"/>
            <family val="2"/>
          </rPr>
          <t xml:space="preserve">
assumed school hours</t>
        </r>
      </text>
    </comment>
    <comment ref="J52" authorId="0">
      <text>
        <r>
          <rPr>
            <b/>
            <sz val="8"/>
            <rFont val="Tahoma"/>
            <family val="2"/>
          </rPr>
          <t xml:space="preserve"> S Jackson:</t>
        </r>
        <r>
          <rPr>
            <sz val="8"/>
            <rFont val="Tahoma"/>
            <family val="2"/>
          </rPr>
          <t xml:space="preserve">
assumed 2150 annual operating hours (Schools)</t>
        </r>
      </text>
    </comment>
    <comment ref="P52" authorId="1">
      <text>
        <r>
          <rPr>
            <b/>
            <sz val="8"/>
            <rFont val="Tahoma"/>
            <family val="2"/>
          </rPr>
          <t xml:space="preserve"> S Jackson:</t>
        </r>
        <r>
          <rPr>
            <sz val="8"/>
            <rFont val="Tahoma"/>
            <family val="2"/>
          </rPr>
          <t xml:space="preserve">
assumed school hours</t>
        </r>
      </text>
    </comment>
    <comment ref="J53" authorId="0">
      <text>
        <r>
          <rPr>
            <b/>
            <sz val="8"/>
            <rFont val="Tahoma"/>
            <family val="2"/>
          </rPr>
          <t xml:space="preserve"> S Jackson:</t>
        </r>
        <r>
          <rPr>
            <sz val="8"/>
            <rFont val="Tahoma"/>
            <family val="2"/>
          </rPr>
          <t xml:space="preserve">
assumed 2150 annual operating hours (Schools)</t>
        </r>
      </text>
    </comment>
    <comment ref="P53" authorId="1">
      <text>
        <r>
          <rPr>
            <b/>
            <sz val="8"/>
            <rFont val="Tahoma"/>
            <family val="2"/>
          </rPr>
          <t xml:space="preserve"> S Jackson:</t>
        </r>
        <r>
          <rPr>
            <sz val="8"/>
            <rFont val="Tahoma"/>
            <family val="2"/>
          </rPr>
          <t xml:space="preserve">
assumed school hours</t>
        </r>
      </text>
    </comment>
    <comment ref="J54" authorId="0">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P54" authorId="1">
      <text>
        <r>
          <rPr>
            <b/>
            <sz val="8"/>
            <rFont val="Tahoma"/>
            <family val="2"/>
          </rPr>
          <t xml:space="preserve"> S Jackson:</t>
        </r>
        <r>
          <rPr>
            <sz val="8"/>
            <rFont val="Tahoma"/>
            <family val="2"/>
          </rPr>
          <t xml:space="preserve">
assumed school hours</t>
        </r>
      </text>
    </comment>
    <comment ref="J55" authorId="0">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P55" authorId="1">
      <text>
        <r>
          <rPr>
            <b/>
            <sz val="8"/>
            <rFont val="Tahoma"/>
            <family val="2"/>
          </rPr>
          <t xml:space="preserve"> S Jackson:</t>
        </r>
        <r>
          <rPr>
            <sz val="8"/>
            <rFont val="Tahoma"/>
            <family val="2"/>
          </rPr>
          <t xml:space="preserve">
assumed school hours</t>
        </r>
      </text>
    </comment>
    <comment ref="J56" authorId="0">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P56" authorId="1">
      <text>
        <r>
          <rPr>
            <b/>
            <sz val="8"/>
            <rFont val="Tahoma"/>
            <family val="2"/>
          </rPr>
          <t xml:space="preserve"> S Jackson:</t>
        </r>
        <r>
          <rPr>
            <sz val="8"/>
            <rFont val="Tahoma"/>
            <family val="2"/>
          </rPr>
          <t xml:space="preserve">
assumed school hours</t>
        </r>
      </text>
    </comment>
    <comment ref="J57" authorId="0">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P57" authorId="1">
      <text>
        <r>
          <rPr>
            <b/>
            <sz val="8"/>
            <rFont val="Tahoma"/>
            <family val="2"/>
          </rPr>
          <t xml:space="preserve"> S Jackson:</t>
        </r>
        <r>
          <rPr>
            <sz val="8"/>
            <rFont val="Tahoma"/>
            <family val="2"/>
          </rPr>
          <t xml:space="preserve">
assumed school hours</t>
        </r>
      </text>
    </comment>
    <comment ref="J58" authorId="0">
      <text>
        <r>
          <rPr>
            <b/>
            <sz val="8"/>
            <rFont val="Tahoma"/>
            <family val="2"/>
          </rPr>
          <t xml:space="preserve"> S Jackson:</t>
        </r>
        <r>
          <rPr>
            <sz val="8"/>
            <rFont val="Tahoma"/>
            <family val="2"/>
          </rPr>
          <t xml:space="preserve">
assumed 4450 annual operating hours (large/small retail incl restaraunts)</t>
        </r>
      </text>
    </comment>
    <comment ref="K58" authorId="1">
      <text>
        <r>
          <rPr>
            <b/>
            <sz val="8"/>
            <rFont val="Tahoma"/>
            <family val="2"/>
          </rPr>
          <t xml:space="preserve"> S Jackson:</t>
        </r>
        <r>
          <rPr>
            <sz val="8"/>
            <rFont val="Tahoma"/>
            <family val="2"/>
          </rPr>
          <t xml:space="preserve">
- W not specified on base or replacement bulb.  Assumed mid bulbs (75 and 18W)</t>
        </r>
      </text>
    </comment>
    <comment ref="J59" authorId="0">
      <text>
        <r>
          <rPr>
            <b/>
            <sz val="8"/>
            <rFont val="Tahoma"/>
            <family val="2"/>
          </rPr>
          <t xml:space="preserve"> S Jackson:</t>
        </r>
        <r>
          <rPr>
            <sz val="8"/>
            <rFont val="Tahoma"/>
            <family val="2"/>
          </rPr>
          <t xml:space="preserve">
assumed school hours</t>
        </r>
      </text>
    </comment>
    <comment ref="K59" authorId="1">
      <text>
        <r>
          <rPr>
            <b/>
            <sz val="8"/>
            <rFont val="Tahoma"/>
            <family val="2"/>
          </rPr>
          <t xml:space="preserve"> S Jackson:</t>
        </r>
        <r>
          <rPr>
            <sz val="8"/>
            <rFont val="Tahoma"/>
            <family val="2"/>
          </rPr>
          <t xml:space="preserve">
- assumed replacing same number of lamps</t>
        </r>
      </text>
    </comment>
    <comment ref="J60" authorId="0">
      <text>
        <r>
          <rPr>
            <b/>
            <sz val="8"/>
            <rFont val="Tahoma"/>
            <family val="2"/>
          </rPr>
          <t xml:space="preserve"> S Jackson:</t>
        </r>
        <r>
          <rPr>
            <sz val="8"/>
            <rFont val="Tahoma"/>
            <family val="2"/>
          </rPr>
          <t xml:space="preserve">
assumed school hours</t>
        </r>
      </text>
    </comment>
    <comment ref="J62" authorId="0">
      <text>
        <r>
          <rPr>
            <b/>
            <sz val="8"/>
            <rFont val="Tahoma"/>
            <family val="2"/>
          </rPr>
          <t xml:space="preserve"> S Jackson:</t>
        </r>
        <r>
          <rPr>
            <sz val="8"/>
            <rFont val="Tahoma"/>
            <family val="2"/>
          </rPr>
          <t xml:space="preserve">
assumed school hours</t>
        </r>
      </text>
    </comment>
    <comment ref="J63" authorId="0">
      <text>
        <r>
          <rPr>
            <b/>
            <sz val="8"/>
            <rFont val="Tahoma"/>
            <family val="2"/>
          </rPr>
          <t xml:space="preserve"> S Jackson:</t>
        </r>
        <r>
          <rPr>
            <sz val="8"/>
            <rFont val="Tahoma"/>
            <family val="2"/>
          </rPr>
          <t xml:space="preserve">
assumed school hours</t>
        </r>
      </text>
    </comment>
    <comment ref="J65" authorId="0">
      <text>
        <r>
          <rPr>
            <b/>
            <sz val="8"/>
            <rFont val="Tahoma"/>
            <family val="2"/>
          </rPr>
          <t xml:space="preserve"> S Jackson:</t>
        </r>
        <r>
          <rPr>
            <sz val="8"/>
            <rFont val="Tahoma"/>
            <family val="2"/>
          </rPr>
          <t xml:space="preserve">
assumed small office</t>
        </r>
      </text>
    </comment>
    <comment ref="J66" authorId="0">
      <text>
        <r>
          <rPr>
            <b/>
            <sz val="8"/>
            <rFont val="Tahoma"/>
            <family val="2"/>
          </rPr>
          <t xml:space="preserve"> S Jackson:</t>
        </r>
        <r>
          <rPr>
            <sz val="8"/>
            <rFont val="Tahoma"/>
            <family val="2"/>
          </rPr>
          <t xml:space="preserve">
assumed small office</t>
        </r>
      </text>
    </comment>
    <comment ref="J67" authorId="0">
      <text>
        <r>
          <rPr>
            <b/>
            <sz val="8"/>
            <rFont val="Tahoma"/>
            <family val="2"/>
          </rPr>
          <t xml:space="preserve"> S Jackson:</t>
        </r>
        <r>
          <rPr>
            <sz val="8"/>
            <rFont val="Tahoma"/>
            <family val="2"/>
          </rPr>
          <t xml:space="preserve">
assumed small office</t>
        </r>
      </text>
    </comment>
    <comment ref="J68" authorId="0">
      <text>
        <r>
          <rPr>
            <b/>
            <sz val="8"/>
            <rFont val="Tahoma"/>
            <family val="2"/>
          </rPr>
          <t xml:space="preserve"> S Jackson:</t>
        </r>
        <r>
          <rPr>
            <sz val="8"/>
            <rFont val="Tahoma"/>
            <family val="2"/>
          </rPr>
          <t xml:space="preserve">
assumed small office</t>
        </r>
      </text>
    </comment>
    <comment ref="J72" authorId="0">
      <text>
        <r>
          <rPr>
            <b/>
            <sz val="8"/>
            <rFont val="Tahoma"/>
            <family val="2"/>
          </rPr>
          <t xml:space="preserve"> S Jackson:</t>
        </r>
        <r>
          <rPr>
            <sz val="8"/>
            <rFont val="Tahoma"/>
            <family val="2"/>
          </rPr>
          <t xml:space="preserve">
assumed T8 hours, small retail</t>
        </r>
      </text>
    </comment>
    <comment ref="K72" authorId="0">
      <text>
        <r>
          <rPr>
            <b/>
            <sz val="8"/>
            <rFont val="Tahoma"/>
            <family val="2"/>
          </rPr>
          <t xml:space="preserve"> S Jackson:
</t>
        </r>
        <r>
          <rPr>
            <sz val="8"/>
            <rFont val="Tahoma"/>
            <family val="2"/>
          </rPr>
          <t>per 2009 portal assumptions</t>
        </r>
      </text>
    </comment>
    <comment ref="J73" authorId="0">
      <text>
        <r>
          <rPr>
            <b/>
            <sz val="8"/>
            <rFont val="Tahoma"/>
            <family val="2"/>
          </rPr>
          <t xml:space="preserve"> S Jackson:</t>
        </r>
        <r>
          <rPr>
            <sz val="8"/>
            <rFont val="Tahoma"/>
            <family val="2"/>
          </rPr>
          <t xml:space="preserve">
assumed T8 hours, small retail</t>
        </r>
      </text>
    </comment>
    <comment ref="J74" authorId="0">
      <text>
        <r>
          <rPr>
            <b/>
            <sz val="8"/>
            <rFont val="Tahoma"/>
            <family val="2"/>
          </rPr>
          <t xml:space="preserve"> S Jackson:</t>
        </r>
        <r>
          <rPr>
            <sz val="8"/>
            <rFont val="Tahoma"/>
            <family val="2"/>
          </rPr>
          <t xml:space="preserve">
assumed T8 hours, small retail</t>
        </r>
      </text>
    </comment>
    <comment ref="J75" authorId="0">
      <text>
        <r>
          <rPr>
            <b/>
            <sz val="8"/>
            <rFont val="Tahoma"/>
            <family val="2"/>
          </rPr>
          <t xml:space="preserve"> S Jackson:</t>
        </r>
        <r>
          <rPr>
            <sz val="8"/>
            <rFont val="Tahoma"/>
            <family val="2"/>
          </rPr>
          <t xml:space="preserve">
assumed T8 hours, small retail</t>
        </r>
      </text>
    </comment>
    <comment ref="J76" authorId="0">
      <text>
        <r>
          <rPr>
            <b/>
            <sz val="8"/>
            <rFont val="Tahoma"/>
            <family val="2"/>
          </rPr>
          <t xml:space="preserve"> S Jackson:</t>
        </r>
        <r>
          <rPr>
            <sz val="8"/>
            <rFont val="Tahoma"/>
            <family val="2"/>
          </rPr>
          <t xml:space="preserve">
assumed T8 hours, small retail</t>
        </r>
      </text>
    </comment>
    <comment ref="J77" authorId="0">
      <text>
        <r>
          <rPr>
            <b/>
            <sz val="8"/>
            <rFont val="Tahoma"/>
            <family val="2"/>
          </rPr>
          <t xml:space="preserve"> S Jackson:</t>
        </r>
        <r>
          <rPr>
            <sz val="8"/>
            <rFont val="Tahoma"/>
            <family val="2"/>
          </rPr>
          <t xml:space="preserve">
assumed T8 hours, small retail</t>
        </r>
      </text>
    </comment>
    <comment ref="J78" authorId="0">
      <text>
        <r>
          <rPr>
            <b/>
            <sz val="8"/>
            <rFont val="Tahoma"/>
            <family val="2"/>
          </rPr>
          <t xml:space="preserve"> S Jackson:</t>
        </r>
        <r>
          <rPr>
            <sz val="8"/>
            <rFont val="Tahoma"/>
            <family val="2"/>
          </rPr>
          <t xml:space="preserve">
assumed T8 hours, small retail</t>
        </r>
      </text>
    </comment>
    <comment ref="J79" authorId="0">
      <text>
        <r>
          <rPr>
            <b/>
            <sz val="8"/>
            <rFont val="Tahoma"/>
            <family val="2"/>
          </rPr>
          <t xml:space="preserve"> S Jackson:</t>
        </r>
        <r>
          <rPr>
            <sz val="8"/>
            <rFont val="Tahoma"/>
            <family val="2"/>
          </rPr>
          <t xml:space="preserve">
assumed T8 hours, small retail</t>
        </r>
      </text>
    </comment>
    <comment ref="J80" authorId="0">
      <text>
        <r>
          <rPr>
            <b/>
            <sz val="8"/>
            <rFont val="Tahoma"/>
            <family val="2"/>
          </rPr>
          <t xml:space="preserve"> S Jackson:</t>
        </r>
        <r>
          <rPr>
            <sz val="8"/>
            <rFont val="Tahoma"/>
            <family val="2"/>
          </rPr>
          <t xml:space="preserve">
assumed T8 hours, small retail</t>
        </r>
      </text>
    </comment>
    <comment ref="J81" authorId="0">
      <text>
        <r>
          <rPr>
            <b/>
            <sz val="8"/>
            <rFont val="Tahoma"/>
            <family val="2"/>
          </rPr>
          <t xml:space="preserve"> S Jackson:</t>
        </r>
        <r>
          <rPr>
            <sz val="8"/>
            <rFont val="Tahoma"/>
            <family val="2"/>
          </rPr>
          <t xml:space="preserve">
assumed T8 hours, small retail</t>
        </r>
      </text>
    </comment>
    <comment ref="J82" authorId="0">
      <text>
        <r>
          <rPr>
            <b/>
            <sz val="8"/>
            <rFont val="Tahoma"/>
            <family val="2"/>
          </rPr>
          <t xml:space="preserve"> S Jackson:</t>
        </r>
        <r>
          <rPr>
            <sz val="8"/>
            <rFont val="Tahoma"/>
            <family val="2"/>
          </rPr>
          <t xml:space="preserve">
assumed T8 hours, small retail</t>
        </r>
      </text>
    </comment>
    <comment ref="J83" authorId="0">
      <text>
        <r>
          <rPr>
            <b/>
            <sz val="8"/>
            <rFont val="Tahoma"/>
            <family val="2"/>
          </rPr>
          <t xml:space="preserve"> S Jackson:</t>
        </r>
        <r>
          <rPr>
            <sz val="8"/>
            <rFont val="Tahoma"/>
            <family val="2"/>
          </rPr>
          <t xml:space="preserve">
assumed T8 hours, small retail</t>
        </r>
      </text>
    </comment>
    <comment ref="J84" authorId="0">
      <text>
        <r>
          <rPr>
            <b/>
            <sz val="8"/>
            <rFont val="Tahoma"/>
            <family val="2"/>
          </rPr>
          <t xml:space="preserve"> S Jackson:</t>
        </r>
        <r>
          <rPr>
            <sz val="8"/>
            <rFont val="Tahoma"/>
            <family val="2"/>
          </rPr>
          <t xml:space="preserve">
assumed T8 hours, small retail</t>
        </r>
      </text>
    </comment>
    <comment ref="J85" authorId="0">
      <text>
        <r>
          <rPr>
            <b/>
            <sz val="8"/>
            <rFont val="Tahoma"/>
            <family val="2"/>
          </rPr>
          <t xml:space="preserve"> S Jackson:</t>
        </r>
        <r>
          <rPr>
            <sz val="8"/>
            <rFont val="Tahoma"/>
            <family val="2"/>
          </rPr>
          <t xml:space="preserve">
assumed T8 hours, small retail</t>
        </r>
      </text>
    </comment>
    <comment ref="J86" authorId="0">
      <text>
        <r>
          <rPr>
            <b/>
            <sz val="8"/>
            <rFont val="Tahoma"/>
            <family val="2"/>
          </rPr>
          <t xml:space="preserve"> S Jackson:</t>
        </r>
        <r>
          <rPr>
            <sz val="8"/>
            <rFont val="Tahoma"/>
            <family val="2"/>
          </rPr>
          <t xml:space="preserve">
assumed T8 hours, small retail</t>
        </r>
      </text>
    </comment>
    <comment ref="J87" authorId="0">
      <text>
        <r>
          <rPr>
            <b/>
            <sz val="8"/>
            <rFont val="Tahoma"/>
            <family val="2"/>
          </rPr>
          <t xml:space="preserve"> S Jackson:</t>
        </r>
        <r>
          <rPr>
            <sz val="8"/>
            <rFont val="Tahoma"/>
            <family val="2"/>
          </rPr>
          <t xml:space="preserve">
assumed T8 hours, small retail</t>
        </r>
      </text>
    </comment>
    <comment ref="J88" authorId="0">
      <text>
        <r>
          <rPr>
            <b/>
            <sz val="8"/>
            <rFont val="Tahoma"/>
            <family val="2"/>
          </rPr>
          <t xml:space="preserve"> S Jackson:</t>
        </r>
        <r>
          <rPr>
            <sz val="8"/>
            <rFont val="Tahoma"/>
            <family val="2"/>
          </rPr>
          <t xml:space="preserve">
assumed ceramic metal halide hours, small retail</t>
        </r>
      </text>
    </comment>
    <comment ref="J89" authorId="0">
      <text>
        <r>
          <rPr>
            <b/>
            <sz val="8"/>
            <rFont val="Tahoma"/>
            <family val="2"/>
          </rPr>
          <t xml:space="preserve"> S Jackson:</t>
        </r>
        <r>
          <rPr>
            <sz val="8"/>
            <rFont val="Tahoma"/>
            <family val="2"/>
          </rPr>
          <t xml:space="preserve">
assumed ceramic metal halide hours, small retail</t>
        </r>
      </text>
    </comment>
    <comment ref="J90" authorId="0">
      <text>
        <r>
          <rPr>
            <b/>
            <sz val="8"/>
            <rFont val="Tahoma"/>
            <family val="2"/>
          </rPr>
          <t xml:space="preserve"> S Jackson:</t>
        </r>
        <r>
          <rPr>
            <sz val="8"/>
            <rFont val="Tahoma"/>
            <family val="2"/>
          </rPr>
          <t xml:space="preserve">
assumed T8 hours, small retail</t>
        </r>
      </text>
    </comment>
    <comment ref="J91" authorId="0">
      <text>
        <r>
          <rPr>
            <b/>
            <sz val="8"/>
            <rFont val="Tahoma"/>
            <family val="2"/>
          </rPr>
          <t xml:space="preserve"> S Jackson:</t>
        </r>
        <r>
          <rPr>
            <sz val="8"/>
            <rFont val="Tahoma"/>
            <family val="2"/>
          </rPr>
          <t xml:space="preserve">
assumed T8 hours, small retail</t>
        </r>
      </text>
    </comment>
    <comment ref="J94" authorId="0">
      <text>
        <r>
          <rPr>
            <b/>
            <sz val="8"/>
            <rFont val="Tahoma"/>
            <family val="2"/>
          </rPr>
          <t xml:space="preserve"> S Jackson:</t>
        </r>
        <r>
          <rPr>
            <sz val="8"/>
            <rFont val="Tahoma"/>
            <family val="2"/>
          </rPr>
          <t xml:space="preserve">
assumed CFL hours, small retail</t>
        </r>
      </text>
    </comment>
    <comment ref="J95" authorId="0">
      <text>
        <r>
          <rPr>
            <b/>
            <sz val="8"/>
            <rFont val="Tahoma"/>
            <family val="2"/>
          </rPr>
          <t xml:space="preserve"> S Jackson:</t>
        </r>
        <r>
          <rPr>
            <sz val="8"/>
            <rFont val="Tahoma"/>
            <family val="2"/>
          </rPr>
          <t xml:space="preserve">
assumed CFL hours, small retail</t>
        </r>
      </text>
    </comment>
    <comment ref="J96" authorId="0">
      <text>
        <r>
          <rPr>
            <b/>
            <sz val="8"/>
            <rFont val="Tahoma"/>
            <family val="2"/>
          </rPr>
          <t xml:space="preserve"> S Jackson:</t>
        </r>
        <r>
          <rPr>
            <sz val="8"/>
            <rFont val="Tahoma"/>
            <family val="2"/>
          </rPr>
          <t xml:space="preserve">
assumed CFL hours, small retail</t>
        </r>
      </text>
    </comment>
    <comment ref="J97" authorId="0">
      <text>
        <r>
          <rPr>
            <b/>
            <sz val="8"/>
            <rFont val="Tahoma"/>
            <family val="2"/>
          </rPr>
          <t xml:space="preserve"> S Jackson:</t>
        </r>
        <r>
          <rPr>
            <sz val="8"/>
            <rFont val="Tahoma"/>
            <family val="2"/>
          </rPr>
          <t xml:space="preserve">
assumed CFL hours, small retail</t>
        </r>
      </text>
    </comment>
    <comment ref="J98" authorId="0">
      <text>
        <r>
          <rPr>
            <b/>
            <sz val="8"/>
            <rFont val="Tahoma"/>
            <family val="2"/>
          </rPr>
          <t xml:space="preserve"> S Jackson:</t>
        </r>
        <r>
          <rPr>
            <sz val="8"/>
            <rFont val="Tahoma"/>
            <family val="2"/>
          </rPr>
          <t xml:space="preserve">
assumed CFL hours, small retail</t>
        </r>
      </text>
    </comment>
    <comment ref="C99" authorId="1">
      <text>
        <r>
          <rPr>
            <b/>
            <sz val="8"/>
            <rFont val="Tahoma"/>
            <family val="2"/>
          </rPr>
          <t xml:space="preserve"> :</t>
        </r>
        <r>
          <rPr>
            <sz val="8"/>
            <rFont val="Tahoma"/>
            <family val="2"/>
          </rPr>
          <t xml:space="preserve">
Assumed 15W (replacement of 60W bulbs, apartment bldg)</t>
        </r>
      </text>
    </comment>
    <comment ref="J99" authorId="0">
      <text>
        <r>
          <rPr>
            <b/>
            <sz val="8"/>
            <rFont val="Tahoma"/>
            <family val="2"/>
          </rPr>
          <t xml:space="preserve"> S Jackson:</t>
        </r>
        <r>
          <rPr>
            <sz val="8"/>
            <rFont val="Tahoma"/>
            <family val="2"/>
          </rPr>
          <t xml:space="preserve">
assumed CFL hours, small retail</t>
        </r>
      </text>
    </comment>
    <comment ref="L99" authorId="1">
      <text>
        <r>
          <rPr>
            <b/>
            <sz val="8"/>
            <rFont val="Tahoma"/>
            <family val="2"/>
          </rPr>
          <t xml:space="preserve"> S Jackson:</t>
        </r>
        <r>
          <rPr>
            <sz val="8"/>
            <rFont val="Tahoma"/>
            <family val="2"/>
          </rPr>
          <t xml:space="preserve">
used prescriptive annual hours (not on quasi-prescriptive assumptions.)</t>
        </r>
      </text>
    </comment>
    <comment ref="J100" authorId="0">
      <text>
        <r>
          <rPr>
            <b/>
            <sz val="8"/>
            <rFont val="Tahoma"/>
            <family val="2"/>
          </rPr>
          <t xml:space="preserve"> S Jackson:</t>
        </r>
        <r>
          <rPr>
            <sz val="8"/>
            <rFont val="Tahoma"/>
            <family val="2"/>
          </rPr>
          <t xml:space="preserve">
assumed 4450 annual operating hours (large/small retail incl restaraunts)</t>
        </r>
      </text>
    </comment>
    <comment ref="L100" authorId="1">
      <text>
        <r>
          <rPr>
            <b/>
            <sz val="8"/>
            <rFont val="Tahoma"/>
            <family val="2"/>
          </rPr>
          <t xml:space="preserve"> S Jackson:</t>
        </r>
        <r>
          <rPr>
            <sz val="8"/>
            <rFont val="Tahoma"/>
            <family val="2"/>
          </rPr>
          <t xml:space="preserve">
used prescriptive annual hours (not on quasi-prescriptive assumptions.)</t>
        </r>
      </text>
    </comment>
    <comment ref="J101" authorId="0">
      <text>
        <r>
          <rPr>
            <b/>
            <sz val="8"/>
            <rFont val="Tahoma"/>
            <family val="2"/>
          </rPr>
          <t xml:space="preserve"> S Jackson:</t>
        </r>
        <r>
          <rPr>
            <sz val="8"/>
            <rFont val="Tahoma"/>
            <family val="2"/>
          </rPr>
          <t xml:space="preserve">
assumed 4450 annual operating hours (large/small retail incl restaraunts)</t>
        </r>
      </text>
    </comment>
    <comment ref="L101" authorId="1">
      <text>
        <r>
          <rPr>
            <b/>
            <sz val="8"/>
            <rFont val="Tahoma"/>
            <family val="2"/>
          </rPr>
          <t xml:space="preserve"> S Jackson:</t>
        </r>
        <r>
          <rPr>
            <sz val="8"/>
            <rFont val="Tahoma"/>
            <family val="2"/>
          </rPr>
          <t xml:space="preserve">
assumed CFL hours, small retail</t>
        </r>
      </text>
    </comment>
    <comment ref="J102" authorId="0">
      <text>
        <r>
          <rPr>
            <b/>
            <sz val="8"/>
            <rFont val="Tahoma"/>
            <family val="2"/>
          </rPr>
          <t xml:space="preserve"> S Jackson:</t>
        </r>
        <r>
          <rPr>
            <sz val="8"/>
            <rFont val="Tahoma"/>
            <family val="2"/>
          </rPr>
          <t xml:space="preserve">
assumed 4450 annual operating hours (large/small retail incl restaraunts)</t>
        </r>
      </text>
    </comment>
    <comment ref="L102" authorId="1">
      <text>
        <r>
          <rPr>
            <b/>
            <sz val="8"/>
            <rFont val="Tahoma"/>
            <family val="2"/>
          </rPr>
          <t xml:space="preserve"> S Jackson:</t>
        </r>
        <r>
          <rPr>
            <sz val="8"/>
            <rFont val="Tahoma"/>
            <family val="2"/>
          </rPr>
          <t xml:space="preserve">
assumed CFL hours, small retail</t>
        </r>
      </text>
    </comment>
    <comment ref="J103"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L103" authorId="1">
      <text>
        <r>
          <rPr>
            <b/>
            <sz val="8"/>
            <rFont val="Tahoma"/>
            <family val="2"/>
          </rPr>
          <t xml:space="preserve"> S Jackson:</t>
        </r>
        <r>
          <rPr>
            <sz val="8"/>
            <rFont val="Tahoma"/>
            <family val="2"/>
          </rPr>
          <t xml:space="preserve">
assumed CFL hours, small retail</t>
        </r>
      </text>
    </comment>
    <comment ref="J104"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H105" authorId="1">
      <text>
        <r>
          <rPr>
            <b/>
            <sz val="8"/>
            <rFont val="Tahoma"/>
            <family val="2"/>
          </rPr>
          <t xml:space="preserve"> :</t>
        </r>
        <r>
          <rPr>
            <sz val="8"/>
            <rFont val="Tahoma"/>
            <family val="2"/>
          </rPr>
          <t xml:space="preserve">
assumed average of 13W and 15W</t>
        </r>
      </text>
    </comment>
    <comment ref="J105" authorId="0">
      <text>
        <r>
          <rPr>
            <b/>
            <sz val="8"/>
            <rFont val="Tahoma"/>
            <family val="2"/>
          </rPr>
          <t xml:space="preserve"> S Jackson:</t>
        </r>
        <r>
          <rPr>
            <sz val="8"/>
            <rFont val="Tahoma"/>
            <family val="2"/>
          </rPr>
          <t xml:space="preserve">
assumed CFL hours, small retail</t>
        </r>
      </text>
    </comment>
    <comment ref="J106" authorId="0">
      <text>
        <r>
          <rPr>
            <b/>
            <sz val="8"/>
            <rFont val="Tahoma"/>
            <family val="2"/>
          </rPr>
          <t xml:space="preserve"> S Jackson:</t>
        </r>
        <r>
          <rPr>
            <sz val="8"/>
            <rFont val="Tahoma"/>
            <family val="2"/>
          </rPr>
          <t xml:space="preserve">
assumed CFL hours, small retail</t>
        </r>
      </text>
    </comment>
    <comment ref="L106" authorId="1">
      <text>
        <r>
          <rPr>
            <b/>
            <sz val="8"/>
            <rFont val="Tahoma"/>
            <family val="2"/>
          </rPr>
          <t xml:space="preserve"> S Jackson:</t>
        </r>
        <r>
          <rPr>
            <sz val="8"/>
            <rFont val="Tahoma"/>
            <family val="2"/>
          </rPr>
          <t xml:space="preserve">
assumed CFL hours, small retail</t>
        </r>
      </text>
    </comment>
    <comment ref="J107"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L107" authorId="1">
      <text>
        <r>
          <rPr>
            <b/>
            <sz val="8"/>
            <rFont val="Tahoma"/>
            <family val="2"/>
          </rPr>
          <t xml:space="preserve"> S Jackson:</t>
        </r>
        <r>
          <rPr>
            <sz val="8"/>
            <rFont val="Tahoma"/>
            <family val="2"/>
          </rPr>
          <t xml:space="preserve">
assumed CFL hours, small retail</t>
        </r>
      </text>
    </comment>
    <comment ref="J108"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109" authorId="0">
      <text>
        <r>
          <rPr>
            <b/>
            <sz val="8"/>
            <rFont val="Tahoma"/>
            <family val="2"/>
          </rPr>
          <t xml:space="preserve"> S Jackson:</t>
        </r>
        <r>
          <rPr>
            <sz val="8"/>
            <rFont val="Tahoma"/>
            <family val="2"/>
          </rPr>
          <t xml:space="preserve">
assumed CFL hours, small retail</t>
        </r>
      </text>
    </comment>
    <comment ref="J110" authorId="0">
      <text>
        <r>
          <rPr>
            <b/>
            <sz val="8"/>
            <rFont val="Tahoma"/>
            <family val="2"/>
          </rPr>
          <t xml:space="preserve"> S Jackson:</t>
        </r>
        <r>
          <rPr>
            <sz val="8"/>
            <rFont val="Tahoma"/>
            <family val="2"/>
          </rPr>
          <t xml:space="preserve">
assumed CFL hours, small retail</t>
        </r>
      </text>
    </comment>
    <comment ref="J112" authorId="1">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J113" authorId="1">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J117" authorId="0">
      <text>
        <r>
          <rPr>
            <b/>
            <sz val="8"/>
            <rFont val="Tahoma"/>
            <family val="2"/>
          </rPr>
          <t xml:space="preserve"> S Jackson:</t>
        </r>
        <r>
          <rPr>
            <sz val="8"/>
            <rFont val="Tahoma"/>
            <family val="2"/>
          </rPr>
          <t xml:space="preserve">
assumed large retail</t>
        </r>
      </text>
    </comment>
    <comment ref="J118" authorId="0">
      <text>
        <r>
          <rPr>
            <b/>
            <sz val="8"/>
            <rFont val="Tahoma"/>
            <family val="2"/>
          </rPr>
          <t xml:space="preserve"> S Jackson:</t>
        </r>
        <r>
          <rPr>
            <sz val="8"/>
            <rFont val="Tahoma"/>
            <family val="2"/>
          </rPr>
          <t xml:space="preserve">
assumed large retail</t>
        </r>
      </text>
    </comment>
    <comment ref="J119" authorId="0">
      <text>
        <r>
          <rPr>
            <b/>
            <sz val="8"/>
            <rFont val="Tahoma"/>
            <family val="2"/>
          </rPr>
          <t xml:space="preserve"> S Jackson:</t>
        </r>
        <r>
          <rPr>
            <sz val="8"/>
            <rFont val="Tahoma"/>
            <family val="2"/>
          </rPr>
          <t xml:space="preserve">
assumed large retail</t>
        </r>
      </text>
    </comment>
    <comment ref="J120" authorId="0">
      <text>
        <r>
          <rPr>
            <b/>
            <sz val="8"/>
            <rFont val="Tahoma"/>
            <family val="2"/>
          </rPr>
          <t xml:space="preserve"> S Jackson:</t>
        </r>
        <r>
          <rPr>
            <sz val="8"/>
            <rFont val="Tahoma"/>
            <family val="2"/>
          </rPr>
          <t xml:space="preserve">
assumed large retail</t>
        </r>
      </text>
    </comment>
    <comment ref="J123" authorId="0">
      <text>
        <r>
          <rPr>
            <b/>
            <sz val="8"/>
            <rFont val="Tahoma"/>
            <family val="2"/>
          </rPr>
          <t xml:space="preserve"> S Jackson:</t>
        </r>
        <r>
          <rPr>
            <sz val="8"/>
            <rFont val="Tahoma"/>
            <family val="2"/>
          </rPr>
          <t xml:space="preserve">
assumed large retail</t>
        </r>
      </text>
    </comment>
    <comment ref="J124" authorId="0">
      <text>
        <r>
          <rPr>
            <b/>
            <sz val="8"/>
            <rFont val="Tahoma"/>
            <family val="2"/>
          </rPr>
          <t xml:space="preserve"> S Jackson:</t>
        </r>
        <r>
          <rPr>
            <sz val="8"/>
            <rFont val="Tahoma"/>
            <family val="2"/>
          </rPr>
          <t xml:space="preserve">
assumed large retail</t>
        </r>
      </text>
    </comment>
    <comment ref="J125" authorId="0">
      <text>
        <r>
          <rPr>
            <b/>
            <sz val="8"/>
            <rFont val="Tahoma"/>
            <family val="2"/>
          </rPr>
          <t xml:space="preserve"> S Jackson:</t>
        </r>
        <r>
          <rPr>
            <sz val="8"/>
            <rFont val="Tahoma"/>
            <family val="2"/>
          </rPr>
          <t xml:space="preserve">
assumed large retail</t>
        </r>
      </text>
    </comment>
    <comment ref="J126" authorId="0">
      <text>
        <r>
          <rPr>
            <b/>
            <sz val="8"/>
            <rFont val="Tahoma"/>
            <family val="2"/>
          </rPr>
          <t xml:space="preserve"> S Jackson:</t>
        </r>
        <r>
          <rPr>
            <sz val="8"/>
            <rFont val="Tahoma"/>
            <family val="2"/>
          </rPr>
          <t xml:space="preserve">
assumed large retail</t>
        </r>
      </text>
    </comment>
    <comment ref="J146" authorId="0">
      <text>
        <r>
          <rPr>
            <b/>
            <sz val="8"/>
            <rFont val="Tahoma"/>
            <family val="2"/>
          </rPr>
          <t xml:space="preserve"> S Jackson:</t>
        </r>
        <r>
          <rPr>
            <sz val="8"/>
            <rFont val="Tahoma"/>
            <family val="2"/>
          </rPr>
          <t xml:space="preserve">
based on 14 hrs per day, M-F, per verification sheet.</t>
        </r>
      </text>
    </comment>
    <comment ref="K146"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J147" authorId="0">
      <text>
        <r>
          <rPr>
            <b/>
            <sz val="8"/>
            <rFont val="Tahoma"/>
            <family val="2"/>
          </rPr>
          <t xml:space="preserve"> S Jackson:</t>
        </r>
        <r>
          <rPr>
            <sz val="8"/>
            <rFont val="Tahoma"/>
            <family val="2"/>
          </rPr>
          <t xml:space="preserve">
based on 14 hrs per day, M-F, per verification sheet.</t>
        </r>
      </text>
    </comment>
    <comment ref="K147" authorId="0">
      <text>
        <r>
          <rPr>
            <b/>
            <sz val="8"/>
            <rFont val="Tahoma"/>
            <family val="2"/>
          </rPr>
          <t xml:space="preserve"> S Jackson:</t>
        </r>
        <r>
          <rPr>
            <sz val="8"/>
            <rFont val="Tahoma"/>
            <family val="2"/>
          </rPr>
          <t xml:space="preserve">
used custom project worksheets for assumptions since this lighting not on quasi-prescriptive assumptions list.
</t>
        </r>
      </text>
    </comment>
    <comment ref="J148" authorId="0">
      <text>
        <r>
          <rPr>
            <b/>
            <sz val="8"/>
            <rFont val="Tahoma"/>
            <family val="2"/>
          </rPr>
          <t xml:space="preserve"> S Jackson:</t>
        </r>
        <r>
          <rPr>
            <sz val="8"/>
            <rFont val="Tahoma"/>
            <family val="2"/>
          </rPr>
          <t xml:space="preserve">
based on 14 hrs per day, M-F, per verification sheet.</t>
        </r>
      </text>
    </comment>
    <comment ref="K148"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J149" authorId="0">
      <text>
        <r>
          <rPr>
            <b/>
            <sz val="8"/>
            <rFont val="Tahoma"/>
            <family val="2"/>
          </rPr>
          <t xml:space="preserve"> S Jackson:</t>
        </r>
        <r>
          <rPr>
            <sz val="8"/>
            <rFont val="Tahoma"/>
            <family val="2"/>
          </rPr>
          <t xml:space="preserve">
based on 14 hrs per day, M-F, per verification sheet.</t>
        </r>
      </text>
    </comment>
    <comment ref="K149"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J151" authorId="0">
      <text>
        <r>
          <rPr>
            <b/>
            <sz val="8"/>
            <rFont val="Tahoma"/>
            <family val="2"/>
          </rPr>
          <t xml:space="preserve"> S Jackson:</t>
        </r>
        <r>
          <rPr>
            <sz val="8"/>
            <rFont val="Tahoma"/>
            <family val="2"/>
          </rPr>
          <t xml:space="preserve">
based on 14 hrs per day, M-F, per verification sheet.</t>
        </r>
      </text>
    </comment>
    <comment ref="K151"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J152" authorId="0">
      <text>
        <r>
          <rPr>
            <b/>
            <sz val="8"/>
            <rFont val="Tahoma"/>
            <family val="2"/>
          </rPr>
          <t xml:space="preserve"> S Jackson:</t>
        </r>
        <r>
          <rPr>
            <sz val="8"/>
            <rFont val="Tahoma"/>
            <family val="2"/>
          </rPr>
          <t xml:space="preserve">
based on 14 hrs per day, M-F, per verification sheet.</t>
        </r>
      </text>
    </comment>
    <comment ref="K152"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J153" authorId="0">
      <text>
        <r>
          <rPr>
            <b/>
            <sz val="8"/>
            <rFont val="Tahoma"/>
            <family val="2"/>
          </rPr>
          <t xml:space="preserve"> S Jackson:</t>
        </r>
        <r>
          <rPr>
            <sz val="8"/>
            <rFont val="Tahoma"/>
            <family val="2"/>
          </rPr>
          <t xml:space="preserve">
based on 14 hrs per day, M-F, per verification sheet.</t>
        </r>
      </text>
    </comment>
    <comment ref="K153" authorId="0">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K173" authorId="0">
      <text>
        <r>
          <rPr>
            <b/>
            <sz val="8"/>
            <rFont val="Tahoma"/>
            <family val="2"/>
          </rPr>
          <t xml:space="preserve"> S Jackson:</t>
        </r>
        <r>
          <rPr>
            <sz val="8"/>
            <rFont val="Tahoma"/>
            <family val="2"/>
          </rPr>
          <t xml:space="preserve">
assumed base 400W</t>
        </r>
      </text>
    </comment>
  </commentList>
</comments>
</file>

<file path=xl/comments6.xml><?xml version="1.0" encoding="utf-8"?>
<comments xmlns="http://schemas.openxmlformats.org/spreadsheetml/2006/main">
  <authors>
    <author>A satisfied Microsoft Office User</author>
    <author> S Jackson</author>
  </authors>
  <commentList>
    <comment ref="C86" authorId="0">
      <text>
        <r>
          <rPr>
            <b/>
            <sz val="8"/>
            <rFont val="Tahoma"/>
            <family val="2"/>
          </rPr>
          <t xml:space="preserve"> :</t>
        </r>
        <r>
          <rPr>
            <sz val="8"/>
            <rFont val="Tahoma"/>
            <family val="2"/>
          </rPr>
          <t xml:space="preserve">
Assumed 15W (replacement of 60W bulbs, apartment bldg)</t>
        </r>
      </text>
    </comment>
    <comment ref="H92" authorId="0">
      <text>
        <r>
          <rPr>
            <b/>
            <sz val="8"/>
            <rFont val="Tahoma"/>
            <family val="2"/>
          </rPr>
          <t xml:space="preserve"> :</t>
        </r>
        <r>
          <rPr>
            <sz val="8"/>
            <rFont val="Tahoma"/>
            <family val="2"/>
          </rPr>
          <t xml:space="preserve">
assumed average of 13W and 15W</t>
        </r>
      </text>
    </comment>
    <comment ref="M28" authorId="0">
      <text>
        <r>
          <rPr>
            <b/>
            <sz val="8"/>
            <rFont val="Tahoma"/>
            <family val="2"/>
          </rPr>
          <t xml:space="preserve"> :</t>
        </r>
        <r>
          <rPr>
            <sz val="8"/>
            <rFont val="Tahoma"/>
            <family val="2"/>
          </rPr>
          <t xml:space="preserve">
Assume 0% free ridership due to need for specific application.</t>
        </r>
      </text>
    </comment>
    <comment ref="K26" authorId="1">
      <text>
        <r>
          <rPr>
            <b/>
            <sz val="8"/>
            <rFont val="Tahoma"/>
            <family val="2"/>
          </rPr>
          <t xml:space="preserve"> :</t>
        </r>
        <r>
          <rPr>
            <sz val="8"/>
            <rFont val="Tahoma"/>
            <family val="2"/>
          </rPr>
          <t xml:space="preserve">
used summer savings assumption</t>
        </r>
      </text>
    </comment>
    <comment ref="P8" authorId="0">
      <text>
        <r>
          <rPr>
            <b/>
            <sz val="8"/>
            <rFont val="Tahoma"/>
            <family val="2"/>
          </rPr>
          <t xml:space="preserve"> :</t>
        </r>
        <r>
          <rPr>
            <sz val="8"/>
            <rFont val="Tahoma"/>
            <family val="2"/>
          </rPr>
          <t xml:space="preserve">
updated per Mar 08 assumptions.</t>
        </r>
      </text>
    </comment>
    <comment ref="J16" authorId="0">
      <text>
        <r>
          <rPr>
            <b/>
            <sz val="8"/>
            <rFont val="Tahoma"/>
            <family val="2"/>
          </rPr>
          <t xml:space="preserve"> S Jackson:</t>
        </r>
        <r>
          <rPr>
            <sz val="8"/>
            <rFont val="Tahoma"/>
            <family val="2"/>
          </rPr>
          <t xml:space="preserve">
assumed avg between kitchen and bathroom</t>
        </r>
      </text>
    </comment>
    <comment ref="N28" authorId="0">
      <text>
        <r>
          <rPr>
            <b/>
            <sz val="8"/>
            <rFont val="Tahoma"/>
            <family val="2"/>
          </rPr>
          <t xml:space="preserve"> S Jackson:</t>
        </r>
        <r>
          <rPr>
            <sz val="8"/>
            <rFont val="Tahoma"/>
            <family val="2"/>
          </rPr>
          <t xml:space="preserve">
total KWh reductions saved per Harris</t>
        </r>
      </text>
    </comment>
    <comment ref="J32" authorId="1">
      <text>
        <r>
          <rPr>
            <b/>
            <sz val="8"/>
            <rFont val="Tahoma"/>
            <family val="2"/>
          </rPr>
          <t xml:space="preserve"> S Jackson:</t>
        </r>
        <r>
          <rPr>
            <sz val="8"/>
            <rFont val="Tahoma"/>
            <family val="2"/>
          </rPr>
          <t xml:space="preserve">
assumed 2150 annual operating hours (Schools)</t>
        </r>
      </text>
    </comment>
    <comment ref="J33" authorId="1">
      <text>
        <r>
          <rPr>
            <b/>
            <sz val="8"/>
            <rFont val="Tahoma"/>
            <family val="2"/>
          </rPr>
          <t xml:space="preserve"> S Jackson:</t>
        </r>
        <r>
          <rPr>
            <sz val="8"/>
            <rFont val="Tahoma"/>
            <family val="2"/>
          </rPr>
          <t xml:space="preserve">
assumed 2150 annual operating hours (Schools)</t>
        </r>
      </text>
    </comment>
    <comment ref="J34" authorId="1">
      <text>
        <r>
          <rPr>
            <b/>
            <sz val="8"/>
            <rFont val="Tahoma"/>
            <family val="2"/>
          </rPr>
          <t xml:space="preserve"> S Jackson:</t>
        </r>
        <r>
          <rPr>
            <sz val="8"/>
            <rFont val="Tahoma"/>
            <family val="2"/>
          </rPr>
          <t xml:space="preserve">
assumed 2150 annual operating hours (Schools)</t>
        </r>
      </text>
    </comment>
    <comment ref="J35" authorId="1">
      <text>
        <r>
          <rPr>
            <b/>
            <sz val="8"/>
            <rFont val="Tahoma"/>
            <family val="2"/>
          </rPr>
          <t xml:space="preserve"> S Jackson:</t>
        </r>
        <r>
          <rPr>
            <sz val="8"/>
            <rFont val="Tahoma"/>
            <family val="2"/>
          </rPr>
          <t xml:space="preserve">
assumed 2150 annual operating hours (Schools)</t>
        </r>
      </text>
    </comment>
    <comment ref="J36" authorId="1">
      <text>
        <r>
          <rPr>
            <b/>
            <sz val="8"/>
            <rFont val="Tahoma"/>
            <family val="2"/>
          </rPr>
          <t xml:space="preserve"> S Jackson:</t>
        </r>
        <r>
          <rPr>
            <sz val="8"/>
            <rFont val="Tahoma"/>
            <family val="2"/>
          </rPr>
          <t xml:space="preserve">
assumed 2150 annual operating hours (Schools)</t>
        </r>
      </text>
    </comment>
    <comment ref="J37" authorId="1">
      <text>
        <r>
          <rPr>
            <b/>
            <sz val="8"/>
            <rFont val="Tahoma"/>
            <family val="2"/>
          </rPr>
          <t xml:space="preserve"> S Jackson:</t>
        </r>
        <r>
          <rPr>
            <sz val="8"/>
            <rFont val="Tahoma"/>
            <family val="2"/>
          </rPr>
          <t xml:space="preserve">
assumed 2150 annual operating hours (Schools)</t>
        </r>
      </text>
    </comment>
    <comment ref="J38" authorId="1">
      <text>
        <r>
          <rPr>
            <b/>
            <sz val="8"/>
            <rFont val="Tahoma"/>
            <family val="2"/>
          </rPr>
          <t xml:space="preserve"> S Jackson:</t>
        </r>
        <r>
          <rPr>
            <sz val="8"/>
            <rFont val="Tahoma"/>
            <family val="2"/>
          </rPr>
          <t xml:space="preserve">
assumed 2150 annual operating hours (Schools)</t>
        </r>
      </text>
    </comment>
    <comment ref="J39" authorId="1">
      <text>
        <r>
          <rPr>
            <b/>
            <sz val="8"/>
            <rFont val="Tahoma"/>
            <family val="2"/>
          </rPr>
          <t xml:space="preserve"> S Jackson:</t>
        </r>
        <r>
          <rPr>
            <sz val="8"/>
            <rFont val="Tahoma"/>
            <family val="2"/>
          </rPr>
          <t xml:space="preserve">
assumed 2150 annual operating hours (Schools)</t>
        </r>
      </text>
    </comment>
    <comment ref="J40" authorId="1">
      <text>
        <r>
          <rPr>
            <b/>
            <sz val="8"/>
            <rFont val="Tahoma"/>
            <family val="2"/>
          </rPr>
          <t xml:space="preserve"> S Jackson:</t>
        </r>
        <r>
          <rPr>
            <sz val="8"/>
            <rFont val="Tahoma"/>
            <family val="2"/>
          </rPr>
          <t xml:space="preserve">
assumed 2150 annual operating hours (Schools)</t>
        </r>
      </text>
    </comment>
    <comment ref="J42" authorId="1">
      <text>
        <r>
          <rPr>
            <b/>
            <sz val="8"/>
            <rFont val="Tahoma"/>
            <family val="2"/>
          </rPr>
          <t xml:space="preserve"> S Jackson:</t>
        </r>
        <r>
          <rPr>
            <sz val="8"/>
            <rFont val="Tahoma"/>
            <family val="2"/>
          </rPr>
          <t xml:space="preserve">
assumed 2150 annual operating hours (Schools)</t>
        </r>
      </text>
    </comment>
    <comment ref="J43" authorId="1">
      <text>
        <r>
          <rPr>
            <b/>
            <sz val="8"/>
            <rFont val="Tahoma"/>
            <family val="2"/>
          </rPr>
          <t xml:space="preserve"> S Jackson:</t>
        </r>
        <r>
          <rPr>
            <sz val="8"/>
            <rFont val="Tahoma"/>
            <family val="2"/>
          </rPr>
          <t xml:space="preserve">
assumed 2150 annual operating hours (Schools)</t>
        </r>
      </text>
    </comment>
    <comment ref="J44" authorId="1">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J45" authorId="1">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J46" authorId="1">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J47" authorId="1">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J48" authorId="1">
      <text>
        <r>
          <rPr>
            <b/>
            <sz val="8"/>
            <rFont val="Tahoma"/>
            <family val="2"/>
          </rPr>
          <t xml:space="preserve"> S Jackson:</t>
        </r>
        <r>
          <rPr>
            <sz val="8"/>
            <rFont val="Tahoma"/>
            <family val="2"/>
          </rPr>
          <t xml:space="preserve">
assumed 4450 annual operating hours (large/small retail incl restaraunts)</t>
        </r>
      </text>
    </comment>
    <comment ref="J87" authorId="1">
      <text>
        <r>
          <rPr>
            <b/>
            <sz val="8"/>
            <rFont val="Tahoma"/>
            <family val="2"/>
          </rPr>
          <t xml:space="preserve"> S Jackson:</t>
        </r>
        <r>
          <rPr>
            <sz val="8"/>
            <rFont val="Tahoma"/>
            <family val="2"/>
          </rPr>
          <t xml:space="preserve">
assumed 4450 annual operating hours (large/small retail incl restaraunts)</t>
        </r>
      </text>
    </comment>
    <comment ref="J88" authorId="1">
      <text>
        <r>
          <rPr>
            <b/>
            <sz val="8"/>
            <rFont val="Tahoma"/>
            <family val="2"/>
          </rPr>
          <t xml:space="preserve"> S Jackson:</t>
        </r>
        <r>
          <rPr>
            <sz val="8"/>
            <rFont val="Tahoma"/>
            <family val="2"/>
          </rPr>
          <t xml:space="preserve">
assumed 4450 annual operating hours (large/small retail incl restaraunts)</t>
        </r>
      </text>
    </comment>
    <comment ref="J89" authorId="1">
      <text>
        <r>
          <rPr>
            <b/>
            <sz val="8"/>
            <rFont val="Tahoma"/>
            <family val="2"/>
          </rPr>
          <t xml:space="preserve"> S Jackson:</t>
        </r>
        <r>
          <rPr>
            <sz val="8"/>
            <rFont val="Tahoma"/>
            <family val="2"/>
          </rPr>
          <t xml:space="preserve">
assumed 4450 annual operating hours (large/small retail incl restaraunts)</t>
        </r>
      </text>
    </comment>
    <comment ref="J90"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91"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94"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95"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98" authorId="0">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J99" authorId="0">
      <text>
        <r>
          <rPr>
            <b/>
            <sz val="8"/>
            <rFont val="Tahoma"/>
            <family val="2"/>
          </rPr>
          <t xml:space="preserve"> S Jackson:</t>
        </r>
        <r>
          <rPr>
            <sz val="8"/>
            <rFont val="Tahoma"/>
            <family val="2"/>
          </rPr>
          <t xml:space="preserve">
- assumed similar lumination for base equipment
- assumed 4000 annual operating hours (large/small Office)</t>
        </r>
      </text>
    </comment>
    <comment ref="J17"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18"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19"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20"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21"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23"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24" authorId="1">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J22" authorId="0">
      <text>
        <r>
          <rPr>
            <b/>
            <sz val="8"/>
            <rFont val="Tahoma"/>
            <family val="2"/>
          </rPr>
          <t xml:space="preserve"> S Jackson:</t>
        </r>
        <r>
          <rPr>
            <sz val="8"/>
            <rFont val="Tahoma"/>
            <family val="2"/>
          </rPr>
          <t xml:space="preserve">
- assumed similar lumination for base equipment
- assumed 4450 annual operating hours (large/small retail)</t>
        </r>
      </text>
    </comment>
    <comment ref="L29" authorId="0">
      <text>
        <r>
          <rPr>
            <b/>
            <sz val="8"/>
            <rFont val="Tahoma"/>
            <family val="2"/>
          </rPr>
          <t xml:space="preserve"> S Jackson:</t>
        </r>
        <r>
          <rPr>
            <sz val="8"/>
            <rFont val="Tahoma"/>
            <family val="2"/>
          </rPr>
          <t xml:space="preserve">
no OPA assumptions available; previous inputs used.</t>
        </r>
      </text>
    </comment>
    <comment ref="K48" authorId="0">
      <text>
        <r>
          <rPr>
            <b/>
            <sz val="8"/>
            <rFont val="Tahoma"/>
            <family val="2"/>
          </rPr>
          <t xml:space="preserve"> S Jackson:</t>
        </r>
        <r>
          <rPr>
            <sz val="8"/>
            <rFont val="Tahoma"/>
            <family val="2"/>
          </rPr>
          <t xml:space="preserve">
- W not specified on base or replacement bulb.  Assumed mid bulbs (75 and 18W)</t>
        </r>
      </text>
    </comment>
    <comment ref="K49" authorId="0">
      <text>
        <r>
          <rPr>
            <b/>
            <sz val="8"/>
            <rFont val="Tahoma"/>
            <family val="2"/>
          </rPr>
          <t xml:space="preserve"> S Jackson:</t>
        </r>
        <r>
          <rPr>
            <sz val="8"/>
            <rFont val="Tahoma"/>
            <family val="2"/>
          </rPr>
          <t xml:space="preserve">
- assumed replacing same number of lamps</t>
        </r>
      </text>
    </comment>
    <comment ref="I11" authorId="1">
      <text>
        <r>
          <rPr>
            <b/>
            <sz val="8"/>
            <rFont val="Tahoma"/>
            <family val="2"/>
          </rPr>
          <t xml:space="preserve"> S Jackson:</t>
        </r>
        <r>
          <rPr>
            <sz val="8"/>
            <rFont val="Tahoma"/>
            <family val="2"/>
          </rPr>
          <t xml:space="preserve">
assumed 2 lamp
</t>
        </r>
      </text>
    </comment>
    <comment ref="I12" authorId="1">
      <text>
        <r>
          <rPr>
            <b/>
            <sz val="8"/>
            <rFont val="Tahoma"/>
            <family val="2"/>
          </rPr>
          <t xml:space="preserve"> S Jackson:</t>
        </r>
        <r>
          <rPr>
            <sz val="8"/>
            <rFont val="Tahoma"/>
            <family val="2"/>
          </rPr>
          <t xml:space="preserve">
assumed 15w</t>
        </r>
      </text>
    </comment>
    <comment ref="I7" authorId="1">
      <text>
        <r>
          <rPr>
            <b/>
            <sz val="8"/>
            <rFont val="Tahoma"/>
            <family val="2"/>
          </rPr>
          <t xml:space="preserve"> S Jackson:</t>
        </r>
        <r>
          <rPr>
            <sz val="8"/>
            <rFont val="Tahoma"/>
            <family val="2"/>
          </rPr>
          <t xml:space="preserve">
assumed gas forced-air</t>
        </r>
      </text>
    </comment>
    <comment ref="I15" authorId="1">
      <text>
        <r>
          <rPr>
            <b/>
            <sz val="8"/>
            <rFont val="Tahoma"/>
            <family val="2"/>
          </rPr>
          <t xml:space="preserve"> S Jackson:</t>
        </r>
        <r>
          <rPr>
            <sz val="8"/>
            <rFont val="Tahoma"/>
            <family val="2"/>
          </rPr>
          <t xml:space="preserve">
assumed gas forced-air</t>
        </r>
      </text>
    </comment>
    <comment ref="I17" authorId="1">
      <text>
        <r>
          <rPr>
            <b/>
            <sz val="8"/>
            <rFont val="Tahoma"/>
            <family val="2"/>
          </rPr>
          <t xml:space="preserve"> S Jackson:</t>
        </r>
        <r>
          <rPr>
            <sz val="8"/>
            <rFont val="Tahoma"/>
            <family val="2"/>
          </rPr>
          <t xml:space="preserve">
assumed gas forced-air</t>
        </r>
      </text>
    </comment>
    <comment ref="P41" authorId="0">
      <text>
        <r>
          <rPr>
            <b/>
            <sz val="8"/>
            <rFont val="Tahoma"/>
            <family val="2"/>
          </rPr>
          <t xml:space="preserve"> S Jackson:</t>
        </r>
        <r>
          <rPr>
            <sz val="8"/>
            <rFont val="Tahoma"/>
            <family val="2"/>
          </rPr>
          <t xml:space="preserve">
assumed school hours</t>
        </r>
      </text>
    </comment>
    <comment ref="P42" authorId="0">
      <text>
        <r>
          <rPr>
            <b/>
            <sz val="8"/>
            <rFont val="Tahoma"/>
            <family val="2"/>
          </rPr>
          <t xml:space="preserve"> S Jackson:</t>
        </r>
        <r>
          <rPr>
            <sz val="8"/>
            <rFont val="Tahoma"/>
            <family val="2"/>
          </rPr>
          <t xml:space="preserve">
assumed school hours</t>
        </r>
      </text>
    </comment>
    <comment ref="P43" authorId="0">
      <text>
        <r>
          <rPr>
            <b/>
            <sz val="8"/>
            <rFont val="Tahoma"/>
            <family val="2"/>
          </rPr>
          <t xml:space="preserve"> S Jackson:</t>
        </r>
        <r>
          <rPr>
            <sz val="8"/>
            <rFont val="Tahoma"/>
            <family val="2"/>
          </rPr>
          <t xml:space="preserve">
assumed school hours</t>
        </r>
      </text>
    </comment>
    <comment ref="P44" authorId="0">
      <text>
        <r>
          <rPr>
            <b/>
            <sz val="8"/>
            <rFont val="Tahoma"/>
            <family val="2"/>
          </rPr>
          <t xml:space="preserve"> S Jackson:</t>
        </r>
        <r>
          <rPr>
            <sz val="8"/>
            <rFont val="Tahoma"/>
            <family val="2"/>
          </rPr>
          <t xml:space="preserve">
assumed school hours</t>
        </r>
      </text>
    </comment>
    <comment ref="P45" authorId="0">
      <text>
        <r>
          <rPr>
            <b/>
            <sz val="8"/>
            <rFont val="Tahoma"/>
            <family val="2"/>
          </rPr>
          <t xml:space="preserve"> S Jackson:</t>
        </r>
        <r>
          <rPr>
            <sz val="8"/>
            <rFont val="Tahoma"/>
            <family val="2"/>
          </rPr>
          <t xml:space="preserve">
assumed school hours</t>
        </r>
      </text>
    </comment>
    <comment ref="P46" authorId="0">
      <text>
        <r>
          <rPr>
            <b/>
            <sz val="8"/>
            <rFont val="Tahoma"/>
            <family val="2"/>
          </rPr>
          <t xml:space="preserve"> S Jackson:</t>
        </r>
        <r>
          <rPr>
            <sz val="8"/>
            <rFont val="Tahoma"/>
            <family val="2"/>
          </rPr>
          <t xml:space="preserve">
assumed school hours</t>
        </r>
      </text>
    </comment>
    <comment ref="P47" authorId="0">
      <text>
        <r>
          <rPr>
            <b/>
            <sz val="8"/>
            <rFont val="Tahoma"/>
            <family val="2"/>
          </rPr>
          <t xml:space="preserve"> S Jackson:</t>
        </r>
        <r>
          <rPr>
            <sz val="8"/>
            <rFont val="Tahoma"/>
            <family val="2"/>
          </rPr>
          <t xml:space="preserve">
assumed school hours</t>
        </r>
      </text>
    </comment>
    <comment ref="J49" authorId="1">
      <text>
        <r>
          <rPr>
            <b/>
            <sz val="8"/>
            <rFont val="Tahoma"/>
            <family val="2"/>
          </rPr>
          <t xml:space="preserve"> S Jackson:</t>
        </r>
        <r>
          <rPr>
            <sz val="8"/>
            <rFont val="Tahoma"/>
            <family val="2"/>
          </rPr>
          <t xml:space="preserve">
assumed school hours</t>
        </r>
      </text>
    </comment>
    <comment ref="J50" authorId="1">
      <text>
        <r>
          <rPr>
            <b/>
            <sz val="8"/>
            <rFont val="Tahoma"/>
            <family val="2"/>
          </rPr>
          <t xml:space="preserve"> S Jackson:</t>
        </r>
        <r>
          <rPr>
            <sz val="8"/>
            <rFont val="Tahoma"/>
            <family val="2"/>
          </rPr>
          <t xml:space="preserve">
assumed school hours</t>
        </r>
      </text>
    </comment>
    <comment ref="J53" authorId="1">
      <text>
        <r>
          <rPr>
            <b/>
            <sz val="8"/>
            <rFont val="Tahoma"/>
            <family val="2"/>
          </rPr>
          <t xml:space="preserve"> S Jackson:</t>
        </r>
        <r>
          <rPr>
            <sz val="8"/>
            <rFont val="Tahoma"/>
            <family val="2"/>
          </rPr>
          <t xml:space="preserve">
assumed school hours</t>
        </r>
      </text>
    </comment>
    <comment ref="J54" authorId="1">
      <text>
        <r>
          <rPr>
            <b/>
            <sz val="8"/>
            <rFont val="Tahoma"/>
            <family val="2"/>
          </rPr>
          <t xml:space="preserve"> S Jackson:</t>
        </r>
        <r>
          <rPr>
            <sz val="8"/>
            <rFont val="Tahoma"/>
            <family val="2"/>
          </rPr>
          <t xml:space="preserve">
assumed small office</t>
        </r>
      </text>
    </comment>
    <comment ref="J55" authorId="1">
      <text>
        <r>
          <rPr>
            <b/>
            <sz val="8"/>
            <rFont val="Tahoma"/>
            <family val="2"/>
          </rPr>
          <t xml:space="preserve"> S Jackson:</t>
        </r>
        <r>
          <rPr>
            <sz val="8"/>
            <rFont val="Tahoma"/>
            <family val="2"/>
          </rPr>
          <t xml:space="preserve">
assumed small office</t>
        </r>
      </text>
    </comment>
    <comment ref="J56" authorId="1">
      <text>
        <r>
          <rPr>
            <b/>
            <sz val="8"/>
            <rFont val="Tahoma"/>
            <family val="2"/>
          </rPr>
          <t xml:space="preserve"> S Jackson:</t>
        </r>
        <r>
          <rPr>
            <sz val="8"/>
            <rFont val="Tahoma"/>
            <family val="2"/>
          </rPr>
          <t xml:space="preserve">
assumed small office</t>
        </r>
      </text>
    </comment>
    <comment ref="J57" authorId="1">
      <text>
        <r>
          <rPr>
            <b/>
            <sz val="8"/>
            <rFont val="Tahoma"/>
            <family val="2"/>
          </rPr>
          <t xml:space="preserve"> S Jackson:</t>
        </r>
        <r>
          <rPr>
            <sz val="8"/>
            <rFont val="Tahoma"/>
            <family val="2"/>
          </rPr>
          <t xml:space="preserve">
assumed small office</t>
        </r>
      </text>
    </comment>
    <comment ref="J52" authorId="1">
      <text>
        <r>
          <rPr>
            <b/>
            <sz val="8"/>
            <rFont val="Tahoma"/>
            <family val="2"/>
          </rPr>
          <t xml:space="preserve"> S Jackson:</t>
        </r>
        <r>
          <rPr>
            <sz val="8"/>
            <rFont val="Tahoma"/>
            <family val="2"/>
          </rPr>
          <t xml:space="preserve">
assumed school hours</t>
        </r>
      </text>
    </comment>
    <comment ref="J102" authorId="1">
      <text>
        <r>
          <rPr>
            <b/>
            <sz val="8"/>
            <rFont val="Tahoma"/>
            <family val="2"/>
          </rPr>
          <t xml:space="preserve"> S Jackson:</t>
        </r>
        <r>
          <rPr>
            <sz val="8"/>
            <rFont val="Tahoma"/>
            <family val="2"/>
          </rPr>
          <t xml:space="preserve">
assumed large retail</t>
        </r>
      </text>
    </comment>
    <comment ref="J107" authorId="1">
      <text>
        <r>
          <rPr>
            <b/>
            <sz val="8"/>
            <rFont val="Tahoma"/>
            <family val="2"/>
          </rPr>
          <t xml:space="preserve"> S Jackson:</t>
        </r>
        <r>
          <rPr>
            <sz val="8"/>
            <rFont val="Tahoma"/>
            <family val="2"/>
          </rPr>
          <t xml:space="preserve">
assumed large retail</t>
        </r>
      </text>
    </comment>
    <comment ref="J103" authorId="1">
      <text>
        <r>
          <rPr>
            <b/>
            <sz val="8"/>
            <rFont val="Tahoma"/>
            <family val="2"/>
          </rPr>
          <t xml:space="preserve"> S Jackson:</t>
        </r>
        <r>
          <rPr>
            <sz val="8"/>
            <rFont val="Tahoma"/>
            <family val="2"/>
          </rPr>
          <t xml:space="preserve">
assumed large retail</t>
        </r>
      </text>
    </comment>
    <comment ref="J104" authorId="1">
      <text>
        <r>
          <rPr>
            <b/>
            <sz val="8"/>
            <rFont val="Tahoma"/>
            <family val="2"/>
          </rPr>
          <t xml:space="preserve"> S Jackson:</t>
        </r>
        <r>
          <rPr>
            <sz val="8"/>
            <rFont val="Tahoma"/>
            <family val="2"/>
          </rPr>
          <t xml:space="preserve">
assumed large retail</t>
        </r>
      </text>
    </comment>
    <comment ref="J105" authorId="1">
      <text>
        <r>
          <rPr>
            <b/>
            <sz val="8"/>
            <rFont val="Tahoma"/>
            <family val="2"/>
          </rPr>
          <t xml:space="preserve"> S Jackson:</t>
        </r>
        <r>
          <rPr>
            <sz val="8"/>
            <rFont val="Tahoma"/>
            <family val="2"/>
          </rPr>
          <t xml:space="preserve">
assumed large retail</t>
        </r>
      </text>
    </comment>
    <comment ref="J108" authorId="1">
      <text>
        <r>
          <rPr>
            <b/>
            <sz val="8"/>
            <rFont val="Tahoma"/>
            <family val="2"/>
          </rPr>
          <t xml:space="preserve"> S Jackson:</t>
        </r>
        <r>
          <rPr>
            <sz val="8"/>
            <rFont val="Tahoma"/>
            <family val="2"/>
          </rPr>
          <t xml:space="preserve">
assumed large retail</t>
        </r>
      </text>
    </comment>
    <comment ref="J109" authorId="1">
      <text>
        <r>
          <rPr>
            <b/>
            <sz val="8"/>
            <rFont val="Tahoma"/>
            <family val="2"/>
          </rPr>
          <t xml:space="preserve"> S Jackson:</t>
        </r>
        <r>
          <rPr>
            <sz val="8"/>
            <rFont val="Tahoma"/>
            <family val="2"/>
          </rPr>
          <t xml:space="preserve">
assumed large retail</t>
        </r>
      </text>
    </comment>
    <comment ref="J110" authorId="1">
      <text>
        <r>
          <rPr>
            <b/>
            <sz val="8"/>
            <rFont val="Tahoma"/>
            <family val="2"/>
          </rPr>
          <t xml:space="preserve"> S Jackson:</t>
        </r>
        <r>
          <rPr>
            <sz val="8"/>
            <rFont val="Tahoma"/>
            <family val="2"/>
          </rPr>
          <t xml:space="preserve">
assumed large retail</t>
        </r>
      </text>
    </comment>
    <comment ref="P23" authorId="0">
      <text>
        <r>
          <rPr>
            <b/>
            <sz val="8"/>
            <rFont val="Tahoma"/>
            <family val="2"/>
          </rPr>
          <t xml:space="preserve"> S Jackson:</t>
        </r>
        <r>
          <rPr>
            <sz val="8"/>
            <rFont val="Tahoma"/>
            <family val="2"/>
          </rPr>
          <t xml:space="preserve">
assumed small retail</t>
        </r>
      </text>
    </comment>
    <comment ref="K24" authorId="1">
      <text>
        <r>
          <rPr>
            <b/>
            <sz val="8"/>
            <rFont val="Tahoma"/>
            <family val="2"/>
          </rPr>
          <t xml:space="preserve"> S Jackson:</t>
        </r>
        <r>
          <rPr>
            <sz val="8"/>
            <rFont val="Tahoma"/>
            <family val="2"/>
          </rPr>
          <t xml:space="preserve">
assumed standard perform, 2 lamp</t>
        </r>
      </text>
    </comment>
    <comment ref="J25" authorId="1">
      <text>
        <r>
          <rPr>
            <b/>
            <sz val="8"/>
            <rFont val="Tahoma"/>
            <family val="2"/>
          </rPr>
          <t xml:space="preserve"> S Jackson:</t>
        </r>
        <r>
          <rPr>
            <sz val="8"/>
            <rFont val="Tahoma"/>
            <family val="2"/>
          </rPr>
          <t xml:space="preserve">
assumed small retail</t>
        </r>
      </text>
    </comment>
    <comment ref="K25" authorId="1">
      <text>
        <r>
          <rPr>
            <b/>
            <sz val="8"/>
            <rFont val="Tahoma"/>
            <family val="2"/>
          </rPr>
          <t xml:space="preserve"> S Jackson:</t>
        </r>
        <r>
          <rPr>
            <sz val="8"/>
            <rFont val="Tahoma"/>
            <family val="2"/>
          </rPr>
          <t xml:space="preserve">
assumed standard perform</t>
        </r>
      </text>
    </comment>
    <comment ref="J26" authorId="1">
      <text>
        <r>
          <rPr>
            <b/>
            <sz val="8"/>
            <rFont val="Tahoma"/>
            <family val="2"/>
          </rPr>
          <t xml:space="preserve"> S Jackson:</t>
        </r>
        <r>
          <rPr>
            <sz val="8"/>
            <rFont val="Tahoma"/>
            <family val="2"/>
          </rPr>
          <t xml:space="preserve">
assumed small retail</t>
        </r>
      </text>
    </comment>
    <comment ref="Q25" authorId="0">
      <text>
        <r>
          <rPr>
            <b/>
            <sz val="8"/>
            <rFont val="Tahoma"/>
            <family val="2"/>
          </rPr>
          <t xml:space="preserve"> S Jackson:</t>
        </r>
        <r>
          <rPr>
            <sz val="8"/>
            <rFont val="Tahoma"/>
            <family val="2"/>
          </rPr>
          <t xml:space="preserve">
assumed standard perform</t>
        </r>
      </text>
    </comment>
    <comment ref="J27" authorId="1">
      <text>
        <r>
          <rPr>
            <b/>
            <sz val="8"/>
            <rFont val="Tahoma"/>
            <family val="2"/>
          </rPr>
          <t xml:space="preserve"> S Jackson:</t>
        </r>
        <r>
          <rPr>
            <sz val="8"/>
            <rFont val="Tahoma"/>
            <family val="2"/>
          </rPr>
          <t xml:space="preserve">
assumed small retail</t>
        </r>
      </text>
    </comment>
    <comment ref="K27" authorId="1">
      <text>
        <r>
          <rPr>
            <b/>
            <sz val="8"/>
            <rFont val="Tahoma"/>
            <family val="2"/>
          </rPr>
          <t xml:space="preserve"> S Jackson:</t>
        </r>
        <r>
          <rPr>
            <sz val="8"/>
            <rFont val="Tahoma"/>
            <family val="2"/>
          </rPr>
          <t xml:space="preserve">
assumed standard perform</t>
        </r>
      </text>
    </comment>
    <comment ref="J28" authorId="1">
      <text>
        <r>
          <rPr>
            <b/>
            <sz val="8"/>
            <rFont val="Tahoma"/>
            <family val="2"/>
          </rPr>
          <t xml:space="preserve"> S Jackson:</t>
        </r>
        <r>
          <rPr>
            <sz val="8"/>
            <rFont val="Tahoma"/>
            <family val="2"/>
          </rPr>
          <t xml:space="preserve">
assumed small retail</t>
        </r>
      </text>
    </comment>
    <comment ref="K28" authorId="1">
      <text>
        <r>
          <rPr>
            <b/>
            <sz val="8"/>
            <rFont val="Tahoma"/>
            <family val="2"/>
          </rPr>
          <t xml:space="preserve"> S Jackson:</t>
        </r>
        <r>
          <rPr>
            <sz val="8"/>
            <rFont val="Tahoma"/>
            <family val="2"/>
          </rPr>
          <t xml:space="preserve">
assumed standard perform</t>
        </r>
      </text>
    </comment>
    <comment ref="J29" authorId="1">
      <text>
        <r>
          <rPr>
            <b/>
            <sz val="8"/>
            <rFont val="Tahoma"/>
            <family val="2"/>
          </rPr>
          <t xml:space="preserve"> S Jackson:</t>
        </r>
        <r>
          <rPr>
            <sz val="8"/>
            <rFont val="Tahoma"/>
            <family val="2"/>
          </rPr>
          <t xml:space="preserve">
assumed small retail</t>
        </r>
      </text>
    </comment>
    <comment ref="K29" authorId="1">
      <text>
        <r>
          <rPr>
            <b/>
            <sz val="8"/>
            <rFont val="Tahoma"/>
            <family val="2"/>
          </rPr>
          <t xml:space="preserve"> S Jackson:</t>
        </r>
        <r>
          <rPr>
            <sz val="8"/>
            <rFont val="Tahoma"/>
            <family val="2"/>
          </rPr>
          <t xml:space="preserve">
assumed standard perform</t>
        </r>
      </text>
    </comment>
    <comment ref="J30" authorId="1">
      <text>
        <r>
          <rPr>
            <b/>
            <sz val="8"/>
            <rFont val="Tahoma"/>
            <family val="2"/>
          </rPr>
          <t xml:space="preserve"> S Jackson:</t>
        </r>
        <r>
          <rPr>
            <sz val="8"/>
            <rFont val="Tahoma"/>
            <family val="2"/>
          </rPr>
          <t xml:space="preserve">
assumed small retail</t>
        </r>
      </text>
    </comment>
    <comment ref="K30" authorId="1">
      <text>
        <r>
          <rPr>
            <b/>
            <sz val="8"/>
            <rFont val="Tahoma"/>
            <family val="2"/>
          </rPr>
          <t xml:space="preserve"> S Jackson:</t>
        </r>
        <r>
          <rPr>
            <sz val="8"/>
            <rFont val="Tahoma"/>
            <family val="2"/>
          </rPr>
          <t xml:space="preserve">
assumed standard perform</t>
        </r>
      </text>
    </comment>
    <comment ref="J31" authorId="1">
      <text>
        <r>
          <rPr>
            <b/>
            <sz val="8"/>
            <rFont val="Tahoma"/>
            <family val="2"/>
          </rPr>
          <t xml:space="preserve"> S Jackson:</t>
        </r>
        <r>
          <rPr>
            <sz val="8"/>
            <rFont val="Tahoma"/>
            <family val="2"/>
          </rPr>
          <t xml:space="preserve">
assumed small retail</t>
        </r>
      </text>
    </comment>
    <comment ref="K31" authorId="1">
      <text>
        <r>
          <rPr>
            <b/>
            <sz val="8"/>
            <rFont val="Tahoma"/>
            <family val="2"/>
          </rPr>
          <t xml:space="preserve"> S Jackson:</t>
        </r>
        <r>
          <rPr>
            <sz val="8"/>
            <rFont val="Tahoma"/>
            <family val="2"/>
          </rPr>
          <t xml:space="preserve">
assumed standard perform</t>
        </r>
      </text>
    </comment>
    <comment ref="P31" authorId="0">
      <text>
        <r>
          <rPr>
            <b/>
            <sz val="8"/>
            <rFont val="Tahoma"/>
            <family val="2"/>
          </rPr>
          <t xml:space="preserve"> S Jackson:</t>
        </r>
        <r>
          <rPr>
            <sz val="8"/>
            <rFont val="Tahoma"/>
            <family val="2"/>
          </rPr>
          <t xml:space="preserve">
assumed small retail</t>
        </r>
      </text>
    </comment>
    <comment ref="P32" authorId="0">
      <text>
        <r>
          <rPr>
            <b/>
            <sz val="8"/>
            <rFont val="Tahoma"/>
            <family val="2"/>
          </rPr>
          <t xml:space="preserve"> S Jackson:</t>
        </r>
        <r>
          <rPr>
            <sz val="8"/>
            <rFont val="Tahoma"/>
            <family val="2"/>
          </rPr>
          <t xml:space="preserve">
assumed small retail</t>
        </r>
      </text>
    </comment>
    <comment ref="P33" authorId="0">
      <text>
        <r>
          <rPr>
            <b/>
            <sz val="8"/>
            <rFont val="Tahoma"/>
            <family val="2"/>
          </rPr>
          <t xml:space="preserve"> S Jackson:</t>
        </r>
        <r>
          <rPr>
            <sz val="8"/>
            <rFont val="Tahoma"/>
            <family val="2"/>
          </rPr>
          <t xml:space="preserve">
assumed small retail</t>
        </r>
      </text>
    </comment>
    <comment ref="P34" authorId="0">
      <text>
        <r>
          <rPr>
            <b/>
            <sz val="8"/>
            <rFont val="Tahoma"/>
            <family val="2"/>
          </rPr>
          <t xml:space="preserve"> S Jackson:</t>
        </r>
        <r>
          <rPr>
            <sz val="8"/>
            <rFont val="Tahoma"/>
            <family val="2"/>
          </rPr>
          <t xml:space="preserve">
assumed small retail</t>
        </r>
      </text>
    </comment>
    <comment ref="P35" authorId="0">
      <text>
        <r>
          <rPr>
            <b/>
            <sz val="8"/>
            <rFont val="Tahoma"/>
            <family val="2"/>
          </rPr>
          <t xml:space="preserve"> S Jackson:</t>
        </r>
        <r>
          <rPr>
            <sz val="8"/>
            <rFont val="Tahoma"/>
            <family val="2"/>
          </rPr>
          <t xml:space="preserve">
assumed small retail</t>
        </r>
      </text>
    </comment>
    <comment ref="P36" authorId="0">
      <text>
        <r>
          <rPr>
            <b/>
            <sz val="8"/>
            <rFont val="Tahoma"/>
            <family val="2"/>
          </rPr>
          <t xml:space="preserve"> S Jackson:</t>
        </r>
        <r>
          <rPr>
            <sz val="8"/>
            <rFont val="Tahoma"/>
            <family val="2"/>
          </rPr>
          <t xml:space="preserve">
assumed small retail</t>
        </r>
      </text>
    </comment>
    <comment ref="P37" authorId="0">
      <text>
        <r>
          <rPr>
            <b/>
            <sz val="8"/>
            <rFont val="Tahoma"/>
            <family val="2"/>
          </rPr>
          <t xml:space="preserve"> S Jackson:</t>
        </r>
        <r>
          <rPr>
            <sz val="8"/>
            <rFont val="Tahoma"/>
            <family val="2"/>
          </rPr>
          <t xml:space="preserve">
assumed small retail</t>
        </r>
      </text>
    </comment>
    <comment ref="P38" authorId="0">
      <text>
        <r>
          <rPr>
            <b/>
            <sz val="8"/>
            <rFont val="Tahoma"/>
            <family val="2"/>
          </rPr>
          <t xml:space="preserve"> S Jackson:</t>
        </r>
        <r>
          <rPr>
            <sz val="8"/>
            <rFont val="Tahoma"/>
            <family val="2"/>
          </rPr>
          <t xml:space="preserve">
assumed small retail</t>
        </r>
      </text>
    </comment>
    <comment ref="P39" authorId="0">
      <text>
        <r>
          <rPr>
            <b/>
            <sz val="8"/>
            <rFont val="Tahoma"/>
            <family val="2"/>
          </rPr>
          <t xml:space="preserve"> S Jackson:</t>
        </r>
        <r>
          <rPr>
            <sz val="8"/>
            <rFont val="Tahoma"/>
            <family val="2"/>
          </rPr>
          <t xml:space="preserve">
assumed small retail</t>
        </r>
      </text>
    </comment>
    <comment ref="J41" authorId="1">
      <text>
        <r>
          <rPr>
            <b/>
            <sz val="8"/>
            <rFont val="Tahoma"/>
            <family val="2"/>
          </rPr>
          <t xml:space="preserve"> S Jackson:</t>
        </r>
        <r>
          <rPr>
            <sz val="8"/>
            <rFont val="Tahoma"/>
            <family val="2"/>
          </rPr>
          <t xml:space="preserve">
assumed small retail</t>
        </r>
      </text>
    </comment>
    <comment ref="K124" authorId="1">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K125" authorId="1">
      <text>
        <r>
          <rPr>
            <b/>
            <sz val="8"/>
            <rFont val="Tahoma"/>
            <family val="2"/>
          </rPr>
          <t xml:space="preserve"> S Jackson:</t>
        </r>
        <r>
          <rPr>
            <sz val="8"/>
            <rFont val="Tahoma"/>
            <family val="2"/>
          </rPr>
          <t xml:space="preserve">
used custom project worksheets for assumptions since this lighting not on quasi-prescriptive assumptions list.
</t>
        </r>
      </text>
    </comment>
    <comment ref="K126" authorId="1">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K127" authorId="1">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K129" authorId="1">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K130" authorId="1">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K131" authorId="1">
      <text>
        <r>
          <rPr>
            <b/>
            <sz val="8"/>
            <rFont val="Tahoma"/>
            <family val="2"/>
          </rPr>
          <t xml:space="preserve"> S Jackson:</t>
        </r>
        <r>
          <rPr>
            <sz val="8"/>
            <rFont val="Tahoma"/>
            <family val="2"/>
          </rPr>
          <t xml:space="preserve">
used custom project worksheets for assumptions since this lighting not on quasi-prescriptive assumptions list.</t>
        </r>
      </text>
    </comment>
    <comment ref="J124" authorId="1">
      <text>
        <r>
          <rPr>
            <b/>
            <sz val="8"/>
            <rFont val="Tahoma"/>
            <family val="2"/>
          </rPr>
          <t xml:space="preserve"> S Jackson:</t>
        </r>
        <r>
          <rPr>
            <sz val="8"/>
            <rFont val="Tahoma"/>
            <family val="2"/>
          </rPr>
          <t xml:space="preserve">
based on 14 hrs per day, M-F, per verification sheet.</t>
        </r>
      </text>
    </comment>
    <comment ref="J125" authorId="1">
      <text>
        <r>
          <rPr>
            <b/>
            <sz val="8"/>
            <rFont val="Tahoma"/>
            <family val="2"/>
          </rPr>
          <t xml:space="preserve"> S Jackson:</t>
        </r>
        <r>
          <rPr>
            <sz val="8"/>
            <rFont val="Tahoma"/>
            <family val="2"/>
          </rPr>
          <t xml:space="preserve">
based on 14 hrs per day, M-F, per verification sheet.</t>
        </r>
      </text>
    </comment>
    <comment ref="J126" authorId="1">
      <text>
        <r>
          <rPr>
            <b/>
            <sz val="8"/>
            <rFont val="Tahoma"/>
            <family val="2"/>
          </rPr>
          <t xml:space="preserve"> S Jackson:</t>
        </r>
        <r>
          <rPr>
            <sz val="8"/>
            <rFont val="Tahoma"/>
            <family val="2"/>
          </rPr>
          <t xml:space="preserve">
based on 14 hrs per day, M-F, per verification sheet.</t>
        </r>
      </text>
    </comment>
    <comment ref="J127" authorId="1">
      <text>
        <r>
          <rPr>
            <b/>
            <sz val="8"/>
            <rFont val="Tahoma"/>
            <family val="2"/>
          </rPr>
          <t xml:space="preserve"> S Jackson:</t>
        </r>
        <r>
          <rPr>
            <sz val="8"/>
            <rFont val="Tahoma"/>
            <family val="2"/>
          </rPr>
          <t xml:space="preserve">
based on 14 hrs per day, M-F, per verification sheet.</t>
        </r>
      </text>
    </comment>
    <comment ref="J129" authorId="1">
      <text>
        <r>
          <rPr>
            <b/>
            <sz val="8"/>
            <rFont val="Tahoma"/>
            <family val="2"/>
          </rPr>
          <t xml:space="preserve"> S Jackson:</t>
        </r>
        <r>
          <rPr>
            <sz val="8"/>
            <rFont val="Tahoma"/>
            <family val="2"/>
          </rPr>
          <t xml:space="preserve">
based on 14 hrs per day, M-F, per verification sheet.</t>
        </r>
      </text>
    </comment>
    <comment ref="J130" authorId="1">
      <text>
        <r>
          <rPr>
            <b/>
            <sz val="8"/>
            <rFont val="Tahoma"/>
            <family val="2"/>
          </rPr>
          <t xml:space="preserve"> S Jackson:</t>
        </r>
        <r>
          <rPr>
            <sz val="8"/>
            <rFont val="Tahoma"/>
            <family val="2"/>
          </rPr>
          <t xml:space="preserve">
based on 14 hrs per day, M-F, per verification sheet.</t>
        </r>
      </text>
    </comment>
    <comment ref="J131" authorId="1">
      <text>
        <r>
          <rPr>
            <b/>
            <sz val="8"/>
            <rFont val="Tahoma"/>
            <family val="2"/>
          </rPr>
          <t xml:space="preserve"> S Jackson:</t>
        </r>
        <r>
          <rPr>
            <sz val="8"/>
            <rFont val="Tahoma"/>
            <family val="2"/>
          </rPr>
          <t xml:space="preserve">
based on 14 hrs per day, M-F, per verification sheet.</t>
        </r>
      </text>
    </comment>
    <comment ref="K145" authorId="1">
      <text>
        <r>
          <rPr>
            <b/>
            <sz val="8"/>
            <rFont val="Tahoma"/>
            <family val="2"/>
          </rPr>
          <t xml:space="preserve"> S Jackson:</t>
        </r>
        <r>
          <rPr>
            <sz val="8"/>
            <rFont val="Tahoma"/>
            <family val="2"/>
          </rPr>
          <t xml:space="preserve">
assumed base 400W</t>
        </r>
      </text>
    </comment>
    <comment ref="K59" authorId="1">
      <text>
        <r>
          <rPr>
            <b/>
            <sz val="8"/>
            <rFont val="Tahoma"/>
            <family val="2"/>
          </rPr>
          <t xml:space="preserve"> S Jackson:
</t>
        </r>
        <r>
          <rPr>
            <sz val="8"/>
            <rFont val="Tahoma"/>
            <family val="2"/>
          </rPr>
          <t>per 2009 portal assumptions</t>
        </r>
      </text>
    </comment>
    <comment ref="J59" authorId="1">
      <text>
        <r>
          <rPr>
            <b/>
            <sz val="8"/>
            <rFont val="Tahoma"/>
            <family val="2"/>
          </rPr>
          <t xml:space="preserve"> S Jackson:</t>
        </r>
        <r>
          <rPr>
            <sz val="8"/>
            <rFont val="Tahoma"/>
            <family val="2"/>
          </rPr>
          <t xml:space="preserve">
assumed T8 hours, small retail</t>
        </r>
      </text>
    </comment>
    <comment ref="J60" authorId="1">
      <text>
        <r>
          <rPr>
            <b/>
            <sz val="8"/>
            <rFont val="Tahoma"/>
            <family val="2"/>
          </rPr>
          <t xml:space="preserve"> S Jackson:</t>
        </r>
        <r>
          <rPr>
            <sz val="8"/>
            <rFont val="Tahoma"/>
            <family val="2"/>
          </rPr>
          <t xml:space="preserve">
assumed T8 hours, small retail</t>
        </r>
      </text>
    </comment>
    <comment ref="J61" authorId="1">
      <text>
        <r>
          <rPr>
            <b/>
            <sz val="8"/>
            <rFont val="Tahoma"/>
            <family val="2"/>
          </rPr>
          <t xml:space="preserve"> S Jackson:</t>
        </r>
        <r>
          <rPr>
            <sz val="8"/>
            <rFont val="Tahoma"/>
            <family val="2"/>
          </rPr>
          <t xml:space="preserve">
assumed T8 hours, small retail</t>
        </r>
      </text>
    </comment>
    <comment ref="J62" authorId="1">
      <text>
        <r>
          <rPr>
            <b/>
            <sz val="8"/>
            <rFont val="Tahoma"/>
            <family val="2"/>
          </rPr>
          <t xml:space="preserve"> S Jackson:</t>
        </r>
        <r>
          <rPr>
            <sz val="8"/>
            <rFont val="Tahoma"/>
            <family val="2"/>
          </rPr>
          <t xml:space="preserve">
assumed T8 hours, small retail</t>
        </r>
      </text>
    </comment>
    <comment ref="J63" authorId="1">
      <text>
        <r>
          <rPr>
            <b/>
            <sz val="8"/>
            <rFont val="Tahoma"/>
            <family val="2"/>
          </rPr>
          <t xml:space="preserve"> S Jackson:</t>
        </r>
        <r>
          <rPr>
            <sz val="8"/>
            <rFont val="Tahoma"/>
            <family val="2"/>
          </rPr>
          <t xml:space="preserve">
assumed T8 hours, small retail</t>
        </r>
      </text>
    </comment>
    <comment ref="J64" authorId="1">
      <text>
        <r>
          <rPr>
            <b/>
            <sz val="8"/>
            <rFont val="Tahoma"/>
            <family val="2"/>
          </rPr>
          <t xml:space="preserve"> S Jackson:</t>
        </r>
        <r>
          <rPr>
            <sz val="8"/>
            <rFont val="Tahoma"/>
            <family val="2"/>
          </rPr>
          <t xml:space="preserve">
assumed T8 hours, small retail</t>
        </r>
      </text>
    </comment>
    <comment ref="J65" authorId="1">
      <text>
        <r>
          <rPr>
            <b/>
            <sz val="8"/>
            <rFont val="Tahoma"/>
            <family val="2"/>
          </rPr>
          <t xml:space="preserve"> S Jackson:</t>
        </r>
        <r>
          <rPr>
            <sz val="8"/>
            <rFont val="Tahoma"/>
            <family val="2"/>
          </rPr>
          <t xml:space="preserve">
assumed T8 hours, small retail</t>
        </r>
      </text>
    </comment>
    <comment ref="J66" authorId="1">
      <text>
        <r>
          <rPr>
            <b/>
            <sz val="8"/>
            <rFont val="Tahoma"/>
            <family val="2"/>
          </rPr>
          <t xml:space="preserve"> S Jackson:</t>
        </r>
        <r>
          <rPr>
            <sz val="8"/>
            <rFont val="Tahoma"/>
            <family val="2"/>
          </rPr>
          <t xml:space="preserve">
assumed T8 hours, small retail</t>
        </r>
      </text>
    </comment>
    <comment ref="J67" authorId="1">
      <text>
        <r>
          <rPr>
            <b/>
            <sz val="8"/>
            <rFont val="Tahoma"/>
            <family val="2"/>
          </rPr>
          <t xml:space="preserve"> S Jackson:</t>
        </r>
        <r>
          <rPr>
            <sz val="8"/>
            <rFont val="Tahoma"/>
            <family val="2"/>
          </rPr>
          <t xml:space="preserve">
assumed T8 hours, small retail</t>
        </r>
      </text>
    </comment>
    <comment ref="J68" authorId="1">
      <text>
        <r>
          <rPr>
            <b/>
            <sz val="8"/>
            <rFont val="Tahoma"/>
            <family val="2"/>
          </rPr>
          <t xml:space="preserve"> S Jackson:</t>
        </r>
        <r>
          <rPr>
            <sz val="8"/>
            <rFont val="Tahoma"/>
            <family val="2"/>
          </rPr>
          <t xml:space="preserve">
assumed T8 hours, small retail</t>
        </r>
      </text>
    </comment>
    <comment ref="J69" authorId="1">
      <text>
        <r>
          <rPr>
            <b/>
            <sz val="8"/>
            <rFont val="Tahoma"/>
            <family val="2"/>
          </rPr>
          <t xml:space="preserve"> S Jackson:</t>
        </r>
        <r>
          <rPr>
            <sz val="8"/>
            <rFont val="Tahoma"/>
            <family val="2"/>
          </rPr>
          <t xml:space="preserve">
assumed T8 hours, small retail</t>
        </r>
      </text>
    </comment>
    <comment ref="J70" authorId="1">
      <text>
        <r>
          <rPr>
            <b/>
            <sz val="8"/>
            <rFont val="Tahoma"/>
            <family val="2"/>
          </rPr>
          <t xml:space="preserve"> S Jackson:</t>
        </r>
        <r>
          <rPr>
            <sz val="8"/>
            <rFont val="Tahoma"/>
            <family val="2"/>
          </rPr>
          <t xml:space="preserve">
assumed T8 hours, small retail</t>
        </r>
      </text>
    </comment>
    <comment ref="J71" authorId="1">
      <text>
        <r>
          <rPr>
            <b/>
            <sz val="8"/>
            <rFont val="Tahoma"/>
            <family val="2"/>
          </rPr>
          <t xml:space="preserve"> S Jackson:</t>
        </r>
        <r>
          <rPr>
            <sz val="8"/>
            <rFont val="Tahoma"/>
            <family val="2"/>
          </rPr>
          <t xml:space="preserve">
assumed T8 hours, small retail</t>
        </r>
      </text>
    </comment>
    <comment ref="J72" authorId="1">
      <text>
        <r>
          <rPr>
            <b/>
            <sz val="8"/>
            <rFont val="Tahoma"/>
            <family val="2"/>
          </rPr>
          <t xml:space="preserve"> S Jackson:</t>
        </r>
        <r>
          <rPr>
            <sz val="8"/>
            <rFont val="Tahoma"/>
            <family val="2"/>
          </rPr>
          <t xml:space="preserve">
assumed T8 hours, small retail</t>
        </r>
      </text>
    </comment>
    <comment ref="J73" authorId="1">
      <text>
        <r>
          <rPr>
            <b/>
            <sz val="8"/>
            <rFont val="Tahoma"/>
            <family val="2"/>
          </rPr>
          <t xml:space="preserve"> S Jackson:</t>
        </r>
        <r>
          <rPr>
            <sz val="8"/>
            <rFont val="Tahoma"/>
            <family val="2"/>
          </rPr>
          <t xml:space="preserve">
assumed T8 hours, small retail</t>
        </r>
      </text>
    </comment>
    <comment ref="J74" authorId="1">
      <text>
        <r>
          <rPr>
            <b/>
            <sz val="8"/>
            <rFont val="Tahoma"/>
            <family val="2"/>
          </rPr>
          <t xml:space="preserve"> S Jackson:</t>
        </r>
        <r>
          <rPr>
            <sz val="8"/>
            <rFont val="Tahoma"/>
            <family val="2"/>
          </rPr>
          <t xml:space="preserve">
assumed T8 hours, small retail</t>
        </r>
      </text>
    </comment>
    <comment ref="J75" authorId="1">
      <text>
        <r>
          <rPr>
            <b/>
            <sz val="8"/>
            <rFont val="Tahoma"/>
            <family val="2"/>
          </rPr>
          <t xml:space="preserve"> S Jackson:</t>
        </r>
        <r>
          <rPr>
            <sz val="8"/>
            <rFont val="Tahoma"/>
            <family val="2"/>
          </rPr>
          <t xml:space="preserve">
assumed ceramic metal halide hours, small retail</t>
        </r>
      </text>
    </comment>
    <comment ref="J76" authorId="1">
      <text>
        <r>
          <rPr>
            <b/>
            <sz val="8"/>
            <rFont val="Tahoma"/>
            <family val="2"/>
          </rPr>
          <t xml:space="preserve"> S Jackson:</t>
        </r>
        <r>
          <rPr>
            <sz val="8"/>
            <rFont val="Tahoma"/>
            <family val="2"/>
          </rPr>
          <t xml:space="preserve">
assumed ceramic metal halide hours, small retail</t>
        </r>
      </text>
    </comment>
    <comment ref="J77" authorId="1">
      <text>
        <r>
          <rPr>
            <b/>
            <sz val="8"/>
            <rFont val="Tahoma"/>
            <family val="2"/>
          </rPr>
          <t xml:space="preserve"> S Jackson:</t>
        </r>
        <r>
          <rPr>
            <sz val="8"/>
            <rFont val="Tahoma"/>
            <family val="2"/>
          </rPr>
          <t xml:space="preserve">
assumed T8 hours, small retail</t>
        </r>
      </text>
    </comment>
    <comment ref="J78" authorId="1">
      <text>
        <r>
          <rPr>
            <b/>
            <sz val="8"/>
            <rFont val="Tahoma"/>
            <family val="2"/>
          </rPr>
          <t xml:space="preserve"> S Jackson:</t>
        </r>
        <r>
          <rPr>
            <sz val="8"/>
            <rFont val="Tahoma"/>
            <family val="2"/>
          </rPr>
          <t xml:space="preserve">
assumed T8 hours, small retail</t>
        </r>
      </text>
    </comment>
    <comment ref="J81" authorId="1">
      <text>
        <r>
          <rPr>
            <b/>
            <sz val="8"/>
            <rFont val="Tahoma"/>
            <family val="2"/>
          </rPr>
          <t xml:space="preserve"> S Jackson:</t>
        </r>
        <r>
          <rPr>
            <sz val="8"/>
            <rFont val="Tahoma"/>
            <family val="2"/>
          </rPr>
          <t xml:space="preserve">
assumed CFL hours, small retail</t>
        </r>
      </text>
    </comment>
    <comment ref="J82" authorId="1">
      <text>
        <r>
          <rPr>
            <b/>
            <sz val="8"/>
            <rFont val="Tahoma"/>
            <family val="2"/>
          </rPr>
          <t xml:space="preserve"> S Jackson:</t>
        </r>
        <r>
          <rPr>
            <sz val="8"/>
            <rFont val="Tahoma"/>
            <family val="2"/>
          </rPr>
          <t xml:space="preserve">
assumed CFL hours, small retail</t>
        </r>
      </text>
    </comment>
    <comment ref="J83" authorId="1">
      <text>
        <r>
          <rPr>
            <b/>
            <sz val="8"/>
            <rFont val="Tahoma"/>
            <family val="2"/>
          </rPr>
          <t xml:space="preserve"> S Jackson:</t>
        </r>
        <r>
          <rPr>
            <sz val="8"/>
            <rFont val="Tahoma"/>
            <family val="2"/>
          </rPr>
          <t xml:space="preserve">
assumed CFL hours, small retail</t>
        </r>
      </text>
    </comment>
    <comment ref="J84" authorId="1">
      <text>
        <r>
          <rPr>
            <b/>
            <sz val="8"/>
            <rFont val="Tahoma"/>
            <family val="2"/>
          </rPr>
          <t xml:space="preserve"> S Jackson:</t>
        </r>
        <r>
          <rPr>
            <sz val="8"/>
            <rFont val="Tahoma"/>
            <family val="2"/>
          </rPr>
          <t xml:space="preserve">
assumed CFL hours, small retail</t>
        </r>
      </text>
    </comment>
    <comment ref="J85" authorId="1">
      <text>
        <r>
          <rPr>
            <b/>
            <sz val="8"/>
            <rFont val="Tahoma"/>
            <family val="2"/>
          </rPr>
          <t xml:space="preserve"> S Jackson:</t>
        </r>
        <r>
          <rPr>
            <sz val="8"/>
            <rFont val="Tahoma"/>
            <family val="2"/>
          </rPr>
          <t xml:space="preserve">
assumed CFL hours, small retail</t>
        </r>
      </text>
    </comment>
    <comment ref="J86" authorId="1">
      <text>
        <r>
          <rPr>
            <b/>
            <sz val="8"/>
            <rFont val="Tahoma"/>
            <family val="2"/>
          </rPr>
          <t xml:space="preserve"> S Jackson:</t>
        </r>
        <r>
          <rPr>
            <sz val="8"/>
            <rFont val="Tahoma"/>
            <family val="2"/>
          </rPr>
          <t xml:space="preserve">
assumed CFL hours, small retail</t>
        </r>
      </text>
    </comment>
    <comment ref="L86" authorId="0">
      <text>
        <r>
          <rPr>
            <b/>
            <sz val="8"/>
            <rFont val="Tahoma"/>
            <family val="2"/>
          </rPr>
          <t xml:space="preserve"> S Jackson:</t>
        </r>
        <r>
          <rPr>
            <sz val="8"/>
            <rFont val="Tahoma"/>
            <family val="2"/>
          </rPr>
          <t xml:space="preserve">
used prescriptive annual hours (not on quasi-prescriptive assumptions.)</t>
        </r>
      </text>
    </comment>
    <comment ref="L87" authorId="0">
      <text>
        <r>
          <rPr>
            <b/>
            <sz val="8"/>
            <rFont val="Tahoma"/>
            <family val="2"/>
          </rPr>
          <t xml:space="preserve"> S Jackson:</t>
        </r>
        <r>
          <rPr>
            <sz val="8"/>
            <rFont val="Tahoma"/>
            <family val="2"/>
          </rPr>
          <t xml:space="preserve">
used prescriptive annual hours (not on quasi-prescriptive assumptions.)</t>
        </r>
      </text>
    </comment>
    <comment ref="L88" authorId="0">
      <text>
        <r>
          <rPr>
            <b/>
            <sz val="8"/>
            <rFont val="Tahoma"/>
            <family val="2"/>
          </rPr>
          <t xml:space="preserve"> S Jackson:</t>
        </r>
        <r>
          <rPr>
            <sz val="8"/>
            <rFont val="Tahoma"/>
            <family val="2"/>
          </rPr>
          <t xml:space="preserve">
assumed CFL hours, small retail</t>
        </r>
      </text>
    </comment>
    <comment ref="L89" authorId="0">
      <text>
        <r>
          <rPr>
            <b/>
            <sz val="8"/>
            <rFont val="Tahoma"/>
            <family val="2"/>
          </rPr>
          <t xml:space="preserve"> S Jackson:</t>
        </r>
        <r>
          <rPr>
            <sz val="8"/>
            <rFont val="Tahoma"/>
            <family val="2"/>
          </rPr>
          <t xml:space="preserve">
assumed CFL hours, small retail</t>
        </r>
      </text>
    </comment>
    <comment ref="L90" authorId="0">
      <text>
        <r>
          <rPr>
            <b/>
            <sz val="8"/>
            <rFont val="Tahoma"/>
            <family val="2"/>
          </rPr>
          <t xml:space="preserve"> S Jackson:</t>
        </r>
        <r>
          <rPr>
            <sz val="8"/>
            <rFont val="Tahoma"/>
            <family val="2"/>
          </rPr>
          <t xml:space="preserve">
assumed CFL hours, small retail</t>
        </r>
      </text>
    </comment>
    <comment ref="J92" authorId="1">
      <text>
        <r>
          <rPr>
            <b/>
            <sz val="8"/>
            <rFont val="Tahoma"/>
            <family val="2"/>
          </rPr>
          <t xml:space="preserve"> S Jackson:</t>
        </r>
        <r>
          <rPr>
            <sz val="8"/>
            <rFont val="Tahoma"/>
            <family val="2"/>
          </rPr>
          <t xml:space="preserve">
assumed CFL hours, small retail</t>
        </r>
      </text>
    </comment>
    <comment ref="J93" authorId="1">
      <text>
        <r>
          <rPr>
            <b/>
            <sz val="8"/>
            <rFont val="Tahoma"/>
            <family val="2"/>
          </rPr>
          <t xml:space="preserve"> S Jackson:</t>
        </r>
        <r>
          <rPr>
            <sz val="8"/>
            <rFont val="Tahoma"/>
            <family val="2"/>
          </rPr>
          <t xml:space="preserve">
assumed CFL hours, small retail</t>
        </r>
      </text>
    </comment>
    <comment ref="L93" authorId="0">
      <text>
        <r>
          <rPr>
            <b/>
            <sz val="8"/>
            <rFont val="Tahoma"/>
            <family val="2"/>
          </rPr>
          <t xml:space="preserve"> S Jackson:</t>
        </r>
        <r>
          <rPr>
            <sz val="8"/>
            <rFont val="Tahoma"/>
            <family val="2"/>
          </rPr>
          <t xml:space="preserve">
assumed CFL hours, small retail</t>
        </r>
      </text>
    </comment>
    <comment ref="L94" authorId="0">
      <text>
        <r>
          <rPr>
            <b/>
            <sz val="8"/>
            <rFont val="Tahoma"/>
            <family val="2"/>
          </rPr>
          <t xml:space="preserve"> S Jackson:</t>
        </r>
        <r>
          <rPr>
            <sz val="8"/>
            <rFont val="Tahoma"/>
            <family val="2"/>
          </rPr>
          <t xml:space="preserve">
assumed CFL hours, small retail</t>
        </r>
      </text>
    </comment>
    <comment ref="J96" authorId="1">
      <text>
        <r>
          <rPr>
            <b/>
            <sz val="8"/>
            <rFont val="Tahoma"/>
            <family val="2"/>
          </rPr>
          <t xml:space="preserve"> S Jackson:</t>
        </r>
        <r>
          <rPr>
            <sz val="8"/>
            <rFont val="Tahoma"/>
            <family val="2"/>
          </rPr>
          <t xml:space="preserve">
assumed CFL hours, small retail</t>
        </r>
      </text>
    </comment>
    <comment ref="J97" authorId="1">
      <text>
        <r>
          <rPr>
            <b/>
            <sz val="8"/>
            <rFont val="Tahoma"/>
            <family val="2"/>
          </rPr>
          <t xml:space="preserve"> S Jackson:</t>
        </r>
        <r>
          <rPr>
            <sz val="8"/>
            <rFont val="Tahoma"/>
            <family val="2"/>
          </rPr>
          <t xml:space="preserve">
assumed CFL hours, small retail</t>
        </r>
      </text>
    </comment>
    <comment ref="S2" authorId="1">
      <text>
        <r>
          <rPr>
            <b/>
            <sz val="8"/>
            <rFont val="Tahoma"/>
            <family val="2"/>
          </rPr>
          <t xml:space="preserve"> S Jackson:</t>
        </r>
        <r>
          <rPr>
            <sz val="8"/>
            <rFont val="Tahoma"/>
            <family val="2"/>
          </rPr>
          <t xml:space="preserve">
No LRAM was claimed for 2008 for the commercial rate class since the rider was more than 4 decimal places.  Therefore included this revenue along with the 2009 LRAM.</t>
        </r>
      </text>
    </comment>
    <comment ref="R29" authorId="0">
      <text>
        <r>
          <rPr>
            <b/>
            <sz val="8"/>
            <rFont val="Tahoma"/>
            <family val="2"/>
          </rPr>
          <t xml:space="preserve"> S Jackson:</t>
        </r>
        <r>
          <rPr>
            <sz val="8"/>
            <rFont val="Tahoma"/>
            <family val="2"/>
          </rPr>
          <t xml:space="preserve">
no OPA assumptions available; previous inputs used.</t>
        </r>
      </text>
    </comment>
    <comment ref="R2" authorId="1">
      <text>
        <r>
          <rPr>
            <b/>
            <sz val="8"/>
            <rFont val="Tahoma"/>
            <family val="2"/>
          </rPr>
          <t xml:space="preserve"> S Jackson:</t>
        </r>
        <r>
          <rPr>
            <sz val="8"/>
            <rFont val="Tahoma"/>
            <family val="2"/>
          </rPr>
          <t xml:space="preserve">
No LRAM was claimed for 2008 for the commercial rate class since the rider was more than 4 decimal places.  Therefore included this revenue along with the 2009 LRAM.</t>
        </r>
      </text>
    </comment>
    <comment ref="T2" authorId="1">
      <text>
        <r>
          <rPr>
            <b/>
            <sz val="8"/>
            <rFont val="Tahoma"/>
            <family val="2"/>
          </rPr>
          <t xml:space="preserve"> S Jackson:</t>
        </r>
        <r>
          <rPr>
            <sz val="8"/>
            <rFont val="Tahoma"/>
            <family val="2"/>
          </rPr>
          <t xml:space="preserve">
No LRAM was claimed for 2008 for the commercial rate class since the rider was more than 4 decimal places.  Therefore included this revenue along with the 2009 LRAM.</t>
        </r>
      </text>
    </comment>
  </commentList>
</comments>
</file>

<file path=xl/sharedStrings.xml><?xml version="1.0" encoding="utf-8"?>
<sst xmlns="http://schemas.openxmlformats.org/spreadsheetml/2006/main" count="1937" uniqueCount="280">
  <si>
    <t>CFLs</t>
  </si>
  <si>
    <t>Dimmers</t>
  </si>
  <si>
    <t>Motion Sensors</t>
  </si>
  <si>
    <t>kW</t>
  </si>
  <si>
    <t>Retrofit Non-Profit Housing</t>
  </si>
  <si>
    <t>Exit Lights</t>
  </si>
  <si>
    <t>Rate Class</t>
  </si>
  <si>
    <t>Program</t>
  </si>
  <si>
    <t>Technology</t>
  </si>
  <si>
    <t>Funding Mechanism</t>
  </si>
  <si>
    <t># of Units</t>
  </si>
  <si>
    <t>Total Energy Savings (kWh) before FR</t>
  </si>
  <si>
    <t>Total Energy Savings (kW)</t>
  </si>
  <si>
    <t>Total Energy Savings (kWh) before FR with # Units</t>
  </si>
  <si>
    <t>Free Ridership</t>
  </si>
  <si>
    <t>Residential</t>
  </si>
  <si>
    <t>OPA 2006</t>
  </si>
  <si>
    <t>Library Watt- Reader Program</t>
  </si>
  <si>
    <t>3rd Tranche MARR</t>
  </si>
  <si>
    <t>CFL 15 w Screw in</t>
  </si>
  <si>
    <t>EnerSpectrum Group Report</t>
  </si>
  <si>
    <t>OPA EKC Pgm Coupons (Summer/ Fall 2006)</t>
  </si>
  <si>
    <t>Baseboard Programmable Thermostats</t>
  </si>
  <si>
    <t>Seasonal LEDS</t>
  </si>
  <si>
    <t>T8s</t>
  </si>
  <si>
    <t>15 W CFL Socket Replace</t>
  </si>
  <si>
    <t>Christmas Light Retrofit</t>
  </si>
  <si>
    <t>Residential Replace Bulk with Individual Meters</t>
  </si>
  <si>
    <t>Individual Meters</t>
  </si>
  <si>
    <t>3th Tranche MARR</t>
  </si>
  <si>
    <t>Net kWh or kW Saved (After FR)</t>
  </si>
  <si>
    <t>Retro Fit Traffic Signal Lights with LED Fixtures</t>
  </si>
  <si>
    <t>Unmetered Scattered  Load</t>
  </si>
  <si>
    <t>Duration of Program</t>
  </si>
  <si>
    <t>Source (including Life/ Energy Savings)</t>
  </si>
  <si>
    <t>Customer Class</t>
  </si>
  <si>
    <t xml:space="preserve"> kWh </t>
  </si>
  <si>
    <t>TOTALS</t>
  </si>
  <si>
    <t>Metric</t>
  </si>
  <si>
    <t>Volume</t>
  </si>
  <si>
    <t>OPA Summer Sweepstakes</t>
  </si>
  <si>
    <t>OPA2008</t>
  </si>
  <si>
    <t>Lost Revenue 2008</t>
  </si>
  <si>
    <t>OPA Refrigerator Roundup</t>
  </si>
  <si>
    <t>OPA Direct Install</t>
  </si>
  <si>
    <t>Aerators</t>
  </si>
  <si>
    <t>11 W CFL</t>
  </si>
  <si>
    <t>13W CFL Screw in</t>
  </si>
  <si>
    <t>23W CFL Screw in</t>
  </si>
  <si>
    <t xml:space="preserve">15W CFL </t>
  </si>
  <si>
    <t xml:space="preserve">18W CFL </t>
  </si>
  <si>
    <t>28W CFL PAR 38/32</t>
  </si>
  <si>
    <t xml:space="preserve">26W CFL </t>
  </si>
  <si>
    <t>Commercial</t>
  </si>
  <si>
    <t>Single lamp High Perf. T-8 fixtures</t>
  </si>
  <si>
    <t>Two-lamp High Perf. T-8 fixtures</t>
  </si>
  <si>
    <t>Switch plate mounted occupancy sensor</t>
  </si>
  <si>
    <t>Ceiling mounted occupancy sensor</t>
  </si>
  <si>
    <t>Energy Star exit signs</t>
  </si>
  <si>
    <t>OPA ERIP - Community Baptist Church</t>
  </si>
  <si>
    <t>Philips 13W Marathon CFL</t>
  </si>
  <si>
    <t>Philips 15W Daylight CFL</t>
  </si>
  <si>
    <t>Noma 11W Mini-Spiral CFL</t>
  </si>
  <si>
    <t>Philips R30 16W</t>
  </si>
  <si>
    <t>Vanity 11W CFL</t>
  </si>
  <si>
    <t>Eco-Soft 18W CFL</t>
  </si>
  <si>
    <t>GE Soft White 26W CFL</t>
  </si>
  <si>
    <t>Philips Outdoor 17W CFL</t>
  </si>
  <si>
    <t>GE Daylight 26W CFL</t>
  </si>
  <si>
    <t>GUI10 7W CFL</t>
  </si>
  <si>
    <t>Lithonia T-12 2 Bulb fixtures</t>
  </si>
  <si>
    <t>OPA ERIP - Pier 1 Imports</t>
  </si>
  <si>
    <t>OPA ERIP - Foley Group</t>
  </si>
  <si>
    <t>15W CFL Screw in</t>
  </si>
  <si>
    <t>OPA ERIP - Canadian Tire</t>
  </si>
  <si>
    <t>187W Fluorescent Grand Bulbs</t>
  </si>
  <si>
    <t>OPA ERIP - Nordco Inc</t>
  </si>
  <si>
    <t>30W CFL Screw in</t>
  </si>
  <si>
    <t>T-8 2x32 Ballast</t>
  </si>
  <si>
    <t>T-8 4x32 Ballast</t>
  </si>
  <si>
    <t>OPA ERIP - King Ritson Dental Clinic</t>
  </si>
  <si>
    <t>T-8 1x32 Ballast</t>
  </si>
  <si>
    <t>T-8 3x32 Ballast</t>
  </si>
  <si>
    <t>OPA ERIP - Syran Developments Ltd</t>
  </si>
  <si>
    <t>13W, 15W CFL screw ins</t>
  </si>
  <si>
    <t>OPA ERIP - Kassinger Construction, 2007</t>
  </si>
  <si>
    <t>OPA ERIP - Kassinger Construction, Jul 08 lighting</t>
  </si>
  <si>
    <t>- ensured ERIP projects were for sites in Oshawa territory so LRAM calculation is applicable.</t>
  </si>
  <si>
    <t>- looked up rate class for ERIP sites in Harris system.</t>
  </si>
  <si>
    <t>Rate/kwh</t>
  </si>
  <si>
    <t>- for those prior year OPA projects that were calculated for just one year of life, included these in this file (if measured life extends to this year.)</t>
  </si>
  <si>
    <t>GS &gt;50KW-200</t>
  </si>
  <si>
    <t>GS 200KW-1000</t>
  </si>
  <si>
    <t>Annual Operating Time (hrs/yr)</t>
  </si>
  <si>
    <t>.</t>
  </si>
  <si>
    <t>Grand Total</t>
  </si>
  <si>
    <t>OPA Peaksaver</t>
  </si>
  <si>
    <t>GS &gt;50KW-1000</t>
  </si>
  <si>
    <t>Year (start of program)</t>
  </si>
  <si>
    <t>- excluded those projects on this application that were calculated using the full measured life previously.</t>
  </si>
  <si>
    <t>Residential Total</t>
  </si>
  <si>
    <t>Unmetered Scattered  Load Total</t>
  </si>
  <si>
    <t>Commercial Total</t>
  </si>
  <si>
    <t>GS &gt;50KW-200 Total</t>
  </si>
  <si>
    <t>GS 200KW-1000 Total</t>
  </si>
  <si>
    <t>Added "Bill Impacts" sheet which calculates the % change of the Volumetric Charge based on 2009 rates less current year LRAM rider.  (Not sure if/what is required here.)</t>
  </si>
  <si>
    <t>Effective Useful Life</t>
  </si>
  <si>
    <t>Programmable Thermostats</t>
  </si>
  <si>
    <t>from 60W to 15W CFL PAR 38/30</t>
  </si>
  <si>
    <t>from 75W to 18W CFL PAR 38/31</t>
  </si>
  <si>
    <t>from 100W to 26W CFL PAR 38/32</t>
  </si>
  <si>
    <t>100W to 50-75W Halogen</t>
  </si>
  <si>
    <t>from 2 lamps 60W to 4 32W w/80% BF or 25W</t>
  </si>
  <si>
    <t>from 4 Lamps 34W to 4 lamps 32W  - 80% BF or 25W</t>
  </si>
  <si>
    <t>from 2 Ushaped Lamps 34/40W to - 2 Lamps 32W</t>
  </si>
  <si>
    <t>from 1 lamp 75W to 2-4 lamp</t>
  </si>
  <si>
    <t>from 2 lamps 75W to 4 - 4 Lamps</t>
  </si>
  <si>
    <t>Rate/ kWh or KW 2008</t>
  </si>
  <si>
    <t>from 1 lamp 34W to 1-4' 32W w80%BF or 25W</t>
  </si>
  <si>
    <t>from 2 lamp 34W to 1- 32W + Reflector w/90% BF</t>
  </si>
  <si>
    <t>from 2 lamp 34W to 2- 32W w/80% BR or 25W</t>
  </si>
  <si>
    <t>*</t>
  </si>
  <si>
    <t>OPA2009</t>
  </si>
  <si>
    <t>Lost Revenue 2009</t>
  </si>
  <si>
    <t>Two lamp std T-8 fixtures</t>
  </si>
  <si>
    <t>Single lamp std T-8 fixtures</t>
  </si>
  <si>
    <t>Four lamp std T-8 fixtures</t>
  </si>
  <si>
    <t>Energy star CFL's, screw in &lt; 40W</t>
  </si>
  <si>
    <t>Single lamp high perf T-8 fixtures</t>
  </si>
  <si>
    <t>Two lamp high perf T-8 fixtures</t>
  </si>
  <si>
    <t>Three lamp high perf T-8 fixtures</t>
  </si>
  <si>
    <t>2x4k 4 lamp</t>
  </si>
  <si>
    <t>2x2k 2u</t>
  </si>
  <si>
    <t>1x4k 2 lamp</t>
  </si>
  <si>
    <t>Exit 2-15T6 145V</t>
  </si>
  <si>
    <t>Strip 4' 2 lamp</t>
  </si>
  <si>
    <t>Wrap 1x4 2 lamp</t>
  </si>
  <si>
    <t>2x4k 2 lamp</t>
  </si>
  <si>
    <t>Wall bracket 4' lamp</t>
  </si>
  <si>
    <t>OPA ERIP, prescriptive - Conseil Scolaire de District Catholique</t>
  </si>
  <si>
    <t>OPA ERIP, custom - TD Bank Branch 3200</t>
  </si>
  <si>
    <t>OPA ERIP, custom - TD Bank Branch 3184</t>
  </si>
  <si>
    <t>OPA ERIP, prescriptive - TD Bank Branch 3203</t>
  </si>
  <si>
    <t>OPA ERIP, prescriptive - Merit Paper and Bag Co. Ltd</t>
  </si>
  <si>
    <t>4 lamp T-8</t>
  </si>
  <si>
    <t>OPA ERIP, prescriptive - German Club Loreley</t>
  </si>
  <si>
    <t>Energy star CFL's, hard wired &lt; 40W</t>
  </si>
  <si>
    <t>OPA ERIP, prescriptive - Escalator Handrail Co Inc</t>
  </si>
  <si>
    <t>6 lamp high bay T5</t>
  </si>
  <si>
    <t>OPA ERIP, prescriptive - H. Kassinger Construction</t>
  </si>
  <si>
    <t>2010 application</t>
  </si>
  <si>
    <t>2011 application</t>
  </si>
  <si>
    <t>remove expired programs</t>
  </si>
  <si>
    <t>Rate/ kWh or KW 2009</t>
  </si>
  <si>
    <t>reconcile to last year</t>
  </si>
  <si>
    <t>Notes on LRAM prep</t>
  </si>
  <si>
    <t>- on 2009 year application, LRAM for internal projects (3rd tranche) were calculated using one year of life, so LRAM for current year load for these were included in this application.</t>
  </si>
  <si>
    <t>- some LRAM for OPA projects on 2009 application was calculated for entire useful life, and some were just for one year of life</t>
  </si>
  <si>
    <t>2006-2007 projects (from 2009 application):</t>
  </si>
  <si>
    <t>2008 projects (from 2010 application):</t>
  </si>
  <si>
    <t>- updated assumptions to latest OPA assumptions (Jan 2010)</t>
  </si>
  <si>
    <t>- LRAM was calculated for one year of useful life on 2010 application, so savings for the current year were included in this application.</t>
  </si>
  <si>
    <t>2009 projects (new to this application):</t>
  </si>
  <si>
    <t>- Used Distribution Volumetric Rate (DISKWH or DISKW + PIL-DIST) effective May 1, 2009</t>
  </si>
  <si>
    <t>- removed items whose useful life did not extend into 2009</t>
  </si>
  <si>
    <t>OPA ERIP, custom - Durham Catholic District School Board (OP-004)</t>
  </si>
  <si>
    <t>OPA 2009</t>
  </si>
  <si>
    <t>2008 rev</t>
  </si>
  <si>
    <t>add 2009 residential OPA programs</t>
  </si>
  <si>
    <t>add 2009 commercial OPA programs</t>
  </si>
  <si>
    <t>add 2009 industrial OPA programs</t>
  </si>
  <si>
    <t>retired refrigerator</t>
  </si>
  <si>
    <t>4' 1-Lamp high effeciency T8</t>
  </si>
  <si>
    <t>4' 2-Lamp high effeciency T8</t>
  </si>
  <si>
    <t>2' 3-Lamp high effeciency T8</t>
  </si>
  <si>
    <t>4' 3-Lamp high effeciency T8</t>
  </si>
  <si>
    <t>Net kWh Saved (After FR)</t>
  </si>
  <si>
    <t>incl moving Direct install pgm from Residential to Commercial</t>
  </si>
  <si>
    <t>- used latest OPA assumptions (Jan 2010) for KWh savings.  For custom projects where measures were not incl in the quasi-prescriptive list, used custom assumptions per contractor worksheets.</t>
  </si>
  <si>
    <t>Shaded grey tabs are from 2009 application file - not updated in this file</t>
  </si>
  <si>
    <t>- moved Direct Installs from Residential to Commercial.  These are for small businesses and discussed with Angie, all small businesses would be in C1 rate.</t>
  </si>
  <si>
    <t>from assumptions update</t>
  </si>
  <si>
    <t>from rate update</t>
  </si>
  <si>
    <t>total difference</t>
  </si>
  <si>
    <t>kw</t>
  </si>
  <si>
    <t>Energy Savings per unit (kWh) before FR</t>
  </si>
  <si>
    <t>Energy Savings per unit (kW)</t>
  </si>
  <si>
    <t>2008 Kwh or KW savings</t>
  </si>
  <si>
    <t>updated assumptions for existing programs</t>
  </si>
  <si>
    <t>updated rates for existing programs</t>
  </si>
  <si>
    <t>Lost Revenue</t>
  </si>
  <si>
    <t>Proposed Rate Rider</t>
  </si>
  <si>
    <t>Table 1: LRAM Total Amounts and Rate Rider by Class</t>
  </si>
  <si>
    <t>(1) 1 Lamp to 2 – 4’ 32W LBF</t>
  </si>
  <si>
    <t>(2) 1 Lamp to 1 – 8’ 59W LBF</t>
  </si>
  <si>
    <t>(4) 2 Lamps to 4 – 4’ 32W LBF</t>
  </si>
  <si>
    <t>(48) 2 Lamps to 2 – 8’ 59W NBF</t>
  </si>
  <si>
    <t>(49) 4 Lamps to 4 – 8’ 59W lamps with 2 electronic ballasts NBF</t>
  </si>
  <si>
    <t>(50) 2 Lamps to 2 – 8’ 59W NBF</t>
  </si>
  <si>
    <t>(51) 4 Lamps to 4 – 8’ 59W lamps with 2 electronic ballasts NBF</t>
  </si>
  <si>
    <t>(8) 1 Lamp to 1 – 4’ 32W LBF</t>
  </si>
  <si>
    <t>(10) 2 Lamps to 2 – 4’ 32W LBF</t>
  </si>
  <si>
    <t>(12) 4 Lamps to 4 – 4’ 32W LBF</t>
  </si>
  <si>
    <t>(13) 1 Lamp to 1 – 4’ 32W LBF</t>
  </si>
  <si>
    <t>(15) 2 Lamps to 2 – 4’ 32W LBF</t>
  </si>
  <si>
    <t>(16) 4 Lamps to 2 – 4’ 32W BF &gt; 1.1 + reflector</t>
  </si>
  <si>
    <t>(17) 4 Lamps to 4 – 4’ 32W LBF</t>
  </si>
  <si>
    <t>(52) 2 Lamps to 2 – 4’ 25W NBF</t>
  </si>
  <si>
    <t>(54) 2 – 8’ T12 High Output Lamps to 2 – 8’ High Output T8 lamps with electronic ballasts</t>
  </si>
  <si>
    <t>(55) 175W Metal Halide to 1 – 150W Metal Halide Direct Lamp replacement ANSI#M152/O</t>
  </si>
  <si>
    <t>(56) 400W Metal Halide to 1 – 360W Metal Halide Direct Lamp replacement</t>
  </si>
  <si>
    <t>(18) 2 Lamps to 2 U-Tube Lamps</t>
  </si>
  <si>
    <t>(19) 2 Lamps to 2 Linear 2' + Reflector F17T8</t>
  </si>
  <si>
    <t>(20) 2-15W Lamps to 3W LED</t>
  </si>
  <si>
    <t>(21) 2-15W Lamps to Replace entire fixture with LED sign</t>
  </si>
  <si>
    <t>(22) 40W to 11W</t>
  </si>
  <si>
    <t>(23) 60W to 13W</t>
  </si>
  <si>
    <t>(24) 100W to 23W</t>
  </si>
  <si>
    <t>(25) 150W to 28W-32W</t>
  </si>
  <si>
    <t>(59) 40W to 11W</t>
  </si>
  <si>
    <t>(60) 60W to 13W</t>
  </si>
  <si>
    <t>(63) 65 – 75W Incandescent R Lamp to 14 – 16W Dimmable CFL Lamp</t>
  </si>
  <si>
    <t>(64) 100 – 150W Incandescent R Lamp to 22 – 26W Dimmable CFL Lamp</t>
  </si>
  <si>
    <t>(26) 60W PAR38/30/20 to 15W CFL PAR38/30/20</t>
  </si>
  <si>
    <t>(27) 75W PAR38/30/20 to 18W CFL PAR38/30/20</t>
  </si>
  <si>
    <t>(28) 100W PAR38/30/20 to 26W CFL PAR38/30/20</t>
  </si>
  <si>
    <t>(29) 40 - 60W standard incandescent to 15W CFL</t>
  </si>
  <si>
    <t>(31) 75W standard incandescent to 18W CFL</t>
  </si>
  <si>
    <t>(32) 75W standard incandescent to 50W Halogen</t>
  </si>
  <si>
    <t>(33) 90 Watt Halogen to 23 to 28W CFL Par 38/30</t>
  </si>
  <si>
    <t>(35) 100W standard incandescent or greater to 26W CFL</t>
  </si>
  <si>
    <t>(65) 40 - 60W standard halogen to 29W - 32W Halogen IR (for all types including MR16)</t>
  </si>
  <si>
    <t>Library Watt- Reader Program Total</t>
  </si>
  <si>
    <t>OPA EKC Pgm Coupons (Summer/ Fall 2006) Total</t>
  </si>
  <si>
    <t>Residential Replace Bulk with Individual Meters Total</t>
  </si>
  <si>
    <t>Retrofit Non-Profit Housing Total</t>
  </si>
  <si>
    <t>Retro Fit Traffic Signal Lights with LED Fixtures Total</t>
  </si>
  <si>
    <t>OPA ERIP - Community Baptist Church Total</t>
  </si>
  <si>
    <t>OPA ERIP - King Ritson Dental Clinic Total</t>
  </si>
  <si>
    <t>OPA ERIP - Pier 1 Imports Total</t>
  </si>
  <si>
    <t>OPA ERIP, prescriptive - TD Bank Branch 3203 Total</t>
  </si>
  <si>
    <t>OPA ERIP, custom - TD Bank Branch 3200 Total</t>
  </si>
  <si>
    <t>OPA ERIP, prescriptive - German Club Loreley Total</t>
  </si>
  <si>
    <t>OPA ERIP, prescriptive - H. Kassinger Construction Total</t>
  </si>
  <si>
    <t>OPA ERIP - Foley Group Total</t>
  </si>
  <si>
    <t>OPA ERIP - Kassinger Construction, Jul 08 lighting Total</t>
  </si>
  <si>
    <t>OPA ERIP - Nordco Inc Total</t>
  </si>
  <si>
    <t>OPA ERIP - Syran Developments Ltd Total</t>
  </si>
  <si>
    <t>OPA ERIP, custom - TD Bank Branch 3184 Total</t>
  </si>
  <si>
    <t>OPA ERIP, custom - Durham Catholic District School Board (OP-004) Total</t>
  </si>
  <si>
    <t>OPA ERIP, prescriptive - Merit Paper and Bag Co. Ltd Total</t>
  </si>
  <si>
    <t>OPA ERIP, prescriptive - Conseil Scolaire de District Catholique Total</t>
  </si>
  <si>
    <t>OPA ERIP - Canadian Tire Total</t>
  </si>
  <si>
    <t>OPA ERIP - Kassinger Construction, 2007 Total</t>
  </si>
  <si>
    <t>OPA ERIP, prescriptive - Escalator Handrail Co Inc Total</t>
  </si>
  <si>
    <t>- received Direct install data details from extract from OPA powerblitz portal from Nedco, Helsa Lo, 905-568-7775</t>
  </si>
  <si>
    <t>Table 3: Lost Load by Class and Program Summary</t>
  </si>
  <si>
    <t>Table 2: Lost Revenue by Class and Program Summary</t>
  </si>
  <si>
    <t>Table 4: LRAM Detail</t>
  </si>
  <si>
    <t>Total LRAM</t>
  </si>
  <si>
    <t>Note 2:    No LRAM rate rider for Commercial Rate Class was submitted in prior year application due to amounts below rounding threshold.  Included this 2008 LRAM in this application (2009 load at 2008 rates.)</t>
  </si>
  <si>
    <t>LED Fixtures (Note 1)</t>
  </si>
  <si>
    <t>Note 1:    Freerider rate of 30% used in SSM and LRAM was based on Toronto Hydro decision.  No OPA inputs found, previous inputs used.</t>
  </si>
  <si>
    <t>Sum of Total LRAM</t>
  </si>
  <si>
    <t>add 2008 Commercial LRAM not submitted</t>
  </si>
  <si>
    <t>Total Net KWh Saved (After FR)</t>
  </si>
  <si>
    <t>Sum of Total Net KWh Saved (After FR)</t>
  </si>
  <si>
    <r>
      <t xml:space="preserve">Net KWh Saved (After FR) 2008 </t>
    </r>
    <r>
      <rPr>
        <sz val="8"/>
        <rFont val="Arial"/>
        <family val="2"/>
      </rPr>
      <t xml:space="preserve"> Note 2</t>
    </r>
  </si>
  <si>
    <r>
      <t xml:space="preserve">Lost Revenue not submitted, 2008 </t>
    </r>
    <r>
      <rPr>
        <sz val="8"/>
        <rFont val="Arial"/>
        <family val="2"/>
      </rPr>
      <t xml:space="preserve"> Note 2</t>
    </r>
  </si>
  <si>
    <t>OPA Peaksaver Total  2008</t>
  </si>
  <si>
    <t>OPA Refrigerator Roundup Total  2008</t>
  </si>
  <si>
    <t>OPA Peaksaver Total  2009</t>
  </si>
  <si>
    <t>OPA Refrigerator Roundup Total  2009</t>
  </si>
  <si>
    <t>OPA Direct Install Total  2008</t>
  </si>
  <si>
    <t>OPA Direct Install Total  2009</t>
  </si>
  <si>
    <t>Net KWh Saved (After FR) 2008  Note 2</t>
  </si>
  <si>
    <t>Lost Revenue not submitted, 2008  Note 2</t>
  </si>
  <si>
    <t>- added columns for 2008 Commercial LRAM since this was not submitted in prior year (below rounding threshold.)  Added LRAM at 2008 rates for those records.</t>
  </si>
  <si>
    <t>volume x rounded rate rider</t>
  </si>
  <si>
    <t>diff</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</si>
</sst>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0.0"/>
    <numFmt numFmtId="169" formatCode="&quot;$&quot;#,##0.0_);[Red]\(&quot;$&quot;#,##0.0\)"/>
    <numFmt numFmtId="170" formatCode="&quot;$&quot;#,##0.0"/>
    <numFmt numFmtId="171" formatCode="_(* #,##0.00000_);_(* \(#,##0.00000\);_(* &quot;-&quot;??_);_(@_)"/>
    <numFmt numFmtId="172" formatCode="_(&quot;$&quot;* #,##0.0_);_(&quot;$&quot;* \(#,##0.0\);_(&quot;$&quot;* &quot;-&quot;??_);_(@_)"/>
    <numFmt numFmtId="173" formatCode="_(&quot;$&quot;* #,##0.000_);_(&quot;$&quot;* \(#,##0.000\);_(&quot;$&quot;* &quot;-&quot;??_);_(@_)"/>
    <numFmt numFmtId="174" formatCode="_(&quot;$&quot;* #,##0.0000_);_(&quot;$&quot;* \(#,##0.0000\);_(&quot;$&quot;* &quot;-&quot;??_);_(@_)"/>
    <numFmt numFmtId="175" formatCode="_(* #,##0.0000_);_(* \(#,##0.0000\);_(* &quot;-&quot;????_);_(@_)"/>
    <numFmt numFmtId="176" formatCode="0.0000"/>
    <numFmt numFmtId="177" formatCode="0.000"/>
    <numFmt numFmtId="178" formatCode="_(* #,##0.000_);_(* \(#,##0.000\);_(* &quot;-&quot;???_);_(@_)"/>
    <numFmt numFmtId="179" formatCode="_(* #,##0.0_);_(* \(#,##0.0\);_(* &quot;-&quot;?_);_(@_)"/>
    <numFmt numFmtId="180" formatCode="&quot;Yes&quot;;&quot;Yes&quot;;&quot;No&quot;"/>
    <numFmt numFmtId="181" formatCode="&quot;True&quot;;&quot;True&quot;;&quot;False&quot;"/>
    <numFmt numFmtId="182" formatCode="&quot;On&quot;;&quot;On&quot;;&quot;Off&quot;"/>
    <numFmt numFmtId="183" formatCode="[$€-2]\ #,##0.00_);[Red]\([$€-2]\ #,##0.00\)"/>
    <numFmt numFmtId="184" formatCode="&quot;$&quot;#,##0.0000_);[Red]\(&quot;$&quot;#,##0.0000\)"/>
    <numFmt numFmtId="185" formatCode="&quot;$&quot;#,##0.00000_);[Red]\(&quot;$&quot;#,##0.00000\)"/>
    <numFmt numFmtId="186" formatCode="_(&quot;$&quot;* #,##0_);_(&quot;$&quot;* \(#,##0\);_(&quot;$&quot;* &quot;-&quot;??_);_(@_)"/>
    <numFmt numFmtId="187" formatCode="#,##0.0000"/>
    <numFmt numFmtId="188" formatCode="_-* #,##0.00_-;\-* #,##0.00_-;_-* &quot;-&quot;??_-;_-@_-"/>
    <numFmt numFmtId="189" formatCode="_-* #,##0.0000_-;\-* #,##0.0000_-;_-* &quot;-&quot;??_-;_-@_-"/>
    <numFmt numFmtId="190" formatCode="0.0%"/>
    <numFmt numFmtId="191" formatCode="0.0%;\(0.0\)%"/>
    <numFmt numFmtId="192" formatCode="#,##0.00_ ;\-#,##0.00\ "/>
    <numFmt numFmtId="193" formatCode="_-&quot;$&quot;* #,##0.00_-;\-&quot;$&quot;* #,##0.00_-;_-&quot;$&quot;* &quot;-&quot;??_-;_-@_-"/>
    <numFmt numFmtId="194" formatCode="#,##0.00000"/>
    <numFmt numFmtId="195" formatCode="_-* #,##0_-;\-* #,##0_-;_-* &quot;-&quot;??_-;_-@_-"/>
    <numFmt numFmtId="196" formatCode="0.00000"/>
    <numFmt numFmtId="197" formatCode="#,##0.0000_);\(#,##0.0000\)"/>
    <numFmt numFmtId="198" formatCode="0.000%"/>
    <numFmt numFmtId="199" formatCode="_(&quot;$&quot;* #,##0.0000_);_(&quot;$&quot;* \(#,##0.0000\);_(&quot;$&quot;* &quot;-&quot;????_);_(@_)"/>
    <numFmt numFmtId="200" formatCode="&quot;$&quot;#,##0.0000_);\(&quot;$&quot;#,##0.0000\)"/>
    <numFmt numFmtId="201" formatCode="mmmm\ d\,\ yyyy"/>
    <numFmt numFmtId="202" formatCode="0.0000%"/>
    <numFmt numFmtId="203" formatCode="&quot;$&quot;#,##0.000_);\(&quot;$&quot;#,##0.000\)"/>
    <numFmt numFmtId="204" formatCode="0.00000%"/>
    <numFmt numFmtId="205" formatCode="_(* #,##0.000000_);_(* \(#,##0.000000\);_(* &quot;-&quot;??_);_(@_)"/>
    <numFmt numFmtId="206" formatCode="0.000000"/>
    <numFmt numFmtId="207" formatCode="0.00_);[Red]\(0.00\)"/>
    <numFmt numFmtId="208" formatCode="0_);[Red]\(0\)"/>
    <numFmt numFmtId="209" formatCode="&quot;$&quot;#,##0.000000_);[Red]\(&quot;$&quot;#,##0.000000\)"/>
    <numFmt numFmtId="210" formatCode="&quot;$&quot;#,##0.0000000_);[Red]\(&quot;$&quot;#,##0.0000000\)"/>
    <numFmt numFmtId="211" formatCode="&quot;$&quot;#,##0.00000000_);[Red]\(&quot;$&quot;#,##0.00000000\)"/>
    <numFmt numFmtId="212" formatCode="&quot;$&quot;#,##0.000000000_);[Red]\(&quot;$&quot;#,##0.000000000\)"/>
    <numFmt numFmtId="213" formatCode="_(* #,##0.0000000_);_(* \(#,##0.0000000\);_(* &quot;-&quot;??_);_(@_)"/>
    <numFmt numFmtId="214" formatCode="_(* #,##0.00000000_);_(* \(#,##0.00000000\);_(* &quot;-&quot;??_);_(@_)"/>
    <numFmt numFmtId="215" formatCode="_(&quot;$&quot;* #,##0.00000_);_(&quot;$&quot;* \(#,##0.00000\);_(&quot;$&quot;* &quot;-&quot;??_);_(@_)"/>
    <numFmt numFmtId="216" formatCode="_(&quot;$&quot;* #,##0.000000_);_(&quot;$&quot;* \(#,##0.000000\);_(&quot;$&quot;* &quot;-&quot;??_);_(@_)"/>
    <numFmt numFmtId="217" formatCode="#,##0.0"/>
    <numFmt numFmtId="218" formatCode="#,##0.000"/>
  </numFmts>
  <fonts count="63">
    <font>
      <sz val="10"/>
      <name val="Arial"/>
      <family val="0"/>
    </font>
    <font>
      <u val="single"/>
      <sz val="10"/>
      <color indexed="12"/>
      <name val="Arial"/>
      <family val="2"/>
    </font>
    <font>
      <b/>
      <sz val="10"/>
      <name val="Arial"/>
      <family val="2"/>
    </font>
    <font>
      <u val="single"/>
      <sz val="10"/>
      <name val="Arial"/>
      <family val="2"/>
    </font>
    <font>
      <sz val="8"/>
      <name val="Tahoma"/>
      <family val="2"/>
    </font>
    <font>
      <b/>
      <sz val="8"/>
      <name val="Tahoma"/>
      <family val="2"/>
    </font>
    <font>
      <sz val="8"/>
      <name val="Arial"/>
      <family val="2"/>
    </font>
    <font>
      <sz val="12"/>
      <name val="Arial"/>
      <family val="2"/>
    </font>
    <font>
      <b/>
      <sz val="8"/>
      <name val="Arial"/>
      <family val="2"/>
    </font>
    <font>
      <sz val="9"/>
      <name val="Arial"/>
      <family val="2"/>
    </font>
    <font>
      <b/>
      <sz val="9"/>
      <name val="Arial"/>
      <family val="2"/>
    </font>
    <font>
      <u val="single"/>
      <sz val="10"/>
      <color indexed="36"/>
      <name val="Arial"/>
      <family val="2"/>
    </font>
    <font>
      <b/>
      <u val="single"/>
      <sz val="10"/>
      <name val="Arial"/>
      <family val="2"/>
    </font>
    <font>
      <sz val="10"/>
      <color indexed="62"/>
      <name val="Arial"/>
      <family val="2"/>
    </font>
    <font>
      <i/>
      <sz val="10"/>
      <name val="Arial"/>
      <family val="2"/>
    </font>
    <font>
      <b/>
      <i/>
      <sz val="10"/>
      <name val="Arial"/>
      <family val="2"/>
    </font>
    <font>
      <i/>
      <sz val="10"/>
      <color indexed="62"/>
      <name val="Arial"/>
      <family val="2"/>
    </font>
    <font>
      <i/>
      <sz val="9"/>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30"/>
      <name val="Arial"/>
      <family val="2"/>
    </font>
    <font>
      <sz val="10"/>
      <color indexed="10"/>
      <name val="Arial"/>
      <family val="2"/>
    </font>
    <font>
      <b/>
      <sz val="10"/>
      <color indexed="10"/>
      <name val="Arial"/>
      <family val="2"/>
    </font>
    <font>
      <i/>
      <sz val="10"/>
      <color indexed="10"/>
      <name val="Arial"/>
      <family val="2"/>
    </font>
    <font>
      <i/>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70C0"/>
      <name val="Arial"/>
      <family val="2"/>
    </font>
    <font>
      <sz val="10"/>
      <color rgb="FFFF0000"/>
      <name val="Arial"/>
      <family val="2"/>
    </font>
    <font>
      <b/>
      <sz val="10"/>
      <color rgb="FFFF0000"/>
      <name val="Arial"/>
      <family val="2"/>
    </font>
    <font>
      <i/>
      <sz val="10"/>
      <color rgb="FFFF0000"/>
      <name val="Arial"/>
      <family val="2"/>
    </font>
    <font>
      <i/>
      <sz val="10"/>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7">
    <xf numFmtId="0" fontId="0" fillId="0" borderId="0" xfId="0" applyAlignment="1">
      <alignment/>
    </xf>
    <xf numFmtId="0" fontId="2" fillId="0" borderId="0" xfId="0" applyFont="1" applyAlignment="1">
      <alignment/>
    </xf>
    <xf numFmtId="167" fontId="0" fillId="0" borderId="0" xfId="42" applyNumberFormat="1" applyFont="1" applyAlignment="1">
      <alignment/>
    </xf>
    <xf numFmtId="9" fontId="0" fillId="0" borderId="0" xfId="59" applyFont="1" applyAlignment="1">
      <alignment/>
    </xf>
    <xf numFmtId="0" fontId="0" fillId="0" borderId="0" xfId="0" applyAlignment="1">
      <alignment horizontal="center"/>
    </xf>
    <xf numFmtId="167" fontId="0" fillId="0" borderId="0" xfId="42" applyNumberFormat="1" applyFont="1" applyAlignment="1">
      <alignment horizontal="center"/>
    </xf>
    <xf numFmtId="44" fontId="0" fillId="0" borderId="0" xfId="44" applyFont="1" applyAlignment="1">
      <alignment/>
    </xf>
    <xf numFmtId="0" fontId="0" fillId="0" borderId="0" xfId="0" applyFill="1" applyAlignment="1">
      <alignment/>
    </xf>
    <xf numFmtId="0" fontId="0" fillId="0" borderId="0" xfId="0" applyFill="1" applyAlignment="1">
      <alignment horizontal="center"/>
    </xf>
    <xf numFmtId="167" fontId="0" fillId="0" borderId="0" xfId="42" applyNumberFormat="1" applyFont="1" applyFill="1" applyAlignment="1">
      <alignment horizontal="center"/>
    </xf>
    <xf numFmtId="167" fontId="0" fillId="0" borderId="0" xfId="0" applyNumberFormat="1" applyFill="1" applyAlignment="1">
      <alignment/>
    </xf>
    <xf numFmtId="9" fontId="0" fillId="0" borderId="0" xfId="59" applyFont="1" applyFill="1" applyAlignment="1">
      <alignment/>
    </xf>
    <xf numFmtId="174" fontId="0" fillId="0" borderId="0" xfId="44" applyNumberFormat="1" applyFont="1" applyFill="1" applyAlignment="1">
      <alignment/>
    </xf>
    <xf numFmtId="44" fontId="0" fillId="0" borderId="0" xfId="44" applyFont="1" applyFill="1" applyAlignment="1">
      <alignment/>
    </xf>
    <xf numFmtId="1" fontId="0" fillId="0" borderId="0" xfId="0" applyNumberFormat="1" applyFill="1" applyAlignment="1">
      <alignment/>
    </xf>
    <xf numFmtId="167" fontId="6" fillId="0" borderId="0" xfId="42" applyNumberFormat="1" applyFont="1" applyAlignment="1">
      <alignment horizontal="center"/>
    </xf>
    <xf numFmtId="0" fontId="7" fillId="0" borderId="0" xfId="0" applyFont="1" applyAlignment="1">
      <alignment horizontal="center"/>
    </xf>
    <xf numFmtId="0" fontId="0" fillId="0" borderId="0" xfId="0" applyFont="1" applyAlignment="1">
      <alignment/>
    </xf>
    <xf numFmtId="0" fontId="7" fillId="0" borderId="0" xfId="0" applyFont="1" applyAlignment="1">
      <alignment horizontal="left"/>
    </xf>
    <xf numFmtId="0" fontId="2" fillId="0" borderId="0" xfId="0" applyFont="1" applyFill="1" applyAlignment="1">
      <alignment/>
    </xf>
    <xf numFmtId="167" fontId="6" fillId="0" borderId="0" xfId="42" applyNumberFormat="1" applyFont="1" applyFill="1" applyAlignment="1">
      <alignment horizontal="center"/>
    </xf>
    <xf numFmtId="0" fontId="0" fillId="0" borderId="0" xfId="0" applyFill="1" applyAlignment="1">
      <alignment horizontal="center" vertical="center"/>
    </xf>
    <xf numFmtId="0" fontId="0" fillId="0" borderId="0" xfId="0" applyAlignment="1" quotePrefix="1">
      <alignment/>
    </xf>
    <xf numFmtId="167" fontId="0" fillId="0" borderId="0" xfId="42" applyNumberFormat="1" applyFont="1" applyFill="1" applyAlignment="1">
      <alignment/>
    </xf>
    <xf numFmtId="0" fontId="0" fillId="0" borderId="0" xfId="0" applyFont="1" applyAlignment="1">
      <alignment horizontal="center"/>
    </xf>
    <xf numFmtId="167" fontId="0" fillId="0" borderId="0" xfId="42" applyNumberFormat="1" applyFont="1" applyFill="1" applyAlignment="1">
      <alignment horizontal="center"/>
    </xf>
    <xf numFmtId="167" fontId="6" fillId="0" borderId="0" xfId="42" applyNumberFormat="1" applyFont="1" applyAlignment="1">
      <alignment horizontal="center"/>
    </xf>
    <xf numFmtId="167" fontId="0" fillId="0" borderId="0" xfId="42" applyNumberFormat="1" applyFont="1" applyAlignment="1">
      <alignment/>
    </xf>
    <xf numFmtId="9" fontId="0" fillId="0" borderId="0" xfId="59" applyFont="1" applyAlignment="1">
      <alignment/>
    </xf>
    <xf numFmtId="44" fontId="0" fillId="0" borderId="0" xfId="44" applyFont="1" applyAlignment="1">
      <alignment/>
    </xf>
    <xf numFmtId="43" fontId="0" fillId="0" borderId="0" xfId="42" applyFont="1" applyAlignment="1">
      <alignment/>
    </xf>
    <xf numFmtId="0" fontId="0" fillId="0" borderId="0" xfId="0" applyFont="1" applyFill="1" applyAlignment="1">
      <alignment/>
    </xf>
    <xf numFmtId="0" fontId="0" fillId="0" borderId="0" xfId="0" applyFont="1" applyFill="1" applyAlignment="1">
      <alignment horizontal="center"/>
    </xf>
    <xf numFmtId="1" fontId="0" fillId="0" borderId="0" xfId="0" applyNumberFormat="1" applyFont="1" applyFill="1" applyAlignment="1">
      <alignment/>
    </xf>
    <xf numFmtId="9" fontId="0" fillId="0" borderId="0" xfId="59" applyFont="1" applyFill="1" applyAlignment="1">
      <alignment/>
    </xf>
    <xf numFmtId="44" fontId="0" fillId="0" borderId="0" xfId="44" applyFont="1" applyFill="1" applyAlignment="1">
      <alignment/>
    </xf>
    <xf numFmtId="43" fontId="0" fillId="0" borderId="0" xfId="42" applyFont="1" applyFill="1" applyAlignment="1">
      <alignment/>
    </xf>
    <xf numFmtId="44" fontId="6" fillId="0" borderId="0" xfId="44" applyFont="1" applyFill="1" applyAlignment="1">
      <alignment horizontal="center"/>
    </xf>
    <xf numFmtId="165" fontId="0" fillId="0" borderId="0" xfId="42" applyNumberFormat="1" applyFont="1" applyAlignment="1">
      <alignment/>
    </xf>
    <xf numFmtId="44" fontId="13" fillId="0" borderId="0" xfId="44" applyFont="1" applyAlignment="1">
      <alignment/>
    </xf>
    <xf numFmtId="174" fontId="0" fillId="0" borderId="0" xfId="44" applyNumberFormat="1" applyFont="1" applyFill="1" applyAlignment="1">
      <alignment/>
    </xf>
    <xf numFmtId="184" fontId="0" fillId="0" borderId="0" xfId="0" applyNumberFormat="1" applyFont="1" applyBorder="1" applyAlignment="1">
      <alignment/>
    </xf>
    <xf numFmtId="8" fontId="0" fillId="0" borderId="0" xfId="0" applyNumberFormat="1" applyFont="1" applyBorder="1" applyAlignment="1">
      <alignment/>
    </xf>
    <xf numFmtId="0" fontId="0" fillId="0" borderId="10" xfId="0" applyBorder="1" applyAlignment="1">
      <alignment vertical="top" wrapText="1"/>
    </xf>
    <xf numFmtId="0" fontId="0" fillId="0" borderId="11" xfId="0" applyBorder="1" applyAlignment="1">
      <alignment vertical="top"/>
    </xf>
    <xf numFmtId="0" fontId="0" fillId="0" borderId="12" xfId="0" applyBorder="1" applyAlignment="1">
      <alignment vertical="top"/>
    </xf>
    <xf numFmtId="0" fontId="0" fillId="0" borderId="0" xfId="0" applyAlignment="1">
      <alignment vertical="top"/>
    </xf>
    <xf numFmtId="0" fontId="0" fillId="0" borderId="10" xfId="0" applyBorder="1" applyAlignment="1">
      <alignment vertical="top"/>
    </xf>
    <xf numFmtId="0" fontId="0" fillId="0" borderId="10"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0" fillId="0" borderId="0" xfId="0" applyAlignment="1" quotePrefix="1">
      <alignment horizontal="left"/>
    </xf>
    <xf numFmtId="0" fontId="0" fillId="0" borderId="0" xfId="0" applyAlignment="1" quotePrefix="1">
      <alignment horizontal="left" indent="4"/>
    </xf>
    <xf numFmtId="0" fontId="2" fillId="0" borderId="0" xfId="0" applyFont="1" applyAlignment="1">
      <alignment horizontal="center"/>
    </xf>
    <xf numFmtId="167" fontId="2" fillId="0" borderId="0" xfId="42" applyNumberFormat="1" applyFont="1" applyFill="1" applyAlignment="1">
      <alignment horizontal="center"/>
    </xf>
    <xf numFmtId="167" fontId="8" fillId="0" borderId="0" xfId="42" applyNumberFormat="1" applyFont="1" applyAlignment="1">
      <alignment horizontal="center"/>
    </xf>
    <xf numFmtId="167" fontId="2" fillId="0" borderId="0" xfId="0" applyNumberFormat="1" applyFont="1" applyFill="1" applyAlignment="1">
      <alignment/>
    </xf>
    <xf numFmtId="165" fontId="2" fillId="0" borderId="0" xfId="42" applyNumberFormat="1" applyFont="1" applyAlignment="1">
      <alignment/>
    </xf>
    <xf numFmtId="167" fontId="2" fillId="0" borderId="0" xfId="42" applyNumberFormat="1" applyFont="1" applyAlignment="1">
      <alignment/>
    </xf>
    <xf numFmtId="9" fontId="2" fillId="0" borderId="0" xfId="59" applyFont="1" applyFill="1" applyAlignment="1">
      <alignment/>
    </xf>
    <xf numFmtId="174" fontId="2" fillId="0" borderId="0" xfId="44" applyNumberFormat="1" applyFont="1" applyFill="1" applyAlignment="1">
      <alignment/>
    </xf>
    <xf numFmtId="44" fontId="2" fillId="0" borderId="0" xfId="44" applyFont="1" applyAlignment="1">
      <alignment/>
    </xf>
    <xf numFmtId="0" fontId="2" fillId="0" borderId="17" xfId="0" applyFont="1" applyFill="1" applyBorder="1" applyAlignment="1">
      <alignment/>
    </xf>
    <xf numFmtId="0" fontId="2" fillId="0" borderId="17" xfId="0" applyFont="1" applyBorder="1" applyAlignment="1">
      <alignment/>
    </xf>
    <xf numFmtId="0" fontId="2" fillId="0" borderId="17" xfId="0" applyFont="1" applyBorder="1" applyAlignment="1">
      <alignment horizontal="center"/>
    </xf>
    <xf numFmtId="167" fontId="2" fillId="0" borderId="17" xfId="42" applyNumberFormat="1" applyFont="1" applyFill="1" applyBorder="1" applyAlignment="1">
      <alignment horizontal="center"/>
    </xf>
    <xf numFmtId="167" fontId="8" fillId="0" borderId="17" xfId="42" applyNumberFormat="1" applyFont="1" applyBorder="1" applyAlignment="1">
      <alignment horizontal="center"/>
    </xf>
    <xf numFmtId="167" fontId="2" fillId="0" borderId="17" xfId="0" applyNumberFormat="1" applyFont="1" applyFill="1" applyBorder="1" applyAlignment="1">
      <alignment/>
    </xf>
    <xf numFmtId="165" fontId="2" fillId="0" borderId="17" xfId="42" applyNumberFormat="1" applyFont="1" applyBorder="1" applyAlignment="1">
      <alignment/>
    </xf>
    <xf numFmtId="167" fontId="2" fillId="0" borderId="17" xfId="42" applyNumberFormat="1" applyFont="1" applyBorder="1" applyAlignment="1">
      <alignment/>
    </xf>
    <xf numFmtId="9" fontId="2" fillId="0" borderId="17" xfId="59" applyFont="1" applyFill="1" applyBorder="1" applyAlignment="1">
      <alignment/>
    </xf>
    <xf numFmtId="174" fontId="2" fillId="0" borderId="17" xfId="44" applyNumberFormat="1" applyFont="1" applyFill="1" applyBorder="1" applyAlignment="1">
      <alignment/>
    </xf>
    <xf numFmtId="44" fontId="2" fillId="0" borderId="17" xfId="44" applyFont="1" applyBorder="1" applyAlignment="1">
      <alignment/>
    </xf>
    <xf numFmtId="9" fontId="2" fillId="0" borderId="0" xfId="59" applyFont="1" applyAlignment="1">
      <alignment/>
    </xf>
    <xf numFmtId="0" fontId="2" fillId="0" borderId="0" xfId="0" applyFont="1" applyFill="1" applyAlignment="1">
      <alignment horizontal="center"/>
    </xf>
    <xf numFmtId="1" fontId="2" fillId="0" borderId="0" xfId="0" applyNumberFormat="1" applyFont="1" applyFill="1" applyAlignment="1">
      <alignment/>
    </xf>
    <xf numFmtId="0" fontId="2" fillId="0" borderId="18" xfId="0" applyFont="1" applyBorder="1" applyAlignment="1">
      <alignment wrapText="1"/>
    </xf>
    <xf numFmtId="0" fontId="2" fillId="0" borderId="18" xfId="0" applyFont="1" applyBorder="1" applyAlignment="1">
      <alignment horizontal="center" wrapText="1"/>
    </xf>
    <xf numFmtId="167" fontId="2" fillId="0" borderId="18" xfId="42" applyNumberFormat="1" applyFont="1" applyBorder="1" applyAlignment="1">
      <alignment horizontal="center" wrapText="1"/>
    </xf>
    <xf numFmtId="167" fontId="2" fillId="0" borderId="18" xfId="42" applyNumberFormat="1" applyFont="1" applyBorder="1" applyAlignment="1">
      <alignment wrapText="1"/>
    </xf>
    <xf numFmtId="9" fontId="2" fillId="0" borderId="18" xfId="59" applyFont="1" applyBorder="1" applyAlignment="1">
      <alignment wrapText="1"/>
    </xf>
    <xf numFmtId="0" fontId="12" fillId="0" borderId="0" xfId="0" applyFont="1" applyAlignment="1">
      <alignment/>
    </xf>
    <xf numFmtId="186" fontId="0" fillId="0" borderId="0" xfId="44" applyNumberFormat="1" applyFont="1" applyAlignment="1">
      <alignment/>
    </xf>
    <xf numFmtId="0" fontId="2" fillId="0" borderId="0" xfId="0" applyNumberFormat="1" applyFont="1" applyFill="1" applyAlignment="1">
      <alignment/>
    </xf>
    <xf numFmtId="167" fontId="2" fillId="0" borderId="0" xfId="42" applyNumberFormat="1" applyFont="1" applyFill="1" applyAlignment="1">
      <alignment/>
    </xf>
    <xf numFmtId="167" fontId="8" fillId="0" borderId="0" xfId="42" applyNumberFormat="1" applyFont="1" applyFill="1" applyAlignment="1">
      <alignment horizontal="center"/>
    </xf>
    <xf numFmtId="174" fontId="0" fillId="0" borderId="0" xfId="44" applyNumberFormat="1" applyFont="1" applyAlignment="1">
      <alignment/>
    </xf>
    <xf numFmtId="166" fontId="0" fillId="0" borderId="0" xfId="42" applyNumberFormat="1" applyFont="1" applyAlignment="1">
      <alignment/>
    </xf>
    <xf numFmtId="166" fontId="2" fillId="0" borderId="18" xfId="42" applyNumberFormat="1" applyFont="1" applyBorder="1" applyAlignment="1">
      <alignment wrapText="1"/>
    </xf>
    <xf numFmtId="166" fontId="0" fillId="0" borderId="0" xfId="42" applyNumberFormat="1" applyFont="1" applyFill="1" applyAlignment="1">
      <alignment/>
    </xf>
    <xf numFmtId="166" fontId="2" fillId="0" borderId="0" xfId="42" applyNumberFormat="1" applyFont="1" applyFill="1" applyAlignment="1">
      <alignment/>
    </xf>
    <xf numFmtId="166" fontId="2" fillId="0" borderId="17" xfId="42" applyNumberFormat="1" applyFont="1" applyFill="1" applyBorder="1" applyAlignment="1">
      <alignment/>
    </xf>
    <xf numFmtId="1" fontId="0" fillId="0" borderId="0" xfId="0" applyNumberFormat="1" applyFont="1" applyFill="1" applyAlignment="1">
      <alignment horizontal="center"/>
    </xf>
    <xf numFmtId="44" fontId="0" fillId="0" borderId="0" xfId="0" applyNumberFormat="1" applyFill="1" applyAlignment="1">
      <alignment/>
    </xf>
    <xf numFmtId="167" fontId="0" fillId="0" borderId="0" xfId="42" applyNumberFormat="1" applyFont="1" applyFill="1" applyAlignment="1">
      <alignment horizontal="center"/>
    </xf>
    <xf numFmtId="167" fontId="0" fillId="0" borderId="0" xfId="42" applyNumberFormat="1" applyFont="1" applyFill="1" applyAlignment="1">
      <alignment/>
    </xf>
    <xf numFmtId="9" fontId="0" fillId="0" borderId="0" xfId="59" applyFont="1" applyFill="1" applyAlignment="1">
      <alignment/>
    </xf>
    <xf numFmtId="174" fontId="0" fillId="0" borderId="0" xfId="44" applyNumberFormat="1" applyFont="1" applyFill="1" applyAlignment="1">
      <alignment/>
    </xf>
    <xf numFmtId="44" fontId="0" fillId="0" borderId="0" xfId="44" applyFont="1" applyFill="1" applyAlignment="1">
      <alignment/>
    </xf>
    <xf numFmtId="167" fontId="6" fillId="0" borderId="0" xfId="42" applyNumberFormat="1" applyFont="1" applyFill="1" applyAlignment="1">
      <alignment horizontal="center"/>
    </xf>
    <xf numFmtId="167" fontId="0" fillId="0" borderId="0" xfId="42" applyNumberFormat="1" applyFont="1" applyFill="1" applyAlignment="1">
      <alignment/>
    </xf>
    <xf numFmtId="0" fontId="0" fillId="33" borderId="0" xfId="0" applyFill="1" applyAlignment="1">
      <alignment/>
    </xf>
    <xf numFmtId="0" fontId="0" fillId="33" borderId="0" xfId="0" applyFill="1" applyAlignment="1">
      <alignment horizontal="center" vertical="center"/>
    </xf>
    <xf numFmtId="0" fontId="0" fillId="33" borderId="0" xfId="0" applyFill="1" applyAlignment="1">
      <alignment horizontal="center"/>
    </xf>
    <xf numFmtId="167" fontId="0" fillId="33" borderId="0" xfId="42" applyNumberFormat="1" applyFont="1" applyFill="1" applyAlignment="1">
      <alignment horizontal="center"/>
    </xf>
    <xf numFmtId="167" fontId="6" fillId="33" borderId="0" xfId="42" applyNumberFormat="1" applyFont="1" applyFill="1" applyAlignment="1">
      <alignment horizontal="center"/>
    </xf>
    <xf numFmtId="0" fontId="2" fillId="33" borderId="0" xfId="0" applyFont="1" applyFill="1" applyAlignment="1">
      <alignment horizontal="center"/>
    </xf>
    <xf numFmtId="166" fontId="0" fillId="33" borderId="0" xfId="42" applyNumberFormat="1" applyFont="1" applyFill="1" applyAlignment="1">
      <alignment/>
    </xf>
    <xf numFmtId="167" fontId="58" fillId="33" borderId="0" xfId="42" applyNumberFormat="1" applyFont="1" applyFill="1" applyAlignment="1">
      <alignment/>
    </xf>
    <xf numFmtId="9" fontId="0" fillId="33" borderId="0" xfId="59" applyFont="1" applyFill="1" applyAlignment="1">
      <alignment/>
    </xf>
    <xf numFmtId="167" fontId="0" fillId="33" borderId="0" xfId="42" applyNumberFormat="1" applyFont="1" applyFill="1" applyAlignment="1">
      <alignment/>
    </xf>
    <xf numFmtId="174" fontId="0" fillId="33" borderId="0" xfId="44" applyNumberFormat="1" applyFont="1" applyFill="1" applyAlignment="1">
      <alignment/>
    </xf>
    <xf numFmtId="44" fontId="0" fillId="33" borderId="0" xfId="44" applyFont="1" applyFill="1" applyAlignment="1">
      <alignment/>
    </xf>
    <xf numFmtId="44" fontId="2" fillId="0" borderId="0" xfId="0" applyNumberFormat="1" applyFont="1" applyAlignment="1">
      <alignment/>
    </xf>
    <xf numFmtId="43" fontId="0" fillId="0" borderId="0" xfId="42" applyFont="1" applyAlignment="1">
      <alignment/>
    </xf>
    <xf numFmtId="1" fontId="0" fillId="33" borderId="0" xfId="0" applyNumberFormat="1" applyFill="1" applyAlignment="1">
      <alignment/>
    </xf>
    <xf numFmtId="166" fontId="0" fillId="33" borderId="0" xfId="42" applyNumberFormat="1" applyFont="1" applyFill="1" applyAlignment="1">
      <alignment/>
    </xf>
    <xf numFmtId="164" fontId="0" fillId="0" borderId="0" xfId="42" applyNumberFormat="1" applyFont="1" applyFill="1" applyAlignment="1">
      <alignment/>
    </xf>
    <xf numFmtId="44" fontId="0" fillId="0" borderId="0" xfId="0" applyNumberFormat="1" applyAlignment="1">
      <alignment/>
    </xf>
    <xf numFmtId="44" fontId="0" fillId="33" borderId="0" xfId="44" applyFont="1" applyFill="1" applyAlignment="1">
      <alignment/>
    </xf>
    <xf numFmtId="9" fontId="3" fillId="0" borderId="0" xfId="59" applyFont="1" applyFill="1" applyAlignment="1">
      <alignment horizontal="right"/>
    </xf>
    <xf numFmtId="0" fontId="59" fillId="0" borderId="0" xfId="0" applyFont="1" applyAlignment="1" quotePrefix="1">
      <alignment horizontal="left"/>
    </xf>
    <xf numFmtId="0" fontId="60" fillId="0" borderId="0" xfId="0" applyFont="1" applyAlignment="1" quotePrefix="1">
      <alignment/>
    </xf>
    <xf numFmtId="0" fontId="0" fillId="0" borderId="0" xfId="0" applyFont="1" applyFill="1" applyAlignment="1" quotePrefix="1">
      <alignment/>
    </xf>
    <xf numFmtId="165" fontId="0" fillId="0" borderId="0" xfId="42" applyNumberFormat="1" applyFont="1" applyFill="1" applyAlignment="1">
      <alignment/>
    </xf>
    <xf numFmtId="167" fontId="0" fillId="0" borderId="0" xfId="42" applyNumberFormat="1" applyFont="1" applyFill="1" applyAlignment="1">
      <alignment horizontal="center"/>
    </xf>
    <xf numFmtId="0" fontId="14" fillId="0" borderId="0" xfId="0" applyFont="1" applyAlignment="1">
      <alignment/>
    </xf>
    <xf numFmtId="0" fontId="0" fillId="0" borderId="0" xfId="0" applyFont="1" applyAlignment="1" quotePrefix="1">
      <alignment horizontal="left" indent="4"/>
    </xf>
    <xf numFmtId="0" fontId="0" fillId="0" borderId="0" xfId="0" applyFont="1" applyAlignment="1" quotePrefix="1">
      <alignment horizontal="left"/>
    </xf>
    <xf numFmtId="165" fontId="0" fillId="0" borderId="0" xfId="42" applyNumberFormat="1" applyFont="1" applyFill="1" applyAlignment="1">
      <alignment/>
    </xf>
    <xf numFmtId="0" fontId="15" fillId="0" borderId="18" xfId="0" applyFont="1" applyBorder="1" applyAlignment="1">
      <alignment wrapText="1"/>
    </xf>
    <xf numFmtId="44" fontId="14" fillId="0" borderId="0" xfId="44" applyFont="1" applyAlignment="1">
      <alignment/>
    </xf>
    <xf numFmtId="44" fontId="14" fillId="0" borderId="0" xfId="0" applyNumberFormat="1" applyFont="1" applyAlignment="1">
      <alignment/>
    </xf>
    <xf numFmtId="0" fontId="15" fillId="0" borderId="0" xfId="0" applyFont="1" applyAlignment="1">
      <alignment/>
    </xf>
    <xf numFmtId="44" fontId="16" fillId="0" borderId="0" xfId="44" applyFont="1" applyAlignment="1">
      <alignment/>
    </xf>
    <xf numFmtId="44" fontId="15" fillId="0" borderId="17" xfId="44" applyFont="1" applyBorder="1" applyAlignment="1">
      <alignment/>
    </xf>
    <xf numFmtId="43" fontId="14" fillId="0" borderId="0" xfId="42" applyFont="1" applyAlignment="1">
      <alignment/>
    </xf>
    <xf numFmtId="44" fontId="2" fillId="0" borderId="0" xfId="44" applyFont="1" applyFill="1" applyAlignment="1">
      <alignment/>
    </xf>
    <xf numFmtId="167" fontId="14" fillId="0" borderId="0" xfId="42" applyNumberFormat="1" applyFont="1" applyAlignment="1">
      <alignment/>
    </xf>
    <xf numFmtId="167" fontId="15" fillId="0" borderId="18" xfId="42" applyNumberFormat="1" applyFont="1" applyBorder="1" applyAlignment="1">
      <alignment wrapText="1"/>
    </xf>
    <xf numFmtId="167" fontId="14" fillId="0" borderId="0" xfId="42" applyNumberFormat="1" applyFont="1" applyFill="1" applyAlignment="1">
      <alignment/>
    </xf>
    <xf numFmtId="167" fontId="15" fillId="0" borderId="0" xfId="42" applyNumberFormat="1" applyFont="1" applyAlignment="1">
      <alignment/>
    </xf>
    <xf numFmtId="167" fontId="15" fillId="0" borderId="17" xfId="42" applyNumberFormat="1" applyFont="1" applyBorder="1" applyAlignment="1">
      <alignment/>
    </xf>
    <xf numFmtId="44" fontId="2" fillId="0" borderId="18" xfId="44" applyFont="1" applyBorder="1" applyAlignment="1">
      <alignment wrapText="1"/>
    </xf>
    <xf numFmtId="44" fontId="2" fillId="0" borderId="0" xfId="44" applyFont="1" applyAlignment="1">
      <alignment horizontal="center"/>
    </xf>
    <xf numFmtId="0" fontId="0" fillId="0" borderId="0" xfId="0" applyBorder="1" applyAlignment="1">
      <alignment vertical="top"/>
    </xf>
    <xf numFmtId="8" fontId="0" fillId="0" borderId="0" xfId="0" applyNumberFormat="1" applyBorder="1" applyAlignment="1">
      <alignment vertical="top"/>
    </xf>
    <xf numFmtId="184" fontId="14" fillId="0" borderId="0" xfId="0" applyNumberFormat="1" applyFont="1" applyBorder="1" applyAlignment="1">
      <alignment/>
    </xf>
    <xf numFmtId="43" fontId="61" fillId="0" borderId="0" xfId="42" applyFont="1" applyAlignment="1">
      <alignment/>
    </xf>
    <xf numFmtId="0" fontId="2" fillId="0" borderId="19" xfId="0" applyFont="1" applyBorder="1" applyAlignment="1">
      <alignment/>
    </xf>
    <xf numFmtId="0" fontId="9" fillId="0" borderId="19" xfId="0" applyFont="1" applyBorder="1" applyAlignment="1">
      <alignment horizontal="left" indent="1"/>
    </xf>
    <xf numFmtId="44" fontId="0" fillId="0" borderId="19" xfId="0" applyNumberFormat="1" applyFont="1" applyBorder="1" applyAlignment="1">
      <alignment/>
    </xf>
    <xf numFmtId="3" fontId="58" fillId="0" borderId="19" xfId="0" applyNumberFormat="1" applyFont="1" applyFill="1" applyBorder="1" applyAlignment="1">
      <alignment horizontal="right"/>
    </xf>
    <xf numFmtId="0" fontId="0" fillId="0" borderId="19" xfId="0" applyFont="1" applyBorder="1" applyAlignment="1">
      <alignment horizontal="center"/>
    </xf>
    <xf numFmtId="184" fontId="0" fillId="0" borderId="19" xfId="0" applyNumberFormat="1" applyFont="1" applyBorder="1" applyAlignment="1">
      <alignment/>
    </xf>
    <xf numFmtId="0" fontId="17" fillId="0" borderId="19" xfId="0" applyFont="1" applyBorder="1" applyAlignment="1">
      <alignment horizontal="left" indent="1"/>
    </xf>
    <xf numFmtId="44" fontId="14" fillId="0" borderId="19" xfId="0" applyNumberFormat="1" applyFont="1" applyBorder="1" applyAlignment="1">
      <alignment/>
    </xf>
    <xf numFmtId="3" fontId="62" fillId="0" borderId="19" xfId="0" applyNumberFormat="1" applyFont="1" applyFill="1" applyBorder="1" applyAlignment="1">
      <alignment horizontal="right"/>
    </xf>
    <xf numFmtId="0" fontId="14" fillId="0" borderId="19" xfId="0" applyFont="1" applyBorder="1" applyAlignment="1">
      <alignment horizontal="center"/>
    </xf>
    <xf numFmtId="184" fontId="14" fillId="0" borderId="19" xfId="0" applyNumberFormat="1" applyFont="1" applyBorder="1" applyAlignment="1">
      <alignment/>
    </xf>
    <xf numFmtId="0" fontId="10" fillId="0" borderId="19" xfId="0" applyFont="1" applyBorder="1" applyAlignment="1">
      <alignment/>
    </xf>
    <xf numFmtId="0" fontId="0" fillId="0" borderId="19" xfId="0" applyFont="1" applyBorder="1" applyAlignment="1">
      <alignment/>
    </xf>
    <xf numFmtId="8" fontId="0" fillId="0" borderId="19" xfId="0" applyNumberFormat="1" applyFont="1" applyBorder="1" applyAlignment="1">
      <alignment/>
    </xf>
    <xf numFmtId="0" fontId="8" fillId="34" borderId="19" xfId="0" applyFont="1" applyFill="1" applyBorder="1" applyAlignment="1">
      <alignment horizontal="center"/>
    </xf>
    <xf numFmtId="0" fontId="8" fillId="0" borderId="19" xfId="0" applyFont="1" applyFill="1" applyBorder="1" applyAlignment="1">
      <alignment horizontal="center" wrapText="1"/>
    </xf>
    <xf numFmtId="38" fontId="0" fillId="0" borderId="10" xfId="0" applyNumberFormat="1" applyBorder="1" applyAlignment="1">
      <alignment vertical="top"/>
    </xf>
    <xf numFmtId="38" fontId="0" fillId="0" borderId="13" xfId="0" applyNumberFormat="1" applyBorder="1" applyAlignment="1">
      <alignment vertical="top"/>
    </xf>
    <xf numFmtId="38" fontId="0" fillId="0" borderId="14" xfId="0" applyNumberFormat="1" applyBorder="1" applyAlignment="1">
      <alignment vertical="top"/>
    </xf>
    <xf numFmtId="38" fontId="0" fillId="0" borderId="15" xfId="0" applyNumberFormat="1" applyBorder="1" applyAlignment="1">
      <alignment vertical="top"/>
    </xf>
    <xf numFmtId="38" fontId="0" fillId="0" borderId="0" xfId="0" applyNumberFormat="1" applyAlignment="1">
      <alignment vertical="top"/>
    </xf>
    <xf numFmtId="38" fontId="0" fillId="0" borderId="20" xfId="0" applyNumberFormat="1" applyBorder="1" applyAlignment="1">
      <alignment vertical="top"/>
    </xf>
    <xf numFmtId="38" fontId="0" fillId="0" borderId="16" xfId="0" applyNumberFormat="1" applyBorder="1" applyAlignment="1">
      <alignment vertical="top"/>
    </xf>
    <xf numFmtId="38" fontId="0" fillId="0" borderId="21" xfId="0" applyNumberFormat="1" applyBorder="1" applyAlignment="1">
      <alignment vertical="top"/>
    </xf>
    <xf numFmtId="38" fontId="0" fillId="0" borderId="22" xfId="0" applyNumberFormat="1" applyBorder="1" applyAlignment="1">
      <alignment vertical="top"/>
    </xf>
    <xf numFmtId="43" fontId="61" fillId="0" borderId="0" xfId="42" applyFont="1" applyAlignment="1">
      <alignment vertical="top"/>
    </xf>
    <xf numFmtId="38" fontId="0" fillId="0" borderId="0" xfId="0" applyNumberFormat="1" applyBorder="1" applyAlignment="1">
      <alignment vertical="top"/>
    </xf>
    <xf numFmtId="186" fontId="0" fillId="0" borderId="0" xfId="42" applyNumberFormat="1" applyFont="1" applyAlignment="1">
      <alignment/>
    </xf>
    <xf numFmtId="165" fontId="0" fillId="0" borderId="0" xfId="42" applyNumberFormat="1" applyFont="1" applyFill="1" applyAlignment="1">
      <alignment/>
    </xf>
    <xf numFmtId="167" fontId="0" fillId="0" borderId="0" xfId="42" applyNumberFormat="1" applyFont="1" applyFill="1" applyAlignment="1">
      <alignment/>
    </xf>
    <xf numFmtId="9" fontId="0" fillId="0" borderId="0" xfId="59" applyFont="1" applyFill="1" applyAlignment="1">
      <alignment/>
    </xf>
    <xf numFmtId="174" fontId="0" fillId="0" borderId="0" xfId="44" applyNumberFormat="1" applyFont="1" applyFill="1" applyAlignment="1">
      <alignment/>
    </xf>
    <xf numFmtId="44" fontId="0" fillId="0" borderId="0" xfId="44" applyFont="1" applyFill="1" applyAlignment="1">
      <alignment/>
    </xf>
    <xf numFmtId="44" fontId="14" fillId="0" borderId="0" xfId="44" applyFont="1" applyFill="1" applyAlignment="1">
      <alignment/>
    </xf>
    <xf numFmtId="44" fontId="14" fillId="0" borderId="0" xfId="0" applyNumberFormat="1" applyFont="1" applyFill="1" applyAlignment="1">
      <alignment/>
    </xf>
    <xf numFmtId="0" fontId="0" fillId="0" borderId="23" xfId="0" applyFont="1" applyBorder="1" applyAlignment="1">
      <alignment/>
    </xf>
    <xf numFmtId="0" fontId="0" fillId="0" borderId="23" xfId="0" applyFont="1" applyBorder="1" applyAlignment="1">
      <alignment horizontal="center"/>
    </xf>
    <xf numFmtId="167" fontId="6" fillId="0" borderId="23" xfId="42" applyNumberFormat="1" applyFont="1" applyFill="1" applyBorder="1" applyAlignment="1">
      <alignment horizontal="center"/>
    </xf>
    <xf numFmtId="0" fontId="0" fillId="0" borderId="23" xfId="0" applyFont="1" applyFill="1" applyBorder="1" applyAlignment="1">
      <alignment horizontal="center"/>
    </xf>
    <xf numFmtId="166" fontId="0" fillId="0" borderId="23" xfId="42" applyNumberFormat="1" applyFont="1" applyFill="1" applyBorder="1" applyAlignment="1">
      <alignment/>
    </xf>
    <xf numFmtId="0" fontId="2" fillId="0" borderId="23" xfId="0" applyFont="1" applyFill="1" applyBorder="1" applyAlignment="1">
      <alignment/>
    </xf>
    <xf numFmtId="0" fontId="0" fillId="0" borderId="23" xfId="0" applyFont="1" applyFill="1" applyBorder="1" applyAlignment="1">
      <alignment/>
    </xf>
    <xf numFmtId="167" fontId="0" fillId="0" borderId="23" xfId="42" applyNumberFormat="1" applyFont="1" applyFill="1" applyBorder="1" applyAlignment="1">
      <alignment horizontal="center"/>
    </xf>
    <xf numFmtId="9" fontId="0" fillId="0" borderId="23" xfId="59" applyFont="1" applyFill="1" applyBorder="1" applyAlignment="1">
      <alignment/>
    </xf>
    <xf numFmtId="167" fontId="0" fillId="0" borderId="23" xfId="42" applyNumberFormat="1" applyFont="1" applyFill="1" applyBorder="1" applyAlignment="1">
      <alignment/>
    </xf>
    <xf numFmtId="174" fontId="0" fillId="0" borderId="23" xfId="44" applyNumberFormat="1" applyFont="1" applyFill="1" applyBorder="1" applyAlignment="1">
      <alignment/>
    </xf>
    <xf numFmtId="44" fontId="0" fillId="0" borderId="23" xfId="44" applyFont="1" applyFill="1" applyBorder="1" applyAlignment="1">
      <alignment/>
    </xf>
    <xf numFmtId="1" fontId="0" fillId="0" borderId="23" xfId="0" applyNumberFormat="1" applyFont="1" applyFill="1" applyBorder="1" applyAlignment="1">
      <alignment horizontal="center"/>
    </xf>
    <xf numFmtId="165" fontId="0" fillId="0" borderId="23" xfId="42" applyNumberFormat="1" applyFont="1" applyFill="1" applyBorder="1" applyAlignment="1">
      <alignment/>
    </xf>
    <xf numFmtId="164" fontId="0" fillId="0" borderId="23" xfId="42" applyNumberFormat="1" applyFont="1" applyFill="1" applyBorder="1" applyAlignment="1">
      <alignment/>
    </xf>
    <xf numFmtId="167" fontId="6" fillId="0" borderId="17" xfId="42" applyNumberFormat="1" applyFont="1" applyFill="1" applyBorder="1" applyAlignment="1">
      <alignment horizontal="center"/>
    </xf>
    <xf numFmtId="1" fontId="0" fillId="0" borderId="17" xfId="0" applyNumberFormat="1" applyFont="1" applyFill="1" applyBorder="1" applyAlignment="1">
      <alignment horizontal="center"/>
    </xf>
    <xf numFmtId="164" fontId="0" fillId="0" borderId="17" xfId="42" applyNumberFormat="1" applyFont="1" applyFill="1" applyBorder="1" applyAlignment="1">
      <alignment/>
    </xf>
    <xf numFmtId="167" fontId="0" fillId="0" borderId="0" xfId="42" applyNumberFormat="1" applyFont="1" applyAlignment="1">
      <alignment horizontal="center"/>
    </xf>
    <xf numFmtId="166" fontId="0" fillId="0" borderId="0" xfId="42" applyNumberFormat="1" applyFont="1" applyAlignment="1">
      <alignment/>
    </xf>
    <xf numFmtId="0" fontId="2" fillId="0" borderId="0" xfId="0" applyNumberFormat="1" applyFont="1" applyAlignment="1">
      <alignment/>
    </xf>
    <xf numFmtId="0" fontId="2" fillId="0" borderId="23" xfId="0" applyNumberFormat="1" applyFont="1" applyFill="1" applyBorder="1" applyAlignment="1">
      <alignment/>
    </xf>
    <xf numFmtId="0" fontId="0" fillId="0" borderId="17" xfId="0" applyFont="1" applyBorder="1" applyAlignment="1">
      <alignment/>
    </xf>
    <xf numFmtId="44" fontId="6" fillId="0" borderId="0" xfId="44" applyFont="1" applyAlignment="1">
      <alignment/>
    </xf>
    <xf numFmtId="0" fontId="6" fillId="0" borderId="0" xfId="0" applyFont="1" applyAlignment="1">
      <alignment/>
    </xf>
    <xf numFmtId="0" fontId="2" fillId="0" borderId="10" xfId="0" applyFont="1" applyBorder="1" applyAlignment="1">
      <alignment vertical="top"/>
    </xf>
    <xf numFmtId="0" fontId="6" fillId="0" borderId="18" xfId="0" applyFont="1" applyBorder="1" applyAlignment="1">
      <alignment wrapText="1"/>
    </xf>
    <xf numFmtId="6" fontId="0" fillId="0" borderId="10" xfId="0" applyNumberFormat="1" applyBorder="1" applyAlignment="1">
      <alignment vertical="top"/>
    </xf>
    <xf numFmtId="6" fontId="0" fillId="0" borderId="13" xfId="0" applyNumberFormat="1" applyBorder="1" applyAlignment="1">
      <alignment vertical="top"/>
    </xf>
    <xf numFmtId="6" fontId="0" fillId="0" borderId="14" xfId="0" applyNumberFormat="1" applyBorder="1" applyAlignment="1">
      <alignment vertical="top"/>
    </xf>
    <xf numFmtId="6" fontId="0" fillId="0" borderId="15" xfId="0" applyNumberFormat="1" applyBorder="1" applyAlignment="1">
      <alignment vertical="top"/>
    </xf>
    <xf numFmtId="6" fontId="0" fillId="0" borderId="0" xfId="0" applyNumberFormat="1" applyAlignment="1">
      <alignment vertical="top"/>
    </xf>
    <xf numFmtId="6" fontId="0" fillId="0" borderId="20" xfId="0" applyNumberFormat="1" applyBorder="1" applyAlignment="1">
      <alignment vertical="top"/>
    </xf>
    <xf numFmtId="6" fontId="0" fillId="0" borderId="16" xfId="0" applyNumberFormat="1" applyBorder="1" applyAlignment="1">
      <alignment vertical="top"/>
    </xf>
    <xf numFmtId="6" fontId="0" fillId="0" borderId="21" xfId="0" applyNumberFormat="1" applyBorder="1" applyAlignment="1">
      <alignment vertical="top"/>
    </xf>
    <xf numFmtId="6" fontId="0" fillId="0" borderId="22" xfId="0" applyNumberFormat="1" applyBorder="1" applyAlignment="1">
      <alignment vertical="top"/>
    </xf>
    <xf numFmtId="0" fontId="18" fillId="0" borderId="0" xfId="0" applyFont="1" applyAlignment="1">
      <alignment/>
    </xf>
    <xf numFmtId="167" fontId="6" fillId="0" borderId="0" xfId="42" applyNumberFormat="1" applyFont="1" applyAlignment="1">
      <alignment/>
    </xf>
    <xf numFmtId="0" fontId="8" fillId="0" borderId="18" xfId="0" applyFont="1" applyBorder="1" applyAlignment="1">
      <alignment wrapText="1"/>
    </xf>
    <xf numFmtId="0" fontId="6" fillId="0" borderId="0" xfId="0" applyFont="1" applyFill="1" applyAlignment="1">
      <alignment/>
    </xf>
    <xf numFmtId="44" fontId="6" fillId="0" borderId="0" xfId="44" applyFont="1" applyFill="1" applyAlignment="1">
      <alignment/>
    </xf>
    <xf numFmtId="167" fontId="6" fillId="0" borderId="0" xfId="42" applyNumberFormat="1" applyFont="1" applyFill="1" applyAlignment="1">
      <alignment/>
    </xf>
    <xf numFmtId="0" fontId="0" fillId="0" borderId="0" xfId="0" applyFont="1" applyAlignment="1">
      <alignment horizontal="right"/>
    </xf>
    <xf numFmtId="186" fontId="0" fillId="0" borderId="0" xfId="44" applyNumberFormat="1" applyFont="1" applyAlignment="1">
      <alignment/>
    </xf>
    <xf numFmtId="186" fontId="0" fillId="0" borderId="0" xfId="42" applyNumberFormat="1" applyFont="1" applyAlignment="1">
      <alignment/>
    </xf>
    <xf numFmtId="186" fontId="0" fillId="0" borderId="17" xfId="0" applyNumberFormat="1" applyFont="1" applyBorder="1" applyAlignment="1">
      <alignment/>
    </xf>
    <xf numFmtId="186" fontId="0" fillId="0" borderId="0" xfId="0" applyNumberFormat="1" applyAlignment="1">
      <alignment/>
    </xf>
    <xf numFmtId="0" fontId="0" fillId="0" borderId="23" xfId="0" applyFill="1" applyBorder="1" applyAlignment="1">
      <alignment/>
    </xf>
    <xf numFmtId="167" fontId="0" fillId="0" borderId="23" xfId="42" applyNumberFormat="1" applyFont="1" applyFill="1" applyBorder="1" applyAlignment="1">
      <alignment horizontal="center"/>
    </xf>
    <xf numFmtId="1" fontId="0" fillId="0" borderId="23" xfId="0" applyNumberFormat="1" applyFill="1" applyBorder="1" applyAlignment="1">
      <alignment/>
    </xf>
    <xf numFmtId="166" fontId="0" fillId="0" borderId="23" xfId="42" applyNumberFormat="1" applyFont="1" applyBorder="1" applyAlignment="1">
      <alignment/>
    </xf>
    <xf numFmtId="167" fontId="0" fillId="0" borderId="23" xfId="42" applyNumberFormat="1" applyFont="1" applyBorder="1" applyAlignment="1">
      <alignment/>
    </xf>
    <xf numFmtId="9" fontId="0" fillId="0" borderId="23" xfId="59" applyFont="1" applyFill="1" applyBorder="1" applyAlignment="1">
      <alignment/>
    </xf>
    <xf numFmtId="0" fontId="0" fillId="0" borderId="23" xfId="0" applyBorder="1" applyAlignment="1">
      <alignment/>
    </xf>
    <xf numFmtId="174" fontId="0" fillId="0" borderId="23" xfId="44" applyNumberFormat="1" applyFont="1" applyFill="1" applyBorder="1" applyAlignment="1">
      <alignment/>
    </xf>
    <xf numFmtId="44" fontId="0" fillId="0" borderId="23" xfId="44" applyFont="1" applyBorder="1" applyAlignment="1">
      <alignment/>
    </xf>
    <xf numFmtId="167" fontId="6" fillId="0" borderId="23" xfId="42" applyNumberFormat="1" applyFont="1" applyBorder="1" applyAlignment="1">
      <alignment/>
    </xf>
    <xf numFmtId="44" fontId="6" fillId="0" borderId="23" xfId="44" applyFont="1" applyBorder="1" applyAlignment="1">
      <alignment/>
    </xf>
    <xf numFmtId="44" fontId="0" fillId="0" borderId="23" xfId="0" applyNumberFormat="1" applyBorder="1" applyAlignment="1">
      <alignment/>
    </xf>
    <xf numFmtId="167" fontId="6" fillId="0" borderId="23" xfId="42" applyNumberFormat="1" applyFont="1" applyFill="1" applyBorder="1" applyAlignment="1">
      <alignment horizontal="center"/>
    </xf>
    <xf numFmtId="44" fontId="6" fillId="0" borderId="23" xfId="44" applyFont="1" applyFill="1" applyBorder="1" applyAlignment="1">
      <alignment/>
    </xf>
    <xf numFmtId="0" fontId="0" fillId="0" borderId="23" xfId="0" applyFill="1" applyBorder="1" applyAlignment="1">
      <alignment horizontal="center"/>
    </xf>
    <xf numFmtId="9" fontId="0" fillId="0" borderId="23" xfId="59" applyFont="1" applyBorder="1" applyAlignment="1">
      <alignment/>
    </xf>
    <xf numFmtId="44" fontId="13" fillId="0" borderId="23" xfId="44" applyFont="1" applyBorder="1" applyAlignment="1">
      <alignment/>
    </xf>
    <xf numFmtId="0" fontId="6" fillId="0" borderId="23" xfId="0" applyFont="1" applyBorder="1" applyAlignment="1">
      <alignment/>
    </xf>
    <xf numFmtId="0" fontId="0" fillId="0" borderId="17" xfId="0" applyBorder="1" applyAlignment="1">
      <alignment/>
    </xf>
    <xf numFmtId="0" fontId="0" fillId="0" borderId="17" xfId="0" applyFill="1" applyBorder="1" applyAlignment="1">
      <alignment/>
    </xf>
    <xf numFmtId="0" fontId="0" fillId="0" borderId="17" xfId="0" applyFill="1" applyBorder="1" applyAlignment="1">
      <alignment horizontal="center"/>
    </xf>
    <xf numFmtId="167" fontId="0" fillId="0" borderId="17" xfId="42" applyNumberFormat="1" applyFont="1" applyFill="1" applyBorder="1" applyAlignment="1">
      <alignment horizontal="center"/>
    </xf>
    <xf numFmtId="1" fontId="0" fillId="0" borderId="17" xfId="0" applyNumberFormat="1" applyFill="1" applyBorder="1" applyAlignment="1">
      <alignment/>
    </xf>
    <xf numFmtId="167" fontId="0" fillId="0" borderId="17" xfId="42" applyNumberFormat="1" applyFont="1" applyBorder="1" applyAlignment="1">
      <alignment/>
    </xf>
    <xf numFmtId="9" fontId="0" fillId="0" borderId="17" xfId="59" applyFont="1" applyBorder="1" applyAlignment="1">
      <alignment/>
    </xf>
    <xf numFmtId="174" fontId="0" fillId="0" borderId="17" xfId="44" applyNumberFormat="1" applyFont="1" applyFill="1" applyBorder="1" applyAlignment="1">
      <alignment/>
    </xf>
    <xf numFmtId="44" fontId="13" fillId="0" borderId="17" xfId="44" applyFont="1" applyBorder="1" applyAlignment="1">
      <alignment/>
    </xf>
    <xf numFmtId="167" fontId="6" fillId="0" borderId="17" xfId="42" applyNumberFormat="1" applyFont="1" applyBorder="1" applyAlignment="1">
      <alignment/>
    </xf>
    <xf numFmtId="0" fontId="6" fillId="0" borderId="17" xfId="0" applyFont="1" applyBorder="1" applyAlignment="1">
      <alignment/>
    </xf>
    <xf numFmtId="44" fontId="0" fillId="0" borderId="17" xfId="0" applyNumberFormat="1" applyBorder="1" applyAlignment="1">
      <alignment/>
    </xf>
    <xf numFmtId="167" fontId="2" fillId="0" borderId="23" xfId="42" applyNumberFormat="1" applyFont="1" applyBorder="1" applyAlignment="1">
      <alignment/>
    </xf>
    <xf numFmtId="44" fontId="2" fillId="0" borderId="23" xfId="0" applyNumberFormat="1" applyFont="1" applyBorder="1" applyAlignment="1">
      <alignment/>
    </xf>
    <xf numFmtId="44" fontId="2" fillId="0" borderId="17" xfId="0" applyNumberFormat="1" applyFont="1" applyBorder="1" applyAlignment="1">
      <alignment/>
    </xf>
    <xf numFmtId="44" fontId="6" fillId="0" borderId="17" xfId="44" applyFont="1" applyBorder="1" applyAlignment="1">
      <alignment/>
    </xf>
    <xf numFmtId="0" fontId="6" fillId="0" borderId="0" xfId="0" applyFont="1" applyAlignment="1">
      <alignment horizontal="center"/>
    </xf>
    <xf numFmtId="0" fontId="6" fillId="0" borderId="0" xfId="0" applyFont="1" applyBorder="1" applyAlignment="1">
      <alignment horizontal="center" wrapText="1"/>
    </xf>
    <xf numFmtId="44" fontId="6" fillId="0" borderId="0" xfId="44" applyFont="1" applyBorder="1" applyAlignment="1">
      <alignment/>
    </xf>
    <xf numFmtId="44" fontId="6" fillId="0" borderId="0" xfId="0" applyNumberFormat="1" applyFont="1" applyAlignment="1">
      <alignment/>
    </xf>
    <xf numFmtId="44" fontId="18" fillId="0" borderId="0" xfId="44" applyFont="1" applyBorder="1" applyAlignment="1">
      <alignment/>
    </xf>
    <xf numFmtId="0" fontId="8" fillId="0" borderId="0" xfId="0" applyFont="1" applyFill="1" applyBorder="1" applyAlignment="1">
      <alignment horizontal="center" wrapText="1"/>
    </xf>
    <xf numFmtId="3" fontId="0" fillId="0" borderId="19" xfId="0" applyNumberFormat="1" applyFont="1" applyBorder="1" applyAlignment="1">
      <alignment/>
    </xf>
    <xf numFmtId="44" fontId="0" fillId="0" borderId="19" xfId="44" applyNumberFormat="1" applyFont="1" applyBorder="1" applyAlignment="1">
      <alignment/>
    </xf>
    <xf numFmtId="44" fontId="0" fillId="0" borderId="0" xfId="0" applyNumberFormat="1" applyFont="1" applyAlignment="1">
      <alignment/>
    </xf>
    <xf numFmtId="167" fontId="0" fillId="0" borderId="0" xfId="0" applyNumberFormat="1"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numFmt numFmtId="43" formatCode="_(* #,##0.00_);_(* \(#,##0.00\);_(* &quot;-&quot;??_);_(@_)"/>
      <border/>
    </dxf>
    <dxf>
      <font>
        <b/>
      </font>
      <border/>
    </dxf>
    <dxf>
      <alignment wrapText="1" readingOrder="0"/>
      <border/>
    </dxf>
    <dxf>
      <alignment vertical="top" readingOrder="0"/>
      <border/>
    </dxf>
    <dxf>
      <numFmt numFmtId="6" formatCode="$#,##0;[Red]($#,##0)"/>
      <border/>
    </dxf>
    <dxf>
      <numFmt numFmtId="44" formatCode="_(&quot;$&quot;* #,##0.00_);_(&quot;$&quot;* \(#,##0.00\);_(&quot;$&quot;* &quot;-&quot;??_);_(@_)"/>
      <border/>
    </dxf>
    <dxf>
      <numFmt numFmtId="6" formatCode="&quot;$&quot;#,##0_);[Red]\(&quot;$&quot;#,##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claughlin\data\Managers\2010%20IRM%20Rate%20Application%20(EB-2009-0240)\Working%20Files\LRAM%20-%20Summer%20Sweepstake%20CustomerInf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claughlin\data\Managers\2011%20Rate%20Application%20(EB-2010-0107)\Oshawa%20Application%20Files\Oshawa%202011%20IRM%20Deferral%20and%20Variance%20Account%20Work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actInfo"/>
      <sheetName val="KWH"/>
      <sheetName val="SSP"/>
      <sheetName val="Sheet1"/>
    </sheetNames>
    <sheetDataSet>
      <sheetData sheetId="3">
        <row r="738">
          <cell r="A738">
            <v>735</v>
          </cell>
          <cell r="F738">
            <v>-210008.9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1.1 LDC Information"/>
      <sheetName val="A2.1 Table of Contents"/>
      <sheetName val="A3.1 Sheet Selection"/>
      <sheetName val="B1.1 2006 Reg Assets"/>
      <sheetName val="B1.2 2006 Reg Ass Prop Shr"/>
      <sheetName val="B1.3 Rate Class And Bill Det"/>
      <sheetName val="C1.0 2006 Reg Asset Recovery"/>
      <sheetName val="C1.1 2008 Transfer to 1595 COS"/>
      <sheetName val="C1.2 2009 Transfer to 1595 COS"/>
      <sheetName val="C1.3 2010 Transfer to 1595 COS"/>
      <sheetName val="C1.4 2010 Transfer to 1595 IRM"/>
      <sheetName val="D1.1 Def Var - Cont Sch 2005"/>
      <sheetName val="D1.2 Def Var - Cont Sch 2006"/>
      <sheetName val="D1.3 Def Var - Cont Sch 2007"/>
      <sheetName val="D1.4 Def Var - Cont Sch 2008"/>
      <sheetName val="D1.5 Def Var - Cont Sch 2009"/>
      <sheetName val="D1.6 Def Var - Con Sch Final"/>
      <sheetName val="E1.1 Threshold Test"/>
      <sheetName val="F1.1 Cost Allocation kWh"/>
      <sheetName val="F1.2 Cost Allocation Non-RPPkWh"/>
      <sheetName val="F1.3 Cost Allocation 1590"/>
      <sheetName val="F1.4 Cost Allocation 1595"/>
      <sheetName val="G1.1 Calculation Rate Rider"/>
      <sheetName val="G1.1a Calculation Rate Rider"/>
      <sheetName val="G1.1b Dist Glob Adj Rate Rider"/>
      <sheetName val="G1.1c Energy Glob Adj Rt Rider"/>
      <sheetName val="G1.2 Request for Clearance"/>
      <sheetName val="Z1.0 OEB Control Sheet"/>
    </sheetNames>
    <sheetDataSet>
      <sheetData sheetId="5">
        <row r="22">
          <cell r="J22">
            <v>490807351</v>
          </cell>
        </row>
        <row r="23">
          <cell r="J23">
            <v>134251798</v>
          </cell>
        </row>
        <row r="24">
          <cell r="K24">
            <v>861504</v>
          </cell>
        </row>
        <row r="27">
          <cell r="J27">
            <v>2963094</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U224" sheet="LRAM Detail"/>
  </cacheSource>
  <cacheFields count="21">
    <cacheField name="Rate Class">
      <sharedItems containsBlank="1" containsMixedTypes="0" count="14">
        <s v="Residential"/>
        <s v="Residential Total"/>
        <s v="Unmetered Scattered  Load"/>
        <s v="Unmetered Scattered  Load Total"/>
        <s v="Commercial"/>
        <s v="Commercial Total"/>
        <s v="GS &gt;50KW-200"/>
        <s v="GS &gt;50KW-200 Total"/>
        <s v="GS 200KW-1000"/>
        <s v="GS 200KW-1000 Total"/>
        <s v="Grand Total"/>
        <m/>
        <s v="Note 1:    Freerider rate of 30% used in SSM and LRAM was based on Toronto Hydro decision.  No OPA inputs found, previous inputs used."/>
        <s v="Note 2:    No LRAM rate rider for Commercial Rate Class was submitted in prior year application due to amounts below rounding threshold.  Included this 2008 LRAM in this application (2009 load at 2008 rates.)"/>
      </sharedItems>
    </cacheField>
    <cacheField name="Program">
      <sharedItems containsMixedTypes="0"/>
    </cacheField>
    <cacheField name="Technology">
      <sharedItems containsMixedTypes="0"/>
    </cacheField>
    <cacheField name="Funding Mechanism">
      <sharedItems containsMixedTypes="0"/>
    </cacheField>
    <cacheField name="Year (start of program)">
      <sharedItems containsString="0" containsBlank="1" containsMixedTypes="0" containsNumber="1" containsInteger="1" count="5">
        <n v="2006"/>
        <n v="2008"/>
        <n v="2009"/>
        <m/>
        <n v="2007"/>
      </sharedItems>
    </cacheField>
    <cacheField name="# of Units">
      <sharedItems containsMixedTypes="1" containsNumber="1" containsInteger="1"/>
    </cacheField>
    <cacheField name="Duration of Program">
      <sharedItems containsMixedTypes="0"/>
    </cacheField>
    <cacheField name="Effective Useful Life">
      <sharedItems containsMixedTypes="1" containsNumber="1"/>
    </cacheField>
    <cacheField name="Energy Savings per unit (kWh) before FR">
      <sharedItems containsMixedTypes="1" containsNumber="1"/>
    </cacheField>
    <cacheField name="Annual Operating Time (hrs/yr)">
      <sharedItems containsMixedTypes="1" containsNumber="1"/>
    </cacheField>
    <cacheField name="Energy Savings per unit (kW)">
      <sharedItems containsMixedTypes="1" containsNumber="1"/>
    </cacheField>
    <cacheField name="Total Energy Savings (kWh) before FR with # Units">
      <sharedItems containsMixedTypes="1" containsNumber="1"/>
    </cacheField>
    <cacheField name="Free Ridership">
      <sharedItems containsMixedTypes="1" containsNumber="1"/>
    </cacheField>
    <cacheField name="Net kWh Saved (After FR)">
      <sharedItems containsMixedTypes="1" containsNumber="1"/>
    </cacheField>
    <cacheField name=".">
      <sharedItems containsMixedTypes="0"/>
    </cacheField>
    <cacheField name="Rate/ kWh or KW 2009">
      <sharedItems containsMixedTypes="1" containsNumber="1"/>
    </cacheField>
    <cacheField name="Lost Revenue 2009">
      <sharedItems containsMixedTypes="1" containsNumber="1"/>
    </cacheField>
    <cacheField name="Net KWh Saved (After FR) 2008  Note 2">
      <sharedItems containsMixedTypes="1" containsNumber="1"/>
    </cacheField>
    <cacheField name="Lost Revenue not submitted, 2008  Note 2">
      <sharedItems containsMixedTypes="1" containsNumber="1"/>
    </cacheField>
    <cacheField name="Total Net KWh Saved (After FR)">
      <sharedItems containsMixedTypes="1" containsNumber="1"/>
    </cacheField>
    <cacheField name="Total LRAM">
      <sharedItems containsMixedTypes="1"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10" firstHeaderRow="1" firstDataRow="2" firstDataCol="1"/>
  <pivotFields count="21">
    <pivotField axis="axisRow" compact="0" outline="0" subtotalTop="0" showAll="0">
      <items count="15">
        <item x="0"/>
        <item x="4"/>
        <item x="6"/>
        <item x="8"/>
        <item x="2"/>
        <item x="11"/>
        <item x="1"/>
        <item x="3"/>
        <item x="5"/>
        <item x="7"/>
        <item x="9"/>
        <item x="10"/>
        <item x="12"/>
        <item x="13"/>
        <item t="default"/>
      </items>
    </pivotField>
    <pivotField compact="0" outline="0" subtotalTop="0" showAll="0"/>
    <pivotField compact="0" outline="0" subtotalTop="0" showAll="0"/>
    <pivotField compact="0" outline="0" subtotalTop="0" showAll="0"/>
    <pivotField axis="axisCol" compact="0" outline="0" subtotalTop="0" showAll="0" defaultSubtotal="0">
      <items count="5">
        <item x="0"/>
        <item x="4"/>
        <item x="1"/>
        <item h="1" x="3"/>
        <item x="2"/>
      </items>
    </pivotField>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pivotField compact="0" outline="0" subtotalTop="0" showAll="0" defaultSubtotal="0"/>
  </pivotFields>
  <rowFields count="1">
    <field x="0"/>
  </rowFields>
  <rowItems count="6">
    <i>
      <x/>
    </i>
    <i>
      <x v="1"/>
    </i>
    <i>
      <x v="2"/>
    </i>
    <i>
      <x v="3"/>
    </i>
    <i>
      <x v="4"/>
    </i>
    <i t="grand">
      <x/>
    </i>
  </rowItems>
  <colFields count="1">
    <field x="4"/>
  </colFields>
  <colItems count="5">
    <i>
      <x/>
    </i>
    <i>
      <x v="1"/>
    </i>
    <i>
      <x v="2"/>
    </i>
    <i>
      <x v="4"/>
    </i>
    <i t="grand">
      <x/>
    </i>
  </colItems>
  <dataFields count="1">
    <dataField name="Sum of Total Net KWh Saved (After FR)" fld="19" baseField="0" baseItem="0" numFmtId="38"/>
  </dataFields>
  <formats count="5">
    <format dxfId="0">
      <pivotArea outline="0" fieldPosition="0"/>
    </format>
    <format dxfId="1">
      <pivotArea outline="0" fieldPosition="0" dataOnly="0" labelOnly="1" type="origin"/>
    </format>
    <format dxfId="2">
      <pivotArea outline="0" fieldPosition="0" axis="axisCol" dataOnly="0" field="4" labelOnly="1" type="button"/>
    </format>
    <format dxfId="3">
      <pivotArea outline="0" fieldPosition="0" dataOnly="0" type="all"/>
    </format>
    <format dxfId="4">
      <pivotArea outline="0" fieldPosition="0">
        <references count="1">
          <reference field="4294967294" count="1">
            <x v="0"/>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7:F24" firstHeaderRow="1" firstDataRow="2" firstDataCol="1"/>
  <pivotFields count="21">
    <pivotField axis="axisRow" compact="0" outline="0" subtotalTop="0" showAll="0">
      <items count="15">
        <item x="0"/>
        <item x="4"/>
        <item x="6"/>
        <item x="8"/>
        <item x="2"/>
        <item x="11"/>
        <item x="1"/>
        <item x="3"/>
        <item x="5"/>
        <item x="7"/>
        <item x="9"/>
        <item x="10"/>
        <item x="12"/>
        <item x="13"/>
        <item t="default"/>
      </items>
    </pivotField>
    <pivotField compact="0" outline="0" subtotalTop="0" showAll="0"/>
    <pivotField compact="0" outline="0" subtotalTop="0" showAll="0"/>
    <pivotField compact="0" outline="0" subtotalTop="0" showAll="0"/>
    <pivotField axis="axisCol" compact="0" outline="0" subtotalTop="0" showAll="0" defaultSubtotal="0">
      <items count="5">
        <item x="0"/>
        <item x="4"/>
        <item x="1"/>
        <item h="1" x="3"/>
        <item x="2"/>
      </items>
    </pivotField>
    <pivotField compact="0" outline="0" subtotalTop="0" showAll="0"/>
    <pivotField compact="0" outline="0" subtotalTop="0" showAll="0"/>
    <pivotField compact="0" outline="0" subtotalTop="0" showAll="0" defaultSubtotal="0"/>
    <pivotField compact="0" outline="0" subtotalTop="0" showAll="0" defaultSubtotal="0"/>
    <pivotField compact="0" outline="0" subtotalTop="0" showAll="0"/>
    <pivotField compact="0" outline="0" subtotalTop="0" showAll="0" defaultSubtotal="0"/>
    <pivotField compact="0" outline="0" subtotalTop="0" showAll="0"/>
    <pivotField compact="0" outline="0" subtotalTop="0" showAll="0"/>
    <pivotField compact="0" outline="0" subtotalTop="0" showAll="0" defaultSubtotal="0"/>
    <pivotField compact="0" outline="0" subtotalTop="0" showAl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pivotFields>
  <rowFields count="1">
    <field x="0"/>
  </rowFields>
  <rowItems count="6">
    <i>
      <x/>
    </i>
    <i>
      <x v="1"/>
    </i>
    <i>
      <x v="2"/>
    </i>
    <i>
      <x v="3"/>
    </i>
    <i>
      <x v="4"/>
    </i>
    <i t="grand">
      <x/>
    </i>
  </rowItems>
  <colFields count="1">
    <field x="4"/>
  </colFields>
  <colItems count="5">
    <i>
      <x/>
    </i>
    <i>
      <x v="1"/>
    </i>
    <i>
      <x v="2"/>
    </i>
    <i>
      <x v="4"/>
    </i>
    <i t="grand">
      <x/>
    </i>
  </colItems>
  <dataFields count="1">
    <dataField name="Sum of Total LRAM" fld="20" baseField="0" baseItem="0" numFmtId="6"/>
  </dataFields>
  <formats count="5">
    <format dxfId="5">
      <pivotArea outline="0" fieldPosition="0"/>
    </format>
    <format dxfId="1">
      <pivotArea outline="0" fieldPosition="0" dataOnly="0" labelOnly="1" type="origin"/>
    </format>
    <format dxfId="2">
      <pivotArea outline="0" fieldPosition="0" axis="axisCol" dataOnly="0" field="4" labelOnly="1" type="button"/>
    </format>
    <format dxfId="3">
      <pivotArea outline="0" fieldPosition="0" dataOnly="0" type="all"/>
    </format>
    <format dxfId="6">
      <pivotArea outline="0" fieldPosition="0">
        <references count="1">
          <reference field="4294967294" count="1">
            <x v="0"/>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sheetPr>
    <pageSetUpPr fitToPage="1"/>
  </sheetPr>
  <dimension ref="A1:C36"/>
  <sheetViews>
    <sheetView workbookViewId="0" topLeftCell="A1">
      <selection activeCell="B21" sqref="B21"/>
    </sheetView>
  </sheetViews>
  <sheetFormatPr defaultColWidth="9.140625" defaultRowHeight="12.75"/>
  <cols>
    <col min="1" max="1" width="4.7109375" style="0" customWidth="1"/>
    <col min="2" max="2" width="167.28125" style="0" bestFit="1" customWidth="1"/>
  </cols>
  <sheetData>
    <row r="1" ht="12.75">
      <c r="A1" s="1" t="s">
        <v>155</v>
      </c>
    </row>
    <row r="2" ht="12.75">
      <c r="A2" s="1"/>
    </row>
    <row r="5" ht="12.75">
      <c r="A5" t="s">
        <v>158</v>
      </c>
    </row>
    <row r="6" ht="12.75">
      <c r="B6" s="22" t="s">
        <v>156</v>
      </c>
    </row>
    <row r="7" ht="12.75">
      <c r="B7" s="22" t="s">
        <v>157</v>
      </c>
    </row>
    <row r="8" ht="12.75">
      <c r="B8" s="54" t="s">
        <v>90</v>
      </c>
    </row>
    <row r="9" ht="12.75">
      <c r="B9" s="54" t="s">
        <v>99</v>
      </c>
    </row>
    <row r="10" ht="12.75">
      <c r="B10" s="54" t="s">
        <v>164</v>
      </c>
    </row>
    <row r="11" ht="12.75">
      <c r="B11" s="129" t="s">
        <v>160</v>
      </c>
    </row>
    <row r="12" ht="12.75">
      <c r="C12" s="22"/>
    </row>
    <row r="13" spans="1:3" ht="12.75">
      <c r="A13" t="s">
        <v>159</v>
      </c>
      <c r="C13" s="22"/>
    </row>
    <row r="14" spans="2:3" ht="12.75">
      <c r="B14" s="22" t="s">
        <v>161</v>
      </c>
      <c r="C14" s="22"/>
    </row>
    <row r="15" spans="2:3" ht="12.75">
      <c r="B15" s="53" t="s">
        <v>164</v>
      </c>
      <c r="C15" s="22"/>
    </row>
    <row r="16" spans="2:3" ht="12.75">
      <c r="B16" s="53" t="s">
        <v>180</v>
      </c>
      <c r="C16" s="22"/>
    </row>
    <row r="17" ht="12.75">
      <c r="B17" s="130" t="s">
        <v>160</v>
      </c>
    </row>
    <row r="18" ht="12.75">
      <c r="B18" s="130" t="s">
        <v>277</v>
      </c>
    </row>
    <row r="20" ht="12.75">
      <c r="A20" t="s">
        <v>162</v>
      </c>
    </row>
    <row r="21" ht="12.75">
      <c r="B21" s="22" t="s">
        <v>87</v>
      </c>
    </row>
    <row r="22" ht="12.75">
      <c r="B22" s="125" t="s">
        <v>88</v>
      </c>
    </row>
    <row r="23" ht="12.75">
      <c r="B23" s="125" t="s">
        <v>255</v>
      </c>
    </row>
    <row r="24" ht="12.75">
      <c r="B24" s="130" t="s">
        <v>178</v>
      </c>
    </row>
    <row r="25" ht="12.75">
      <c r="B25" s="123"/>
    </row>
    <row r="26" ht="12.75">
      <c r="A26" t="s">
        <v>89</v>
      </c>
    </row>
    <row r="27" ht="12.75">
      <c r="B27" s="22" t="s">
        <v>163</v>
      </c>
    </row>
    <row r="28" ht="12.75">
      <c r="B28" s="22"/>
    </row>
    <row r="29" ht="12.75">
      <c r="B29" s="22"/>
    </row>
    <row r="30" ht="12.75">
      <c r="B30" s="22"/>
    </row>
    <row r="32" ht="12.75">
      <c r="B32" s="22"/>
    </row>
    <row r="33" ht="12.75">
      <c r="B33" s="124"/>
    </row>
    <row r="35" ht="12.75">
      <c r="A35" s="17" t="s">
        <v>179</v>
      </c>
    </row>
    <row r="36" ht="12.75">
      <c r="A36" t="s">
        <v>105</v>
      </c>
    </row>
  </sheetData>
  <sheetProtection/>
  <printOptions/>
  <pageMargins left="0.7" right="0.7" top="0.75" bottom="0.75" header="0.3" footer="0.3"/>
  <pageSetup fitToHeight="1" fitToWidth="1" horizontalDpi="600" verticalDpi="600" orientation="landscape" scale="72" r:id="rId1"/>
  <headerFooter>
    <oddFooter>&amp;L&amp;Z&amp;F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C6"/>
  <sheetViews>
    <sheetView zoomScale="75" zoomScaleNormal="75" zoomScalePageLayoutView="0" workbookViewId="0" topLeftCell="A1">
      <selection activeCell="B21" sqref="B21"/>
    </sheetView>
  </sheetViews>
  <sheetFormatPr defaultColWidth="9.140625" defaultRowHeight="12.75" outlineLevelRow="2"/>
  <cols>
    <col min="1" max="1" width="12.28125" style="0" bestFit="1" customWidth="1"/>
    <col min="2" max="2" width="24.8515625" style="0" bestFit="1" customWidth="1"/>
    <col min="3" max="3" width="24.00390625" style="0" bestFit="1" customWidth="1"/>
    <col min="4" max="4" width="23.57421875" style="0" bestFit="1" customWidth="1"/>
    <col min="5" max="5" width="17.140625" style="0" bestFit="1" customWidth="1"/>
    <col min="6" max="6" width="12.00390625" style="0" bestFit="1" customWidth="1"/>
    <col min="7" max="7" width="11.7109375" style="0" bestFit="1" customWidth="1"/>
    <col min="8" max="8" width="10.57421875" style="0" bestFit="1" customWidth="1"/>
    <col min="9" max="9" width="12.00390625" style="0" bestFit="1" customWidth="1"/>
    <col min="10" max="10" width="14.57421875" style="0" bestFit="1" customWidth="1"/>
    <col min="11" max="11" width="11.00390625" style="0" bestFit="1" customWidth="1"/>
    <col min="12" max="12" width="9.28125" style="0" bestFit="1" customWidth="1"/>
    <col min="13" max="13" width="15.57421875" style="0" bestFit="1" customWidth="1"/>
    <col min="14" max="14" width="10.8515625" style="0" bestFit="1" customWidth="1"/>
    <col min="15" max="15" width="11.57421875" style="0" bestFit="1" customWidth="1"/>
    <col min="16" max="16" width="2.28125" style="0" bestFit="1" customWidth="1"/>
    <col min="17" max="17" width="11.57421875" style="0" bestFit="1" customWidth="1"/>
    <col min="18" max="18" width="12.140625" style="0" bestFit="1" customWidth="1"/>
    <col min="20" max="20" width="11.7109375" style="0" bestFit="1" customWidth="1"/>
  </cols>
  <sheetData>
    <row r="1" spans="1:18" s="78" customFormat="1" ht="63.75">
      <c r="A1" s="78" t="s">
        <v>6</v>
      </c>
      <c r="B1" s="79" t="s">
        <v>34</v>
      </c>
      <c r="C1" s="78" t="s">
        <v>7</v>
      </c>
      <c r="D1" s="78" t="s">
        <v>8</v>
      </c>
      <c r="E1" s="78" t="s">
        <v>9</v>
      </c>
      <c r="F1" s="79" t="s">
        <v>98</v>
      </c>
      <c r="G1" s="80" t="s">
        <v>10</v>
      </c>
      <c r="H1" s="80" t="s">
        <v>33</v>
      </c>
      <c r="I1" s="79" t="s">
        <v>106</v>
      </c>
      <c r="J1" s="90" t="s">
        <v>11</v>
      </c>
      <c r="K1" s="78" t="s">
        <v>93</v>
      </c>
      <c r="L1" s="78" t="s">
        <v>12</v>
      </c>
      <c r="M1" s="81" t="s">
        <v>13</v>
      </c>
      <c r="N1" s="82" t="s">
        <v>14</v>
      </c>
      <c r="O1" s="81" t="s">
        <v>30</v>
      </c>
      <c r="P1" s="78" t="s">
        <v>94</v>
      </c>
      <c r="Q1" s="78" t="s">
        <v>117</v>
      </c>
      <c r="R1" s="78" t="s">
        <v>42</v>
      </c>
    </row>
    <row r="2" spans="1:29" s="31" customFormat="1" ht="12.75" outlineLevel="2">
      <c r="A2" s="7" t="s">
        <v>15</v>
      </c>
      <c r="B2" s="21" t="s">
        <v>20</v>
      </c>
      <c r="C2" s="7" t="s">
        <v>4</v>
      </c>
      <c r="D2" s="7" t="s">
        <v>25</v>
      </c>
      <c r="E2" s="7" t="s">
        <v>18</v>
      </c>
      <c r="F2" s="8">
        <v>2006</v>
      </c>
      <c r="G2" s="96">
        <v>56</v>
      </c>
      <c r="H2" s="20"/>
      <c r="I2" s="94">
        <v>2.5</v>
      </c>
      <c r="J2" s="91">
        <v>174</v>
      </c>
      <c r="K2" s="33" t="s">
        <v>121</v>
      </c>
      <c r="L2" s="14"/>
      <c r="M2" s="97">
        <f>+J2*G2</f>
        <v>9744</v>
      </c>
      <c r="N2" s="98">
        <v>0.1</v>
      </c>
      <c r="O2" s="97">
        <f>+M2*(1-N2)</f>
        <v>8769.6</v>
      </c>
      <c r="P2" s="7"/>
      <c r="Q2" s="99">
        <v>0.0119</v>
      </c>
      <c r="R2" s="100">
        <f>+O2*Q2</f>
        <v>104.35824000000001</v>
      </c>
      <c r="S2" s="7"/>
      <c r="T2" s="100"/>
      <c r="U2" s="100"/>
      <c r="V2" s="7"/>
      <c r="W2" s="7"/>
      <c r="X2" s="7"/>
      <c r="Y2" s="7"/>
      <c r="Z2" s="7"/>
      <c r="AA2" s="7"/>
      <c r="AB2" s="7"/>
      <c r="AC2" s="7"/>
    </row>
    <row r="3" spans="1:22" ht="12.75">
      <c r="A3" s="7" t="s">
        <v>15</v>
      </c>
      <c r="B3" s="21"/>
      <c r="C3" s="7" t="s">
        <v>44</v>
      </c>
      <c r="D3" s="7" t="s">
        <v>111</v>
      </c>
      <c r="E3" s="7" t="s">
        <v>41</v>
      </c>
      <c r="F3" s="8">
        <v>2008</v>
      </c>
      <c r="G3" s="9">
        <v>17</v>
      </c>
      <c r="H3" s="20"/>
      <c r="I3" s="94">
        <v>1.1</v>
      </c>
      <c r="J3" s="91">
        <v>111.25</v>
      </c>
      <c r="K3" s="14"/>
      <c r="L3" s="126"/>
      <c r="M3" s="2">
        <f>IF(L3&lt;&gt;"",K3*L3*G3,J3*G3)</f>
        <v>1891.25</v>
      </c>
      <c r="N3" s="3">
        <v>0.1</v>
      </c>
      <c r="O3" s="2">
        <f>+M3*(1-N3)</f>
        <v>1702.125</v>
      </c>
      <c r="Q3" s="12">
        <v>0.0127</v>
      </c>
      <c r="R3" s="6">
        <f>+O3*Q3</f>
        <v>21.6169875</v>
      </c>
      <c r="S3" s="6"/>
      <c r="T3" s="88"/>
      <c r="U3" s="6"/>
      <c r="V3" s="120"/>
    </row>
    <row r="4" spans="1:20" s="103" customFormat="1" ht="12.75" outlineLevel="2">
      <c r="A4" s="103" t="s">
        <v>15</v>
      </c>
      <c r="B4" s="104"/>
      <c r="C4" s="103" t="s">
        <v>40</v>
      </c>
      <c r="E4" s="103" t="s">
        <v>41</v>
      </c>
      <c r="F4" s="105">
        <v>2008</v>
      </c>
      <c r="G4" s="106">
        <f>'[1]Sheet1'!$A$738</f>
        <v>735</v>
      </c>
      <c r="H4" s="107"/>
      <c r="I4" s="108"/>
      <c r="J4" s="109">
        <f>M4/G4</f>
        <v>285.72639455782314</v>
      </c>
      <c r="K4" s="117"/>
      <c r="L4" s="118"/>
      <c r="M4" s="110">
        <f>-'[1]Sheet1'!$F$738</f>
        <v>210008.9</v>
      </c>
      <c r="N4" s="111">
        <v>0</v>
      </c>
      <c r="O4" s="112">
        <f>+M4*(1-N4)</f>
        <v>210008.9</v>
      </c>
      <c r="Q4" s="113">
        <v>0.0119</v>
      </c>
      <c r="R4" s="121">
        <f>+O4*Q4</f>
        <v>2499.10591</v>
      </c>
      <c r="S4" s="114"/>
      <c r="T4" s="114"/>
    </row>
    <row r="6" ht="12.75">
      <c r="R6" s="115">
        <f>SUM(R2:R5)</f>
        <v>2625.0811375000003</v>
      </c>
    </row>
  </sheetData>
  <sheetProtection/>
  <printOptions/>
  <pageMargins left="0.7" right="0.7" top="0.75" bottom="0.75" header="0.3" footer="0.3"/>
  <pageSetup fitToHeight="1" fitToWidth="1" horizontalDpi="600" verticalDpi="600" orientation="landscape" scale="50"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I13"/>
  <sheetViews>
    <sheetView zoomScalePageLayoutView="0" workbookViewId="0" topLeftCell="A1">
      <selection activeCell="D33" sqref="D33"/>
    </sheetView>
  </sheetViews>
  <sheetFormatPr defaultColWidth="9.140625" defaultRowHeight="12.75" outlineLevelRow="1" outlineLevelCol="1"/>
  <cols>
    <col min="1" max="1" width="27.7109375" style="0" customWidth="1"/>
    <col min="2" max="2" width="15.421875" style="0" bestFit="1" customWidth="1"/>
    <col min="3" max="3" width="13.421875" style="0" hidden="1" customWidth="1"/>
    <col min="4" max="4" width="13.00390625" style="0" customWidth="1"/>
    <col min="5" max="5" width="11.57421875" style="0" customWidth="1"/>
    <col min="6" max="7" width="11.8515625" style="0" customWidth="1"/>
    <col min="8" max="8" width="12.7109375" style="267" hidden="1" customWidth="1" outlineLevel="1"/>
    <col min="9" max="9" width="12.140625" style="210" hidden="1" customWidth="1" outlineLevel="1"/>
    <col min="10" max="10" width="9.140625" style="0" customWidth="1" collapsed="1"/>
  </cols>
  <sheetData>
    <row r="1" ht="12.75">
      <c r="A1" s="83" t="s">
        <v>192</v>
      </c>
    </row>
    <row r="2" ht="15">
      <c r="A2" s="18"/>
    </row>
    <row r="3" ht="15">
      <c r="A3" s="16"/>
    </row>
    <row r="4" spans="1:9" ht="33.75">
      <c r="A4" s="151" t="s">
        <v>35</v>
      </c>
      <c r="B4" s="166" t="s">
        <v>190</v>
      </c>
      <c r="C4" s="165">
        <v>2008</v>
      </c>
      <c r="D4" s="166" t="s">
        <v>39</v>
      </c>
      <c r="E4" s="166" t="s">
        <v>38</v>
      </c>
      <c r="F4" s="166" t="s">
        <v>191</v>
      </c>
      <c r="G4" s="272"/>
      <c r="H4" s="268" t="s">
        <v>278</v>
      </c>
      <c r="I4" s="267" t="s">
        <v>279</v>
      </c>
    </row>
    <row r="5" spans="1:9" ht="12.75">
      <c r="A5" s="152" t="s">
        <v>15</v>
      </c>
      <c r="B5" s="274">
        <f>ROUND(VLOOKUP(A5,'Summary by Rate Class'!$A$15:$F$26,6,FALSE),2)</f>
        <v>25191.11</v>
      </c>
      <c r="C5" s="153"/>
      <c r="D5" s="154">
        <f>'[2]B1.3 Rate Class And Bill Det'!$J$22</f>
        <v>490807351</v>
      </c>
      <c r="E5" s="155" t="s">
        <v>36</v>
      </c>
      <c r="F5" s="156">
        <f>ROUND(+B5/D5,4)</f>
        <v>0.0001</v>
      </c>
      <c r="G5" s="41"/>
      <c r="H5" s="269">
        <f>D5*F5</f>
        <v>49080.735100000005</v>
      </c>
      <c r="I5" s="270">
        <f>B5-H5</f>
        <v>-23889.625100000005</v>
      </c>
    </row>
    <row r="6" spans="1:9" ht="12.75">
      <c r="A6" s="152" t="s">
        <v>53</v>
      </c>
      <c r="B6" s="274">
        <f>ROUND(VLOOKUP(A6,'Summary by Rate Class'!$A$15:$F$26,6,FALSE),2)</f>
        <v>37709.68</v>
      </c>
      <c r="C6" s="153"/>
      <c r="D6" s="154">
        <f>'[2]B1.3 Rate Class And Bill Det'!$J$23</f>
        <v>134251798</v>
      </c>
      <c r="E6" s="155" t="s">
        <v>36</v>
      </c>
      <c r="F6" s="156">
        <f>ROUND(+B6/D6,4)</f>
        <v>0.0003</v>
      </c>
      <c r="G6" s="41"/>
      <c r="H6" s="269">
        <f>D6*F6</f>
        <v>40275.539399999994</v>
      </c>
      <c r="I6" s="270">
        <f>B6-H6</f>
        <v>-2565.859399999994</v>
      </c>
    </row>
    <row r="7" spans="1:9" s="128" customFormat="1" ht="12.75" hidden="1" outlineLevel="1">
      <c r="A7" s="157" t="s">
        <v>91</v>
      </c>
      <c r="B7" s="274">
        <f>ROUND(VLOOKUP(A7,'Summary by Rate Class'!$A$15:$F$26,6,FALSE),2)</f>
        <v>734.61</v>
      </c>
      <c r="C7" s="158"/>
      <c r="D7" s="159"/>
      <c r="E7" s="160"/>
      <c r="F7" s="161"/>
      <c r="G7" s="149"/>
      <c r="H7" s="271"/>
      <c r="I7" s="222"/>
    </row>
    <row r="8" spans="1:9" s="128" customFormat="1" ht="12.75" hidden="1" outlineLevel="1">
      <c r="A8" s="157" t="s">
        <v>92</v>
      </c>
      <c r="B8" s="274">
        <f>ROUND(VLOOKUP(A8,'Summary by Rate Class'!$A$15:$F$26,6,FALSE),2)</f>
        <v>316.5</v>
      </c>
      <c r="C8" s="158"/>
      <c r="D8" s="159"/>
      <c r="E8" s="160"/>
      <c r="F8" s="161"/>
      <c r="G8" s="149"/>
      <c r="H8" s="271"/>
      <c r="I8" s="222"/>
    </row>
    <row r="9" spans="1:9" ht="12.75" collapsed="1">
      <c r="A9" s="152" t="s">
        <v>97</v>
      </c>
      <c r="B9" s="274">
        <f>B7+B8</f>
        <v>1051.1100000000001</v>
      </c>
      <c r="C9" s="153"/>
      <c r="D9" s="154">
        <f>'[2]B1.3 Rate Class And Bill Det'!$K$24</f>
        <v>861504</v>
      </c>
      <c r="E9" s="155" t="s">
        <v>3</v>
      </c>
      <c r="F9" s="156">
        <f>ROUND(+B9/D9,4)</f>
        <v>0.0012</v>
      </c>
      <c r="G9" s="41"/>
      <c r="H9" s="269">
        <f>D9*F9</f>
        <v>1033.8048</v>
      </c>
      <c r="I9" s="270">
        <f>B9-H9</f>
        <v>17.30520000000024</v>
      </c>
    </row>
    <row r="10" spans="1:9" ht="12.75">
      <c r="A10" s="152" t="s">
        <v>32</v>
      </c>
      <c r="B10" s="274">
        <f>ROUND(VLOOKUP(A10,'Summary by Rate Class'!$A$15:$F$26,6,FALSE),2)</f>
        <v>17129.83</v>
      </c>
      <c r="C10" s="153"/>
      <c r="D10" s="154">
        <f>'[2]B1.3 Rate Class And Bill Det'!$J$27</f>
        <v>2963094</v>
      </c>
      <c r="E10" s="155" t="s">
        <v>36</v>
      </c>
      <c r="F10" s="156">
        <f>ROUND(+B10/D10,4)</f>
        <v>0.0058</v>
      </c>
      <c r="G10" s="41"/>
      <c r="H10" s="269">
        <f>D10*F10</f>
        <v>17185.9452</v>
      </c>
      <c r="I10" s="270">
        <f>B10-H10</f>
        <v>-56.11519999999655</v>
      </c>
    </row>
    <row r="11" spans="1:9" ht="23.25" customHeight="1">
      <c r="A11" s="162" t="s">
        <v>37</v>
      </c>
      <c r="B11" s="274">
        <f>B5+B6+B9+B10</f>
        <v>81081.73000000001</v>
      </c>
      <c r="C11" s="153">
        <f>+C9+C5</f>
        <v>0</v>
      </c>
      <c r="D11" s="273"/>
      <c r="E11" s="163"/>
      <c r="F11" s="164"/>
      <c r="G11" s="42"/>
      <c r="H11" s="269">
        <f>SUM(H5:H10)</f>
        <v>107576.0245</v>
      </c>
      <c r="I11" s="269">
        <f>SUM(I5:I10)</f>
        <v>-26494.294499999996</v>
      </c>
    </row>
    <row r="13" ht="12.75">
      <c r="B13" s="150">
        <f>B11-'LRAM Detail'!U148</f>
        <v>-0.010362540750065818</v>
      </c>
    </row>
  </sheetData>
  <sheetProtection/>
  <printOptions/>
  <pageMargins left="0.75" right="0.75" top="1" bottom="1"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U180"/>
  <sheetViews>
    <sheetView zoomScale="80" zoomScaleNormal="80" zoomScalePageLayoutView="0" workbookViewId="0" topLeftCell="A1">
      <pane xSplit="5" ySplit="2" topLeftCell="Q3" activePane="bottomRight" state="frozen"/>
      <selection pane="topLeft" activeCell="B21" sqref="B21"/>
      <selection pane="topRight" activeCell="B21" sqref="B21"/>
      <selection pane="bottomLeft" activeCell="B21" sqref="B21"/>
      <selection pane="bottomRight" activeCell="B21" sqref="B21"/>
    </sheetView>
  </sheetViews>
  <sheetFormatPr defaultColWidth="9.140625" defaultRowHeight="12.75" outlineLevelRow="3" outlineLevelCol="1"/>
  <cols>
    <col min="1" max="1" width="18.140625" style="17" customWidth="1"/>
    <col min="2" max="2" width="73.7109375" style="17" bestFit="1" customWidth="1"/>
    <col min="3" max="3" width="31.57421875" style="17" hidden="1" customWidth="1" outlineLevel="1"/>
    <col min="4" max="4" width="18.28125" style="17" hidden="1" customWidth="1" outlineLevel="1"/>
    <col min="5" max="5" width="11.421875" style="24" hidden="1" customWidth="1" outlineLevel="1"/>
    <col min="6" max="6" width="12.140625" style="204" hidden="1" customWidth="1" outlineLevel="1"/>
    <col min="7" max="7" width="13.00390625" style="204" hidden="1" customWidth="1" outlineLevel="1"/>
    <col min="8" max="8" width="11.00390625" style="24" hidden="1" customWidth="1" outlineLevel="1"/>
    <col min="9" max="9" width="10.7109375" style="205" hidden="1" customWidth="1" outlineLevel="1"/>
    <col min="10" max="10" width="10.8515625" style="17" hidden="1" customWidth="1" outlineLevel="1"/>
    <col min="11" max="11" width="10.57421875" style="17" hidden="1" customWidth="1" outlineLevel="1"/>
    <col min="12" max="12" width="14.140625" style="27" hidden="1" customWidth="1" outlineLevel="1"/>
    <col min="13" max="13" width="6.57421875" style="28" hidden="1" customWidth="1" outlineLevel="1"/>
    <col min="14" max="14" width="13.28125" style="27" hidden="1" customWidth="1" outlineLevel="1"/>
    <col min="15" max="15" width="2.57421875" style="17" hidden="1" customWidth="1" outlineLevel="1"/>
    <col min="16" max="16" width="14.57421875" style="17" hidden="1" customWidth="1" outlineLevel="1"/>
    <col min="17" max="17" width="15.140625" style="17" hidden="1" customWidth="1" outlineLevel="1"/>
    <col min="18" max="18" width="12.28125" style="17" hidden="1" customWidth="1" outlineLevel="1"/>
    <col min="19" max="20" width="0" style="17" hidden="1" customWidth="1" outlineLevel="1"/>
    <col min="21" max="21" width="15.8515625" style="17" customWidth="1" collapsed="1"/>
    <col min="22" max="22" width="9.140625" style="17" customWidth="1"/>
    <col min="23" max="26" width="8.8515625" style="17" customWidth="1"/>
    <col min="27" max="16384" width="9.140625" style="17" customWidth="1"/>
  </cols>
  <sheetData>
    <row r="1" ht="12.75">
      <c r="A1" s="83" t="s">
        <v>257</v>
      </c>
    </row>
    <row r="2" spans="1:21" s="78" customFormat="1" ht="405">
      <c r="A2" s="78" t="s">
        <v>6</v>
      </c>
      <c r="B2" s="78" t="s">
        <v>7</v>
      </c>
      <c r="C2" s="78" t="s">
        <v>8</v>
      </c>
      <c r="D2" s="78" t="s">
        <v>9</v>
      </c>
      <c r="E2" s="79" t="s">
        <v>98</v>
      </c>
      <c r="F2" s="80" t="s">
        <v>10</v>
      </c>
      <c r="G2" s="80" t="s">
        <v>33</v>
      </c>
      <c r="H2" s="79" t="s">
        <v>106</v>
      </c>
      <c r="I2" s="90" t="s">
        <v>185</v>
      </c>
      <c r="J2" s="78" t="s">
        <v>93</v>
      </c>
      <c r="K2" s="78" t="s">
        <v>186</v>
      </c>
      <c r="L2" s="81" t="s">
        <v>13</v>
      </c>
      <c r="M2" s="82" t="s">
        <v>14</v>
      </c>
      <c r="N2" s="81" t="s">
        <v>176</v>
      </c>
      <c r="O2" s="78" t="s">
        <v>94</v>
      </c>
      <c r="P2" s="78" t="s">
        <v>153</v>
      </c>
      <c r="Q2" s="78" t="s">
        <v>123</v>
      </c>
      <c r="R2" s="224" t="s">
        <v>267</v>
      </c>
      <c r="S2" s="224" t="s">
        <v>268</v>
      </c>
      <c r="T2" s="78" t="s">
        <v>265</v>
      </c>
      <c r="U2" s="78" t="s">
        <v>259</v>
      </c>
    </row>
    <row r="3" spans="1:21" ht="12.75" hidden="1" outlineLevel="3">
      <c r="A3" s="7" t="s">
        <v>15</v>
      </c>
      <c r="B3" t="s">
        <v>17</v>
      </c>
      <c r="C3" t="s">
        <v>19</v>
      </c>
      <c r="D3" t="s">
        <v>18</v>
      </c>
      <c r="E3" s="4">
        <v>2006</v>
      </c>
      <c r="F3" s="9">
        <v>140</v>
      </c>
      <c r="G3" s="15"/>
      <c r="H3" s="32">
        <v>8</v>
      </c>
      <c r="I3" s="91">
        <v>44.35</v>
      </c>
      <c r="J3" s="14"/>
      <c r="K3" s="89"/>
      <c r="L3" s="2">
        <f aca="true" t="shared" si="0" ref="L3:L25">IF(K3&lt;&gt;"",J3*K3*F3,I3*F3)</f>
        <v>6209</v>
      </c>
      <c r="M3" s="11">
        <v>0.1</v>
      </c>
      <c r="N3" s="2">
        <f aca="true" t="shared" si="1" ref="N3:N10">+L3*(1-M3)</f>
        <v>5588.1</v>
      </c>
      <c r="O3"/>
      <c r="P3" s="12">
        <v>0.0127</v>
      </c>
      <c r="Q3" s="6">
        <f aca="true" t="shared" si="2" ref="Q3:Q25">+N3*P3</f>
        <v>70.96887</v>
      </c>
      <c r="R3" s="223"/>
      <c r="S3" s="210"/>
      <c r="T3" s="2">
        <f>N3+R3</f>
        <v>5588.1</v>
      </c>
      <c r="U3" s="120">
        <f>Q3+S3</f>
        <v>70.96887</v>
      </c>
    </row>
    <row r="4" spans="1:21" ht="12.75" outlineLevel="2" collapsed="1">
      <c r="A4" s="7"/>
      <c r="B4" s="206" t="s">
        <v>232</v>
      </c>
      <c r="C4"/>
      <c r="D4"/>
      <c r="E4" s="4"/>
      <c r="F4" s="9"/>
      <c r="G4" s="15"/>
      <c r="H4" s="32"/>
      <c r="I4" s="91"/>
      <c r="J4" s="14"/>
      <c r="K4" s="89"/>
      <c r="L4" s="2"/>
      <c r="M4" s="11"/>
      <c r="N4" s="2"/>
      <c r="O4"/>
      <c r="P4" s="12"/>
      <c r="Q4" s="6"/>
      <c r="R4" s="223"/>
      <c r="S4" s="210"/>
      <c r="T4" s="2"/>
      <c r="U4" s="115">
        <f>SUBTOTAL(9,U3:U3)</f>
        <v>70.96887</v>
      </c>
    </row>
    <row r="5" spans="1:21" ht="12.75" hidden="1" outlineLevel="3">
      <c r="A5" s="17" t="s">
        <v>15</v>
      </c>
      <c r="B5" s="17" t="s">
        <v>21</v>
      </c>
      <c r="C5" s="17" t="s">
        <v>19</v>
      </c>
      <c r="D5" s="17" t="s">
        <v>16</v>
      </c>
      <c r="E5" s="24">
        <v>2006</v>
      </c>
      <c r="F5" s="25">
        <v>8247</v>
      </c>
      <c r="G5" s="26"/>
      <c r="H5" s="32">
        <v>8</v>
      </c>
      <c r="I5" s="91">
        <v>44.35</v>
      </c>
      <c r="J5" s="14"/>
      <c r="K5" s="89"/>
      <c r="L5" s="2">
        <f t="shared" si="0"/>
        <v>365754.45</v>
      </c>
      <c r="M5" s="28">
        <v>0.1</v>
      </c>
      <c r="N5" s="27">
        <f t="shared" si="1"/>
        <v>329179.005</v>
      </c>
      <c r="P5" s="12">
        <v>0.0127</v>
      </c>
      <c r="Q5" s="29">
        <f t="shared" si="2"/>
        <v>4180.5733635</v>
      </c>
      <c r="R5" s="223"/>
      <c r="S5" s="210"/>
      <c r="T5" s="2">
        <f aca="true" t="shared" si="3" ref="T5:T80">N5+R5</f>
        <v>329179.005</v>
      </c>
      <c r="U5" s="115">
        <f aca="true" t="shared" si="4" ref="U5:U10">Q5+S5</f>
        <v>4180.5733635</v>
      </c>
    </row>
    <row r="6" spans="1:21" ht="12.75" hidden="1" outlineLevel="3">
      <c r="A6" s="31" t="s">
        <v>15</v>
      </c>
      <c r="B6" s="31" t="s">
        <v>21</v>
      </c>
      <c r="C6" s="31" t="s">
        <v>1</v>
      </c>
      <c r="D6" s="31" t="s">
        <v>16</v>
      </c>
      <c r="E6" s="32">
        <v>2006</v>
      </c>
      <c r="F6" s="25">
        <v>326</v>
      </c>
      <c r="G6" s="26"/>
      <c r="H6" s="32">
        <v>10</v>
      </c>
      <c r="I6" s="91">
        <v>23.65</v>
      </c>
      <c r="J6" s="14"/>
      <c r="K6" s="89"/>
      <c r="L6" s="2">
        <f t="shared" si="0"/>
        <v>7709.9</v>
      </c>
      <c r="M6" s="34">
        <v>0.1</v>
      </c>
      <c r="N6" s="27">
        <f t="shared" si="1"/>
        <v>6938.91</v>
      </c>
      <c r="O6" s="31"/>
      <c r="P6" s="12">
        <v>0.0127</v>
      </c>
      <c r="Q6" s="35">
        <f t="shared" si="2"/>
        <v>88.124157</v>
      </c>
      <c r="R6" s="223"/>
      <c r="S6" s="225"/>
      <c r="T6" s="2">
        <f t="shared" si="3"/>
        <v>6938.91</v>
      </c>
      <c r="U6" s="115">
        <f t="shared" si="4"/>
        <v>88.124157</v>
      </c>
    </row>
    <row r="7" spans="1:21" ht="12.75" hidden="1" outlineLevel="3">
      <c r="A7" s="17" t="s">
        <v>15</v>
      </c>
      <c r="B7" s="17" t="s">
        <v>21</v>
      </c>
      <c r="C7" s="17" t="s">
        <v>2</v>
      </c>
      <c r="D7" s="17" t="s">
        <v>16</v>
      </c>
      <c r="E7" s="24">
        <v>2006</v>
      </c>
      <c r="F7" s="25">
        <v>101</v>
      </c>
      <c r="G7" s="26"/>
      <c r="H7" s="32">
        <v>10</v>
      </c>
      <c r="I7" s="91">
        <v>63.95</v>
      </c>
      <c r="J7" s="14"/>
      <c r="K7" s="89"/>
      <c r="L7" s="2">
        <f t="shared" si="0"/>
        <v>6458.950000000001</v>
      </c>
      <c r="M7" s="28">
        <v>0.1</v>
      </c>
      <c r="N7" s="27">
        <f t="shared" si="1"/>
        <v>5813.055000000001</v>
      </c>
      <c r="P7" s="12">
        <v>0.0127</v>
      </c>
      <c r="Q7" s="29">
        <f t="shared" si="2"/>
        <v>73.82579850000002</v>
      </c>
      <c r="R7" s="223"/>
      <c r="S7" s="210"/>
      <c r="T7" s="2">
        <f t="shared" si="3"/>
        <v>5813.055000000001</v>
      </c>
      <c r="U7" s="115">
        <f t="shared" si="4"/>
        <v>73.82579850000002</v>
      </c>
    </row>
    <row r="8" spans="1:21" ht="12.75" hidden="1" outlineLevel="3">
      <c r="A8" s="17" t="s">
        <v>15</v>
      </c>
      <c r="B8" s="17" t="s">
        <v>21</v>
      </c>
      <c r="C8" s="17" t="s">
        <v>107</v>
      </c>
      <c r="D8" s="17" t="s">
        <v>16</v>
      </c>
      <c r="E8" s="24">
        <v>2006</v>
      </c>
      <c r="F8" s="25">
        <v>792</v>
      </c>
      <c r="G8" s="26"/>
      <c r="H8" s="32">
        <v>11</v>
      </c>
      <c r="I8" s="91">
        <v>203</v>
      </c>
      <c r="J8" s="14"/>
      <c r="K8" s="89"/>
      <c r="L8" s="2">
        <f t="shared" si="0"/>
        <v>160776</v>
      </c>
      <c r="M8" s="28">
        <v>0.1</v>
      </c>
      <c r="N8" s="27">
        <f t="shared" si="1"/>
        <v>144698.4</v>
      </c>
      <c r="P8" s="12">
        <v>0.0127</v>
      </c>
      <c r="Q8" s="29">
        <f t="shared" si="2"/>
        <v>1837.6696799999997</v>
      </c>
      <c r="R8" s="223"/>
      <c r="S8" s="210"/>
      <c r="T8" s="2">
        <f t="shared" si="3"/>
        <v>144698.4</v>
      </c>
      <c r="U8" s="115">
        <f t="shared" si="4"/>
        <v>1837.6696799999997</v>
      </c>
    </row>
    <row r="9" spans="1:21" ht="12.75" hidden="1" outlineLevel="3">
      <c r="A9" s="17" t="s">
        <v>15</v>
      </c>
      <c r="B9" s="17" t="s">
        <v>21</v>
      </c>
      <c r="C9" s="17" t="s">
        <v>22</v>
      </c>
      <c r="D9" s="17" t="s">
        <v>16</v>
      </c>
      <c r="E9" s="24">
        <v>2006</v>
      </c>
      <c r="F9" s="25">
        <v>83</v>
      </c>
      <c r="G9" s="26"/>
      <c r="H9" s="32">
        <v>11</v>
      </c>
      <c r="I9" s="91">
        <v>63.15</v>
      </c>
      <c r="J9" s="14"/>
      <c r="K9" s="89"/>
      <c r="L9" s="2">
        <f t="shared" si="0"/>
        <v>5241.45</v>
      </c>
      <c r="M9" s="28">
        <v>0.1</v>
      </c>
      <c r="N9" s="27">
        <f t="shared" si="1"/>
        <v>4717.305</v>
      </c>
      <c r="P9" s="12">
        <v>0.0127</v>
      </c>
      <c r="Q9" s="29">
        <f t="shared" si="2"/>
        <v>59.9097735</v>
      </c>
      <c r="R9" s="223"/>
      <c r="S9" s="210"/>
      <c r="T9" s="2">
        <f t="shared" si="3"/>
        <v>4717.305</v>
      </c>
      <c r="U9" s="115">
        <f t="shared" si="4"/>
        <v>59.9097735</v>
      </c>
    </row>
    <row r="10" spans="1:21" ht="14.25" customHeight="1" hidden="1" outlineLevel="3">
      <c r="A10" s="17" t="s">
        <v>15</v>
      </c>
      <c r="B10" s="17" t="s">
        <v>21</v>
      </c>
      <c r="C10" s="17" t="s">
        <v>23</v>
      </c>
      <c r="D10" s="17" t="s">
        <v>16</v>
      </c>
      <c r="E10" s="24">
        <v>2006</v>
      </c>
      <c r="F10" s="25">
        <v>5197</v>
      </c>
      <c r="G10" s="26"/>
      <c r="H10" s="32">
        <v>5</v>
      </c>
      <c r="I10" s="91">
        <v>13.5</v>
      </c>
      <c r="J10" s="14"/>
      <c r="K10" s="89"/>
      <c r="L10" s="2">
        <f t="shared" si="0"/>
        <v>70159.5</v>
      </c>
      <c r="M10" s="28">
        <v>0.05</v>
      </c>
      <c r="N10" s="27">
        <f t="shared" si="1"/>
        <v>66651.525</v>
      </c>
      <c r="P10" s="12">
        <v>0.0127</v>
      </c>
      <c r="Q10" s="29">
        <f t="shared" si="2"/>
        <v>846.4743674999999</v>
      </c>
      <c r="R10" s="223"/>
      <c r="S10" s="210"/>
      <c r="T10" s="2">
        <f t="shared" si="3"/>
        <v>66651.525</v>
      </c>
      <c r="U10" s="115">
        <f t="shared" si="4"/>
        <v>846.4743674999999</v>
      </c>
    </row>
    <row r="11" spans="2:21" ht="14.25" customHeight="1" outlineLevel="2" collapsed="1">
      <c r="B11" s="1" t="s">
        <v>233</v>
      </c>
      <c r="F11" s="25"/>
      <c r="G11" s="26"/>
      <c r="H11" s="32"/>
      <c r="I11" s="91"/>
      <c r="J11" s="14"/>
      <c r="K11" s="89"/>
      <c r="L11" s="2"/>
      <c r="P11" s="12"/>
      <c r="Q11" s="29"/>
      <c r="R11" s="223"/>
      <c r="S11" s="210"/>
      <c r="T11" s="2"/>
      <c r="U11" s="115">
        <f>SUBTOTAL(9,U5:U10)</f>
        <v>7086.577139999999</v>
      </c>
    </row>
    <row r="12" spans="1:21" s="31" customFormat="1" ht="12.75" hidden="1" outlineLevel="3">
      <c r="A12" s="7" t="s">
        <v>15</v>
      </c>
      <c r="B12" s="7" t="s">
        <v>27</v>
      </c>
      <c r="C12" s="7" t="s">
        <v>28</v>
      </c>
      <c r="D12" s="7" t="s">
        <v>29</v>
      </c>
      <c r="E12" s="8">
        <v>2006</v>
      </c>
      <c r="F12" s="96">
        <v>8</v>
      </c>
      <c r="G12" s="20"/>
      <c r="H12" s="32">
        <v>20</v>
      </c>
      <c r="I12" s="91">
        <v>600</v>
      </c>
      <c r="J12" s="14" t="s">
        <v>121</v>
      </c>
      <c r="K12" s="89"/>
      <c r="L12" s="2">
        <f t="shared" si="0"/>
        <v>4800</v>
      </c>
      <c r="M12" s="98">
        <v>0</v>
      </c>
      <c r="N12" s="97">
        <f>240*H12</f>
        <v>4800</v>
      </c>
      <c r="O12" s="7"/>
      <c r="P12" s="12">
        <v>0.0127</v>
      </c>
      <c r="Q12" s="100">
        <f t="shared" si="2"/>
        <v>60.96</v>
      </c>
      <c r="R12" s="223"/>
      <c r="S12" s="225"/>
      <c r="T12" s="2">
        <f t="shared" si="3"/>
        <v>4800</v>
      </c>
      <c r="U12" s="115">
        <f>Q12+S12</f>
        <v>60.96</v>
      </c>
    </row>
    <row r="13" spans="1:21" s="31" customFormat="1" ht="12.75" outlineLevel="2" collapsed="1">
      <c r="A13" s="7"/>
      <c r="B13" s="19" t="s">
        <v>234</v>
      </c>
      <c r="C13" s="7"/>
      <c r="D13" s="7"/>
      <c r="E13" s="8"/>
      <c r="F13" s="96"/>
      <c r="G13" s="20"/>
      <c r="H13" s="32"/>
      <c r="I13" s="91"/>
      <c r="J13" s="14"/>
      <c r="K13" s="89"/>
      <c r="L13" s="2"/>
      <c r="M13" s="98"/>
      <c r="N13" s="97"/>
      <c r="O13" s="7"/>
      <c r="P13" s="12"/>
      <c r="Q13" s="100"/>
      <c r="R13" s="223"/>
      <c r="S13" s="225"/>
      <c r="T13" s="2"/>
      <c r="U13" s="115">
        <f>SUBTOTAL(9,U12:U12)</f>
        <v>60.96</v>
      </c>
    </row>
    <row r="14" spans="1:21" s="31" customFormat="1" ht="12.75" hidden="1" outlineLevel="3">
      <c r="A14" t="s">
        <v>15</v>
      </c>
      <c r="B14" t="s">
        <v>4</v>
      </c>
      <c r="C14" s="7" t="s">
        <v>24</v>
      </c>
      <c r="D14" t="s">
        <v>18</v>
      </c>
      <c r="E14" s="4">
        <v>2006</v>
      </c>
      <c r="F14" s="5">
        <v>143</v>
      </c>
      <c r="G14" s="15"/>
      <c r="H14" s="32">
        <v>18</v>
      </c>
      <c r="I14" s="91">
        <v>32.85</v>
      </c>
      <c r="J14" s="14"/>
      <c r="K14" s="89"/>
      <c r="L14" s="2">
        <f t="shared" si="0"/>
        <v>4697.55</v>
      </c>
      <c r="M14" s="3">
        <v>0</v>
      </c>
      <c r="N14" s="2">
        <f aca="true" t="shared" si="5" ref="N14:N25">+L14*(1-M14)</f>
        <v>4697.55</v>
      </c>
      <c r="O14"/>
      <c r="P14" s="12">
        <v>0.0127</v>
      </c>
      <c r="Q14" s="6">
        <f t="shared" si="2"/>
        <v>59.658885</v>
      </c>
      <c r="R14" s="223"/>
      <c r="S14" s="210"/>
      <c r="T14" s="2">
        <f t="shared" si="3"/>
        <v>4697.55</v>
      </c>
      <c r="U14" s="115">
        <f>Q14+S14</f>
        <v>59.658885</v>
      </c>
    </row>
    <row r="15" spans="1:21" ht="12.75" hidden="1" outlineLevel="3">
      <c r="A15" t="s">
        <v>15</v>
      </c>
      <c r="B15" t="s">
        <v>4</v>
      </c>
      <c r="C15" s="7" t="s">
        <v>0</v>
      </c>
      <c r="D15" t="s">
        <v>18</v>
      </c>
      <c r="E15" s="4">
        <v>2006</v>
      </c>
      <c r="F15" s="5">
        <v>610</v>
      </c>
      <c r="G15" s="15"/>
      <c r="H15" s="32">
        <v>8</v>
      </c>
      <c r="I15" s="91">
        <v>44.35</v>
      </c>
      <c r="J15" s="14"/>
      <c r="K15" s="89"/>
      <c r="L15" s="2">
        <f t="shared" si="0"/>
        <v>27053.5</v>
      </c>
      <c r="M15" s="3">
        <v>0.1</v>
      </c>
      <c r="N15" s="2">
        <f t="shared" si="5"/>
        <v>24348.15</v>
      </c>
      <c r="O15"/>
      <c r="P15" s="12">
        <v>0.0127</v>
      </c>
      <c r="Q15" s="6">
        <f t="shared" si="2"/>
        <v>309.221505</v>
      </c>
      <c r="R15" s="223"/>
      <c r="S15" s="210"/>
      <c r="T15" s="2">
        <f t="shared" si="3"/>
        <v>24348.15</v>
      </c>
      <c r="U15" s="115">
        <f>Q15+S15</f>
        <v>309.221505</v>
      </c>
    </row>
    <row r="16" spans="1:21" ht="12.75" hidden="1" outlineLevel="3">
      <c r="A16" t="s">
        <v>15</v>
      </c>
      <c r="B16" t="s">
        <v>4</v>
      </c>
      <c r="C16" s="7" t="s">
        <v>5</v>
      </c>
      <c r="D16" t="s">
        <v>18</v>
      </c>
      <c r="E16" s="4">
        <v>2006</v>
      </c>
      <c r="F16" s="5">
        <v>60</v>
      </c>
      <c r="G16" s="15"/>
      <c r="H16" s="32">
        <v>10</v>
      </c>
      <c r="I16" s="91">
        <f>(22-5)*8760/1000</f>
        <v>148.92</v>
      </c>
      <c r="J16" s="14"/>
      <c r="K16" s="89"/>
      <c r="L16" s="2">
        <f t="shared" si="0"/>
        <v>8935.199999999999</v>
      </c>
      <c r="M16" s="3">
        <v>0.1</v>
      </c>
      <c r="N16" s="2">
        <f t="shared" si="5"/>
        <v>8041.679999999999</v>
      </c>
      <c r="O16"/>
      <c r="P16" s="12">
        <v>0.0127</v>
      </c>
      <c r="Q16" s="6">
        <f t="shared" si="2"/>
        <v>102.129336</v>
      </c>
      <c r="R16" s="223"/>
      <c r="S16" s="210"/>
      <c r="T16" s="2">
        <f t="shared" si="3"/>
        <v>8041.679999999999</v>
      </c>
      <c r="U16" s="115">
        <f>Q16+S16</f>
        <v>102.129336</v>
      </c>
    </row>
    <row r="17" spans="1:21" ht="12.75" hidden="1" outlineLevel="3">
      <c r="A17" t="s">
        <v>15</v>
      </c>
      <c r="B17" t="s">
        <v>4</v>
      </c>
      <c r="C17" s="7" t="s">
        <v>26</v>
      </c>
      <c r="D17" t="s">
        <v>18</v>
      </c>
      <c r="E17" s="4">
        <v>2006</v>
      </c>
      <c r="F17" s="5">
        <v>900</v>
      </c>
      <c r="G17" s="15"/>
      <c r="H17" s="32">
        <v>5</v>
      </c>
      <c r="I17" s="91">
        <v>13.5</v>
      </c>
      <c r="J17" s="14"/>
      <c r="K17" s="89"/>
      <c r="L17" s="2">
        <f t="shared" si="0"/>
        <v>12150</v>
      </c>
      <c r="M17" s="3">
        <v>0.05</v>
      </c>
      <c r="N17" s="2">
        <f t="shared" si="5"/>
        <v>11542.5</v>
      </c>
      <c r="O17"/>
      <c r="P17" s="12">
        <v>0.0127</v>
      </c>
      <c r="Q17" s="6">
        <f t="shared" si="2"/>
        <v>146.58974999999998</v>
      </c>
      <c r="R17" s="223"/>
      <c r="S17" s="210"/>
      <c r="T17" s="2">
        <f t="shared" si="3"/>
        <v>11542.5</v>
      </c>
      <c r="U17" s="115">
        <f>Q17+S17</f>
        <v>146.58974999999998</v>
      </c>
    </row>
    <row r="18" spans="1:21" ht="12.75" outlineLevel="2" collapsed="1">
      <c r="A18"/>
      <c r="B18" s="1" t="s">
        <v>235</v>
      </c>
      <c r="C18" s="7"/>
      <c r="D18"/>
      <c r="E18" s="4"/>
      <c r="F18" s="5"/>
      <c r="G18" s="15"/>
      <c r="H18" s="32"/>
      <c r="I18" s="91"/>
      <c r="J18" s="14"/>
      <c r="K18" s="89"/>
      <c r="L18" s="2"/>
      <c r="M18" s="3"/>
      <c r="N18" s="2"/>
      <c r="O18"/>
      <c r="P18" s="12"/>
      <c r="Q18" s="6"/>
      <c r="R18" s="223"/>
      <c r="S18" s="210"/>
      <c r="T18" s="2"/>
      <c r="U18" s="115">
        <f>SUBTOTAL(9,U14:U17)</f>
        <v>617.599476</v>
      </c>
    </row>
    <row r="19" spans="1:21" ht="12.75" hidden="1" outlineLevel="3">
      <c r="A19" s="17" t="s">
        <v>15</v>
      </c>
      <c r="B19" s="17" t="s">
        <v>96</v>
      </c>
      <c r="C19" s="17" t="s">
        <v>107</v>
      </c>
      <c r="D19" s="17" t="s">
        <v>41</v>
      </c>
      <c r="E19" s="24">
        <v>2008</v>
      </c>
      <c r="F19" s="25">
        <v>159</v>
      </c>
      <c r="G19" s="26"/>
      <c r="H19" s="32">
        <v>11</v>
      </c>
      <c r="I19" s="91">
        <v>203</v>
      </c>
      <c r="J19" s="14"/>
      <c r="K19" s="89"/>
      <c r="L19" s="2">
        <f t="shared" si="0"/>
        <v>32277</v>
      </c>
      <c r="M19" s="28">
        <v>0.1</v>
      </c>
      <c r="N19" s="27">
        <f t="shared" si="5"/>
        <v>29049.3</v>
      </c>
      <c r="P19" s="12">
        <v>0.0127</v>
      </c>
      <c r="Q19" s="29">
        <f t="shared" si="2"/>
        <v>368.92611</v>
      </c>
      <c r="R19" s="223"/>
      <c r="S19" s="210"/>
      <c r="T19" s="2">
        <f t="shared" si="3"/>
        <v>29049.3</v>
      </c>
      <c r="U19" s="115">
        <f>Q19+S19</f>
        <v>368.92611</v>
      </c>
    </row>
    <row r="20" spans="2:21" ht="12.75" outlineLevel="2" collapsed="1">
      <c r="B20" s="1" t="s">
        <v>269</v>
      </c>
      <c r="F20" s="25"/>
      <c r="G20" s="26"/>
      <c r="H20" s="32"/>
      <c r="I20" s="91"/>
      <c r="J20" s="14"/>
      <c r="K20" s="89"/>
      <c r="L20" s="2"/>
      <c r="P20" s="12"/>
      <c r="Q20" s="29"/>
      <c r="R20" s="223"/>
      <c r="S20" s="210"/>
      <c r="T20" s="2"/>
      <c r="U20" s="115">
        <f>SUBTOTAL(9,U19:U19)</f>
        <v>368.92611</v>
      </c>
    </row>
    <row r="21" spans="1:21" ht="12.75" hidden="1" outlineLevel="3">
      <c r="A21" s="7" t="s">
        <v>15</v>
      </c>
      <c r="B21" s="7" t="s">
        <v>43</v>
      </c>
      <c r="C21" s="31" t="s">
        <v>171</v>
      </c>
      <c r="D21" s="7" t="s">
        <v>41</v>
      </c>
      <c r="E21" s="8">
        <v>2008</v>
      </c>
      <c r="F21" s="9">
        <v>803</v>
      </c>
      <c r="G21" s="20"/>
      <c r="H21" s="32">
        <v>9</v>
      </c>
      <c r="I21" s="91">
        <v>1101.29</v>
      </c>
      <c r="J21" s="14"/>
      <c r="K21" s="89"/>
      <c r="L21" s="2">
        <f t="shared" si="0"/>
        <v>884335.87</v>
      </c>
      <c r="M21" s="11">
        <v>0.1</v>
      </c>
      <c r="N21" s="2">
        <f t="shared" si="5"/>
        <v>795902.283</v>
      </c>
      <c r="O21"/>
      <c r="P21" s="12">
        <v>0.0127</v>
      </c>
      <c r="Q21" s="6">
        <f t="shared" si="2"/>
        <v>10107.9589941</v>
      </c>
      <c r="R21" s="223"/>
      <c r="S21" s="209"/>
      <c r="T21" s="2">
        <f t="shared" si="3"/>
        <v>795902.283</v>
      </c>
      <c r="U21" s="115">
        <f>Q21+S21</f>
        <v>10107.9589941</v>
      </c>
    </row>
    <row r="22" spans="1:21" ht="12.75" outlineLevel="2" collapsed="1">
      <c r="A22" s="7"/>
      <c r="B22" s="19" t="s">
        <v>270</v>
      </c>
      <c r="C22" s="31"/>
      <c r="D22" s="7"/>
      <c r="E22" s="8"/>
      <c r="F22" s="9"/>
      <c r="G22" s="20"/>
      <c r="H22" s="32"/>
      <c r="I22" s="91"/>
      <c r="J22" s="14"/>
      <c r="K22" s="89"/>
      <c r="L22" s="2"/>
      <c r="M22" s="11"/>
      <c r="N22" s="2"/>
      <c r="O22"/>
      <c r="P22" s="12"/>
      <c r="Q22" s="6"/>
      <c r="R22" s="223"/>
      <c r="S22" s="209"/>
      <c r="T22" s="2"/>
      <c r="U22" s="115">
        <f>SUBTOTAL(9,U21:U21)</f>
        <v>10107.9589941</v>
      </c>
    </row>
    <row r="23" spans="1:21" ht="12.75" hidden="1" outlineLevel="3">
      <c r="A23" s="17" t="s">
        <v>15</v>
      </c>
      <c r="B23" s="17" t="s">
        <v>96</v>
      </c>
      <c r="C23" s="17" t="s">
        <v>107</v>
      </c>
      <c r="D23" s="17" t="s">
        <v>166</v>
      </c>
      <c r="E23" s="24">
        <v>2009</v>
      </c>
      <c r="F23" s="25">
        <v>165</v>
      </c>
      <c r="G23" s="26"/>
      <c r="H23" s="32">
        <v>11</v>
      </c>
      <c r="I23" s="91">
        <v>203</v>
      </c>
      <c r="J23" s="14"/>
      <c r="K23" s="89"/>
      <c r="L23" s="2">
        <f t="shared" si="0"/>
        <v>33495</v>
      </c>
      <c r="M23" s="28">
        <v>0.1</v>
      </c>
      <c r="N23" s="27">
        <f t="shared" si="5"/>
        <v>30145.5</v>
      </c>
      <c r="P23" s="12">
        <v>0.0127</v>
      </c>
      <c r="Q23" s="29">
        <f t="shared" si="2"/>
        <v>382.84785</v>
      </c>
      <c r="R23" s="223"/>
      <c r="S23" s="210"/>
      <c r="T23" s="2">
        <f t="shared" si="3"/>
        <v>30145.5</v>
      </c>
      <c r="U23" s="115">
        <f>Q23+S23</f>
        <v>382.84785</v>
      </c>
    </row>
    <row r="24" spans="2:21" ht="12.75" outlineLevel="2" collapsed="1">
      <c r="B24" s="1" t="s">
        <v>271</v>
      </c>
      <c r="F24" s="25"/>
      <c r="G24" s="26"/>
      <c r="H24" s="32"/>
      <c r="I24" s="91"/>
      <c r="J24" s="14"/>
      <c r="K24" s="89"/>
      <c r="L24" s="2"/>
      <c r="P24" s="12"/>
      <c r="Q24" s="29"/>
      <c r="R24" s="223"/>
      <c r="S24" s="210"/>
      <c r="T24" s="2"/>
      <c r="U24" s="115">
        <f>SUBTOTAL(9,U23:U23)</f>
        <v>382.84785</v>
      </c>
    </row>
    <row r="25" spans="1:21" ht="12.75" hidden="1" outlineLevel="3">
      <c r="A25" s="7" t="s">
        <v>15</v>
      </c>
      <c r="B25" s="7" t="s">
        <v>43</v>
      </c>
      <c r="C25" s="7"/>
      <c r="D25" s="17" t="s">
        <v>166</v>
      </c>
      <c r="E25" s="24">
        <v>2009</v>
      </c>
      <c r="F25" s="9">
        <v>516</v>
      </c>
      <c r="G25" s="20"/>
      <c r="H25" s="32">
        <v>9</v>
      </c>
      <c r="I25" s="91">
        <v>1101.29</v>
      </c>
      <c r="J25" s="14"/>
      <c r="K25" s="89"/>
      <c r="L25" s="2">
        <f t="shared" si="0"/>
        <v>568265.64</v>
      </c>
      <c r="M25" s="11">
        <v>0.1</v>
      </c>
      <c r="N25" s="2">
        <f t="shared" si="5"/>
        <v>511439.076</v>
      </c>
      <c r="O25"/>
      <c r="P25" s="12">
        <v>0.0127</v>
      </c>
      <c r="Q25" s="6">
        <f t="shared" si="2"/>
        <v>6495.2762652</v>
      </c>
      <c r="R25" s="223"/>
      <c r="S25" s="209"/>
      <c r="T25" s="2">
        <f t="shared" si="3"/>
        <v>511439.076</v>
      </c>
      <c r="U25" s="115">
        <f>Q25+S25</f>
        <v>6495.2762652</v>
      </c>
    </row>
    <row r="26" spans="1:21" ht="12.75" outlineLevel="2" collapsed="1">
      <c r="A26" s="7"/>
      <c r="B26" s="19" t="s">
        <v>272</v>
      </c>
      <c r="C26" s="7"/>
      <c r="F26" s="9"/>
      <c r="G26" s="20"/>
      <c r="H26" s="32"/>
      <c r="I26" s="91"/>
      <c r="J26" s="14"/>
      <c r="K26" s="89"/>
      <c r="L26" s="2"/>
      <c r="M26" s="11"/>
      <c r="N26" s="2"/>
      <c r="O26"/>
      <c r="P26" s="12"/>
      <c r="Q26" s="6"/>
      <c r="R26" s="223"/>
      <c r="S26" s="209"/>
      <c r="T26" s="2"/>
      <c r="U26" s="115">
        <f>SUBTOTAL(9,U25:U25)</f>
        <v>6495.2762652</v>
      </c>
    </row>
    <row r="27" spans="1:21" s="186" customFormat="1" ht="12.75" outlineLevel="1">
      <c r="A27" s="207" t="s">
        <v>100</v>
      </c>
      <c r="B27" s="233"/>
      <c r="C27" s="233"/>
      <c r="E27" s="187"/>
      <c r="F27" s="234"/>
      <c r="G27" s="188"/>
      <c r="H27" s="189"/>
      <c r="I27" s="190"/>
      <c r="J27" s="235"/>
      <c r="K27" s="236"/>
      <c r="L27" s="237"/>
      <c r="M27" s="238"/>
      <c r="N27" s="237"/>
      <c r="O27" s="239"/>
      <c r="P27" s="240"/>
      <c r="Q27" s="241"/>
      <c r="R27" s="242"/>
      <c r="S27" s="243"/>
      <c r="T27" s="237"/>
      <c r="U27" s="264">
        <f>SUBTOTAL(9,U3:U25)</f>
        <v>25191.114705299995</v>
      </c>
    </row>
    <row r="28" spans="1:21" ht="12.75" hidden="1" outlineLevel="3">
      <c r="A28" s="31" t="s">
        <v>32</v>
      </c>
      <c r="B28" s="31" t="s">
        <v>31</v>
      </c>
      <c r="C28" s="31" t="s">
        <v>261</v>
      </c>
      <c r="D28" s="31" t="s">
        <v>18</v>
      </c>
      <c r="E28" s="32">
        <v>2007</v>
      </c>
      <c r="F28" s="25">
        <v>156</v>
      </c>
      <c r="G28" s="101"/>
      <c r="H28" s="32">
        <v>10</v>
      </c>
      <c r="I28" s="91">
        <v>6941</v>
      </c>
      <c r="J28" s="14"/>
      <c r="K28" s="89"/>
      <c r="L28" s="2">
        <f>IF(K28&lt;&gt;"",J28*K28*F28,I28*F28)</f>
        <v>1082796</v>
      </c>
      <c r="M28" s="34">
        <v>0.3</v>
      </c>
      <c r="N28" s="102">
        <f>+L28*(1-M28)</f>
        <v>757957.2</v>
      </c>
      <c r="O28" s="31"/>
      <c r="P28" s="40">
        <v>0.0226</v>
      </c>
      <c r="Q28" s="35">
        <f>+N28*P28</f>
        <v>17129.83272</v>
      </c>
      <c r="R28" s="223"/>
      <c r="S28" s="226"/>
      <c r="T28" s="2">
        <f t="shared" si="3"/>
        <v>757957.2</v>
      </c>
      <c r="U28" s="115">
        <f>Q28+S28</f>
        <v>17129.83272</v>
      </c>
    </row>
    <row r="29" spans="1:21" ht="12.75" outlineLevel="2" collapsed="1">
      <c r="A29" s="31"/>
      <c r="B29" s="19" t="s">
        <v>236</v>
      </c>
      <c r="C29" s="31"/>
      <c r="D29" s="31"/>
      <c r="E29" s="32"/>
      <c r="F29" s="25"/>
      <c r="G29" s="101"/>
      <c r="H29" s="32"/>
      <c r="I29" s="91"/>
      <c r="J29" s="14"/>
      <c r="K29" s="89"/>
      <c r="L29" s="2"/>
      <c r="M29" s="34"/>
      <c r="N29" s="102"/>
      <c r="O29" s="31"/>
      <c r="P29" s="40"/>
      <c r="Q29" s="35"/>
      <c r="R29" s="223"/>
      <c r="S29" s="226"/>
      <c r="T29" s="2"/>
      <c r="U29" s="115">
        <f>SUBTOTAL(9,U28:U28)</f>
        <v>17129.83272</v>
      </c>
    </row>
    <row r="30" spans="1:21" s="186" customFormat="1" ht="12.75" outlineLevel="1">
      <c r="A30" s="191" t="s">
        <v>101</v>
      </c>
      <c r="B30" s="192"/>
      <c r="C30" s="192"/>
      <c r="D30" s="192"/>
      <c r="E30" s="189"/>
      <c r="F30" s="193"/>
      <c r="G30" s="245"/>
      <c r="H30" s="189"/>
      <c r="I30" s="190"/>
      <c r="J30" s="235"/>
      <c r="K30" s="236"/>
      <c r="L30" s="237"/>
      <c r="M30" s="194"/>
      <c r="N30" s="195"/>
      <c r="O30" s="192"/>
      <c r="P30" s="196"/>
      <c r="Q30" s="197"/>
      <c r="R30" s="242"/>
      <c r="S30" s="246"/>
      <c r="T30" s="237"/>
      <c r="U30" s="264">
        <f>SUBTOTAL(9,U28:U28)</f>
        <v>17129.83272</v>
      </c>
    </row>
    <row r="31" spans="1:21" s="31" customFormat="1" ht="12.75" hidden="1" outlineLevel="3">
      <c r="A31" s="7" t="s">
        <v>53</v>
      </c>
      <c r="B31" s="7" t="s">
        <v>44</v>
      </c>
      <c r="C31" s="7" t="s">
        <v>45</v>
      </c>
      <c r="D31" s="7" t="s">
        <v>41</v>
      </c>
      <c r="E31" s="8">
        <v>2008</v>
      </c>
      <c r="F31" s="25">
        <v>1</v>
      </c>
      <c r="G31" s="20"/>
      <c r="H31" s="32">
        <v>10</v>
      </c>
      <c r="I31" s="91">
        <v>176.3</v>
      </c>
      <c r="J31" s="14"/>
      <c r="K31" s="89"/>
      <c r="L31" s="2">
        <f aca="true" t="shared" si="6" ref="L31:L98">IF(K31&lt;&gt;"",J31*K31*F31,I31*F31)</f>
        <v>176.3</v>
      </c>
      <c r="M31" s="3">
        <v>0.1</v>
      </c>
      <c r="N31" s="2">
        <f aca="true" t="shared" si="7" ref="N31:N98">+L31*(1-M31)</f>
        <v>158.67000000000002</v>
      </c>
      <c r="O31"/>
      <c r="P31" s="12">
        <v>0.0179</v>
      </c>
      <c r="Q31" s="6">
        <f aca="true" t="shared" si="8" ref="Q31:Q98">+N31*P31</f>
        <v>2.840193</v>
      </c>
      <c r="R31" s="223"/>
      <c r="S31" s="209"/>
      <c r="T31" s="2">
        <f t="shared" si="3"/>
        <v>158.67000000000002</v>
      </c>
      <c r="U31" s="115">
        <f aca="true" t="shared" si="9" ref="U31:U50">Q31+S31</f>
        <v>2.840193</v>
      </c>
    </row>
    <row r="32" spans="1:21" s="31" customFormat="1" ht="12.75" hidden="1" outlineLevel="3">
      <c r="A32" s="7" t="s">
        <v>53</v>
      </c>
      <c r="B32" s="7" t="s">
        <v>44</v>
      </c>
      <c r="C32" s="7" t="s">
        <v>5</v>
      </c>
      <c r="D32" s="7" t="s">
        <v>41</v>
      </c>
      <c r="E32" s="8">
        <v>2008</v>
      </c>
      <c r="F32" s="25">
        <v>42</v>
      </c>
      <c r="G32" s="20"/>
      <c r="H32" s="32">
        <v>10</v>
      </c>
      <c r="I32" s="91"/>
      <c r="J32" s="14">
        <v>8760</v>
      </c>
      <c r="K32" s="119">
        <f>(22-5)/1000</f>
        <v>0.017</v>
      </c>
      <c r="L32" s="2">
        <f t="shared" si="6"/>
        <v>6254.64</v>
      </c>
      <c r="M32" s="3">
        <v>0.1</v>
      </c>
      <c r="N32" s="2">
        <f t="shared" si="7"/>
        <v>5629.176</v>
      </c>
      <c r="O32"/>
      <c r="P32" s="12">
        <v>0.0179</v>
      </c>
      <c r="Q32" s="6">
        <f t="shared" si="8"/>
        <v>100.7622504</v>
      </c>
      <c r="R32" s="223"/>
      <c r="S32" s="209"/>
      <c r="T32" s="2">
        <f t="shared" si="3"/>
        <v>5629.176</v>
      </c>
      <c r="U32" s="115">
        <f t="shared" si="9"/>
        <v>100.7622504</v>
      </c>
    </row>
    <row r="33" spans="1:21" s="31" customFormat="1" ht="12.75" hidden="1" outlineLevel="3">
      <c r="A33" s="7" t="s">
        <v>53</v>
      </c>
      <c r="B33" s="7" t="s">
        <v>44</v>
      </c>
      <c r="C33" s="7" t="s">
        <v>115</v>
      </c>
      <c r="D33" s="7" t="s">
        <v>41</v>
      </c>
      <c r="E33" s="8">
        <v>2008</v>
      </c>
      <c r="F33" s="25">
        <v>1</v>
      </c>
      <c r="G33" s="20"/>
      <c r="H33" s="94">
        <f aca="true" t="shared" si="10" ref="H33:H40">20000/J33</f>
        <v>6.148170919151553</v>
      </c>
      <c r="I33" s="91"/>
      <c r="J33" s="14">
        <v>3253</v>
      </c>
      <c r="K33" s="126">
        <f>((172/2)-58)/1000</f>
        <v>0.028</v>
      </c>
      <c r="L33" s="2">
        <f t="shared" si="6"/>
        <v>91.084</v>
      </c>
      <c r="M33" s="11">
        <v>0.1</v>
      </c>
      <c r="N33" s="23">
        <f t="shared" si="7"/>
        <v>81.9756</v>
      </c>
      <c r="O33" s="7"/>
      <c r="P33" s="12">
        <v>0.0179</v>
      </c>
      <c r="Q33" s="13">
        <f t="shared" si="8"/>
        <v>1.4673632399999998</v>
      </c>
      <c r="R33" s="223"/>
      <c r="S33" s="209"/>
      <c r="T33" s="2">
        <f t="shared" si="3"/>
        <v>81.9756</v>
      </c>
      <c r="U33" s="115">
        <f t="shared" si="9"/>
        <v>1.4673632399999998</v>
      </c>
    </row>
    <row r="34" spans="1:21" s="31" customFormat="1" ht="12.75" hidden="1" outlineLevel="3">
      <c r="A34" s="7" t="s">
        <v>53</v>
      </c>
      <c r="B34" s="7" t="s">
        <v>44</v>
      </c>
      <c r="C34" s="7" t="s">
        <v>116</v>
      </c>
      <c r="D34" s="7" t="s">
        <v>41</v>
      </c>
      <c r="E34" s="8">
        <v>2008</v>
      </c>
      <c r="F34" s="25">
        <v>677</v>
      </c>
      <c r="G34" s="20"/>
      <c r="H34" s="94">
        <f t="shared" si="10"/>
        <v>6.148170919151553</v>
      </c>
      <c r="I34" s="91"/>
      <c r="J34" s="14">
        <v>3253</v>
      </c>
      <c r="K34" s="126">
        <f>(142-112)/1000</f>
        <v>0.03</v>
      </c>
      <c r="L34" s="2">
        <f t="shared" si="6"/>
        <v>66068.43000000001</v>
      </c>
      <c r="M34" s="11">
        <v>0.1</v>
      </c>
      <c r="N34" s="23">
        <f t="shared" si="7"/>
        <v>59461.58700000001</v>
      </c>
      <c r="O34" s="7"/>
      <c r="P34" s="12">
        <v>0.0179</v>
      </c>
      <c r="Q34" s="13">
        <f t="shared" si="8"/>
        <v>1064.3624073</v>
      </c>
      <c r="R34" s="223"/>
      <c r="S34" s="209"/>
      <c r="T34" s="2">
        <f t="shared" si="3"/>
        <v>59461.58700000001</v>
      </c>
      <c r="U34" s="115">
        <f t="shared" si="9"/>
        <v>1064.3624073</v>
      </c>
    </row>
    <row r="35" spans="1:21" s="31" customFormat="1" ht="12.75" hidden="1" outlineLevel="3">
      <c r="A35" s="7" t="s">
        <v>53</v>
      </c>
      <c r="B35" s="7" t="s">
        <v>44</v>
      </c>
      <c r="C35" s="7" t="s">
        <v>112</v>
      </c>
      <c r="D35" s="7" t="s">
        <v>41</v>
      </c>
      <c r="E35" s="8">
        <v>2008</v>
      </c>
      <c r="F35" s="25">
        <v>70</v>
      </c>
      <c r="G35" s="20"/>
      <c r="H35" s="94">
        <f t="shared" si="10"/>
        <v>6.148170919151553</v>
      </c>
      <c r="I35" s="91"/>
      <c r="J35" s="14">
        <v>3253</v>
      </c>
      <c r="K35" s="126">
        <f>(142-58)/1000</f>
        <v>0.084</v>
      </c>
      <c r="L35" s="2">
        <f t="shared" si="6"/>
        <v>19127.64</v>
      </c>
      <c r="M35" s="11">
        <v>0.1</v>
      </c>
      <c r="N35" s="23">
        <f t="shared" si="7"/>
        <v>17214.876</v>
      </c>
      <c r="O35" s="7"/>
      <c r="P35" s="12">
        <v>0.0179</v>
      </c>
      <c r="Q35" s="13">
        <f t="shared" si="8"/>
        <v>308.14628039999997</v>
      </c>
      <c r="R35" s="223"/>
      <c r="S35" s="209"/>
      <c r="T35" s="2">
        <f t="shared" si="3"/>
        <v>17214.876</v>
      </c>
      <c r="U35" s="115">
        <f t="shared" si="9"/>
        <v>308.14628039999997</v>
      </c>
    </row>
    <row r="36" spans="1:21" s="31" customFormat="1" ht="12.75" hidden="1" outlineLevel="3">
      <c r="A36" s="7" t="s">
        <v>53</v>
      </c>
      <c r="B36" s="7" t="s">
        <v>44</v>
      </c>
      <c r="C36" s="7" t="s">
        <v>118</v>
      </c>
      <c r="D36" s="7" t="s">
        <v>41</v>
      </c>
      <c r="E36" s="8">
        <v>2008</v>
      </c>
      <c r="F36" s="25">
        <v>94</v>
      </c>
      <c r="G36" s="20"/>
      <c r="H36" s="94">
        <f t="shared" si="10"/>
        <v>6.148170919151553</v>
      </c>
      <c r="I36" s="91"/>
      <c r="J36" s="14">
        <v>3253</v>
      </c>
      <c r="K36" s="126">
        <f>(47-30)/1000</f>
        <v>0.017</v>
      </c>
      <c r="L36" s="2">
        <f t="shared" si="6"/>
        <v>5198.294</v>
      </c>
      <c r="M36" s="11">
        <v>0.1</v>
      </c>
      <c r="N36" s="23">
        <f t="shared" si="7"/>
        <v>4678.4646</v>
      </c>
      <c r="O36" s="7"/>
      <c r="P36" s="12">
        <v>0.0179</v>
      </c>
      <c r="Q36" s="13">
        <f t="shared" si="8"/>
        <v>83.74451634</v>
      </c>
      <c r="R36" s="223"/>
      <c r="S36" s="209"/>
      <c r="T36" s="2">
        <f t="shared" si="3"/>
        <v>4678.4646</v>
      </c>
      <c r="U36" s="115">
        <f t="shared" si="9"/>
        <v>83.74451634</v>
      </c>
    </row>
    <row r="37" spans="1:21" s="31" customFormat="1" ht="12.75" hidden="1" outlineLevel="3">
      <c r="A37" s="7" t="s">
        <v>53</v>
      </c>
      <c r="B37" s="7" t="s">
        <v>44</v>
      </c>
      <c r="C37" s="7" t="s">
        <v>119</v>
      </c>
      <c r="D37" s="7" t="s">
        <v>41</v>
      </c>
      <c r="E37" s="8">
        <v>2008</v>
      </c>
      <c r="F37" s="25">
        <v>14</v>
      </c>
      <c r="G37" s="20"/>
      <c r="H37" s="94">
        <f t="shared" si="10"/>
        <v>6.148170919151553</v>
      </c>
      <c r="I37" s="91"/>
      <c r="J37" s="14">
        <v>3253</v>
      </c>
      <c r="K37" s="126">
        <f>(81-30)/1000</f>
        <v>0.051</v>
      </c>
      <c r="L37" s="2">
        <f t="shared" si="6"/>
        <v>2322.642</v>
      </c>
      <c r="M37" s="11">
        <v>0.1</v>
      </c>
      <c r="N37" s="23">
        <f t="shared" si="7"/>
        <v>2090.3777999999998</v>
      </c>
      <c r="O37" s="7"/>
      <c r="P37" s="12">
        <v>0.0179</v>
      </c>
      <c r="Q37" s="13">
        <f t="shared" si="8"/>
        <v>37.41776261999999</v>
      </c>
      <c r="R37" s="223"/>
      <c r="S37" s="209"/>
      <c r="T37" s="2">
        <f t="shared" si="3"/>
        <v>2090.3777999999998</v>
      </c>
      <c r="U37" s="115">
        <f t="shared" si="9"/>
        <v>37.41776261999999</v>
      </c>
    </row>
    <row r="38" spans="1:21" s="31" customFormat="1" ht="12.75" hidden="1" outlineLevel="3">
      <c r="A38" s="7" t="s">
        <v>53</v>
      </c>
      <c r="B38" s="7" t="s">
        <v>44</v>
      </c>
      <c r="C38" s="7" t="s">
        <v>120</v>
      </c>
      <c r="D38" s="7" t="s">
        <v>41</v>
      </c>
      <c r="E38" s="8">
        <v>2008</v>
      </c>
      <c r="F38" s="25">
        <v>1077</v>
      </c>
      <c r="G38" s="20"/>
      <c r="H38" s="94">
        <f t="shared" si="10"/>
        <v>6.148170919151553</v>
      </c>
      <c r="I38" s="91"/>
      <c r="J38" s="14">
        <v>3253</v>
      </c>
      <c r="K38" s="126">
        <f>(81-58)/1000</f>
        <v>0.023</v>
      </c>
      <c r="L38" s="2">
        <f t="shared" si="6"/>
        <v>80580.06300000001</v>
      </c>
      <c r="M38" s="11">
        <v>0.1</v>
      </c>
      <c r="N38" s="23">
        <f t="shared" si="7"/>
        <v>72522.05670000002</v>
      </c>
      <c r="O38" s="7"/>
      <c r="P38" s="12">
        <v>0.0179</v>
      </c>
      <c r="Q38" s="13">
        <f t="shared" si="8"/>
        <v>1298.1448149300002</v>
      </c>
      <c r="R38" s="223"/>
      <c r="S38" s="209"/>
      <c r="T38" s="2">
        <f t="shared" si="3"/>
        <v>72522.05670000002</v>
      </c>
      <c r="U38" s="115">
        <f t="shared" si="9"/>
        <v>1298.1448149300002</v>
      </c>
    </row>
    <row r="39" spans="1:21" ht="12.75" hidden="1" outlineLevel="3">
      <c r="A39" s="7" t="s">
        <v>53</v>
      </c>
      <c r="B39" s="7" t="s">
        <v>44</v>
      </c>
      <c r="C39" s="7" t="s">
        <v>113</v>
      </c>
      <c r="D39" s="7" t="s">
        <v>41</v>
      </c>
      <c r="E39" s="8">
        <v>2008</v>
      </c>
      <c r="F39" s="25">
        <v>1280</v>
      </c>
      <c r="G39" s="20"/>
      <c r="H39" s="94">
        <f t="shared" si="10"/>
        <v>6.148170919151553</v>
      </c>
      <c r="I39" s="91"/>
      <c r="J39" s="14">
        <v>3253</v>
      </c>
      <c r="K39" s="126">
        <f>(149-112)/1000</f>
        <v>0.037</v>
      </c>
      <c r="L39" s="2">
        <f t="shared" si="6"/>
        <v>154062.08</v>
      </c>
      <c r="M39" s="11">
        <v>0.1</v>
      </c>
      <c r="N39" s="23">
        <f t="shared" si="7"/>
        <v>138655.872</v>
      </c>
      <c r="O39" s="7"/>
      <c r="P39" s="12">
        <v>0.0179</v>
      </c>
      <c r="Q39" s="13">
        <f t="shared" si="8"/>
        <v>2481.9401088</v>
      </c>
      <c r="R39" s="223"/>
      <c r="S39" s="209"/>
      <c r="T39" s="2">
        <f t="shared" si="3"/>
        <v>138655.872</v>
      </c>
      <c r="U39" s="115">
        <f t="shared" si="9"/>
        <v>2481.9401088</v>
      </c>
    </row>
    <row r="40" spans="1:21" ht="12.75" hidden="1" outlineLevel="3">
      <c r="A40" s="7" t="s">
        <v>53</v>
      </c>
      <c r="B40" s="7" t="s">
        <v>44</v>
      </c>
      <c r="C40" s="7" t="s">
        <v>114</v>
      </c>
      <c r="D40" s="7" t="s">
        <v>41</v>
      </c>
      <c r="E40" s="8">
        <v>2008</v>
      </c>
      <c r="F40" s="25">
        <f>23+11</f>
        <v>34</v>
      </c>
      <c r="G40" s="20"/>
      <c r="H40" s="94">
        <f t="shared" si="10"/>
        <v>6.148170919151553</v>
      </c>
      <c r="I40" s="91"/>
      <c r="J40" s="14">
        <v>3253</v>
      </c>
      <c r="K40" s="126">
        <f>(81-58)/1000</f>
        <v>0.023</v>
      </c>
      <c r="L40" s="2">
        <f t="shared" si="6"/>
        <v>2543.846</v>
      </c>
      <c r="M40" s="11">
        <v>0.1</v>
      </c>
      <c r="N40" s="23">
        <f t="shared" si="7"/>
        <v>2289.4614</v>
      </c>
      <c r="O40" s="7"/>
      <c r="P40" s="12">
        <v>0.0179</v>
      </c>
      <c r="Q40" s="13">
        <f t="shared" si="8"/>
        <v>40.98135906</v>
      </c>
      <c r="R40" s="223"/>
      <c r="S40" s="209"/>
      <c r="T40" s="2">
        <f t="shared" si="3"/>
        <v>2289.4614</v>
      </c>
      <c r="U40" s="115">
        <f t="shared" si="9"/>
        <v>40.98135906</v>
      </c>
    </row>
    <row r="41" spans="1:21" s="31" customFormat="1" ht="12.75" hidden="1" outlineLevel="3">
      <c r="A41" s="7" t="s">
        <v>53</v>
      </c>
      <c r="B41" s="7" t="s">
        <v>44</v>
      </c>
      <c r="C41" s="7" t="s">
        <v>46</v>
      </c>
      <c r="D41" s="7" t="s">
        <v>41</v>
      </c>
      <c r="E41" s="8">
        <v>2008</v>
      </c>
      <c r="F41" s="25">
        <v>13</v>
      </c>
      <c r="G41" s="20"/>
      <c r="H41" s="94">
        <f aca="true" t="shared" si="11" ref="H41:H62">((10000+6000)/2)/J41</f>
        <v>2.459268367660621</v>
      </c>
      <c r="I41" s="91"/>
      <c r="J41" s="14">
        <v>3253</v>
      </c>
      <c r="K41" s="126">
        <f>(40-11)/1000</f>
        <v>0.029</v>
      </c>
      <c r="L41" s="2">
        <f t="shared" si="6"/>
        <v>1226.381</v>
      </c>
      <c r="M41" s="3">
        <v>0.1</v>
      </c>
      <c r="N41" s="2">
        <f t="shared" si="7"/>
        <v>1103.7429000000002</v>
      </c>
      <c r="O41"/>
      <c r="P41" s="12">
        <v>0.0179</v>
      </c>
      <c r="Q41" s="6">
        <f t="shared" si="8"/>
        <v>19.756997910000003</v>
      </c>
      <c r="R41" s="223"/>
      <c r="S41" s="209"/>
      <c r="T41" s="2">
        <f t="shared" si="3"/>
        <v>1103.7429000000002</v>
      </c>
      <c r="U41" s="115">
        <f t="shared" si="9"/>
        <v>19.756997910000003</v>
      </c>
    </row>
    <row r="42" spans="1:21" s="31" customFormat="1" ht="12.75" hidden="1" outlineLevel="3">
      <c r="A42" s="7" t="s">
        <v>53</v>
      </c>
      <c r="B42" s="7" t="s">
        <v>44</v>
      </c>
      <c r="C42" s="7" t="s">
        <v>47</v>
      </c>
      <c r="D42" s="7" t="s">
        <v>41</v>
      </c>
      <c r="E42" s="8">
        <v>2008</v>
      </c>
      <c r="F42" s="9">
        <v>344</v>
      </c>
      <c r="G42" s="20"/>
      <c r="H42" s="94">
        <f t="shared" si="11"/>
        <v>2.459268367660621</v>
      </c>
      <c r="I42" s="91"/>
      <c r="J42" s="14">
        <v>3253</v>
      </c>
      <c r="K42" s="126">
        <f>(40-13)/1000</f>
        <v>0.027</v>
      </c>
      <c r="L42" s="2">
        <f t="shared" si="6"/>
        <v>30213.864</v>
      </c>
      <c r="M42" s="3">
        <v>0.1</v>
      </c>
      <c r="N42" s="2">
        <f t="shared" si="7"/>
        <v>27192.477600000002</v>
      </c>
      <c r="O42"/>
      <c r="P42" s="12">
        <v>0.0179</v>
      </c>
      <c r="Q42" s="6">
        <f t="shared" si="8"/>
        <v>486.74534904</v>
      </c>
      <c r="R42" s="223"/>
      <c r="S42" s="209"/>
      <c r="T42" s="2">
        <f t="shared" si="3"/>
        <v>27192.477600000002</v>
      </c>
      <c r="U42" s="115">
        <f t="shared" si="9"/>
        <v>486.74534904</v>
      </c>
    </row>
    <row r="43" spans="1:21" s="31" customFormat="1" ht="12.75" hidden="1" outlineLevel="3">
      <c r="A43" s="7" t="s">
        <v>53</v>
      </c>
      <c r="B43" s="7" t="s">
        <v>44</v>
      </c>
      <c r="C43" s="7" t="s">
        <v>48</v>
      </c>
      <c r="D43" s="7" t="s">
        <v>41</v>
      </c>
      <c r="E43" s="8">
        <v>2008</v>
      </c>
      <c r="F43" s="9">
        <v>43</v>
      </c>
      <c r="G43" s="20"/>
      <c r="H43" s="94">
        <f t="shared" si="11"/>
        <v>2.459268367660621</v>
      </c>
      <c r="I43" s="91"/>
      <c r="J43" s="14">
        <v>3253</v>
      </c>
      <c r="K43" s="126">
        <f>(100-23)/1000</f>
        <v>0.077</v>
      </c>
      <c r="L43" s="2">
        <f t="shared" si="6"/>
        <v>10770.682999999999</v>
      </c>
      <c r="M43" s="11">
        <v>0.1</v>
      </c>
      <c r="N43" s="23">
        <f t="shared" si="7"/>
        <v>9693.6147</v>
      </c>
      <c r="O43" s="7"/>
      <c r="P43" s="12">
        <v>0.0179</v>
      </c>
      <c r="Q43" s="13">
        <f t="shared" si="8"/>
        <v>173.51570313</v>
      </c>
      <c r="R43" s="223"/>
      <c r="S43" s="209"/>
      <c r="T43" s="2">
        <f t="shared" si="3"/>
        <v>9693.6147</v>
      </c>
      <c r="U43" s="115">
        <f t="shared" si="9"/>
        <v>173.51570313</v>
      </c>
    </row>
    <row r="44" spans="1:21" s="31" customFormat="1" ht="12.75" hidden="1" outlineLevel="3">
      <c r="A44" s="7" t="s">
        <v>53</v>
      </c>
      <c r="B44" s="7" t="s">
        <v>44</v>
      </c>
      <c r="C44" s="7" t="s">
        <v>108</v>
      </c>
      <c r="D44" s="7" t="s">
        <v>41</v>
      </c>
      <c r="E44" s="8">
        <v>2008</v>
      </c>
      <c r="F44" s="9">
        <v>41</v>
      </c>
      <c r="G44" s="20"/>
      <c r="H44" s="94">
        <f t="shared" si="11"/>
        <v>2.459268367660621</v>
      </c>
      <c r="I44" s="91"/>
      <c r="J44" s="14">
        <v>3253</v>
      </c>
      <c r="K44" s="126">
        <f>(60-15)/1000</f>
        <v>0.045</v>
      </c>
      <c r="L44" s="2">
        <f t="shared" si="6"/>
        <v>6001.785</v>
      </c>
      <c r="M44" s="11">
        <v>0.05</v>
      </c>
      <c r="N44" s="23">
        <f t="shared" si="7"/>
        <v>5701.69575</v>
      </c>
      <c r="O44" s="7"/>
      <c r="P44" s="12">
        <v>0.0179</v>
      </c>
      <c r="Q44" s="13">
        <f t="shared" si="8"/>
        <v>102.06035392499999</v>
      </c>
      <c r="R44" s="223"/>
      <c r="S44" s="209"/>
      <c r="T44" s="2">
        <f t="shared" si="3"/>
        <v>5701.69575</v>
      </c>
      <c r="U44" s="115">
        <f t="shared" si="9"/>
        <v>102.06035392499999</v>
      </c>
    </row>
    <row r="45" spans="1:21" ht="12.75" hidden="1" outlineLevel="3">
      <c r="A45" s="7" t="s">
        <v>53</v>
      </c>
      <c r="B45" s="7" t="s">
        <v>44</v>
      </c>
      <c r="C45" s="7" t="s">
        <v>109</v>
      </c>
      <c r="D45" s="7" t="s">
        <v>41</v>
      </c>
      <c r="E45" s="8">
        <v>2008</v>
      </c>
      <c r="F45" s="9">
        <v>43</v>
      </c>
      <c r="G45" s="20"/>
      <c r="H45" s="94">
        <f t="shared" si="11"/>
        <v>2.459268367660621</v>
      </c>
      <c r="I45" s="91"/>
      <c r="J45" s="14">
        <v>3253</v>
      </c>
      <c r="K45" s="126">
        <f>(75-18)/1000</f>
        <v>0.057</v>
      </c>
      <c r="L45" s="2">
        <f t="shared" si="6"/>
        <v>7973.103000000001</v>
      </c>
      <c r="M45" s="11">
        <v>0.05</v>
      </c>
      <c r="N45" s="23">
        <f t="shared" si="7"/>
        <v>7574.4478500000005</v>
      </c>
      <c r="O45" s="7"/>
      <c r="P45" s="12">
        <v>0.0179</v>
      </c>
      <c r="Q45" s="13">
        <f t="shared" si="8"/>
        <v>135.582616515</v>
      </c>
      <c r="R45" s="223"/>
      <c r="S45" s="209"/>
      <c r="T45" s="2">
        <f t="shared" si="3"/>
        <v>7574.4478500000005</v>
      </c>
      <c r="U45" s="115">
        <f t="shared" si="9"/>
        <v>135.582616515</v>
      </c>
    </row>
    <row r="46" spans="1:21" ht="12.75" hidden="1" outlineLevel="3">
      <c r="A46" s="7" t="s">
        <v>53</v>
      </c>
      <c r="B46" s="7" t="s">
        <v>44</v>
      </c>
      <c r="C46" s="7" t="s">
        <v>110</v>
      </c>
      <c r="D46" s="7" t="s">
        <v>41</v>
      </c>
      <c r="E46" s="8">
        <v>2008</v>
      </c>
      <c r="F46" s="9">
        <v>70</v>
      </c>
      <c r="G46" s="20"/>
      <c r="H46" s="94">
        <f t="shared" si="11"/>
        <v>2.459268367660621</v>
      </c>
      <c r="I46" s="91"/>
      <c r="J46" s="14">
        <v>3253</v>
      </c>
      <c r="K46" s="126">
        <f>(100-26)/1000</f>
        <v>0.074</v>
      </c>
      <c r="L46" s="2">
        <f t="shared" si="6"/>
        <v>16850.539999999997</v>
      </c>
      <c r="M46" s="11">
        <v>0.05</v>
      </c>
      <c r="N46" s="23">
        <f t="shared" si="7"/>
        <v>16008.012999999997</v>
      </c>
      <c r="O46" s="7"/>
      <c r="P46" s="12">
        <v>0.0179</v>
      </c>
      <c r="Q46" s="13">
        <f t="shared" si="8"/>
        <v>286.5434326999999</v>
      </c>
      <c r="R46" s="223"/>
      <c r="S46" s="209"/>
      <c r="T46" s="2">
        <f t="shared" si="3"/>
        <v>16008.012999999997</v>
      </c>
      <c r="U46" s="115">
        <f t="shared" si="9"/>
        <v>286.5434326999999</v>
      </c>
    </row>
    <row r="47" spans="1:21" s="31" customFormat="1" ht="12.75" hidden="1" outlineLevel="3">
      <c r="A47" s="7" t="s">
        <v>53</v>
      </c>
      <c r="B47" s="7" t="s">
        <v>44</v>
      </c>
      <c r="C47" s="7" t="s">
        <v>49</v>
      </c>
      <c r="D47" s="7" t="s">
        <v>41</v>
      </c>
      <c r="E47" s="8">
        <v>2008</v>
      </c>
      <c r="F47" s="9">
        <v>50</v>
      </c>
      <c r="G47" s="20"/>
      <c r="H47" s="94">
        <f t="shared" si="11"/>
        <v>2.459268367660621</v>
      </c>
      <c r="I47" s="91"/>
      <c r="J47" s="14">
        <v>3253</v>
      </c>
      <c r="K47" s="126">
        <f>(60-15)/1000</f>
        <v>0.045</v>
      </c>
      <c r="L47" s="2">
        <f t="shared" si="6"/>
        <v>7319.25</v>
      </c>
      <c r="M47" s="3">
        <v>0.1</v>
      </c>
      <c r="N47" s="2">
        <f t="shared" si="7"/>
        <v>6587.325</v>
      </c>
      <c r="O47"/>
      <c r="P47" s="12">
        <v>0.0179</v>
      </c>
      <c r="Q47" s="6">
        <f t="shared" si="8"/>
        <v>117.9131175</v>
      </c>
      <c r="R47" s="223"/>
      <c r="S47" s="209"/>
      <c r="T47" s="2">
        <f t="shared" si="3"/>
        <v>6587.325</v>
      </c>
      <c r="U47" s="115">
        <f t="shared" si="9"/>
        <v>117.9131175</v>
      </c>
    </row>
    <row r="48" spans="1:21" ht="12.75" hidden="1" outlineLevel="3">
      <c r="A48" s="7" t="s">
        <v>53</v>
      </c>
      <c r="B48" s="7" t="s">
        <v>44</v>
      </c>
      <c r="C48" s="7" t="s">
        <v>50</v>
      </c>
      <c r="D48" s="7" t="s">
        <v>41</v>
      </c>
      <c r="E48" s="8">
        <v>2008</v>
      </c>
      <c r="F48" s="9">
        <v>45</v>
      </c>
      <c r="G48" s="20"/>
      <c r="H48" s="94">
        <f t="shared" si="11"/>
        <v>2.459268367660621</v>
      </c>
      <c r="I48" s="91"/>
      <c r="J48" s="14">
        <v>3253</v>
      </c>
      <c r="K48" s="126">
        <f>(75-18)/1000</f>
        <v>0.057</v>
      </c>
      <c r="L48" s="2">
        <f t="shared" si="6"/>
        <v>8343.945000000002</v>
      </c>
      <c r="M48" s="3">
        <v>0.1</v>
      </c>
      <c r="N48" s="2">
        <f t="shared" si="7"/>
        <v>7509.550500000001</v>
      </c>
      <c r="O48"/>
      <c r="P48" s="12">
        <v>0.0179</v>
      </c>
      <c r="Q48" s="6">
        <f t="shared" si="8"/>
        <v>134.42095395</v>
      </c>
      <c r="R48" s="223"/>
      <c r="S48" s="209"/>
      <c r="T48" s="2">
        <f t="shared" si="3"/>
        <v>7509.550500000001</v>
      </c>
      <c r="U48" s="115">
        <f t="shared" si="9"/>
        <v>134.42095395</v>
      </c>
    </row>
    <row r="49" spans="1:21" ht="12.75" hidden="1" outlineLevel="3">
      <c r="A49" s="7" t="s">
        <v>53</v>
      </c>
      <c r="B49" s="7" t="s">
        <v>44</v>
      </c>
      <c r="C49" s="7" t="s">
        <v>51</v>
      </c>
      <c r="D49" s="7" t="s">
        <v>41</v>
      </c>
      <c r="E49" s="8">
        <v>2008</v>
      </c>
      <c r="F49" s="9">
        <v>8</v>
      </c>
      <c r="G49" s="20"/>
      <c r="H49" s="94">
        <f t="shared" si="11"/>
        <v>2.459268367660621</v>
      </c>
      <c r="I49" s="91"/>
      <c r="J49" s="14">
        <v>3253</v>
      </c>
      <c r="K49" s="126">
        <f>(100-28)/1000</f>
        <v>0.072</v>
      </c>
      <c r="L49" s="2">
        <f t="shared" si="6"/>
        <v>1873.7279999999998</v>
      </c>
      <c r="M49" s="11">
        <v>0.05</v>
      </c>
      <c r="N49" s="23">
        <f t="shared" si="7"/>
        <v>1780.0415999999998</v>
      </c>
      <c r="O49" s="7"/>
      <c r="P49" s="12">
        <v>0.0179</v>
      </c>
      <c r="Q49" s="13">
        <f t="shared" si="8"/>
        <v>31.862744639999995</v>
      </c>
      <c r="R49" s="223"/>
      <c r="S49" s="209"/>
      <c r="T49" s="2">
        <f t="shared" si="3"/>
        <v>1780.0415999999998</v>
      </c>
      <c r="U49" s="115">
        <f t="shared" si="9"/>
        <v>31.862744639999995</v>
      </c>
    </row>
    <row r="50" spans="1:21" ht="12.75" hidden="1" outlineLevel="3">
      <c r="A50" s="7" t="s">
        <v>53</v>
      </c>
      <c r="B50" s="7" t="s">
        <v>44</v>
      </c>
      <c r="C50" s="7" t="s">
        <v>52</v>
      </c>
      <c r="D50" s="7" t="s">
        <v>41</v>
      </c>
      <c r="E50" s="8">
        <v>2008</v>
      </c>
      <c r="F50" s="9">
        <v>35</v>
      </c>
      <c r="G50" s="20"/>
      <c r="H50" s="94">
        <f t="shared" si="11"/>
        <v>2.459268367660621</v>
      </c>
      <c r="I50" s="91"/>
      <c r="J50" s="14">
        <v>3253</v>
      </c>
      <c r="K50" s="126">
        <f>(100-26)/1000</f>
        <v>0.074</v>
      </c>
      <c r="L50" s="2">
        <f t="shared" si="6"/>
        <v>8425.269999999999</v>
      </c>
      <c r="M50" s="3">
        <v>0.1</v>
      </c>
      <c r="N50" s="2">
        <f t="shared" si="7"/>
        <v>7582.742999999999</v>
      </c>
      <c r="O50"/>
      <c r="P50" s="12">
        <v>0.0179</v>
      </c>
      <c r="Q50" s="6">
        <f t="shared" si="8"/>
        <v>135.73109969999996</v>
      </c>
      <c r="R50" s="223"/>
      <c r="S50" s="209"/>
      <c r="T50" s="2">
        <f t="shared" si="3"/>
        <v>7582.742999999999</v>
      </c>
      <c r="U50" s="115">
        <f t="shared" si="9"/>
        <v>135.73109969999996</v>
      </c>
    </row>
    <row r="51" spans="1:21" ht="12.75" outlineLevel="2" collapsed="1">
      <c r="A51" s="7"/>
      <c r="B51" s="19" t="s">
        <v>273</v>
      </c>
      <c r="C51" s="7"/>
      <c r="D51" s="7"/>
      <c r="E51" s="8"/>
      <c r="F51" s="9"/>
      <c r="G51" s="20"/>
      <c r="H51" s="94"/>
      <c r="I51" s="91"/>
      <c r="J51" s="14"/>
      <c r="K51" s="126"/>
      <c r="L51" s="2"/>
      <c r="M51" s="3"/>
      <c r="N51" s="2"/>
      <c r="O51"/>
      <c r="P51" s="12"/>
      <c r="Q51" s="6"/>
      <c r="R51" s="223"/>
      <c r="S51" s="209"/>
      <c r="T51" s="2"/>
      <c r="U51" s="115">
        <f>SUBTOTAL(9,U31:U50)</f>
        <v>7043.939425099999</v>
      </c>
    </row>
    <row r="52" spans="1:21" ht="12.75" hidden="1" outlineLevel="3">
      <c r="A52" s="7" t="s">
        <v>53</v>
      </c>
      <c r="B52" t="s">
        <v>59</v>
      </c>
      <c r="C52" t="s">
        <v>61</v>
      </c>
      <c r="D52" s="7" t="s">
        <v>41</v>
      </c>
      <c r="E52" s="8">
        <v>2008</v>
      </c>
      <c r="F52" s="9">
        <v>44</v>
      </c>
      <c r="G52" s="20"/>
      <c r="H52" s="94">
        <f t="shared" si="11"/>
        <v>3.7209302325581395</v>
      </c>
      <c r="I52" s="91"/>
      <c r="J52" s="14">
        <v>2150</v>
      </c>
      <c r="K52" s="126">
        <f>(60-15)/1000</f>
        <v>0.045</v>
      </c>
      <c r="L52" s="2">
        <f t="shared" si="6"/>
        <v>4257</v>
      </c>
      <c r="M52" s="3">
        <v>0.1</v>
      </c>
      <c r="N52" s="2">
        <f t="shared" si="7"/>
        <v>3831.3</v>
      </c>
      <c r="O52"/>
      <c r="P52" s="12">
        <v>0.0179</v>
      </c>
      <c r="Q52" s="6">
        <f t="shared" si="8"/>
        <v>68.58027</v>
      </c>
      <c r="R52" s="223">
        <f>N52</f>
        <v>3831.3</v>
      </c>
      <c r="S52" s="209">
        <f>N52*0.0182</f>
        <v>69.72966000000001</v>
      </c>
      <c r="T52" s="2">
        <f t="shared" si="3"/>
        <v>7662.6</v>
      </c>
      <c r="U52" s="115">
        <f aca="true" t="shared" si="12" ref="U52:U63">Q52+S52</f>
        <v>138.30993</v>
      </c>
    </row>
    <row r="53" spans="1:21" ht="12.75" hidden="1" outlineLevel="3">
      <c r="A53" s="7" t="s">
        <v>53</v>
      </c>
      <c r="B53" t="s">
        <v>59</v>
      </c>
      <c r="C53" t="s">
        <v>60</v>
      </c>
      <c r="D53" s="7" t="s">
        <v>41</v>
      </c>
      <c r="E53" s="8">
        <v>2008</v>
      </c>
      <c r="F53" s="9">
        <v>22</v>
      </c>
      <c r="G53" s="20"/>
      <c r="H53" s="94">
        <f t="shared" si="11"/>
        <v>3.7209302325581395</v>
      </c>
      <c r="I53" s="91"/>
      <c r="J53" s="14">
        <v>2150</v>
      </c>
      <c r="K53" s="126">
        <f>(60-13)/1000</f>
        <v>0.047</v>
      </c>
      <c r="L53" s="2">
        <f t="shared" si="6"/>
        <v>2223.1</v>
      </c>
      <c r="M53" s="3">
        <v>0.1</v>
      </c>
      <c r="N53" s="2">
        <f t="shared" si="7"/>
        <v>2000.79</v>
      </c>
      <c r="O53"/>
      <c r="P53" s="12">
        <v>0.0179</v>
      </c>
      <c r="Q53" s="6">
        <f t="shared" si="8"/>
        <v>35.814141</v>
      </c>
      <c r="R53" s="223">
        <f aca="true" t="shared" si="13" ref="R53:R70">N53</f>
        <v>2000.79</v>
      </c>
      <c r="S53" s="209">
        <f aca="true" t="shared" si="14" ref="S53:S70">N53*0.0182</f>
        <v>36.414378</v>
      </c>
      <c r="T53" s="2">
        <f t="shared" si="3"/>
        <v>4001.58</v>
      </c>
      <c r="U53" s="115">
        <f t="shared" si="12"/>
        <v>72.228519</v>
      </c>
    </row>
    <row r="54" spans="1:21" ht="12.75" hidden="1" outlineLevel="3">
      <c r="A54" s="7" t="s">
        <v>53</v>
      </c>
      <c r="B54" t="s">
        <v>59</v>
      </c>
      <c r="C54" s="7" t="s">
        <v>62</v>
      </c>
      <c r="D54" s="7" t="s">
        <v>41</v>
      </c>
      <c r="E54" s="8">
        <v>2008</v>
      </c>
      <c r="F54" s="9">
        <v>12</v>
      </c>
      <c r="G54" s="20"/>
      <c r="H54" s="94">
        <f t="shared" si="11"/>
        <v>3.7209302325581395</v>
      </c>
      <c r="I54" s="91"/>
      <c r="J54" s="14">
        <v>2150</v>
      </c>
      <c r="K54" s="126">
        <f>(40-11)/1000</f>
        <v>0.029</v>
      </c>
      <c r="L54" s="2">
        <f t="shared" si="6"/>
        <v>748.2</v>
      </c>
      <c r="M54" s="3">
        <v>0.1</v>
      </c>
      <c r="N54" s="2">
        <f t="shared" si="7"/>
        <v>673.3800000000001</v>
      </c>
      <c r="O54"/>
      <c r="P54" s="12">
        <v>0.0179</v>
      </c>
      <c r="Q54" s="6">
        <f t="shared" si="8"/>
        <v>12.053502000000002</v>
      </c>
      <c r="R54" s="223">
        <f t="shared" si="13"/>
        <v>673.3800000000001</v>
      </c>
      <c r="S54" s="209">
        <f t="shared" si="14"/>
        <v>12.255516000000002</v>
      </c>
      <c r="T54" s="2">
        <f t="shared" si="3"/>
        <v>1346.7600000000002</v>
      </c>
      <c r="U54" s="115">
        <f t="shared" si="12"/>
        <v>24.309018000000002</v>
      </c>
    </row>
    <row r="55" spans="1:21" ht="12.75" hidden="1" outlineLevel="3">
      <c r="A55" s="7" t="s">
        <v>53</v>
      </c>
      <c r="B55" t="s">
        <v>59</v>
      </c>
      <c r="C55" s="7" t="s">
        <v>63</v>
      </c>
      <c r="D55" s="7" t="s">
        <v>41</v>
      </c>
      <c r="E55" s="8">
        <v>2008</v>
      </c>
      <c r="F55" s="9">
        <v>8</v>
      </c>
      <c r="G55" s="20"/>
      <c r="H55" s="94">
        <f t="shared" si="11"/>
        <v>3.7209302325581395</v>
      </c>
      <c r="I55" s="91"/>
      <c r="J55" s="14">
        <v>2150</v>
      </c>
      <c r="K55" s="126">
        <f>(60-16)/1000</f>
        <v>0.044</v>
      </c>
      <c r="L55" s="2">
        <f t="shared" si="6"/>
        <v>756.8</v>
      </c>
      <c r="M55" s="3">
        <v>0.1</v>
      </c>
      <c r="N55" s="2">
        <f t="shared" si="7"/>
        <v>681.12</v>
      </c>
      <c r="O55"/>
      <c r="P55" s="12">
        <v>0.0179</v>
      </c>
      <c r="Q55" s="6">
        <f t="shared" si="8"/>
        <v>12.192048</v>
      </c>
      <c r="R55" s="223">
        <f t="shared" si="13"/>
        <v>681.12</v>
      </c>
      <c r="S55" s="209">
        <f t="shared" si="14"/>
        <v>12.396384000000001</v>
      </c>
      <c r="T55" s="2">
        <f t="shared" si="3"/>
        <v>1362.24</v>
      </c>
      <c r="U55" s="115">
        <f t="shared" si="12"/>
        <v>24.588432</v>
      </c>
    </row>
    <row r="56" spans="1:21" ht="12.75" hidden="1" outlineLevel="3">
      <c r="A56" s="7" t="s">
        <v>53</v>
      </c>
      <c r="B56" t="s">
        <v>59</v>
      </c>
      <c r="C56" s="7" t="s">
        <v>68</v>
      </c>
      <c r="D56" s="7" t="s">
        <v>41</v>
      </c>
      <c r="E56" s="8">
        <v>2008</v>
      </c>
      <c r="F56" s="9">
        <v>4</v>
      </c>
      <c r="G56" s="20"/>
      <c r="H56" s="94">
        <f t="shared" si="11"/>
        <v>3.7209302325581395</v>
      </c>
      <c r="I56" s="91"/>
      <c r="J56" s="14">
        <v>2150</v>
      </c>
      <c r="K56" s="126">
        <f>(100-26)/1000</f>
        <v>0.074</v>
      </c>
      <c r="L56" s="2">
        <f t="shared" si="6"/>
        <v>636.4</v>
      </c>
      <c r="M56" s="3">
        <v>0.1</v>
      </c>
      <c r="N56" s="2">
        <f t="shared" si="7"/>
        <v>572.76</v>
      </c>
      <c r="O56"/>
      <c r="P56" s="12">
        <v>0.0179</v>
      </c>
      <c r="Q56" s="6">
        <f t="shared" si="8"/>
        <v>10.252403999999999</v>
      </c>
      <c r="R56" s="223">
        <f t="shared" si="13"/>
        <v>572.76</v>
      </c>
      <c r="S56" s="209">
        <f t="shared" si="14"/>
        <v>10.424232</v>
      </c>
      <c r="T56" s="2">
        <f t="shared" si="3"/>
        <v>1145.52</v>
      </c>
      <c r="U56" s="115">
        <f t="shared" si="12"/>
        <v>20.676636</v>
      </c>
    </row>
    <row r="57" spans="1:21" ht="12.75" hidden="1" outlineLevel="3">
      <c r="A57" s="7" t="s">
        <v>53</v>
      </c>
      <c r="B57" t="s">
        <v>59</v>
      </c>
      <c r="C57" s="7" t="s">
        <v>64</v>
      </c>
      <c r="D57" s="7" t="s">
        <v>41</v>
      </c>
      <c r="E57" s="8">
        <v>2008</v>
      </c>
      <c r="F57" s="9">
        <v>1</v>
      </c>
      <c r="G57" s="20"/>
      <c r="H57" s="94">
        <f t="shared" si="11"/>
        <v>3.7209302325581395</v>
      </c>
      <c r="I57" s="91"/>
      <c r="J57" s="14">
        <v>2150</v>
      </c>
      <c r="K57" s="126">
        <f>(40-11)/1000</f>
        <v>0.029</v>
      </c>
      <c r="L57" s="2">
        <f t="shared" si="6"/>
        <v>62.35</v>
      </c>
      <c r="M57" s="3">
        <v>0.1</v>
      </c>
      <c r="N57" s="2">
        <f t="shared" si="7"/>
        <v>56.115</v>
      </c>
      <c r="O57"/>
      <c r="P57" s="12">
        <v>0.0179</v>
      </c>
      <c r="Q57" s="6">
        <f t="shared" si="8"/>
        <v>1.0044585</v>
      </c>
      <c r="R57" s="223">
        <f t="shared" si="13"/>
        <v>56.115</v>
      </c>
      <c r="S57" s="209">
        <f t="shared" si="14"/>
        <v>1.021293</v>
      </c>
      <c r="T57" s="2">
        <f t="shared" si="3"/>
        <v>112.23</v>
      </c>
      <c r="U57" s="115">
        <f t="shared" si="12"/>
        <v>2.0257515</v>
      </c>
    </row>
    <row r="58" spans="1:21" ht="12.75" hidden="1" outlineLevel="3">
      <c r="A58" s="7" t="s">
        <v>53</v>
      </c>
      <c r="B58" t="s">
        <v>59</v>
      </c>
      <c r="C58" s="7" t="s">
        <v>65</v>
      </c>
      <c r="D58" s="7" t="s">
        <v>41</v>
      </c>
      <c r="E58" s="8">
        <v>2008</v>
      </c>
      <c r="F58" s="9">
        <v>4</v>
      </c>
      <c r="G58" s="20"/>
      <c r="H58" s="94">
        <f t="shared" si="11"/>
        <v>3.7209302325581395</v>
      </c>
      <c r="I58" s="91"/>
      <c r="J58" s="14">
        <v>2150</v>
      </c>
      <c r="K58" s="126">
        <f>(75-18)/1000</f>
        <v>0.057</v>
      </c>
      <c r="L58" s="2">
        <f t="shared" si="6"/>
        <v>490.20000000000005</v>
      </c>
      <c r="M58" s="3">
        <v>0.1</v>
      </c>
      <c r="N58" s="2">
        <f t="shared" si="7"/>
        <v>441.18000000000006</v>
      </c>
      <c r="O58"/>
      <c r="P58" s="12">
        <v>0.0179</v>
      </c>
      <c r="Q58" s="6">
        <f t="shared" si="8"/>
        <v>7.897122</v>
      </c>
      <c r="R58" s="223">
        <f t="shared" si="13"/>
        <v>441.18000000000006</v>
      </c>
      <c r="S58" s="209">
        <f t="shared" si="14"/>
        <v>8.029476</v>
      </c>
      <c r="T58" s="2">
        <f t="shared" si="3"/>
        <v>882.3600000000001</v>
      </c>
      <c r="U58" s="115">
        <f t="shared" si="12"/>
        <v>15.926598000000002</v>
      </c>
    </row>
    <row r="59" spans="1:21" ht="12.75" hidden="1" outlineLevel="3">
      <c r="A59" s="7" t="s">
        <v>53</v>
      </c>
      <c r="B59" t="s">
        <v>59</v>
      </c>
      <c r="C59" s="7" t="s">
        <v>66</v>
      </c>
      <c r="D59" s="7" t="s">
        <v>41</v>
      </c>
      <c r="E59" s="8">
        <v>2008</v>
      </c>
      <c r="F59" s="9">
        <v>2</v>
      </c>
      <c r="G59" s="20"/>
      <c r="H59" s="94">
        <f t="shared" si="11"/>
        <v>3.7209302325581395</v>
      </c>
      <c r="I59" s="91"/>
      <c r="J59" s="14">
        <v>2150</v>
      </c>
      <c r="K59" s="126">
        <f>(100-26)/1000</f>
        <v>0.074</v>
      </c>
      <c r="L59" s="2">
        <f t="shared" si="6"/>
        <v>318.2</v>
      </c>
      <c r="M59" s="3">
        <v>0.1</v>
      </c>
      <c r="N59" s="2">
        <f t="shared" si="7"/>
        <v>286.38</v>
      </c>
      <c r="O59"/>
      <c r="P59" s="12">
        <v>0.0179</v>
      </c>
      <c r="Q59" s="6">
        <f t="shared" si="8"/>
        <v>5.126201999999999</v>
      </c>
      <c r="R59" s="223">
        <f t="shared" si="13"/>
        <v>286.38</v>
      </c>
      <c r="S59" s="209">
        <f t="shared" si="14"/>
        <v>5.212116</v>
      </c>
      <c r="T59" s="2">
        <f t="shared" si="3"/>
        <v>572.76</v>
      </c>
      <c r="U59" s="115">
        <f t="shared" si="12"/>
        <v>10.338318</v>
      </c>
    </row>
    <row r="60" spans="1:21" ht="12.75" hidden="1" outlineLevel="3">
      <c r="A60" s="7" t="s">
        <v>53</v>
      </c>
      <c r="B60" t="s">
        <v>59</v>
      </c>
      <c r="C60" s="7" t="s">
        <v>67</v>
      </c>
      <c r="D60" s="7" t="s">
        <v>41</v>
      </c>
      <c r="E60" s="8">
        <v>2008</v>
      </c>
      <c r="F60" s="9">
        <v>1</v>
      </c>
      <c r="G60" s="20"/>
      <c r="H60" s="94">
        <f t="shared" si="11"/>
        <v>3.7209302325581395</v>
      </c>
      <c r="I60" s="91"/>
      <c r="J60" s="14">
        <v>2150</v>
      </c>
      <c r="K60" s="126">
        <f>(60-17)/1000</f>
        <v>0.043</v>
      </c>
      <c r="L60" s="2">
        <f t="shared" si="6"/>
        <v>92.44999999999999</v>
      </c>
      <c r="M60" s="3">
        <v>0.1</v>
      </c>
      <c r="N60" s="2">
        <f t="shared" si="7"/>
        <v>83.205</v>
      </c>
      <c r="O60"/>
      <c r="P60" s="12">
        <v>0.0179</v>
      </c>
      <c r="Q60" s="6">
        <f t="shared" si="8"/>
        <v>1.4893695</v>
      </c>
      <c r="R60" s="223">
        <f t="shared" si="13"/>
        <v>83.205</v>
      </c>
      <c r="S60" s="209">
        <f t="shared" si="14"/>
        <v>1.514331</v>
      </c>
      <c r="T60" s="2">
        <f t="shared" si="3"/>
        <v>166.41</v>
      </c>
      <c r="U60" s="115">
        <f t="shared" si="12"/>
        <v>3.0037005</v>
      </c>
    </row>
    <row r="61" spans="1:21" ht="12.75" hidden="1" outlineLevel="3">
      <c r="A61" s="7" t="s">
        <v>53</v>
      </c>
      <c r="B61" t="s">
        <v>59</v>
      </c>
      <c r="C61" s="7" t="s">
        <v>58</v>
      </c>
      <c r="D61" s="7" t="s">
        <v>41</v>
      </c>
      <c r="E61" s="8">
        <v>2008</v>
      </c>
      <c r="F61" s="9">
        <v>4</v>
      </c>
      <c r="G61" s="20"/>
      <c r="H61" s="32">
        <v>10</v>
      </c>
      <c r="I61" s="91"/>
      <c r="J61" s="14">
        <v>8760</v>
      </c>
      <c r="K61" s="126">
        <f>(22-5)/1000</f>
        <v>0.017</v>
      </c>
      <c r="L61" s="2">
        <f t="shared" si="6"/>
        <v>595.6800000000001</v>
      </c>
      <c r="M61" s="3">
        <v>0.1</v>
      </c>
      <c r="N61" s="2">
        <f t="shared" si="7"/>
        <v>536.1120000000001</v>
      </c>
      <c r="O61"/>
      <c r="P61" s="12">
        <v>0.0179</v>
      </c>
      <c r="Q61" s="6">
        <f t="shared" si="8"/>
        <v>9.5964048</v>
      </c>
      <c r="R61" s="223">
        <f t="shared" si="13"/>
        <v>536.1120000000001</v>
      </c>
      <c r="S61" s="209">
        <f t="shared" si="14"/>
        <v>9.757238400000002</v>
      </c>
      <c r="T61" s="2">
        <f t="shared" si="3"/>
        <v>1072.2240000000002</v>
      </c>
      <c r="U61" s="115">
        <f t="shared" si="12"/>
        <v>19.3536432</v>
      </c>
    </row>
    <row r="62" spans="1:21" ht="12.75" hidden="1" outlineLevel="3">
      <c r="A62" s="7" t="s">
        <v>53</v>
      </c>
      <c r="B62" t="s">
        <v>59</v>
      </c>
      <c r="C62" s="7" t="s">
        <v>69</v>
      </c>
      <c r="D62" s="7" t="s">
        <v>41</v>
      </c>
      <c r="E62" s="8">
        <v>2008</v>
      </c>
      <c r="F62" s="9">
        <v>6</v>
      </c>
      <c r="G62" s="20"/>
      <c r="H62" s="94">
        <f t="shared" si="11"/>
        <v>3.7209302325581395</v>
      </c>
      <c r="I62" s="91"/>
      <c r="J62" s="14">
        <v>2150</v>
      </c>
      <c r="K62" s="126">
        <f>(40-7)/1000</f>
        <v>0.033</v>
      </c>
      <c r="L62" s="2">
        <f t="shared" si="6"/>
        <v>425.70000000000005</v>
      </c>
      <c r="M62" s="3">
        <v>0.1</v>
      </c>
      <c r="N62" s="2">
        <f t="shared" si="7"/>
        <v>383.13000000000005</v>
      </c>
      <c r="O62"/>
      <c r="P62" s="12">
        <v>0.0179</v>
      </c>
      <c r="Q62" s="6">
        <f t="shared" si="8"/>
        <v>6.858027000000001</v>
      </c>
      <c r="R62" s="223">
        <f t="shared" si="13"/>
        <v>383.13000000000005</v>
      </c>
      <c r="S62" s="209">
        <f t="shared" si="14"/>
        <v>6.972966000000001</v>
      </c>
      <c r="T62" s="2">
        <f t="shared" si="3"/>
        <v>766.2600000000001</v>
      </c>
      <c r="U62" s="115">
        <f t="shared" si="12"/>
        <v>13.830993000000003</v>
      </c>
    </row>
    <row r="63" spans="1:21" ht="12.75" hidden="1" outlineLevel="3">
      <c r="A63" s="7" t="s">
        <v>53</v>
      </c>
      <c r="B63" t="s">
        <v>59</v>
      </c>
      <c r="C63" s="7" t="s">
        <v>70</v>
      </c>
      <c r="D63" s="7" t="s">
        <v>41</v>
      </c>
      <c r="E63" s="8">
        <v>2008</v>
      </c>
      <c r="F63" s="9">
        <v>3</v>
      </c>
      <c r="G63" s="20"/>
      <c r="H63" s="94">
        <f>20000/J63</f>
        <v>8.620689655172415</v>
      </c>
      <c r="I63" s="91"/>
      <c r="J63" s="14">
        <v>2320</v>
      </c>
      <c r="K63" s="126">
        <f>(88-58)/1000</f>
        <v>0.03</v>
      </c>
      <c r="L63" s="2">
        <f t="shared" si="6"/>
        <v>208.79999999999998</v>
      </c>
      <c r="M63" s="3">
        <v>0.1</v>
      </c>
      <c r="N63" s="2">
        <f t="shared" si="7"/>
        <v>187.92</v>
      </c>
      <c r="O63"/>
      <c r="P63" s="12">
        <v>0.0179</v>
      </c>
      <c r="Q63" s="6">
        <f t="shared" si="8"/>
        <v>3.3637679999999994</v>
      </c>
      <c r="R63" s="223">
        <f t="shared" si="13"/>
        <v>187.92</v>
      </c>
      <c r="S63" s="209">
        <f t="shared" si="14"/>
        <v>3.420144</v>
      </c>
      <c r="T63" s="2">
        <f t="shared" si="3"/>
        <v>375.84</v>
      </c>
      <c r="U63" s="115">
        <f t="shared" si="12"/>
        <v>6.783911999999999</v>
      </c>
    </row>
    <row r="64" spans="1:21" ht="12.75" outlineLevel="2" collapsed="1">
      <c r="A64" s="7"/>
      <c r="B64" s="1" t="s">
        <v>237</v>
      </c>
      <c r="C64" s="7"/>
      <c r="D64" s="7"/>
      <c r="E64" s="8"/>
      <c r="F64" s="9"/>
      <c r="G64" s="20"/>
      <c r="H64" s="94"/>
      <c r="I64" s="91"/>
      <c r="J64" s="14"/>
      <c r="K64" s="126"/>
      <c r="L64" s="2"/>
      <c r="M64" s="3"/>
      <c r="N64" s="2"/>
      <c r="O64"/>
      <c r="P64" s="12"/>
      <c r="Q64" s="6"/>
      <c r="R64" s="223"/>
      <c r="S64" s="209"/>
      <c r="T64" s="2"/>
      <c r="U64" s="115">
        <f>SUBTOTAL(9,U52:U63)</f>
        <v>351.3754512</v>
      </c>
    </row>
    <row r="65" spans="1:21" ht="12.75" hidden="1" outlineLevel="3">
      <c r="A65" s="7" t="s">
        <v>53</v>
      </c>
      <c r="B65" t="s">
        <v>80</v>
      </c>
      <c r="C65" s="7" t="s">
        <v>81</v>
      </c>
      <c r="D65" s="7" t="s">
        <v>41</v>
      </c>
      <c r="E65" s="8">
        <v>2008</v>
      </c>
      <c r="F65" s="9">
        <v>2</v>
      </c>
      <c r="G65" s="20"/>
      <c r="H65" s="32">
        <v>16</v>
      </c>
      <c r="I65" s="91"/>
      <c r="J65" s="14">
        <v>2594</v>
      </c>
      <c r="K65" s="126">
        <f>(51-30)/1000</f>
        <v>0.021</v>
      </c>
      <c r="L65" s="2">
        <f t="shared" si="6"/>
        <v>108.94800000000001</v>
      </c>
      <c r="M65" s="3">
        <v>0.1</v>
      </c>
      <c r="N65" s="2">
        <f t="shared" si="7"/>
        <v>98.0532</v>
      </c>
      <c r="O65"/>
      <c r="P65" s="12">
        <v>0.0179</v>
      </c>
      <c r="Q65" s="6">
        <f t="shared" si="8"/>
        <v>1.75515228</v>
      </c>
      <c r="R65" s="223">
        <f t="shared" si="13"/>
        <v>98.0532</v>
      </c>
      <c r="S65" s="209">
        <f t="shared" si="14"/>
        <v>1.7845682400000002</v>
      </c>
      <c r="T65" s="2">
        <f t="shared" si="3"/>
        <v>196.1064</v>
      </c>
      <c r="U65" s="115">
        <f>Q65+S65</f>
        <v>3.5397205200000004</v>
      </c>
    </row>
    <row r="66" spans="1:21" ht="12.75" hidden="1" outlineLevel="3">
      <c r="A66" s="7" t="s">
        <v>53</v>
      </c>
      <c r="B66" t="s">
        <v>80</v>
      </c>
      <c r="C66" s="7" t="s">
        <v>78</v>
      </c>
      <c r="D66" s="7" t="s">
        <v>41</v>
      </c>
      <c r="E66" s="8">
        <v>2008</v>
      </c>
      <c r="F66" s="9">
        <v>34</v>
      </c>
      <c r="G66" s="20"/>
      <c r="H66" s="32">
        <v>16</v>
      </c>
      <c r="I66" s="91"/>
      <c r="J66" s="14">
        <v>2594</v>
      </c>
      <c r="K66" s="126">
        <f>(88-58)/1000</f>
        <v>0.03</v>
      </c>
      <c r="L66" s="2">
        <f t="shared" si="6"/>
        <v>2645.8799999999997</v>
      </c>
      <c r="M66" s="3">
        <v>0.1</v>
      </c>
      <c r="N66" s="2">
        <f t="shared" si="7"/>
        <v>2381.292</v>
      </c>
      <c r="O66"/>
      <c r="P66" s="12">
        <v>0.0179</v>
      </c>
      <c r="Q66" s="6">
        <f t="shared" si="8"/>
        <v>42.6251268</v>
      </c>
      <c r="R66" s="223">
        <f t="shared" si="13"/>
        <v>2381.292</v>
      </c>
      <c r="S66" s="209">
        <f t="shared" si="14"/>
        <v>43.3395144</v>
      </c>
      <c r="T66" s="2">
        <f t="shared" si="3"/>
        <v>4762.584</v>
      </c>
      <c r="U66" s="115">
        <f>Q66+S66</f>
        <v>85.96464119999999</v>
      </c>
    </row>
    <row r="67" spans="1:21" ht="12.75" hidden="1" outlineLevel="3">
      <c r="A67" s="7" t="s">
        <v>53</v>
      </c>
      <c r="B67" t="s">
        <v>80</v>
      </c>
      <c r="C67" s="7" t="s">
        <v>82</v>
      </c>
      <c r="D67" s="7" t="s">
        <v>41</v>
      </c>
      <c r="E67" s="8">
        <v>2008</v>
      </c>
      <c r="F67" s="9">
        <v>1</v>
      </c>
      <c r="G67" s="20"/>
      <c r="H67" s="32">
        <v>16</v>
      </c>
      <c r="I67" s="91"/>
      <c r="J67" s="14">
        <v>2594</v>
      </c>
      <c r="K67" s="126">
        <f>(149-85)/1000</f>
        <v>0.064</v>
      </c>
      <c r="L67" s="2">
        <f t="shared" si="6"/>
        <v>166.016</v>
      </c>
      <c r="M67" s="3">
        <v>0.1</v>
      </c>
      <c r="N67" s="2">
        <f t="shared" si="7"/>
        <v>149.4144</v>
      </c>
      <c r="O67"/>
      <c r="P67" s="12">
        <v>0.0179</v>
      </c>
      <c r="Q67" s="6">
        <f t="shared" si="8"/>
        <v>2.67451776</v>
      </c>
      <c r="R67" s="223">
        <f t="shared" si="13"/>
        <v>149.4144</v>
      </c>
      <c r="S67" s="209">
        <f t="shared" si="14"/>
        <v>2.71934208</v>
      </c>
      <c r="T67" s="2">
        <f t="shared" si="3"/>
        <v>298.8288</v>
      </c>
      <c r="U67" s="115">
        <f>Q67+S67</f>
        <v>5.39385984</v>
      </c>
    </row>
    <row r="68" spans="1:21" s="31" customFormat="1" ht="12.75" hidden="1" outlineLevel="3">
      <c r="A68" s="7" t="s">
        <v>53</v>
      </c>
      <c r="B68" t="s">
        <v>80</v>
      </c>
      <c r="C68" s="7" t="s">
        <v>79</v>
      </c>
      <c r="D68" s="7" t="s">
        <v>41</v>
      </c>
      <c r="E68" s="8">
        <v>2008</v>
      </c>
      <c r="F68" s="9">
        <v>61</v>
      </c>
      <c r="G68" s="20"/>
      <c r="H68" s="32">
        <v>16</v>
      </c>
      <c r="I68" s="91"/>
      <c r="J68" s="14">
        <v>2594</v>
      </c>
      <c r="K68" s="126">
        <f>(175-112)/1000</f>
        <v>0.063</v>
      </c>
      <c r="L68" s="2">
        <f t="shared" si="6"/>
        <v>9968.742</v>
      </c>
      <c r="M68" s="3">
        <v>0.1</v>
      </c>
      <c r="N68" s="2">
        <f t="shared" si="7"/>
        <v>8971.8678</v>
      </c>
      <c r="O68"/>
      <c r="P68" s="12">
        <v>0.0179</v>
      </c>
      <c r="Q68" s="6">
        <f t="shared" si="8"/>
        <v>160.59643362</v>
      </c>
      <c r="R68" s="223">
        <f t="shared" si="13"/>
        <v>8971.8678</v>
      </c>
      <c r="S68" s="209">
        <f t="shared" si="14"/>
        <v>163.28799396</v>
      </c>
      <c r="T68" s="2">
        <f t="shared" si="3"/>
        <v>17943.7356</v>
      </c>
      <c r="U68" s="115">
        <f>Q68+S68</f>
        <v>323.88442757999997</v>
      </c>
    </row>
    <row r="69" spans="1:21" s="31" customFormat="1" ht="12.75" outlineLevel="2" collapsed="1">
      <c r="A69" s="7"/>
      <c r="B69" s="1" t="s">
        <v>238</v>
      </c>
      <c r="C69" s="7"/>
      <c r="D69" s="7"/>
      <c r="E69" s="8"/>
      <c r="F69" s="9"/>
      <c r="G69" s="20"/>
      <c r="H69" s="32"/>
      <c r="I69" s="91"/>
      <c r="J69" s="14"/>
      <c r="K69" s="126"/>
      <c r="L69" s="2"/>
      <c r="M69" s="3"/>
      <c r="N69" s="2"/>
      <c r="O69"/>
      <c r="P69" s="12"/>
      <c r="Q69" s="6"/>
      <c r="R69" s="223"/>
      <c r="S69" s="209"/>
      <c r="T69" s="2"/>
      <c r="U69" s="115">
        <f>SUBTOTAL(9,U65:U68)</f>
        <v>418.78264914</v>
      </c>
    </row>
    <row r="70" spans="1:21" s="31" customFormat="1" ht="12.75" hidden="1" outlineLevel="3">
      <c r="A70" s="7" t="s">
        <v>53</v>
      </c>
      <c r="B70" t="s">
        <v>71</v>
      </c>
      <c r="C70" s="7" t="s">
        <v>48</v>
      </c>
      <c r="D70" s="7" t="s">
        <v>41</v>
      </c>
      <c r="E70" s="8">
        <v>2008</v>
      </c>
      <c r="F70" s="9">
        <v>156</v>
      </c>
      <c r="G70" s="20"/>
      <c r="H70" s="94">
        <f>((10000+6000)/2)/J70</f>
        <v>2.149959688255845</v>
      </c>
      <c r="I70" s="91"/>
      <c r="J70" s="14">
        <v>3721</v>
      </c>
      <c r="K70" s="126">
        <f>(100-23)/1000</f>
        <v>0.077</v>
      </c>
      <c r="L70" s="2">
        <f t="shared" si="6"/>
        <v>44696.652</v>
      </c>
      <c r="M70" s="3">
        <v>0.1</v>
      </c>
      <c r="N70" s="2">
        <f t="shared" si="7"/>
        <v>40226.986800000006</v>
      </c>
      <c r="O70"/>
      <c r="P70" s="12">
        <v>0.0179</v>
      </c>
      <c r="Q70" s="6">
        <f t="shared" si="8"/>
        <v>720.0630637200001</v>
      </c>
      <c r="R70" s="223">
        <f t="shared" si="13"/>
        <v>40226.986800000006</v>
      </c>
      <c r="S70" s="209">
        <f t="shared" si="14"/>
        <v>732.1311597600002</v>
      </c>
      <c r="T70" s="2">
        <f t="shared" si="3"/>
        <v>80453.97360000001</v>
      </c>
      <c r="U70" s="115">
        <f>Q70+S70</f>
        <v>1452.1942234800003</v>
      </c>
    </row>
    <row r="71" spans="1:21" s="31" customFormat="1" ht="12.75" outlineLevel="2" collapsed="1">
      <c r="A71" s="7"/>
      <c r="B71" s="1" t="s">
        <v>239</v>
      </c>
      <c r="C71" s="7"/>
      <c r="D71" s="7"/>
      <c r="E71" s="8"/>
      <c r="F71" s="9"/>
      <c r="G71" s="20"/>
      <c r="H71" s="94"/>
      <c r="I71" s="91"/>
      <c r="J71" s="14"/>
      <c r="K71" s="126"/>
      <c r="L71" s="2"/>
      <c r="M71" s="3"/>
      <c r="N71" s="2"/>
      <c r="O71"/>
      <c r="P71" s="12"/>
      <c r="Q71" s="6"/>
      <c r="R71" s="223"/>
      <c r="S71" s="209"/>
      <c r="T71" s="2"/>
      <c r="U71" s="115">
        <f>SUBTOTAL(9,U70:U70)</f>
        <v>1452.1942234800003</v>
      </c>
    </row>
    <row r="72" spans="1:21" s="31" customFormat="1" ht="12.75" hidden="1" outlineLevel="3">
      <c r="A72" s="7" t="s">
        <v>53</v>
      </c>
      <c r="B72" s="7" t="s">
        <v>44</v>
      </c>
      <c r="C72" s="7" t="s">
        <v>193</v>
      </c>
      <c r="D72" s="31" t="s">
        <v>166</v>
      </c>
      <c r="E72" s="32">
        <v>2009</v>
      </c>
      <c r="F72" s="127">
        <v>6</v>
      </c>
      <c r="G72" s="20"/>
      <c r="H72" s="94">
        <f aca="true" t="shared" si="15" ref="H72:H91">20000/J72</f>
        <v>6.148170919151553</v>
      </c>
      <c r="I72" s="91"/>
      <c r="J72" s="14">
        <f>3253</f>
        <v>3253</v>
      </c>
      <c r="K72" s="179">
        <v>0.045</v>
      </c>
      <c r="L72" s="180">
        <f t="shared" si="6"/>
        <v>878.31</v>
      </c>
      <c r="M72" s="181">
        <v>0.1</v>
      </c>
      <c r="N72" s="180">
        <f t="shared" si="7"/>
        <v>790.4789999999999</v>
      </c>
      <c r="O72" s="7"/>
      <c r="P72" s="182">
        <v>0.0179</v>
      </c>
      <c r="Q72" s="183">
        <f t="shared" si="8"/>
        <v>14.149574099999999</v>
      </c>
      <c r="R72" s="227"/>
      <c r="S72" s="226"/>
      <c r="T72" s="2">
        <f t="shared" si="3"/>
        <v>790.4789999999999</v>
      </c>
      <c r="U72" s="115">
        <f aca="true" t="shared" si="16" ref="U72:U110">Q72+S72</f>
        <v>14.149574099999999</v>
      </c>
    </row>
    <row r="73" spans="1:21" s="31" customFormat="1" ht="12.75" hidden="1" outlineLevel="3">
      <c r="A73" s="7" t="s">
        <v>53</v>
      </c>
      <c r="B73" s="7" t="s">
        <v>44</v>
      </c>
      <c r="C73" s="7" t="s">
        <v>194</v>
      </c>
      <c r="D73" s="31" t="s">
        <v>166</v>
      </c>
      <c r="E73" s="32">
        <v>2009</v>
      </c>
      <c r="F73" s="127">
        <v>11</v>
      </c>
      <c r="G73" s="20"/>
      <c r="H73" s="94">
        <f t="shared" si="15"/>
        <v>6.148170919151553</v>
      </c>
      <c r="I73" s="91"/>
      <c r="J73" s="14">
        <f>3253</f>
        <v>3253</v>
      </c>
      <c r="K73" s="179">
        <v>0.049</v>
      </c>
      <c r="L73" s="180">
        <f t="shared" si="6"/>
        <v>1753.3670000000002</v>
      </c>
      <c r="M73" s="181">
        <v>0.1</v>
      </c>
      <c r="N73" s="180">
        <f t="shared" si="7"/>
        <v>1578.0303000000001</v>
      </c>
      <c r="O73" s="7"/>
      <c r="P73" s="182">
        <v>0.0179</v>
      </c>
      <c r="Q73" s="183">
        <f t="shared" si="8"/>
        <v>28.24674237</v>
      </c>
      <c r="R73" s="227"/>
      <c r="S73" s="226"/>
      <c r="T73" s="2">
        <f t="shared" si="3"/>
        <v>1578.0303000000001</v>
      </c>
      <c r="U73" s="115">
        <f t="shared" si="16"/>
        <v>28.24674237</v>
      </c>
    </row>
    <row r="74" spans="1:21" s="31" customFormat="1" ht="12.75" hidden="1" outlineLevel="3">
      <c r="A74" s="7" t="s">
        <v>53</v>
      </c>
      <c r="B74" s="7" t="s">
        <v>44</v>
      </c>
      <c r="C74" s="7" t="s">
        <v>195</v>
      </c>
      <c r="D74" s="31" t="s">
        <v>166</v>
      </c>
      <c r="E74" s="32">
        <v>2009</v>
      </c>
      <c r="F74" s="127">
        <v>58</v>
      </c>
      <c r="G74" s="20"/>
      <c r="H74" s="94">
        <f t="shared" si="15"/>
        <v>6.148170919151553</v>
      </c>
      <c r="I74" s="91"/>
      <c r="J74" s="14">
        <f>3253</f>
        <v>3253</v>
      </c>
      <c r="K74" s="179">
        <v>0.071</v>
      </c>
      <c r="L74" s="180">
        <f t="shared" si="6"/>
        <v>13395.853999999998</v>
      </c>
      <c r="M74" s="181">
        <v>0.1</v>
      </c>
      <c r="N74" s="180">
        <f t="shared" si="7"/>
        <v>12056.268599999998</v>
      </c>
      <c r="O74" s="7"/>
      <c r="P74" s="182">
        <v>0.0179</v>
      </c>
      <c r="Q74" s="183">
        <f t="shared" si="8"/>
        <v>215.80720793999996</v>
      </c>
      <c r="R74" s="227"/>
      <c r="S74" s="226"/>
      <c r="T74" s="2">
        <f t="shared" si="3"/>
        <v>12056.268599999998</v>
      </c>
      <c r="U74" s="115">
        <f t="shared" si="16"/>
        <v>215.80720793999996</v>
      </c>
    </row>
    <row r="75" spans="1:21" s="31" customFormat="1" ht="12.75" hidden="1" outlineLevel="3">
      <c r="A75" s="7" t="s">
        <v>53</v>
      </c>
      <c r="B75" s="7" t="s">
        <v>44</v>
      </c>
      <c r="C75" s="7" t="s">
        <v>196</v>
      </c>
      <c r="D75" s="31" t="s">
        <v>166</v>
      </c>
      <c r="E75" s="32">
        <v>2009</v>
      </c>
      <c r="F75" s="127">
        <v>655</v>
      </c>
      <c r="G75" s="20"/>
      <c r="H75" s="94">
        <f t="shared" si="15"/>
        <v>6.148170919151553</v>
      </c>
      <c r="I75" s="91"/>
      <c r="J75" s="14">
        <f>3253</f>
        <v>3253</v>
      </c>
      <c r="K75" s="179">
        <v>0.06</v>
      </c>
      <c r="L75" s="180">
        <f t="shared" si="6"/>
        <v>127842.90000000001</v>
      </c>
      <c r="M75" s="181">
        <v>0.1</v>
      </c>
      <c r="N75" s="180">
        <f t="shared" si="7"/>
        <v>115058.61000000002</v>
      </c>
      <c r="O75" s="7"/>
      <c r="P75" s="182">
        <v>0.0179</v>
      </c>
      <c r="Q75" s="183">
        <f t="shared" si="8"/>
        <v>2059.5491190000002</v>
      </c>
      <c r="R75" s="227"/>
      <c r="S75" s="226"/>
      <c r="T75" s="2">
        <f t="shared" si="3"/>
        <v>115058.61000000002</v>
      </c>
      <c r="U75" s="115">
        <f t="shared" si="16"/>
        <v>2059.5491190000002</v>
      </c>
    </row>
    <row r="76" spans="1:21" s="31" customFormat="1" ht="12.75" hidden="1" outlineLevel="3">
      <c r="A76" s="7" t="s">
        <v>53</v>
      </c>
      <c r="B76" s="7" t="s">
        <v>44</v>
      </c>
      <c r="C76" s="7" t="s">
        <v>197</v>
      </c>
      <c r="D76" s="31" t="s">
        <v>166</v>
      </c>
      <c r="E76" s="32">
        <v>2009</v>
      </c>
      <c r="F76" s="127">
        <v>1</v>
      </c>
      <c r="G76" s="20"/>
      <c r="H76" s="94">
        <f t="shared" si="15"/>
        <v>6.148170919151553</v>
      </c>
      <c r="I76" s="91"/>
      <c r="J76" s="14">
        <f>3253</f>
        <v>3253</v>
      </c>
      <c r="K76" s="179">
        <v>0.14</v>
      </c>
      <c r="L76" s="180">
        <f t="shared" si="6"/>
        <v>455.42</v>
      </c>
      <c r="M76" s="181">
        <v>0.1</v>
      </c>
      <c r="N76" s="180">
        <f t="shared" si="7"/>
        <v>409.87800000000004</v>
      </c>
      <c r="O76" s="7"/>
      <c r="P76" s="182">
        <v>0.0179</v>
      </c>
      <c r="Q76" s="183">
        <f t="shared" si="8"/>
        <v>7.3368162</v>
      </c>
      <c r="R76" s="227"/>
      <c r="S76" s="226"/>
      <c r="T76" s="2">
        <f t="shared" si="3"/>
        <v>409.87800000000004</v>
      </c>
      <c r="U76" s="115">
        <f t="shared" si="16"/>
        <v>7.3368162</v>
      </c>
    </row>
    <row r="77" spans="1:21" s="31" customFormat="1" ht="12.75" hidden="1" outlineLevel="3">
      <c r="A77" s="7" t="s">
        <v>53</v>
      </c>
      <c r="B77" s="7" t="s">
        <v>44</v>
      </c>
      <c r="C77" s="7" t="s">
        <v>198</v>
      </c>
      <c r="D77" s="31" t="s">
        <v>166</v>
      </c>
      <c r="E77" s="32">
        <v>2009</v>
      </c>
      <c r="F77" s="127">
        <v>529</v>
      </c>
      <c r="G77" s="20"/>
      <c r="H77" s="94">
        <f t="shared" si="15"/>
        <v>6.148170919151553</v>
      </c>
      <c r="I77" s="91"/>
      <c r="J77" s="14">
        <f>3253</f>
        <v>3253</v>
      </c>
      <c r="K77" s="179">
        <v>0.03</v>
      </c>
      <c r="L77" s="180">
        <f t="shared" si="6"/>
        <v>51625.11</v>
      </c>
      <c r="M77" s="181">
        <v>0.1</v>
      </c>
      <c r="N77" s="180">
        <f t="shared" si="7"/>
        <v>46462.599</v>
      </c>
      <c r="O77" s="7"/>
      <c r="P77" s="182">
        <v>0.0179</v>
      </c>
      <c r="Q77" s="183">
        <f t="shared" si="8"/>
        <v>831.6805221</v>
      </c>
      <c r="R77" s="227"/>
      <c r="S77" s="226"/>
      <c r="T77" s="2">
        <f t="shared" si="3"/>
        <v>46462.599</v>
      </c>
      <c r="U77" s="115">
        <f t="shared" si="16"/>
        <v>831.6805221</v>
      </c>
    </row>
    <row r="78" spans="1:21" s="31" customFormat="1" ht="12.75" hidden="1" outlineLevel="3">
      <c r="A78" s="7" t="s">
        <v>53</v>
      </c>
      <c r="B78" s="7" t="s">
        <v>44</v>
      </c>
      <c r="C78" s="7" t="s">
        <v>199</v>
      </c>
      <c r="D78" s="31" t="s">
        <v>166</v>
      </c>
      <c r="E78" s="32">
        <v>2009</v>
      </c>
      <c r="F78" s="127">
        <v>8</v>
      </c>
      <c r="G78" s="20"/>
      <c r="H78" s="94">
        <f t="shared" si="15"/>
        <v>6.148170919151553</v>
      </c>
      <c r="I78" s="91"/>
      <c r="J78" s="14">
        <f>3253</f>
        <v>3253</v>
      </c>
      <c r="K78" s="179">
        <v>0.14</v>
      </c>
      <c r="L78" s="180">
        <f t="shared" si="6"/>
        <v>3643.36</v>
      </c>
      <c r="M78" s="181">
        <v>0.1</v>
      </c>
      <c r="N78" s="180">
        <f t="shared" si="7"/>
        <v>3279.0240000000003</v>
      </c>
      <c r="O78" s="7"/>
      <c r="P78" s="182">
        <v>0.0179</v>
      </c>
      <c r="Q78" s="183">
        <f t="shared" si="8"/>
        <v>58.6945296</v>
      </c>
      <c r="R78" s="227"/>
      <c r="S78" s="226"/>
      <c r="T78" s="2">
        <f t="shared" si="3"/>
        <v>3279.0240000000003</v>
      </c>
      <c r="U78" s="115">
        <f t="shared" si="16"/>
        <v>58.6945296</v>
      </c>
    </row>
    <row r="79" spans="1:21" s="31" customFormat="1" ht="12.75" hidden="1" outlineLevel="3">
      <c r="A79" s="7" t="s">
        <v>53</v>
      </c>
      <c r="B79" s="7" t="s">
        <v>44</v>
      </c>
      <c r="C79" s="7" t="s">
        <v>200</v>
      </c>
      <c r="D79" s="31" t="s">
        <v>166</v>
      </c>
      <c r="E79" s="32">
        <v>2009</v>
      </c>
      <c r="F79" s="127">
        <v>7</v>
      </c>
      <c r="G79" s="20"/>
      <c r="H79" s="94">
        <f t="shared" si="15"/>
        <v>6.148170919151553</v>
      </c>
      <c r="I79" s="91"/>
      <c r="J79" s="14">
        <f>3253</f>
        <v>3253</v>
      </c>
      <c r="K79" s="179">
        <v>0.025</v>
      </c>
      <c r="L79" s="180">
        <f t="shared" si="6"/>
        <v>569.275</v>
      </c>
      <c r="M79" s="181">
        <v>0.1</v>
      </c>
      <c r="N79" s="180">
        <f t="shared" si="7"/>
        <v>512.3475</v>
      </c>
      <c r="O79" s="7"/>
      <c r="P79" s="182">
        <v>0.0179</v>
      </c>
      <c r="Q79" s="183">
        <f t="shared" si="8"/>
        <v>9.17102025</v>
      </c>
      <c r="R79" s="227"/>
      <c r="S79" s="226"/>
      <c r="T79" s="2">
        <f t="shared" si="3"/>
        <v>512.3475</v>
      </c>
      <c r="U79" s="115">
        <f t="shared" si="16"/>
        <v>9.17102025</v>
      </c>
    </row>
    <row r="80" spans="1:21" s="31" customFormat="1" ht="12.75" hidden="1" outlineLevel="3">
      <c r="A80" s="7" t="s">
        <v>53</v>
      </c>
      <c r="B80" s="7" t="s">
        <v>44</v>
      </c>
      <c r="C80" s="7" t="s">
        <v>201</v>
      </c>
      <c r="D80" s="31" t="s">
        <v>166</v>
      </c>
      <c r="E80" s="32">
        <v>2009</v>
      </c>
      <c r="F80" s="127">
        <v>255</v>
      </c>
      <c r="G80" s="20"/>
      <c r="H80" s="94">
        <f t="shared" si="15"/>
        <v>6.148170919151553</v>
      </c>
      <c r="I80" s="91"/>
      <c r="J80" s="14">
        <f>3253</f>
        <v>3253</v>
      </c>
      <c r="K80" s="179">
        <v>0.038</v>
      </c>
      <c r="L80" s="180">
        <f t="shared" si="6"/>
        <v>31521.569999999996</v>
      </c>
      <c r="M80" s="181">
        <v>0.1</v>
      </c>
      <c r="N80" s="180">
        <f t="shared" si="7"/>
        <v>28369.412999999997</v>
      </c>
      <c r="O80" s="7"/>
      <c r="P80" s="182">
        <v>0.0179</v>
      </c>
      <c r="Q80" s="183">
        <f t="shared" si="8"/>
        <v>507.8124926999999</v>
      </c>
      <c r="R80" s="227"/>
      <c r="S80" s="226"/>
      <c r="T80" s="2">
        <f t="shared" si="3"/>
        <v>28369.412999999997</v>
      </c>
      <c r="U80" s="115">
        <f t="shared" si="16"/>
        <v>507.8124926999999</v>
      </c>
    </row>
    <row r="81" spans="1:21" s="31" customFormat="1" ht="12.75" hidden="1" outlineLevel="3">
      <c r="A81" s="7" t="s">
        <v>53</v>
      </c>
      <c r="B81" s="7" t="s">
        <v>44</v>
      </c>
      <c r="C81" s="7" t="s">
        <v>202</v>
      </c>
      <c r="D81" s="31" t="s">
        <v>166</v>
      </c>
      <c r="E81" s="32">
        <v>2009</v>
      </c>
      <c r="F81" s="127">
        <v>493</v>
      </c>
      <c r="G81" s="20"/>
      <c r="H81" s="94">
        <f t="shared" si="15"/>
        <v>6.148170919151553</v>
      </c>
      <c r="I81" s="91"/>
      <c r="J81" s="14">
        <f>3253</f>
        <v>3253</v>
      </c>
      <c r="K81" s="179">
        <v>0.074</v>
      </c>
      <c r="L81" s="180">
        <f t="shared" si="6"/>
        <v>118675.946</v>
      </c>
      <c r="M81" s="181">
        <v>0.1</v>
      </c>
      <c r="N81" s="180">
        <f t="shared" si="7"/>
        <v>106808.3514</v>
      </c>
      <c r="O81" s="7"/>
      <c r="P81" s="182">
        <v>0.0179</v>
      </c>
      <c r="Q81" s="183">
        <f t="shared" si="8"/>
        <v>1911.8694900599999</v>
      </c>
      <c r="R81" s="227"/>
      <c r="S81" s="226"/>
      <c r="T81" s="2">
        <f aca="true" t="shared" si="17" ref="T81:T153">N81+R81</f>
        <v>106808.3514</v>
      </c>
      <c r="U81" s="115">
        <f t="shared" si="16"/>
        <v>1911.8694900599999</v>
      </c>
    </row>
    <row r="82" spans="1:21" s="31" customFormat="1" ht="12.75" hidden="1" outlineLevel="3">
      <c r="A82" s="7" t="s">
        <v>53</v>
      </c>
      <c r="B82" s="7" t="s">
        <v>44</v>
      </c>
      <c r="C82" s="7" t="s">
        <v>203</v>
      </c>
      <c r="D82" s="31" t="s">
        <v>166</v>
      </c>
      <c r="E82" s="32">
        <v>2009</v>
      </c>
      <c r="F82" s="127">
        <v>274</v>
      </c>
      <c r="G82" s="20"/>
      <c r="H82" s="94">
        <f t="shared" si="15"/>
        <v>6.148170919151553</v>
      </c>
      <c r="I82" s="91"/>
      <c r="J82" s="14">
        <f>3253</f>
        <v>3253</v>
      </c>
      <c r="K82" s="179">
        <v>0.021</v>
      </c>
      <c r="L82" s="180">
        <f t="shared" si="6"/>
        <v>18717.762000000002</v>
      </c>
      <c r="M82" s="181">
        <v>0.1</v>
      </c>
      <c r="N82" s="180">
        <f t="shared" si="7"/>
        <v>16845.985800000002</v>
      </c>
      <c r="O82" s="7"/>
      <c r="P82" s="182">
        <v>0.0179</v>
      </c>
      <c r="Q82" s="183">
        <f t="shared" si="8"/>
        <v>301.54314582</v>
      </c>
      <c r="R82" s="227"/>
      <c r="S82" s="226"/>
      <c r="T82" s="2">
        <f t="shared" si="17"/>
        <v>16845.985800000002</v>
      </c>
      <c r="U82" s="115">
        <f t="shared" si="16"/>
        <v>301.54314582</v>
      </c>
    </row>
    <row r="83" spans="1:21" s="31" customFormat="1" ht="12.75" hidden="1" outlineLevel="3">
      <c r="A83" s="7" t="s">
        <v>53</v>
      </c>
      <c r="B83" s="7" t="s">
        <v>44</v>
      </c>
      <c r="C83" s="7" t="s">
        <v>204</v>
      </c>
      <c r="D83" s="31" t="s">
        <v>166</v>
      </c>
      <c r="E83" s="32">
        <v>2009</v>
      </c>
      <c r="F83" s="127">
        <v>1746</v>
      </c>
      <c r="G83" s="20"/>
      <c r="H83" s="94">
        <f t="shared" si="15"/>
        <v>6.148170919151553</v>
      </c>
      <c r="I83" s="91"/>
      <c r="J83" s="14">
        <f>3253</f>
        <v>3253</v>
      </c>
      <c r="K83" s="179">
        <v>0.031</v>
      </c>
      <c r="L83" s="180">
        <f t="shared" si="6"/>
        <v>176071.878</v>
      </c>
      <c r="M83" s="181">
        <v>0.1</v>
      </c>
      <c r="N83" s="180">
        <f t="shared" si="7"/>
        <v>158464.6902</v>
      </c>
      <c r="O83" s="7"/>
      <c r="P83" s="182">
        <v>0.0179</v>
      </c>
      <c r="Q83" s="183">
        <f t="shared" si="8"/>
        <v>2836.51795458</v>
      </c>
      <c r="R83" s="227"/>
      <c r="S83" s="226"/>
      <c r="T83" s="2">
        <f t="shared" si="17"/>
        <v>158464.6902</v>
      </c>
      <c r="U83" s="115">
        <f t="shared" si="16"/>
        <v>2836.51795458</v>
      </c>
    </row>
    <row r="84" spans="1:21" s="31" customFormat="1" ht="12.75" hidden="1" outlineLevel="3">
      <c r="A84" s="7" t="s">
        <v>53</v>
      </c>
      <c r="B84" s="7" t="s">
        <v>44</v>
      </c>
      <c r="C84" s="7" t="s">
        <v>205</v>
      </c>
      <c r="D84" s="31" t="s">
        <v>166</v>
      </c>
      <c r="E84" s="32">
        <v>2009</v>
      </c>
      <c r="F84" s="127">
        <v>40</v>
      </c>
      <c r="G84" s="20"/>
      <c r="H84" s="94">
        <f t="shared" si="15"/>
        <v>6.148170919151553</v>
      </c>
      <c r="I84" s="91"/>
      <c r="J84" s="14">
        <f>3253</f>
        <v>3253</v>
      </c>
      <c r="K84" s="179">
        <v>0.078</v>
      </c>
      <c r="L84" s="180">
        <f t="shared" si="6"/>
        <v>10149.36</v>
      </c>
      <c r="M84" s="181">
        <v>0.1</v>
      </c>
      <c r="N84" s="180">
        <f t="shared" si="7"/>
        <v>9134.424</v>
      </c>
      <c r="O84" s="7"/>
      <c r="P84" s="182">
        <v>0.0179</v>
      </c>
      <c r="Q84" s="183">
        <f t="shared" si="8"/>
        <v>163.5061896</v>
      </c>
      <c r="R84" s="227"/>
      <c r="S84" s="226"/>
      <c r="T84" s="2">
        <f t="shared" si="17"/>
        <v>9134.424</v>
      </c>
      <c r="U84" s="115">
        <f t="shared" si="16"/>
        <v>163.5061896</v>
      </c>
    </row>
    <row r="85" spans="1:21" s="31" customFormat="1" ht="12.75" hidden="1" outlineLevel="3">
      <c r="A85" s="7" t="s">
        <v>53</v>
      </c>
      <c r="B85" s="7" t="s">
        <v>44</v>
      </c>
      <c r="C85" s="7" t="s">
        <v>206</v>
      </c>
      <c r="D85" s="31" t="s">
        <v>166</v>
      </c>
      <c r="E85" s="32">
        <v>2009</v>
      </c>
      <c r="F85" s="127">
        <v>3366</v>
      </c>
      <c r="G85" s="20"/>
      <c r="H85" s="94">
        <f>20000/J85</f>
        <v>6.148170919151553</v>
      </c>
      <c r="I85" s="91"/>
      <c r="J85" s="14">
        <f>3253</f>
        <v>3253</v>
      </c>
      <c r="K85" s="179">
        <v>0.048</v>
      </c>
      <c r="L85" s="180">
        <f t="shared" si="6"/>
        <v>525580.704</v>
      </c>
      <c r="M85" s="181">
        <v>0.1</v>
      </c>
      <c r="N85" s="180">
        <f t="shared" si="7"/>
        <v>473022.63360000006</v>
      </c>
      <c r="O85" s="7"/>
      <c r="P85" s="182">
        <v>0.0179</v>
      </c>
      <c r="Q85" s="183">
        <f t="shared" si="8"/>
        <v>8467.10514144</v>
      </c>
      <c r="R85" s="227"/>
      <c r="S85" s="226"/>
      <c r="T85" s="2">
        <f t="shared" si="17"/>
        <v>473022.63360000006</v>
      </c>
      <c r="U85" s="115">
        <f t="shared" si="16"/>
        <v>8467.10514144</v>
      </c>
    </row>
    <row r="86" spans="1:21" s="31" customFormat="1" ht="12.75" hidden="1" outlineLevel="3">
      <c r="A86" s="7" t="s">
        <v>53</v>
      </c>
      <c r="B86" s="7" t="s">
        <v>44</v>
      </c>
      <c r="C86" s="7" t="s">
        <v>207</v>
      </c>
      <c r="D86" s="31" t="s">
        <v>166</v>
      </c>
      <c r="E86" s="32">
        <v>2009</v>
      </c>
      <c r="F86" s="127">
        <v>8</v>
      </c>
      <c r="G86" s="20"/>
      <c r="H86" s="94">
        <f t="shared" si="15"/>
        <v>6.148170919151553</v>
      </c>
      <c r="I86" s="91"/>
      <c r="J86" s="14">
        <f>3253</f>
        <v>3253</v>
      </c>
      <c r="K86" s="179">
        <v>0.033</v>
      </c>
      <c r="L86" s="180">
        <f t="shared" si="6"/>
        <v>858.792</v>
      </c>
      <c r="M86" s="181">
        <v>0.1</v>
      </c>
      <c r="N86" s="180">
        <f t="shared" si="7"/>
        <v>772.9128000000001</v>
      </c>
      <c r="O86" s="7"/>
      <c r="P86" s="182">
        <v>0.0179</v>
      </c>
      <c r="Q86" s="183">
        <f t="shared" si="8"/>
        <v>13.835139120000001</v>
      </c>
      <c r="R86" s="227"/>
      <c r="S86" s="226"/>
      <c r="T86" s="2">
        <f t="shared" si="17"/>
        <v>772.9128000000001</v>
      </c>
      <c r="U86" s="115">
        <f t="shared" si="16"/>
        <v>13.835139120000001</v>
      </c>
    </row>
    <row r="87" spans="1:21" s="31" customFormat="1" ht="12.75" hidden="1" outlineLevel="3">
      <c r="A87" s="7" t="s">
        <v>53</v>
      </c>
      <c r="B87" s="7" t="s">
        <v>44</v>
      </c>
      <c r="C87" s="7" t="s">
        <v>208</v>
      </c>
      <c r="D87" s="31" t="s">
        <v>166</v>
      </c>
      <c r="E87" s="32">
        <v>2009</v>
      </c>
      <c r="F87" s="127">
        <v>19</v>
      </c>
      <c r="G87" s="20"/>
      <c r="H87" s="94">
        <f t="shared" si="15"/>
        <v>6.148170919151553</v>
      </c>
      <c r="I87" s="91"/>
      <c r="J87" s="14">
        <f>3253</f>
        <v>3253</v>
      </c>
      <c r="K87" s="179">
        <v>0.033</v>
      </c>
      <c r="L87" s="180">
        <f t="shared" si="6"/>
        <v>2039.631</v>
      </c>
      <c r="M87" s="181">
        <v>0.1</v>
      </c>
      <c r="N87" s="180">
        <f t="shared" si="7"/>
        <v>1835.6679000000001</v>
      </c>
      <c r="O87" s="7"/>
      <c r="P87" s="182">
        <v>0.0179</v>
      </c>
      <c r="Q87" s="183">
        <f t="shared" si="8"/>
        <v>32.85845541</v>
      </c>
      <c r="R87" s="227"/>
      <c r="S87" s="226"/>
      <c r="T87" s="2">
        <f t="shared" si="17"/>
        <v>1835.6679000000001</v>
      </c>
      <c r="U87" s="115">
        <f t="shared" si="16"/>
        <v>32.85845541</v>
      </c>
    </row>
    <row r="88" spans="1:21" s="31" customFormat="1" ht="12.75" hidden="1" outlineLevel="3">
      <c r="A88" s="7" t="s">
        <v>53</v>
      </c>
      <c r="B88" s="7" t="s">
        <v>44</v>
      </c>
      <c r="C88" s="7" t="s">
        <v>209</v>
      </c>
      <c r="D88" s="31" t="s">
        <v>166</v>
      </c>
      <c r="E88" s="32">
        <v>2009</v>
      </c>
      <c r="F88" s="127">
        <v>4</v>
      </c>
      <c r="G88" s="20"/>
      <c r="H88" s="94">
        <f t="shared" si="15"/>
        <v>5.374899220639613</v>
      </c>
      <c r="I88" s="91"/>
      <c r="J88" s="14">
        <v>3721</v>
      </c>
      <c r="K88" s="179">
        <v>0.025</v>
      </c>
      <c r="L88" s="180">
        <f t="shared" si="6"/>
        <v>372.1</v>
      </c>
      <c r="M88" s="181">
        <v>0.1</v>
      </c>
      <c r="N88" s="180">
        <f t="shared" si="7"/>
        <v>334.89000000000004</v>
      </c>
      <c r="O88" s="7"/>
      <c r="P88" s="182">
        <v>0.0179</v>
      </c>
      <c r="Q88" s="183">
        <f t="shared" si="8"/>
        <v>5.994531</v>
      </c>
      <c r="R88" s="227"/>
      <c r="S88" s="226"/>
      <c r="T88" s="2">
        <f t="shared" si="17"/>
        <v>334.89000000000004</v>
      </c>
      <c r="U88" s="115">
        <f t="shared" si="16"/>
        <v>5.994531</v>
      </c>
    </row>
    <row r="89" spans="1:21" s="31" customFormat="1" ht="12.75" hidden="1" outlineLevel="3">
      <c r="A89" s="7" t="s">
        <v>53</v>
      </c>
      <c r="B89" s="7" t="s">
        <v>44</v>
      </c>
      <c r="C89" s="7" t="s">
        <v>210</v>
      </c>
      <c r="D89" s="31" t="s">
        <v>166</v>
      </c>
      <c r="E89" s="32">
        <v>2009</v>
      </c>
      <c r="F89" s="127">
        <v>32</v>
      </c>
      <c r="G89" s="20"/>
      <c r="H89" s="94">
        <f t="shared" si="15"/>
        <v>5.374899220639613</v>
      </c>
      <c r="I89" s="91"/>
      <c r="J89" s="14">
        <v>3721</v>
      </c>
      <c r="K89" s="179">
        <v>0.04</v>
      </c>
      <c r="L89" s="180">
        <f t="shared" si="6"/>
        <v>4762.88</v>
      </c>
      <c r="M89" s="181">
        <v>0.1</v>
      </c>
      <c r="N89" s="180">
        <f t="shared" si="7"/>
        <v>4286.592000000001</v>
      </c>
      <c r="O89" s="7"/>
      <c r="P89" s="182">
        <v>0.0179</v>
      </c>
      <c r="Q89" s="183">
        <f t="shared" si="8"/>
        <v>76.72999680000001</v>
      </c>
      <c r="R89" s="227"/>
      <c r="S89" s="226"/>
      <c r="T89" s="2">
        <f t="shared" si="17"/>
        <v>4286.592000000001</v>
      </c>
      <c r="U89" s="115">
        <f t="shared" si="16"/>
        <v>76.72999680000001</v>
      </c>
    </row>
    <row r="90" spans="1:21" s="31" customFormat="1" ht="12.75" hidden="1" outlineLevel="3">
      <c r="A90" s="7" t="s">
        <v>53</v>
      </c>
      <c r="B90" s="7" t="s">
        <v>44</v>
      </c>
      <c r="C90" s="7" t="s">
        <v>211</v>
      </c>
      <c r="D90" s="31" t="s">
        <v>166</v>
      </c>
      <c r="E90" s="32">
        <v>2009</v>
      </c>
      <c r="F90" s="127">
        <v>203</v>
      </c>
      <c r="G90" s="20"/>
      <c r="H90" s="94">
        <f t="shared" si="15"/>
        <v>6.148170919151553</v>
      </c>
      <c r="I90" s="91"/>
      <c r="J90" s="14">
        <f>3253</f>
        <v>3253</v>
      </c>
      <c r="K90" s="179">
        <v>0.027</v>
      </c>
      <c r="L90" s="180">
        <f t="shared" si="6"/>
        <v>17829.693</v>
      </c>
      <c r="M90" s="181">
        <v>0.1</v>
      </c>
      <c r="N90" s="180">
        <f t="shared" si="7"/>
        <v>16046.7237</v>
      </c>
      <c r="O90" s="7"/>
      <c r="P90" s="182">
        <v>0.0179</v>
      </c>
      <c r="Q90" s="183">
        <f t="shared" si="8"/>
        <v>287.23635423</v>
      </c>
      <c r="R90" s="227"/>
      <c r="S90" s="226"/>
      <c r="T90" s="2">
        <f t="shared" si="17"/>
        <v>16046.7237</v>
      </c>
      <c r="U90" s="115">
        <f t="shared" si="16"/>
        <v>287.23635423</v>
      </c>
    </row>
    <row r="91" spans="1:21" s="31" customFormat="1" ht="12.75" hidden="1" outlineLevel="3">
      <c r="A91" s="7" t="s">
        <v>53</v>
      </c>
      <c r="B91" s="7" t="s">
        <v>44</v>
      </c>
      <c r="C91" s="7" t="s">
        <v>212</v>
      </c>
      <c r="D91" s="31" t="s">
        <v>166</v>
      </c>
      <c r="E91" s="32">
        <v>2009</v>
      </c>
      <c r="F91" s="127">
        <v>2</v>
      </c>
      <c r="G91" s="20"/>
      <c r="H91" s="94">
        <f t="shared" si="15"/>
        <v>6.148170919151553</v>
      </c>
      <c r="I91" s="91"/>
      <c r="J91" s="14">
        <f>3253</f>
        <v>3253</v>
      </c>
      <c r="K91" s="179">
        <v>0.058</v>
      </c>
      <c r="L91" s="180">
        <f t="shared" si="6"/>
        <v>377.348</v>
      </c>
      <c r="M91" s="181">
        <v>0.1</v>
      </c>
      <c r="N91" s="180">
        <f t="shared" si="7"/>
        <v>339.6132</v>
      </c>
      <c r="O91" s="7"/>
      <c r="P91" s="182">
        <v>0.0179</v>
      </c>
      <c r="Q91" s="183">
        <f t="shared" si="8"/>
        <v>6.07907628</v>
      </c>
      <c r="R91" s="227"/>
      <c r="S91" s="226"/>
      <c r="T91" s="2">
        <f t="shared" si="17"/>
        <v>339.6132</v>
      </c>
      <c r="U91" s="115">
        <f t="shared" si="16"/>
        <v>6.07907628</v>
      </c>
    </row>
    <row r="92" spans="1:21" s="31" customFormat="1" ht="12.75" hidden="1" outlineLevel="3">
      <c r="A92" s="7" t="s">
        <v>53</v>
      </c>
      <c r="B92" s="7" t="s">
        <v>44</v>
      </c>
      <c r="C92" s="7" t="s">
        <v>213</v>
      </c>
      <c r="D92" s="31" t="s">
        <v>166</v>
      </c>
      <c r="E92" s="32">
        <v>2009</v>
      </c>
      <c r="F92" s="127">
        <v>164</v>
      </c>
      <c r="G92" s="20"/>
      <c r="H92" s="94">
        <v>10</v>
      </c>
      <c r="I92" s="91"/>
      <c r="J92" s="14">
        <v>8760</v>
      </c>
      <c r="K92" s="179">
        <v>0.027</v>
      </c>
      <c r="L92" s="180">
        <f t="shared" si="6"/>
        <v>38789.28</v>
      </c>
      <c r="M92" s="181">
        <v>0.1</v>
      </c>
      <c r="N92" s="180">
        <f t="shared" si="7"/>
        <v>34910.352</v>
      </c>
      <c r="O92" s="7"/>
      <c r="P92" s="182">
        <v>0.0179</v>
      </c>
      <c r="Q92" s="183">
        <f t="shared" si="8"/>
        <v>624.8953008</v>
      </c>
      <c r="R92" s="227"/>
      <c r="S92" s="226"/>
      <c r="T92" s="2">
        <f t="shared" si="17"/>
        <v>34910.352</v>
      </c>
      <c r="U92" s="115">
        <f t="shared" si="16"/>
        <v>624.8953008</v>
      </c>
    </row>
    <row r="93" spans="1:21" s="31" customFormat="1" ht="12.75" hidden="1" outlineLevel="3">
      <c r="A93" s="7" t="s">
        <v>53</v>
      </c>
      <c r="B93" s="7" t="s">
        <v>44</v>
      </c>
      <c r="C93" s="7" t="s">
        <v>214</v>
      </c>
      <c r="D93" s="31" t="s">
        <v>166</v>
      </c>
      <c r="E93" s="32">
        <v>2009</v>
      </c>
      <c r="F93" s="127">
        <v>35</v>
      </c>
      <c r="G93" s="20"/>
      <c r="H93" s="94">
        <v>10</v>
      </c>
      <c r="I93" s="91"/>
      <c r="J93" s="14">
        <v>8760</v>
      </c>
      <c r="K93" s="179">
        <v>0.027</v>
      </c>
      <c r="L93" s="180">
        <f t="shared" si="6"/>
        <v>8278.2</v>
      </c>
      <c r="M93" s="181">
        <v>0.1</v>
      </c>
      <c r="N93" s="180">
        <f t="shared" si="7"/>
        <v>7450.380000000001</v>
      </c>
      <c r="O93" s="7"/>
      <c r="P93" s="182">
        <v>0.0179</v>
      </c>
      <c r="Q93" s="183">
        <f t="shared" si="8"/>
        <v>133.361802</v>
      </c>
      <c r="R93" s="227"/>
      <c r="S93" s="226"/>
      <c r="T93" s="2">
        <f t="shared" si="17"/>
        <v>7450.380000000001</v>
      </c>
      <c r="U93" s="115">
        <f t="shared" si="16"/>
        <v>133.361802</v>
      </c>
    </row>
    <row r="94" spans="1:21" s="31" customFormat="1" ht="12.75" hidden="1" outlineLevel="3">
      <c r="A94" s="7" t="s">
        <v>53</v>
      </c>
      <c r="B94" s="7" t="s">
        <v>44</v>
      </c>
      <c r="C94" s="7" t="s">
        <v>215</v>
      </c>
      <c r="D94" s="31" t="s">
        <v>166</v>
      </c>
      <c r="E94" s="32">
        <v>2009</v>
      </c>
      <c r="F94" s="127">
        <v>6</v>
      </c>
      <c r="G94" s="20"/>
      <c r="H94" s="94">
        <f aca="true" t="shared" si="18" ref="H94:H99">(6000+10000)/2/J94</f>
        <v>2.149959688255845</v>
      </c>
      <c r="I94" s="91"/>
      <c r="J94" s="14">
        <v>3721</v>
      </c>
      <c r="K94" s="179">
        <v>0.029</v>
      </c>
      <c r="L94" s="180">
        <f t="shared" si="6"/>
        <v>647.4540000000001</v>
      </c>
      <c r="M94" s="181">
        <v>0.1</v>
      </c>
      <c r="N94" s="180">
        <f t="shared" si="7"/>
        <v>582.7086</v>
      </c>
      <c r="O94" s="7"/>
      <c r="P94" s="182">
        <v>0.0179</v>
      </c>
      <c r="Q94" s="183">
        <f t="shared" si="8"/>
        <v>10.43048394</v>
      </c>
      <c r="R94" s="227"/>
      <c r="S94" s="226"/>
      <c r="T94" s="2">
        <f t="shared" si="17"/>
        <v>582.7086</v>
      </c>
      <c r="U94" s="115">
        <f t="shared" si="16"/>
        <v>10.43048394</v>
      </c>
    </row>
    <row r="95" spans="1:21" s="31" customFormat="1" ht="12.75" hidden="1" outlineLevel="3">
      <c r="A95" s="7" t="s">
        <v>53</v>
      </c>
      <c r="B95" s="7" t="s">
        <v>44</v>
      </c>
      <c r="C95" s="7" t="s">
        <v>216</v>
      </c>
      <c r="D95" s="31" t="s">
        <v>166</v>
      </c>
      <c r="E95" s="32">
        <v>2009</v>
      </c>
      <c r="F95" s="127">
        <v>2066</v>
      </c>
      <c r="G95" s="20"/>
      <c r="H95" s="94">
        <f t="shared" si="18"/>
        <v>2.149959688255845</v>
      </c>
      <c r="I95" s="91"/>
      <c r="J95" s="14">
        <v>3721</v>
      </c>
      <c r="K95" s="179">
        <v>0.047</v>
      </c>
      <c r="L95" s="180">
        <f t="shared" si="6"/>
        <v>361316.542</v>
      </c>
      <c r="M95" s="181">
        <v>0.1</v>
      </c>
      <c r="N95" s="180">
        <f t="shared" si="7"/>
        <v>325184.8878</v>
      </c>
      <c r="O95" s="7"/>
      <c r="P95" s="182">
        <v>0.0179</v>
      </c>
      <c r="Q95" s="183">
        <f t="shared" si="8"/>
        <v>5820.80949162</v>
      </c>
      <c r="R95" s="227"/>
      <c r="S95" s="226"/>
      <c r="T95" s="2">
        <f t="shared" si="17"/>
        <v>325184.8878</v>
      </c>
      <c r="U95" s="115">
        <f t="shared" si="16"/>
        <v>5820.80949162</v>
      </c>
    </row>
    <row r="96" spans="1:21" s="31" customFormat="1" ht="12.75" hidden="1" outlineLevel="3">
      <c r="A96" s="7" t="s">
        <v>53</v>
      </c>
      <c r="B96" s="7" t="s">
        <v>44</v>
      </c>
      <c r="C96" s="7" t="s">
        <v>217</v>
      </c>
      <c r="D96" s="31" t="s">
        <v>166</v>
      </c>
      <c r="E96" s="32">
        <v>2009</v>
      </c>
      <c r="F96" s="127">
        <v>50</v>
      </c>
      <c r="G96" s="20"/>
      <c r="H96" s="94">
        <f t="shared" si="18"/>
        <v>2.149959688255845</v>
      </c>
      <c r="I96" s="91"/>
      <c r="J96" s="14">
        <v>3721</v>
      </c>
      <c r="K96" s="179">
        <v>0.077</v>
      </c>
      <c r="L96" s="180">
        <f t="shared" si="6"/>
        <v>14325.85</v>
      </c>
      <c r="M96" s="181">
        <v>0.1</v>
      </c>
      <c r="N96" s="180">
        <f t="shared" si="7"/>
        <v>12893.265000000001</v>
      </c>
      <c r="O96" s="7"/>
      <c r="P96" s="182">
        <v>0.0179</v>
      </c>
      <c r="Q96" s="183">
        <f t="shared" si="8"/>
        <v>230.7894435</v>
      </c>
      <c r="R96" s="223"/>
      <c r="S96" s="226"/>
      <c r="T96" s="2">
        <f t="shared" si="17"/>
        <v>12893.265000000001</v>
      </c>
      <c r="U96" s="115">
        <f t="shared" si="16"/>
        <v>230.7894435</v>
      </c>
    </row>
    <row r="97" spans="1:21" s="31" customFormat="1" ht="12.75" hidden="1" outlineLevel="3">
      <c r="A97" s="7" t="s">
        <v>53</v>
      </c>
      <c r="B97" s="7" t="s">
        <v>44</v>
      </c>
      <c r="C97" s="7" t="s">
        <v>218</v>
      </c>
      <c r="D97" s="31" t="s">
        <v>166</v>
      </c>
      <c r="E97" s="32">
        <v>2009</v>
      </c>
      <c r="F97" s="127">
        <v>6</v>
      </c>
      <c r="G97" s="20"/>
      <c r="H97" s="94">
        <f t="shared" si="18"/>
        <v>2.149959688255845</v>
      </c>
      <c r="I97" s="91"/>
      <c r="J97" s="14">
        <v>3721</v>
      </c>
      <c r="K97" s="179">
        <v>0.12</v>
      </c>
      <c r="L97" s="180">
        <f t="shared" si="6"/>
        <v>2679.12</v>
      </c>
      <c r="M97" s="181">
        <v>0.1</v>
      </c>
      <c r="N97" s="180">
        <f t="shared" si="7"/>
        <v>2411.208</v>
      </c>
      <c r="O97" s="7"/>
      <c r="P97" s="182">
        <v>0.0179</v>
      </c>
      <c r="Q97" s="183">
        <f t="shared" si="8"/>
        <v>43.160623199999996</v>
      </c>
      <c r="R97" s="223"/>
      <c r="S97" s="226"/>
      <c r="T97" s="2">
        <f t="shared" si="17"/>
        <v>2411.208</v>
      </c>
      <c r="U97" s="115">
        <f t="shared" si="16"/>
        <v>43.160623199999996</v>
      </c>
    </row>
    <row r="98" spans="1:21" s="31" customFormat="1" ht="12.75" hidden="1" outlineLevel="3">
      <c r="A98" s="7" t="s">
        <v>53</v>
      </c>
      <c r="B98" s="7" t="s">
        <v>44</v>
      </c>
      <c r="C98" s="7" t="s">
        <v>219</v>
      </c>
      <c r="D98" s="31" t="s">
        <v>166</v>
      </c>
      <c r="E98" s="32">
        <v>2009</v>
      </c>
      <c r="F98" s="127">
        <v>1</v>
      </c>
      <c r="G98" s="20"/>
      <c r="H98" s="94">
        <f t="shared" si="18"/>
        <v>2.149959688255845</v>
      </c>
      <c r="I98" s="91"/>
      <c r="J98" s="14">
        <v>3721</v>
      </c>
      <c r="K98" s="179">
        <v>0.029</v>
      </c>
      <c r="L98" s="180">
        <f t="shared" si="6"/>
        <v>107.909</v>
      </c>
      <c r="M98" s="181">
        <v>0.1</v>
      </c>
      <c r="N98" s="180">
        <f t="shared" si="7"/>
        <v>97.11810000000001</v>
      </c>
      <c r="O98" s="7"/>
      <c r="P98" s="182">
        <v>0.0179</v>
      </c>
      <c r="Q98" s="183">
        <f t="shared" si="8"/>
        <v>1.7384139900000002</v>
      </c>
      <c r="R98" s="223"/>
      <c r="S98" s="226"/>
      <c r="T98" s="2">
        <f t="shared" si="17"/>
        <v>97.11810000000001</v>
      </c>
      <c r="U98" s="115">
        <f t="shared" si="16"/>
        <v>1.7384139900000002</v>
      </c>
    </row>
    <row r="99" spans="1:21" s="31" customFormat="1" ht="12.75" hidden="1" outlineLevel="3">
      <c r="A99" s="7" t="s">
        <v>53</v>
      </c>
      <c r="B99" s="7" t="s">
        <v>44</v>
      </c>
      <c r="C99" s="7" t="s">
        <v>220</v>
      </c>
      <c r="D99" s="31" t="s">
        <v>166</v>
      </c>
      <c r="E99" s="32">
        <v>2009</v>
      </c>
      <c r="F99" s="127">
        <v>4</v>
      </c>
      <c r="G99" s="20"/>
      <c r="H99" s="94">
        <f t="shared" si="18"/>
        <v>2.149959688255845</v>
      </c>
      <c r="I99" s="91"/>
      <c r="J99" s="14">
        <v>3721</v>
      </c>
      <c r="K99" s="179">
        <v>0.047</v>
      </c>
      <c r="L99" s="180">
        <f aca="true" t="shared" si="19" ref="L99:L110">IF(K99&lt;&gt;"",J99*K99*F99,I99*F99)</f>
        <v>699.548</v>
      </c>
      <c r="M99" s="181">
        <v>0.1</v>
      </c>
      <c r="N99" s="180">
        <f aca="true" t="shared" si="20" ref="N99:N130">+L99*(1-M99)</f>
        <v>629.5932</v>
      </c>
      <c r="O99" s="7"/>
      <c r="P99" s="182">
        <v>0.0179</v>
      </c>
      <c r="Q99" s="183">
        <f aca="true" t="shared" si="21" ref="Q99:Q130">+N99*P99</f>
        <v>11.26971828</v>
      </c>
      <c r="R99" s="223"/>
      <c r="S99" s="226"/>
      <c r="T99" s="2">
        <f t="shared" si="17"/>
        <v>629.5932</v>
      </c>
      <c r="U99" s="115">
        <f t="shared" si="16"/>
        <v>11.26971828</v>
      </c>
    </row>
    <row r="100" spans="1:21" s="31" customFormat="1" ht="12.75" hidden="1" outlineLevel="3">
      <c r="A100" s="7" t="s">
        <v>53</v>
      </c>
      <c r="B100" s="7" t="s">
        <v>44</v>
      </c>
      <c r="C100" s="7" t="s">
        <v>221</v>
      </c>
      <c r="D100" s="31" t="s">
        <v>166</v>
      </c>
      <c r="E100" s="32">
        <v>2009</v>
      </c>
      <c r="F100" s="127">
        <v>41</v>
      </c>
      <c r="G100" s="20"/>
      <c r="H100" s="32">
        <v>10</v>
      </c>
      <c r="I100" s="91"/>
      <c r="J100" s="14">
        <v>985.5</v>
      </c>
      <c r="K100" s="179">
        <v>0.055</v>
      </c>
      <c r="L100" s="180">
        <f t="shared" si="19"/>
        <v>2222.3025000000002</v>
      </c>
      <c r="M100" s="181">
        <v>0.1</v>
      </c>
      <c r="N100" s="180">
        <f t="shared" si="20"/>
        <v>2000.0722500000002</v>
      </c>
      <c r="O100" s="7"/>
      <c r="P100" s="182">
        <v>0.0179</v>
      </c>
      <c r="Q100" s="183">
        <f t="shared" si="21"/>
        <v>35.801293275</v>
      </c>
      <c r="R100" s="223"/>
      <c r="S100" s="226"/>
      <c r="T100" s="2">
        <f t="shared" si="17"/>
        <v>2000.0722500000002</v>
      </c>
      <c r="U100" s="115">
        <f t="shared" si="16"/>
        <v>35.801293275</v>
      </c>
    </row>
    <row r="101" spans="1:21" s="31" customFormat="1" ht="12.75" hidden="1" outlineLevel="3">
      <c r="A101" s="7" t="s">
        <v>53</v>
      </c>
      <c r="B101" s="7" t="s">
        <v>44</v>
      </c>
      <c r="C101" s="7" t="s">
        <v>222</v>
      </c>
      <c r="D101" s="31" t="s">
        <v>166</v>
      </c>
      <c r="E101" s="32">
        <v>2009</v>
      </c>
      <c r="F101" s="127">
        <v>4</v>
      </c>
      <c r="G101" s="20"/>
      <c r="H101" s="32">
        <v>10</v>
      </c>
      <c r="I101" s="91"/>
      <c r="J101" s="14">
        <v>985.5</v>
      </c>
      <c r="K101" s="179">
        <v>0.101</v>
      </c>
      <c r="L101" s="180">
        <f t="shared" si="19"/>
        <v>398.14200000000005</v>
      </c>
      <c r="M101" s="181">
        <v>0.1</v>
      </c>
      <c r="N101" s="180">
        <f t="shared" si="20"/>
        <v>358.3278000000001</v>
      </c>
      <c r="O101" s="7"/>
      <c r="P101" s="182">
        <v>0.0179</v>
      </c>
      <c r="Q101" s="183">
        <f t="shared" si="21"/>
        <v>6.414067620000001</v>
      </c>
      <c r="R101" s="223"/>
      <c r="S101" s="226"/>
      <c r="T101" s="2">
        <f t="shared" si="17"/>
        <v>358.3278000000001</v>
      </c>
      <c r="U101" s="115">
        <f t="shared" si="16"/>
        <v>6.414067620000001</v>
      </c>
    </row>
    <row r="102" spans="1:21" s="31" customFormat="1" ht="12.75" hidden="1" outlineLevel="3">
      <c r="A102" s="7" t="s">
        <v>53</v>
      </c>
      <c r="B102" s="7" t="s">
        <v>44</v>
      </c>
      <c r="C102" s="7" t="s">
        <v>223</v>
      </c>
      <c r="D102" s="31" t="s">
        <v>166</v>
      </c>
      <c r="E102" s="32">
        <v>2009</v>
      </c>
      <c r="F102" s="127">
        <v>175</v>
      </c>
      <c r="G102" s="20"/>
      <c r="H102" s="94">
        <f>8000/J102</f>
        <v>2.149959688255845</v>
      </c>
      <c r="I102" s="91"/>
      <c r="J102" s="14">
        <v>3721</v>
      </c>
      <c r="K102" s="179">
        <v>0.047</v>
      </c>
      <c r="L102" s="180">
        <f t="shared" si="19"/>
        <v>30605.225</v>
      </c>
      <c r="M102" s="181">
        <v>0.1</v>
      </c>
      <c r="N102" s="180">
        <f t="shared" si="20"/>
        <v>27544.7025</v>
      </c>
      <c r="O102" s="7"/>
      <c r="P102" s="182">
        <v>0.0179</v>
      </c>
      <c r="Q102" s="183">
        <f t="shared" si="21"/>
        <v>493.05017475</v>
      </c>
      <c r="R102" s="223"/>
      <c r="S102" s="226"/>
      <c r="T102" s="2">
        <f t="shared" si="17"/>
        <v>27544.7025</v>
      </c>
      <c r="U102" s="115">
        <f t="shared" si="16"/>
        <v>493.05017475</v>
      </c>
    </row>
    <row r="103" spans="1:21" s="31" customFormat="1" ht="12.75" hidden="1" outlineLevel="3">
      <c r="A103" s="7" t="s">
        <v>53</v>
      </c>
      <c r="B103" s="7" t="s">
        <v>44</v>
      </c>
      <c r="C103" s="7" t="s">
        <v>224</v>
      </c>
      <c r="D103" s="31" t="s">
        <v>166</v>
      </c>
      <c r="E103" s="32">
        <v>2009</v>
      </c>
      <c r="F103" s="127">
        <v>91</v>
      </c>
      <c r="G103" s="20"/>
      <c r="H103" s="94">
        <f aca="true" t="shared" si="22" ref="H103:H110">8000/J103</f>
        <v>2.149959688255845</v>
      </c>
      <c r="I103" s="91"/>
      <c r="J103" s="14">
        <v>3721</v>
      </c>
      <c r="K103" s="179">
        <v>0.057</v>
      </c>
      <c r="L103" s="180">
        <f t="shared" si="19"/>
        <v>19300.827</v>
      </c>
      <c r="M103" s="181">
        <v>0.1</v>
      </c>
      <c r="N103" s="180">
        <f t="shared" si="20"/>
        <v>17370.744300000002</v>
      </c>
      <c r="O103" s="7"/>
      <c r="P103" s="182">
        <v>0.0179</v>
      </c>
      <c r="Q103" s="183">
        <f t="shared" si="21"/>
        <v>310.93632297000005</v>
      </c>
      <c r="R103" s="223"/>
      <c r="S103" s="226"/>
      <c r="T103" s="2">
        <f t="shared" si="17"/>
        <v>17370.744300000002</v>
      </c>
      <c r="U103" s="115">
        <f t="shared" si="16"/>
        <v>310.93632297000005</v>
      </c>
    </row>
    <row r="104" spans="1:21" s="31" customFormat="1" ht="12.75" hidden="1" outlineLevel="3">
      <c r="A104" s="7" t="s">
        <v>53</v>
      </c>
      <c r="B104" s="7" t="s">
        <v>44</v>
      </c>
      <c r="C104" s="7" t="s">
        <v>225</v>
      </c>
      <c r="D104" s="31" t="s">
        <v>166</v>
      </c>
      <c r="E104" s="32">
        <v>2009</v>
      </c>
      <c r="F104" s="127">
        <v>168</v>
      </c>
      <c r="G104" s="20"/>
      <c r="H104" s="94">
        <f t="shared" si="22"/>
        <v>2.149959688255845</v>
      </c>
      <c r="I104" s="91"/>
      <c r="J104" s="14">
        <v>3721</v>
      </c>
      <c r="K104" s="179">
        <v>0.074</v>
      </c>
      <c r="L104" s="180">
        <f t="shared" si="19"/>
        <v>46259.471999999994</v>
      </c>
      <c r="M104" s="181">
        <v>0.1</v>
      </c>
      <c r="N104" s="180">
        <f t="shared" si="20"/>
        <v>41633.5248</v>
      </c>
      <c r="O104" s="7"/>
      <c r="P104" s="182">
        <v>0.0179</v>
      </c>
      <c r="Q104" s="183">
        <f t="shared" si="21"/>
        <v>745.2400939199999</v>
      </c>
      <c r="R104" s="223"/>
      <c r="S104" s="226"/>
      <c r="T104" s="2">
        <f t="shared" si="17"/>
        <v>41633.5248</v>
      </c>
      <c r="U104" s="115">
        <f t="shared" si="16"/>
        <v>745.2400939199999</v>
      </c>
    </row>
    <row r="105" spans="1:21" s="31" customFormat="1" ht="12.75" hidden="1" outlineLevel="3">
      <c r="A105" s="7" t="s">
        <v>53</v>
      </c>
      <c r="B105" s="7" t="s">
        <v>44</v>
      </c>
      <c r="C105" s="7" t="s">
        <v>226</v>
      </c>
      <c r="D105" s="31" t="s">
        <v>166</v>
      </c>
      <c r="E105" s="32">
        <v>2009</v>
      </c>
      <c r="F105" s="127">
        <v>169</v>
      </c>
      <c r="G105" s="20"/>
      <c r="H105" s="94">
        <f t="shared" si="22"/>
        <v>2.149959688255845</v>
      </c>
      <c r="I105" s="91"/>
      <c r="J105" s="14">
        <v>3721</v>
      </c>
      <c r="K105" s="179">
        <v>0.047</v>
      </c>
      <c r="L105" s="180">
        <f t="shared" si="19"/>
        <v>29555.903</v>
      </c>
      <c r="M105" s="181">
        <v>0.1</v>
      </c>
      <c r="N105" s="180">
        <f t="shared" si="20"/>
        <v>26600.3127</v>
      </c>
      <c r="O105" s="7"/>
      <c r="P105" s="182">
        <v>0.0179</v>
      </c>
      <c r="Q105" s="183">
        <f t="shared" si="21"/>
        <v>476.14559732999993</v>
      </c>
      <c r="R105" s="223"/>
      <c r="S105" s="226"/>
      <c r="T105" s="2">
        <f t="shared" si="17"/>
        <v>26600.3127</v>
      </c>
      <c r="U105" s="115">
        <f t="shared" si="16"/>
        <v>476.14559732999993</v>
      </c>
    </row>
    <row r="106" spans="1:21" s="31" customFormat="1" ht="12.75" hidden="1" outlineLevel="3">
      <c r="A106" s="7" t="s">
        <v>53</v>
      </c>
      <c r="B106" s="7" t="s">
        <v>44</v>
      </c>
      <c r="C106" s="7" t="s">
        <v>227</v>
      </c>
      <c r="D106" s="31" t="s">
        <v>166</v>
      </c>
      <c r="E106" s="32">
        <v>2009</v>
      </c>
      <c r="F106" s="127">
        <v>103</v>
      </c>
      <c r="G106" s="20"/>
      <c r="H106" s="94">
        <f t="shared" si="22"/>
        <v>2.149959688255845</v>
      </c>
      <c r="I106" s="91"/>
      <c r="J106" s="14">
        <v>3721</v>
      </c>
      <c r="K106" s="179">
        <v>0.057</v>
      </c>
      <c r="L106" s="180">
        <f t="shared" si="19"/>
        <v>21845.991</v>
      </c>
      <c r="M106" s="181">
        <v>0.1</v>
      </c>
      <c r="N106" s="180">
        <f t="shared" si="20"/>
        <v>19661.391900000002</v>
      </c>
      <c r="O106" s="7"/>
      <c r="P106" s="182">
        <v>0.0179</v>
      </c>
      <c r="Q106" s="183">
        <f t="shared" si="21"/>
        <v>351.93891501</v>
      </c>
      <c r="R106" s="223"/>
      <c r="S106" s="226"/>
      <c r="T106" s="2">
        <f t="shared" si="17"/>
        <v>19661.391900000002</v>
      </c>
      <c r="U106" s="115">
        <f t="shared" si="16"/>
        <v>351.93891501</v>
      </c>
    </row>
    <row r="107" spans="1:21" s="31" customFormat="1" ht="12.75" hidden="1" outlineLevel="3">
      <c r="A107" s="7" t="s">
        <v>53</v>
      </c>
      <c r="B107" s="7" t="s">
        <v>44</v>
      </c>
      <c r="C107" s="7" t="s">
        <v>228</v>
      </c>
      <c r="D107" s="31" t="s">
        <v>166</v>
      </c>
      <c r="E107" s="32">
        <v>2009</v>
      </c>
      <c r="F107" s="127">
        <v>5</v>
      </c>
      <c r="G107" s="20"/>
      <c r="H107" s="94">
        <f t="shared" si="22"/>
        <v>2.149959688255845</v>
      </c>
      <c r="I107" s="91"/>
      <c r="J107" s="14">
        <v>3721</v>
      </c>
      <c r="K107" s="179">
        <v>0.025</v>
      </c>
      <c r="L107" s="180">
        <f t="shared" si="19"/>
        <v>465.125</v>
      </c>
      <c r="M107" s="181">
        <v>0.1</v>
      </c>
      <c r="N107" s="180">
        <f t="shared" si="20"/>
        <v>418.6125</v>
      </c>
      <c r="O107" s="7"/>
      <c r="P107" s="182">
        <v>0.0179</v>
      </c>
      <c r="Q107" s="183">
        <f t="shared" si="21"/>
        <v>7.49316375</v>
      </c>
      <c r="R107" s="223"/>
      <c r="S107" s="226"/>
      <c r="T107" s="2">
        <f t="shared" si="17"/>
        <v>418.6125</v>
      </c>
      <c r="U107" s="115">
        <f t="shared" si="16"/>
        <v>7.49316375</v>
      </c>
    </row>
    <row r="108" spans="1:21" s="31" customFormat="1" ht="12.75" hidden="1" outlineLevel="3">
      <c r="A108" s="7" t="s">
        <v>53</v>
      </c>
      <c r="B108" s="7" t="s">
        <v>44</v>
      </c>
      <c r="C108" s="7" t="s">
        <v>229</v>
      </c>
      <c r="D108" s="31" t="s">
        <v>166</v>
      </c>
      <c r="E108" s="32">
        <v>2009</v>
      </c>
      <c r="F108" s="127">
        <v>23</v>
      </c>
      <c r="G108" s="20"/>
      <c r="H108" s="94">
        <f t="shared" si="22"/>
        <v>2.149959688255845</v>
      </c>
      <c r="I108" s="91"/>
      <c r="J108" s="14">
        <v>3721</v>
      </c>
      <c r="K108" s="179">
        <v>0.0645</v>
      </c>
      <c r="L108" s="180">
        <f t="shared" si="19"/>
        <v>5520.1035</v>
      </c>
      <c r="M108" s="181">
        <v>0.1</v>
      </c>
      <c r="N108" s="180">
        <f t="shared" si="20"/>
        <v>4968.093150000001</v>
      </c>
      <c r="O108" s="7"/>
      <c r="P108" s="182">
        <v>0.0179</v>
      </c>
      <c r="Q108" s="183">
        <f t="shared" si="21"/>
        <v>88.928867385</v>
      </c>
      <c r="R108" s="223"/>
      <c r="S108" s="226"/>
      <c r="T108" s="2">
        <f t="shared" si="17"/>
        <v>4968.093150000001</v>
      </c>
      <c r="U108" s="115">
        <f t="shared" si="16"/>
        <v>88.928867385</v>
      </c>
    </row>
    <row r="109" spans="1:21" ht="12.75" hidden="1" outlineLevel="3">
      <c r="A109" s="7" t="s">
        <v>53</v>
      </c>
      <c r="B109" s="7" t="s">
        <v>44</v>
      </c>
      <c r="C109" s="7" t="s">
        <v>230</v>
      </c>
      <c r="D109" s="31" t="s">
        <v>166</v>
      </c>
      <c r="E109" s="32">
        <v>2009</v>
      </c>
      <c r="F109" s="127">
        <v>1</v>
      </c>
      <c r="G109" s="20"/>
      <c r="H109" s="94">
        <f t="shared" si="22"/>
        <v>2.149959688255845</v>
      </c>
      <c r="I109" s="91"/>
      <c r="J109" s="14">
        <v>3721</v>
      </c>
      <c r="K109" s="179">
        <v>0.074</v>
      </c>
      <c r="L109" s="180">
        <f t="shared" si="19"/>
        <v>275.354</v>
      </c>
      <c r="M109" s="181">
        <v>0.1</v>
      </c>
      <c r="N109" s="180">
        <f t="shared" si="20"/>
        <v>247.8186</v>
      </c>
      <c r="O109" s="7"/>
      <c r="P109" s="182">
        <v>0.0179</v>
      </c>
      <c r="Q109" s="183">
        <f t="shared" si="21"/>
        <v>4.43595294</v>
      </c>
      <c r="R109" s="223"/>
      <c r="S109" s="226"/>
      <c r="T109" s="2">
        <f t="shared" si="17"/>
        <v>247.8186</v>
      </c>
      <c r="U109" s="115">
        <f t="shared" si="16"/>
        <v>4.43595294</v>
      </c>
    </row>
    <row r="110" spans="1:21" ht="12.75" hidden="1" outlineLevel="3">
      <c r="A110" s="7" t="s">
        <v>53</v>
      </c>
      <c r="B110" s="7" t="s">
        <v>44</v>
      </c>
      <c r="C110" s="7" t="s">
        <v>231</v>
      </c>
      <c r="D110" s="31" t="s">
        <v>166</v>
      </c>
      <c r="E110" s="32">
        <v>2009</v>
      </c>
      <c r="F110" s="127">
        <v>70</v>
      </c>
      <c r="G110" s="20"/>
      <c r="H110" s="94">
        <f t="shared" si="22"/>
        <v>2.149959688255845</v>
      </c>
      <c r="I110" s="91"/>
      <c r="J110" s="14">
        <v>3721</v>
      </c>
      <c r="K110" s="179">
        <v>0.0295</v>
      </c>
      <c r="L110" s="180">
        <f t="shared" si="19"/>
        <v>7683.865</v>
      </c>
      <c r="M110" s="181">
        <v>0.1</v>
      </c>
      <c r="N110" s="180">
        <f t="shared" si="20"/>
        <v>6915.4785</v>
      </c>
      <c r="O110" s="7"/>
      <c r="P110" s="182">
        <v>0.0179</v>
      </c>
      <c r="Q110" s="183">
        <f t="shared" si="21"/>
        <v>123.78706515</v>
      </c>
      <c r="R110" s="223"/>
      <c r="S110" s="226"/>
      <c r="T110" s="2">
        <f t="shared" si="17"/>
        <v>6915.4785</v>
      </c>
      <c r="U110" s="115">
        <f t="shared" si="16"/>
        <v>123.78706515</v>
      </c>
    </row>
    <row r="111" spans="1:21" ht="12.75" outlineLevel="2" collapsed="1">
      <c r="A111" s="7"/>
      <c r="B111" s="19" t="s">
        <v>274</v>
      </c>
      <c r="C111" s="7"/>
      <c r="D111" s="31"/>
      <c r="E111" s="32"/>
      <c r="F111" s="127"/>
      <c r="G111" s="20"/>
      <c r="H111" s="94"/>
      <c r="I111" s="91"/>
      <c r="J111" s="14"/>
      <c r="K111" s="179"/>
      <c r="L111" s="180"/>
      <c r="M111" s="181"/>
      <c r="N111" s="180"/>
      <c r="O111" s="7"/>
      <c r="P111" s="182"/>
      <c r="Q111" s="183"/>
      <c r="R111" s="223"/>
      <c r="S111" s="226"/>
      <c r="T111" s="2"/>
      <c r="U111" s="115">
        <f>SUBTOTAL(9,U72:U110)</f>
        <v>27356.350290030005</v>
      </c>
    </row>
    <row r="112" spans="1:21" ht="12.75" hidden="1" outlineLevel="3">
      <c r="A112" s="7" t="s">
        <v>53</v>
      </c>
      <c r="B112" t="s">
        <v>142</v>
      </c>
      <c r="C112" s="7" t="s">
        <v>128</v>
      </c>
      <c r="D112" s="7" t="s">
        <v>122</v>
      </c>
      <c r="E112" s="8">
        <v>2009</v>
      </c>
      <c r="F112" s="9">
        <v>7</v>
      </c>
      <c r="G112" s="20"/>
      <c r="H112" s="94">
        <f>20000/J112</f>
        <v>6.148170919151553</v>
      </c>
      <c r="I112" s="91"/>
      <c r="J112" s="14">
        <v>3253</v>
      </c>
      <c r="K112" s="126">
        <f>(51-28)/1000</f>
        <v>0.023</v>
      </c>
      <c r="L112" s="2">
        <f>IF(K112&lt;&gt;"",J112*K112*F112,I112*F112)</f>
        <v>523.7330000000001</v>
      </c>
      <c r="M112" s="3">
        <v>0.1</v>
      </c>
      <c r="N112" s="2">
        <f t="shared" si="20"/>
        <v>471.3597000000001</v>
      </c>
      <c r="O112"/>
      <c r="P112" s="12">
        <v>0.0179</v>
      </c>
      <c r="Q112" s="6">
        <f t="shared" si="21"/>
        <v>8.437338630000001</v>
      </c>
      <c r="R112" s="223"/>
      <c r="S112" s="209"/>
      <c r="T112" s="2">
        <f t="shared" si="17"/>
        <v>471.3597000000001</v>
      </c>
      <c r="U112" s="115">
        <f>Q112+S112</f>
        <v>8.437338630000001</v>
      </c>
    </row>
    <row r="113" spans="1:21" ht="12.75" hidden="1" outlineLevel="3">
      <c r="A113" s="7" t="s">
        <v>53</v>
      </c>
      <c r="B113" t="s">
        <v>142</v>
      </c>
      <c r="C113" s="7" t="s">
        <v>129</v>
      </c>
      <c r="D113" s="7" t="s">
        <v>122</v>
      </c>
      <c r="E113" s="8">
        <v>2009</v>
      </c>
      <c r="F113" s="9">
        <v>3</v>
      </c>
      <c r="G113" s="20"/>
      <c r="H113" s="94">
        <f>20000/J113</f>
        <v>6.148170919151553</v>
      </c>
      <c r="I113" s="91"/>
      <c r="J113" s="14">
        <v>3253</v>
      </c>
      <c r="K113" s="126">
        <f>(88-55)/1000</f>
        <v>0.033</v>
      </c>
      <c r="L113" s="2">
        <f>IF(K113&lt;&gt;"",J113*K113*F113,I113*F113)</f>
        <v>322.047</v>
      </c>
      <c r="M113" s="3">
        <v>0.1</v>
      </c>
      <c r="N113" s="2">
        <f t="shared" si="20"/>
        <v>289.8423</v>
      </c>
      <c r="O113"/>
      <c r="P113" s="12">
        <v>0.0179</v>
      </c>
      <c r="Q113" s="6">
        <f t="shared" si="21"/>
        <v>5.18817717</v>
      </c>
      <c r="R113" s="223"/>
      <c r="S113" s="209"/>
      <c r="T113" s="2">
        <f t="shared" si="17"/>
        <v>289.8423</v>
      </c>
      <c r="U113" s="115">
        <f>Q113+S113</f>
        <v>5.18817717</v>
      </c>
    </row>
    <row r="114" spans="1:21" ht="12.75" hidden="1" outlineLevel="3">
      <c r="A114" s="7" t="s">
        <v>53</v>
      </c>
      <c r="B114" t="s">
        <v>142</v>
      </c>
      <c r="C114" s="7" t="s">
        <v>130</v>
      </c>
      <c r="D114" s="7" t="s">
        <v>122</v>
      </c>
      <c r="E114" s="8">
        <v>2009</v>
      </c>
      <c r="F114" s="9">
        <v>26</v>
      </c>
      <c r="G114" s="20"/>
      <c r="H114" s="94">
        <f>20000/J114</f>
        <v>6.148170919151553</v>
      </c>
      <c r="I114" s="91"/>
      <c r="J114" s="14">
        <v>3253</v>
      </c>
      <c r="K114" s="126">
        <f>(149-85)/1000</f>
        <v>0.064</v>
      </c>
      <c r="L114" s="2">
        <f>IF(K114&lt;&gt;"",J114*K114*F114,I114*F114)</f>
        <v>5412.992</v>
      </c>
      <c r="M114" s="3">
        <v>0.1</v>
      </c>
      <c r="N114" s="2">
        <f t="shared" si="20"/>
        <v>4871.692800000001</v>
      </c>
      <c r="O114"/>
      <c r="P114" s="12">
        <v>0.0179</v>
      </c>
      <c r="Q114" s="6">
        <f t="shared" si="21"/>
        <v>87.20330112</v>
      </c>
      <c r="R114" s="223"/>
      <c r="S114" s="209"/>
      <c r="T114" s="2">
        <f t="shared" si="17"/>
        <v>4871.692800000001</v>
      </c>
      <c r="U114" s="115">
        <f>Q114+S114</f>
        <v>87.20330112</v>
      </c>
    </row>
    <row r="115" spans="1:21" ht="12.75" hidden="1" outlineLevel="3">
      <c r="A115" s="7" t="s">
        <v>53</v>
      </c>
      <c r="B115" t="s">
        <v>142</v>
      </c>
      <c r="C115" s="7" t="s">
        <v>56</v>
      </c>
      <c r="D115" s="7" t="s">
        <v>122</v>
      </c>
      <c r="E115" s="8">
        <v>2009</v>
      </c>
      <c r="F115" s="9">
        <v>8</v>
      </c>
      <c r="G115" s="20"/>
      <c r="H115" s="94"/>
      <c r="I115" s="91"/>
      <c r="J115" s="14">
        <f>4450*0.4</f>
        <v>1780</v>
      </c>
      <c r="K115" s="126">
        <f>(300)/1000</f>
        <v>0.3</v>
      </c>
      <c r="L115" s="2">
        <f>IF(K115&lt;&gt;"",J115*K115*F115,I115*F115)</f>
        <v>4272</v>
      </c>
      <c r="M115" s="3">
        <v>0.1</v>
      </c>
      <c r="N115" s="2">
        <f t="shared" si="20"/>
        <v>3844.8</v>
      </c>
      <c r="O115"/>
      <c r="P115" s="12">
        <v>0.0179</v>
      </c>
      <c r="Q115" s="6">
        <f t="shared" si="21"/>
        <v>68.82192</v>
      </c>
      <c r="R115" s="223"/>
      <c r="S115" s="209"/>
      <c r="T115" s="2">
        <f t="shared" si="17"/>
        <v>3844.8</v>
      </c>
      <c r="U115" s="115">
        <f>Q115+S115</f>
        <v>68.82192</v>
      </c>
    </row>
    <row r="116" spans="1:21" ht="12.75" outlineLevel="2" collapsed="1">
      <c r="A116" s="7"/>
      <c r="B116" s="1" t="s">
        <v>240</v>
      </c>
      <c r="C116" s="7"/>
      <c r="D116" s="7"/>
      <c r="E116" s="8"/>
      <c r="F116" s="9"/>
      <c r="G116" s="20"/>
      <c r="H116" s="94"/>
      <c r="I116" s="91"/>
      <c r="J116" s="14"/>
      <c r="K116" s="126"/>
      <c r="L116" s="2"/>
      <c r="M116" s="3"/>
      <c r="N116" s="2"/>
      <c r="O116"/>
      <c r="P116" s="12"/>
      <c r="Q116" s="6"/>
      <c r="R116" s="223"/>
      <c r="S116" s="209"/>
      <c r="T116" s="2"/>
      <c r="U116" s="115">
        <f>SUBTOTAL(9,U112:U115)</f>
        <v>169.65073692</v>
      </c>
    </row>
    <row r="117" spans="1:21" ht="12.75" hidden="1" outlineLevel="3">
      <c r="A117" s="7" t="s">
        <v>53</v>
      </c>
      <c r="B117" t="s">
        <v>140</v>
      </c>
      <c r="C117" s="7" t="s">
        <v>172</v>
      </c>
      <c r="D117" s="7" t="s">
        <v>122</v>
      </c>
      <c r="E117" s="8">
        <v>2009</v>
      </c>
      <c r="F117" s="127">
        <v>46</v>
      </c>
      <c r="G117" s="20"/>
      <c r="H117" s="94">
        <f>20000/J117</f>
        <v>5.832604257801108</v>
      </c>
      <c r="I117" s="119"/>
      <c r="J117" s="14">
        <v>3429</v>
      </c>
      <c r="K117" s="126">
        <f>(51-28)/1000</f>
        <v>0.023</v>
      </c>
      <c r="L117" s="2">
        <f>IF(K117&lt;&gt;"",J117*K117*F117,I117*F117)</f>
        <v>3627.882</v>
      </c>
      <c r="M117" s="3">
        <v>0.1</v>
      </c>
      <c r="N117" s="2">
        <f t="shared" si="20"/>
        <v>3265.0938</v>
      </c>
      <c r="O117"/>
      <c r="P117" s="12">
        <v>0.0179</v>
      </c>
      <c r="Q117" s="6">
        <f t="shared" si="21"/>
        <v>58.44517902</v>
      </c>
      <c r="R117" s="223"/>
      <c r="S117" s="209"/>
      <c r="T117" s="2">
        <f t="shared" si="17"/>
        <v>3265.0938</v>
      </c>
      <c r="U117" s="115">
        <f>Q117+S117</f>
        <v>58.44517902</v>
      </c>
    </row>
    <row r="118" spans="1:21" ht="12.75" hidden="1" outlineLevel="3">
      <c r="A118" s="7" t="s">
        <v>53</v>
      </c>
      <c r="B118" t="s">
        <v>140</v>
      </c>
      <c r="C118" s="7" t="s">
        <v>173</v>
      </c>
      <c r="D118" s="7" t="s">
        <v>122</v>
      </c>
      <c r="E118" s="8">
        <v>2009</v>
      </c>
      <c r="F118" s="127">
        <v>4</v>
      </c>
      <c r="G118" s="20"/>
      <c r="H118" s="94">
        <f>20000/J118</f>
        <v>5.832604257801108</v>
      </c>
      <c r="I118" s="119"/>
      <c r="J118" s="14">
        <v>3429</v>
      </c>
      <c r="K118" s="126">
        <f>(88-55)/1000</f>
        <v>0.033</v>
      </c>
      <c r="L118" s="2">
        <f aca="true" t="shared" si="23" ref="L118:L175">IF(K118&lt;&gt;"",J118*K118*F118,I118*F118)</f>
        <v>452.62800000000004</v>
      </c>
      <c r="M118" s="3">
        <v>0.1</v>
      </c>
      <c r="N118" s="2">
        <f t="shared" si="20"/>
        <v>407.3652000000001</v>
      </c>
      <c r="O118"/>
      <c r="P118" s="12">
        <v>0.0179</v>
      </c>
      <c r="Q118" s="6">
        <f t="shared" si="21"/>
        <v>7.291837080000001</v>
      </c>
      <c r="R118" s="223"/>
      <c r="S118" s="209"/>
      <c r="T118" s="2">
        <f t="shared" si="17"/>
        <v>407.3652000000001</v>
      </c>
      <c r="U118" s="115">
        <f>Q118+S118</f>
        <v>7.291837080000001</v>
      </c>
    </row>
    <row r="119" spans="1:21" ht="12.75" hidden="1" outlineLevel="3">
      <c r="A119" s="7" t="s">
        <v>53</v>
      </c>
      <c r="B119" t="s">
        <v>140</v>
      </c>
      <c r="C119" s="7" t="s">
        <v>174</v>
      </c>
      <c r="D119" s="7" t="s">
        <v>122</v>
      </c>
      <c r="E119" s="8">
        <v>2009</v>
      </c>
      <c r="F119" s="127">
        <v>3</v>
      </c>
      <c r="G119" s="20"/>
      <c r="H119" s="94">
        <f>20000/J119</f>
        <v>5.832604257801108</v>
      </c>
      <c r="I119" s="119"/>
      <c r="J119" s="14">
        <v>3429</v>
      </c>
      <c r="K119" s="126">
        <f>(149-85)/1000</f>
        <v>0.064</v>
      </c>
      <c r="L119" s="2">
        <f t="shared" si="23"/>
        <v>658.368</v>
      </c>
      <c r="M119" s="3">
        <v>0.1</v>
      </c>
      <c r="N119" s="2">
        <f t="shared" si="20"/>
        <v>592.5312</v>
      </c>
      <c r="O119"/>
      <c r="P119" s="12">
        <v>0.0179</v>
      </c>
      <c r="Q119" s="6">
        <f t="shared" si="21"/>
        <v>10.60630848</v>
      </c>
      <c r="R119" s="223"/>
      <c r="S119" s="209"/>
      <c r="T119" s="2">
        <f t="shared" si="17"/>
        <v>592.5312</v>
      </c>
      <c r="U119" s="115">
        <f>Q119+S119</f>
        <v>10.60630848</v>
      </c>
    </row>
    <row r="120" spans="1:21" ht="12.75" hidden="1" outlineLevel="3">
      <c r="A120" s="7" t="s">
        <v>53</v>
      </c>
      <c r="B120" t="s">
        <v>140</v>
      </c>
      <c r="C120" s="7" t="s">
        <v>175</v>
      </c>
      <c r="D120" s="7" t="s">
        <v>122</v>
      </c>
      <c r="E120" s="8">
        <v>2009</v>
      </c>
      <c r="F120" s="127">
        <v>60</v>
      </c>
      <c r="G120" s="20"/>
      <c r="H120" s="94">
        <f>20000/J120</f>
        <v>5.832604257801108</v>
      </c>
      <c r="I120" s="119"/>
      <c r="J120" s="14">
        <v>3429</v>
      </c>
      <c r="K120" s="126">
        <f>(149-85)/1000</f>
        <v>0.064</v>
      </c>
      <c r="L120" s="2">
        <f t="shared" si="23"/>
        <v>13167.36</v>
      </c>
      <c r="M120" s="3">
        <v>0.1</v>
      </c>
      <c r="N120" s="2">
        <f t="shared" si="20"/>
        <v>11850.624000000002</v>
      </c>
      <c r="O120"/>
      <c r="P120" s="12">
        <v>0.0179</v>
      </c>
      <c r="Q120" s="6">
        <f t="shared" si="21"/>
        <v>212.12616960000003</v>
      </c>
      <c r="R120" s="223"/>
      <c r="S120" s="209"/>
      <c r="T120" s="2">
        <f t="shared" si="17"/>
        <v>11850.624000000002</v>
      </c>
      <c r="U120" s="115">
        <f>Q120+S120</f>
        <v>212.12616960000003</v>
      </c>
    </row>
    <row r="121" spans="1:21" ht="12.75" outlineLevel="2" collapsed="1">
      <c r="A121" s="7"/>
      <c r="B121" s="1" t="s">
        <v>241</v>
      </c>
      <c r="C121" s="7"/>
      <c r="D121" s="7"/>
      <c r="E121" s="8"/>
      <c r="F121" s="127"/>
      <c r="G121" s="20"/>
      <c r="H121" s="94"/>
      <c r="I121" s="119"/>
      <c r="J121" s="14"/>
      <c r="K121" s="126"/>
      <c r="L121" s="2"/>
      <c r="M121" s="3"/>
      <c r="N121" s="2"/>
      <c r="O121"/>
      <c r="P121" s="12"/>
      <c r="Q121" s="6"/>
      <c r="R121" s="223"/>
      <c r="S121" s="209"/>
      <c r="T121" s="2"/>
      <c r="U121" s="115">
        <f>SUBTOTAL(9,U117:U120)</f>
        <v>288.46949418</v>
      </c>
    </row>
    <row r="122" spans="1:21" ht="12.75" hidden="1" outlineLevel="3">
      <c r="A122" s="7" t="s">
        <v>53</v>
      </c>
      <c r="B122" t="s">
        <v>145</v>
      </c>
      <c r="C122" s="7" t="s">
        <v>58</v>
      </c>
      <c r="D122" s="7" t="s">
        <v>122</v>
      </c>
      <c r="E122" s="8">
        <v>2009</v>
      </c>
      <c r="F122" s="9">
        <v>6</v>
      </c>
      <c r="G122" s="20"/>
      <c r="H122" s="94">
        <v>10</v>
      </c>
      <c r="I122" s="119"/>
      <c r="J122" s="14">
        <v>8760</v>
      </c>
      <c r="K122" s="119">
        <f>(22-5)/1000</f>
        <v>0.017</v>
      </c>
      <c r="L122" s="2">
        <f t="shared" si="23"/>
        <v>893.5200000000001</v>
      </c>
      <c r="M122" s="3">
        <v>0.1</v>
      </c>
      <c r="N122" s="2">
        <f t="shared" si="20"/>
        <v>804.1680000000001</v>
      </c>
      <c r="O122"/>
      <c r="P122" s="12">
        <v>0.0179</v>
      </c>
      <c r="Q122" s="6">
        <f t="shared" si="21"/>
        <v>14.394607200000001</v>
      </c>
      <c r="R122" s="223"/>
      <c r="S122" s="209"/>
      <c r="T122" s="2">
        <f t="shared" si="17"/>
        <v>804.1680000000001</v>
      </c>
      <c r="U122" s="115">
        <f>Q122+S122</f>
        <v>14.394607200000001</v>
      </c>
    </row>
    <row r="123" spans="1:21" ht="12.75" hidden="1" outlineLevel="3">
      <c r="A123" s="7" t="s">
        <v>53</v>
      </c>
      <c r="B123" t="s">
        <v>145</v>
      </c>
      <c r="C123" s="7" t="s">
        <v>127</v>
      </c>
      <c r="D123" s="7" t="s">
        <v>122</v>
      </c>
      <c r="E123" s="8">
        <v>2009</v>
      </c>
      <c r="F123" s="9">
        <v>140</v>
      </c>
      <c r="G123" s="20"/>
      <c r="H123" s="94">
        <f>((10000+6000)/2)/J123</f>
        <v>2.098085496984002</v>
      </c>
      <c r="I123" s="119"/>
      <c r="J123" s="14">
        <v>3813</v>
      </c>
      <c r="K123" s="126">
        <f>(40-13)/1000</f>
        <v>0.027</v>
      </c>
      <c r="L123" s="2">
        <f t="shared" si="23"/>
        <v>14413.14</v>
      </c>
      <c r="M123" s="3">
        <v>0.1</v>
      </c>
      <c r="N123" s="2">
        <f t="shared" si="20"/>
        <v>12971.826</v>
      </c>
      <c r="O123"/>
      <c r="P123" s="12">
        <v>0.0179</v>
      </c>
      <c r="Q123" s="6">
        <f t="shared" si="21"/>
        <v>232.19568539999997</v>
      </c>
      <c r="R123" s="223"/>
      <c r="S123" s="209"/>
      <c r="T123" s="2">
        <f t="shared" si="17"/>
        <v>12971.826</v>
      </c>
      <c r="U123" s="115">
        <f>Q123+S123</f>
        <v>232.19568539999997</v>
      </c>
    </row>
    <row r="124" spans="1:21" ht="12.75" hidden="1" outlineLevel="3">
      <c r="A124" s="7" t="s">
        <v>53</v>
      </c>
      <c r="B124" t="s">
        <v>145</v>
      </c>
      <c r="C124" s="7" t="s">
        <v>146</v>
      </c>
      <c r="D124" s="7" t="s">
        <v>122</v>
      </c>
      <c r="E124" s="8">
        <v>2009</v>
      </c>
      <c r="F124" s="9">
        <v>2</v>
      </c>
      <c r="G124" s="20"/>
      <c r="H124" s="94">
        <f>8000/J124</f>
        <v>2.098085496984002</v>
      </c>
      <c r="I124" s="119"/>
      <c r="J124" s="14">
        <v>3813</v>
      </c>
      <c r="K124" s="126">
        <f>(40-13)/1000</f>
        <v>0.027</v>
      </c>
      <c r="L124" s="2">
        <f t="shared" si="23"/>
        <v>205.902</v>
      </c>
      <c r="M124" s="3">
        <v>0.1</v>
      </c>
      <c r="N124" s="2">
        <f t="shared" si="20"/>
        <v>185.3118</v>
      </c>
      <c r="O124"/>
      <c r="P124" s="12">
        <v>0.0179</v>
      </c>
      <c r="Q124" s="6">
        <f t="shared" si="21"/>
        <v>3.31708122</v>
      </c>
      <c r="R124" s="223"/>
      <c r="S124" s="209"/>
      <c r="T124" s="2">
        <f t="shared" si="17"/>
        <v>185.3118</v>
      </c>
      <c r="U124" s="115">
        <f>Q124+S124</f>
        <v>3.31708122</v>
      </c>
    </row>
    <row r="125" spans="1:21" ht="12.75" hidden="1" outlineLevel="3">
      <c r="A125" s="7" t="s">
        <v>53</v>
      </c>
      <c r="B125" t="s">
        <v>145</v>
      </c>
      <c r="C125" s="7" t="s">
        <v>128</v>
      </c>
      <c r="D125" s="7" t="s">
        <v>122</v>
      </c>
      <c r="E125" s="8">
        <v>2009</v>
      </c>
      <c r="F125" s="9">
        <v>28</v>
      </c>
      <c r="G125" s="20"/>
      <c r="H125" s="94">
        <f>20000/J125</f>
        <v>5.832604257801108</v>
      </c>
      <c r="I125" s="91"/>
      <c r="J125" s="14">
        <v>3429</v>
      </c>
      <c r="K125" s="126">
        <f>(51-28)/1000</f>
        <v>0.023</v>
      </c>
      <c r="L125" s="2">
        <f t="shared" si="23"/>
        <v>2208.2760000000003</v>
      </c>
      <c r="M125" s="3">
        <v>0.1</v>
      </c>
      <c r="N125" s="2">
        <f t="shared" si="20"/>
        <v>1987.4484000000002</v>
      </c>
      <c r="O125"/>
      <c r="P125" s="12">
        <v>0.0179</v>
      </c>
      <c r="Q125" s="6">
        <f t="shared" si="21"/>
        <v>35.575326360000005</v>
      </c>
      <c r="R125" s="223"/>
      <c r="S125" s="209"/>
      <c r="T125" s="2">
        <f t="shared" si="17"/>
        <v>1987.4484000000002</v>
      </c>
      <c r="U125" s="115">
        <f>Q125+S125</f>
        <v>35.575326360000005</v>
      </c>
    </row>
    <row r="126" spans="1:21" ht="12.75" hidden="1" outlineLevel="3">
      <c r="A126" s="7" t="s">
        <v>53</v>
      </c>
      <c r="B126" t="s">
        <v>145</v>
      </c>
      <c r="C126" s="7" t="s">
        <v>129</v>
      </c>
      <c r="D126" s="7" t="s">
        <v>122</v>
      </c>
      <c r="E126" s="8">
        <v>2009</v>
      </c>
      <c r="F126" s="9">
        <v>20</v>
      </c>
      <c r="G126" s="20"/>
      <c r="H126" s="94">
        <f>20000/J126</f>
        <v>5.832604257801108</v>
      </c>
      <c r="I126" s="91"/>
      <c r="J126" s="14">
        <v>3429</v>
      </c>
      <c r="K126" s="126">
        <f>(81-55)/1000</f>
        <v>0.026</v>
      </c>
      <c r="L126" s="2">
        <f t="shared" si="23"/>
        <v>1783.08</v>
      </c>
      <c r="M126" s="3">
        <v>0.1</v>
      </c>
      <c r="N126" s="2">
        <f t="shared" si="20"/>
        <v>1604.772</v>
      </c>
      <c r="O126"/>
      <c r="P126" s="12">
        <v>0.0179</v>
      </c>
      <c r="Q126" s="6">
        <f t="shared" si="21"/>
        <v>28.725418799999996</v>
      </c>
      <c r="R126" s="223"/>
      <c r="S126" s="209"/>
      <c r="T126" s="2">
        <f t="shared" si="17"/>
        <v>1604.772</v>
      </c>
      <c r="U126" s="115">
        <f>Q126+S126</f>
        <v>28.725418799999996</v>
      </c>
    </row>
    <row r="127" spans="1:21" ht="12.75" outlineLevel="2" collapsed="1">
      <c r="A127" s="7"/>
      <c r="B127" s="1" t="s">
        <v>242</v>
      </c>
      <c r="C127" s="7"/>
      <c r="D127" s="7"/>
      <c r="E127" s="8"/>
      <c r="F127" s="9"/>
      <c r="G127" s="20"/>
      <c r="H127" s="94"/>
      <c r="I127" s="91"/>
      <c r="J127" s="14"/>
      <c r="K127" s="126"/>
      <c r="L127" s="2"/>
      <c r="M127" s="3"/>
      <c r="N127" s="2"/>
      <c r="O127"/>
      <c r="P127" s="12"/>
      <c r="Q127" s="6"/>
      <c r="R127" s="223"/>
      <c r="S127" s="209"/>
      <c r="T127" s="2"/>
      <c r="U127" s="115">
        <f>SUBTOTAL(9,U122:U126)</f>
        <v>314.20811898</v>
      </c>
    </row>
    <row r="128" spans="1:21" ht="12.75" hidden="1" outlineLevel="3">
      <c r="A128" s="7" t="s">
        <v>53</v>
      </c>
      <c r="B128" t="s">
        <v>149</v>
      </c>
      <c r="C128" s="7" t="s">
        <v>58</v>
      </c>
      <c r="D128" s="7" t="s">
        <v>122</v>
      </c>
      <c r="E128" s="8">
        <v>2009</v>
      </c>
      <c r="F128" s="9">
        <v>34</v>
      </c>
      <c r="G128" s="20"/>
      <c r="H128" s="94">
        <v>10</v>
      </c>
      <c r="I128" s="14"/>
      <c r="J128" s="14">
        <v>8760</v>
      </c>
      <c r="K128" s="119">
        <f>(22-5)/1000</f>
        <v>0.017</v>
      </c>
      <c r="L128" s="2">
        <f t="shared" si="23"/>
        <v>5063.280000000001</v>
      </c>
      <c r="M128" s="3">
        <v>0.1</v>
      </c>
      <c r="N128" s="2">
        <f t="shared" si="20"/>
        <v>4556.952000000001</v>
      </c>
      <c r="O128"/>
      <c r="P128" s="12">
        <v>0.0179</v>
      </c>
      <c r="Q128" s="6">
        <f t="shared" si="21"/>
        <v>81.56944080000002</v>
      </c>
      <c r="R128" s="223"/>
      <c r="S128" s="209"/>
      <c r="T128" s="2">
        <f t="shared" si="17"/>
        <v>4556.952000000001</v>
      </c>
      <c r="U128" s="115">
        <f>Q128+S128</f>
        <v>81.56944080000002</v>
      </c>
    </row>
    <row r="129" spans="1:21" ht="12.75" hidden="1" outlineLevel="3">
      <c r="A129" s="7" t="s">
        <v>53</v>
      </c>
      <c r="B129" t="s">
        <v>149</v>
      </c>
      <c r="C129" s="7" t="s">
        <v>128</v>
      </c>
      <c r="D129" s="7" t="s">
        <v>122</v>
      </c>
      <c r="E129" s="8">
        <v>2009</v>
      </c>
      <c r="F129" s="9">
        <v>203</v>
      </c>
      <c r="G129" s="20"/>
      <c r="H129" s="94">
        <f>20000/J129</f>
        <v>7.710100231303007</v>
      </c>
      <c r="I129" s="91"/>
      <c r="J129" s="14">
        <v>2594</v>
      </c>
      <c r="K129" s="126">
        <f>(51-28)/1000</f>
        <v>0.023</v>
      </c>
      <c r="L129" s="2">
        <f t="shared" si="23"/>
        <v>12111.386</v>
      </c>
      <c r="M129" s="3">
        <v>0.1</v>
      </c>
      <c r="N129" s="2">
        <f t="shared" si="20"/>
        <v>10900.2474</v>
      </c>
      <c r="O129"/>
      <c r="P129" s="12">
        <v>0.0179</v>
      </c>
      <c r="Q129" s="6">
        <f t="shared" si="21"/>
        <v>195.11442846</v>
      </c>
      <c r="R129" s="223"/>
      <c r="S129" s="209"/>
      <c r="T129" s="2">
        <f t="shared" si="17"/>
        <v>10900.2474</v>
      </c>
      <c r="U129" s="115">
        <f>Q129+S129</f>
        <v>195.11442846</v>
      </c>
    </row>
    <row r="130" spans="1:21" ht="12.75" hidden="1" outlineLevel="3">
      <c r="A130" s="7" t="s">
        <v>53</v>
      </c>
      <c r="B130" t="s">
        <v>149</v>
      </c>
      <c r="C130" s="7" t="s">
        <v>129</v>
      </c>
      <c r="D130" s="7" t="s">
        <v>122</v>
      </c>
      <c r="E130" s="8">
        <v>2009</v>
      </c>
      <c r="F130" s="9">
        <v>35</v>
      </c>
      <c r="G130" s="20"/>
      <c r="H130" s="94">
        <f>20000/J130</f>
        <v>7.710100231303007</v>
      </c>
      <c r="I130" s="91"/>
      <c r="J130" s="14">
        <v>2594</v>
      </c>
      <c r="K130" s="126">
        <f>(81-55)/1000</f>
        <v>0.026</v>
      </c>
      <c r="L130" s="2">
        <f t="shared" si="23"/>
        <v>2360.54</v>
      </c>
      <c r="M130" s="3">
        <v>0.1</v>
      </c>
      <c r="N130" s="2">
        <f t="shared" si="20"/>
        <v>2124.486</v>
      </c>
      <c r="O130"/>
      <c r="P130" s="12">
        <v>0.0179</v>
      </c>
      <c r="Q130" s="6">
        <f t="shared" si="21"/>
        <v>38.028299399999995</v>
      </c>
      <c r="R130" s="223"/>
      <c r="S130" s="209"/>
      <c r="T130" s="2">
        <f t="shared" si="17"/>
        <v>2124.486</v>
      </c>
      <c r="U130" s="115">
        <f>Q130+S130</f>
        <v>38.028299399999995</v>
      </c>
    </row>
    <row r="131" spans="1:21" ht="12.75" outlineLevel="2" collapsed="1">
      <c r="A131" s="7"/>
      <c r="B131" s="1" t="s">
        <v>243</v>
      </c>
      <c r="C131" s="7"/>
      <c r="D131" s="7"/>
      <c r="E131" s="8"/>
      <c r="F131" s="9"/>
      <c r="G131" s="20"/>
      <c r="H131" s="94"/>
      <c r="I131" s="91"/>
      <c r="J131" s="14"/>
      <c r="K131" s="126"/>
      <c r="L131" s="2"/>
      <c r="M131" s="3"/>
      <c r="N131" s="2"/>
      <c r="O131"/>
      <c r="P131" s="12"/>
      <c r="Q131" s="6"/>
      <c r="R131" s="223"/>
      <c r="S131" s="209"/>
      <c r="T131" s="2"/>
      <c r="U131" s="115">
        <f>SUBTOTAL(9,U128:U130)</f>
        <v>314.71216866000003</v>
      </c>
    </row>
    <row r="132" spans="1:21" s="186" customFormat="1" ht="12.75" outlineLevel="1">
      <c r="A132" s="191" t="s">
        <v>102</v>
      </c>
      <c r="B132" s="239"/>
      <c r="C132" s="233"/>
      <c r="D132" s="233"/>
      <c r="E132" s="247"/>
      <c r="F132" s="234"/>
      <c r="G132" s="188"/>
      <c r="H132" s="198"/>
      <c r="I132" s="190"/>
      <c r="J132" s="235"/>
      <c r="K132" s="199"/>
      <c r="L132" s="237"/>
      <c r="M132" s="248"/>
      <c r="N132" s="237"/>
      <c r="O132" s="239"/>
      <c r="P132" s="240"/>
      <c r="Q132" s="241"/>
      <c r="R132" s="242"/>
      <c r="S132" s="243"/>
      <c r="T132" s="237"/>
      <c r="U132" s="264">
        <f>SUBTOTAL(9,U31:U130)</f>
        <v>37709.68255769</v>
      </c>
    </row>
    <row r="133" spans="1:21" ht="12.75" hidden="1" outlineLevel="3">
      <c r="A133" s="7" t="s">
        <v>91</v>
      </c>
      <c r="B133" t="s">
        <v>72</v>
      </c>
      <c r="C133" s="7" t="s">
        <v>73</v>
      </c>
      <c r="D133" s="7" t="s">
        <v>41</v>
      </c>
      <c r="E133" s="8">
        <v>2008</v>
      </c>
      <c r="F133" s="9">
        <v>600</v>
      </c>
      <c r="G133" s="20"/>
      <c r="H133" s="94">
        <f>((10000+6000)/2)/J133</f>
        <v>2.5957170668397143</v>
      </c>
      <c r="I133" s="91"/>
      <c r="J133" s="14">
        <v>3082</v>
      </c>
      <c r="K133" s="126">
        <f>(40-15)/1000</f>
        <v>0.025</v>
      </c>
      <c r="L133" s="2">
        <f t="shared" si="23"/>
        <v>46230.00000000001</v>
      </c>
      <c r="M133" s="3">
        <v>0.1</v>
      </c>
      <c r="N133" s="2">
        <f aca="true" t="shared" si="24" ref="N133:N162">+L133*(1-M133)</f>
        <v>41607.00000000001</v>
      </c>
      <c r="O133"/>
      <c r="P133" s="12">
        <v>2.8065</v>
      </c>
      <c r="Q133" s="39">
        <f>(N133/J133)*P133</f>
        <v>37.88775000000001</v>
      </c>
      <c r="R133" s="223"/>
      <c r="S133" s="210"/>
      <c r="T133" s="2">
        <f t="shared" si="17"/>
        <v>41607.00000000001</v>
      </c>
      <c r="U133" s="115">
        <f>Q133+V133</f>
        <v>37.88775000000001</v>
      </c>
    </row>
    <row r="134" spans="1:21" ht="12.75" outlineLevel="2" collapsed="1">
      <c r="A134" s="7"/>
      <c r="B134" s="1" t="s">
        <v>244</v>
      </c>
      <c r="C134" s="7"/>
      <c r="D134" s="7"/>
      <c r="E134" s="8"/>
      <c r="F134" s="9"/>
      <c r="G134" s="20"/>
      <c r="H134" s="94"/>
      <c r="I134" s="91"/>
      <c r="J134" s="14"/>
      <c r="K134" s="126"/>
      <c r="L134" s="2"/>
      <c r="M134" s="3"/>
      <c r="N134" s="2"/>
      <c r="O134"/>
      <c r="P134" s="12"/>
      <c r="Q134" s="39"/>
      <c r="R134" s="223"/>
      <c r="S134" s="210"/>
      <c r="T134" s="2"/>
      <c r="U134" s="115">
        <f>SUBTOTAL(9,U133:U133)</f>
        <v>37.88775000000001</v>
      </c>
    </row>
    <row r="135" spans="1:21" ht="12.75" hidden="1" outlineLevel="3">
      <c r="A135" s="7" t="s">
        <v>91</v>
      </c>
      <c r="B135" t="s">
        <v>86</v>
      </c>
      <c r="C135" s="7" t="s">
        <v>47</v>
      </c>
      <c r="D135" s="7" t="s">
        <v>41</v>
      </c>
      <c r="E135" s="8">
        <v>2008</v>
      </c>
      <c r="F135" s="9">
        <v>8481</v>
      </c>
      <c r="G135" s="20"/>
      <c r="H135" s="94">
        <f>((10000+6000)/2)/J135</f>
        <v>2.5957170668397143</v>
      </c>
      <c r="I135" s="91"/>
      <c r="J135" s="14">
        <v>3082</v>
      </c>
      <c r="K135" s="126">
        <f>(40-13)/1000</f>
        <v>0.027</v>
      </c>
      <c r="L135" s="2">
        <f t="shared" si="23"/>
        <v>705737.934</v>
      </c>
      <c r="M135" s="3">
        <v>0.1</v>
      </c>
      <c r="N135" s="2">
        <f t="shared" si="24"/>
        <v>635164.1406</v>
      </c>
      <c r="O135"/>
      <c r="P135" s="12">
        <v>2.8065</v>
      </c>
      <c r="Q135" s="39">
        <f aca="true" t="shared" si="25" ref="Q135:Q161">N135/J135*P135</f>
        <v>578.38681395</v>
      </c>
      <c r="R135" s="223"/>
      <c r="S135" s="210"/>
      <c r="T135" s="2">
        <f t="shared" si="17"/>
        <v>635164.1406</v>
      </c>
      <c r="U135" s="115">
        <f>Q135+V135</f>
        <v>578.38681395</v>
      </c>
    </row>
    <row r="136" spans="1:21" ht="12.75" outlineLevel="2" collapsed="1">
      <c r="A136" s="7"/>
      <c r="B136" s="1" t="s">
        <v>245</v>
      </c>
      <c r="C136" s="7"/>
      <c r="D136" s="7"/>
      <c r="E136" s="8"/>
      <c r="F136" s="9"/>
      <c r="G136" s="20"/>
      <c r="H136" s="94"/>
      <c r="I136" s="91"/>
      <c r="J136" s="14"/>
      <c r="K136" s="126"/>
      <c r="L136" s="2"/>
      <c r="M136" s="3"/>
      <c r="N136" s="2"/>
      <c r="O136"/>
      <c r="P136" s="12"/>
      <c r="Q136" s="39"/>
      <c r="R136" s="223"/>
      <c r="S136" s="210"/>
      <c r="T136" s="2"/>
      <c r="U136" s="115">
        <f>SUBTOTAL(9,U135:U135)</f>
        <v>578.38681395</v>
      </c>
    </row>
    <row r="137" spans="1:21" ht="12.75" hidden="1" outlineLevel="3">
      <c r="A137" s="7" t="s">
        <v>91</v>
      </c>
      <c r="B137" t="s">
        <v>76</v>
      </c>
      <c r="C137" s="7" t="s">
        <v>77</v>
      </c>
      <c r="D137" s="7" t="s">
        <v>41</v>
      </c>
      <c r="E137" s="8">
        <v>2008</v>
      </c>
      <c r="F137" s="9">
        <v>19</v>
      </c>
      <c r="G137" s="20"/>
      <c r="H137" s="94">
        <f>((10000+6000)/2)/J137</f>
        <v>2.5957170668397143</v>
      </c>
      <c r="I137" s="91"/>
      <c r="J137" s="14">
        <v>3082</v>
      </c>
      <c r="K137" s="126">
        <f>(150-30)/1000</f>
        <v>0.12</v>
      </c>
      <c r="L137" s="2">
        <f t="shared" si="23"/>
        <v>7026.959999999999</v>
      </c>
      <c r="M137" s="3">
        <v>0.1</v>
      </c>
      <c r="N137" s="2">
        <f t="shared" si="24"/>
        <v>6324.263999999999</v>
      </c>
      <c r="O137"/>
      <c r="P137" s="12">
        <v>2.8065</v>
      </c>
      <c r="Q137" s="39">
        <f t="shared" si="25"/>
        <v>5.758938</v>
      </c>
      <c r="R137" s="223"/>
      <c r="S137" s="210"/>
      <c r="T137" s="2">
        <f t="shared" si="17"/>
        <v>6324.263999999999</v>
      </c>
      <c r="U137" s="115">
        <f>Q137+V137</f>
        <v>5.758938</v>
      </c>
    </row>
    <row r="138" spans="1:21" ht="12.75" hidden="1" outlineLevel="3">
      <c r="A138" s="7" t="s">
        <v>91</v>
      </c>
      <c r="B138" t="s">
        <v>76</v>
      </c>
      <c r="C138" s="7" t="s">
        <v>78</v>
      </c>
      <c r="D138" s="7" t="s">
        <v>41</v>
      </c>
      <c r="E138" s="8">
        <v>2008</v>
      </c>
      <c r="F138" s="9">
        <f>15</f>
        <v>15</v>
      </c>
      <c r="G138" s="20"/>
      <c r="H138" s="94">
        <f>20000/J138</f>
        <v>6.489292667099286</v>
      </c>
      <c r="I138" s="91"/>
      <c r="J138" s="14">
        <v>3082</v>
      </c>
      <c r="K138" s="126">
        <f>(81-58)/1000</f>
        <v>0.023</v>
      </c>
      <c r="L138" s="2">
        <f t="shared" si="23"/>
        <v>1063.29</v>
      </c>
      <c r="M138" s="3">
        <v>0.1</v>
      </c>
      <c r="N138" s="2">
        <f t="shared" si="24"/>
        <v>956.961</v>
      </c>
      <c r="O138"/>
      <c r="P138" s="12">
        <v>2.8065</v>
      </c>
      <c r="Q138" s="39">
        <f t="shared" si="25"/>
        <v>0.8714182500000001</v>
      </c>
      <c r="R138" s="223"/>
      <c r="S138" s="210"/>
      <c r="T138" s="2">
        <f t="shared" si="17"/>
        <v>956.961</v>
      </c>
      <c r="U138" s="115">
        <f>Q138+V138</f>
        <v>0.8714182500000001</v>
      </c>
    </row>
    <row r="139" spans="1:21" ht="12.75" hidden="1" outlineLevel="3">
      <c r="A139" s="7" t="s">
        <v>91</v>
      </c>
      <c r="B139" t="s">
        <v>76</v>
      </c>
      <c r="C139" s="7" t="s">
        <v>79</v>
      </c>
      <c r="D139" s="7" t="s">
        <v>41</v>
      </c>
      <c r="E139" s="8">
        <v>2008</v>
      </c>
      <c r="F139" s="9">
        <v>121</v>
      </c>
      <c r="G139" s="20"/>
      <c r="H139" s="94">
        <f>20000/J139</f>
        <v>6.489292667099286</v>
      </c>
      <c r="I139" s="91"/>
      <c r="J139" s="14">
        <v>3082</v>
      </c>
      <c r="K139" s="126">
        <f>(149-112)/1000</f>
        <v>0.037</v>
      </c>
      <c r="L139" s="2">
        <f t="shared" si="23"/>
        <v>13798.114</v>
      </c>
      <c r="M139" s="3">
        <v>0.1</v>
      </c>
      <c r="N139" s="2">
        <f t="shared" si="24"/>
        <v>12418.302599999999</v>
      </c>
      <c r="O139"/>
      <c r="P139" s="12">
        <v>2.8065</v>
      </c>
      <c r="Q139" s="39">
        <f t="shared" si="25"/>
        <v>11.308230450000002</v>
      </c>
      <c r="R139" s="223"/>
      <c r="S139" s="210"/>
      <c r="T139" s="2">
        <f t="shared" si="17"/>
        <v>12418.302599999999</v>
      </c>
      <c r="U139" s="115">
        <f>Q139+V139</f>
        <v>11.308230450000002</v>
      </c>
    </row>
    <row r="140" spans="1:21" ht="12.75" outlineLevel="2" collapsed="1">
      <c r="A140" s="7"/>
      <c r="B140" s="1" t="s">
        <v>246</v>
      </c>
      <c r="C140" s="7"/>
      <c r="D140" s="7"/>
      <c r="E140" s="8"/>
      <c r="F140" s="9"/>
      <c r="G140" s="20"/>
      <c r="H140" s="94"/>
      <c r="I140" s="91"/>
      <c r="J140" s="14"/>
      <c r="K140" s="126"/>
      <c r="L140" s="2"/>
      <c r="M140" s="3"/>
      <c r="N140" s="2"/>
      <c r="O140"/>
      <c r="P140" s="12"/>
      <c r="Q140" s="39"/>
      <c r="R140" s="223"/>
      <c r="S140" s="210"/>
      <c r="T140" s="2"/>
      <c r="U140" s="115">
        <f>SUBTOTAL(9,U137:U139)</f>
        <v>17.938586700000002</v>
      </c>
    </row>
    <row r="141" spans="1:21" ht="12.75" hidden="1" outlineLevel="3">
      <c r="A141" s="7" t="s">
        <v>91</v>
      </c>
      <c r="B141" t="s">
        <v>83</v>
      </c>
      <c r="C141" s="7" t="s">
        <v>58</v>
      </c>
      <c r="D141" s="7" t="s">
        <v>41</v>
      </c>
      <c r="E141" s="8">
        <v>2008</v>
      </c>
      <c r="F141" s="9">
        <v>40</v>
      </c>
      <c r="G141" s="20"/>
      <c r="H141" s="32">
        <v>10</v>
      </c>
      <c r="I141" s="91"/>
      <c r="J141" s="23">
        <v>8760</v>
      </c>
      <c r="K141" s="119">
        <f>(22-5)/1000</f>
        <v>0.017</v>
      </c>
      <c r="L141" s="2">
        <f t="shared" si="23"/>
        <v>5956.800000000001</v>
      </c>
      <c r="M141" s="3">
        <v>0.1</v>
      </c>
      <c r="N141" s="2">
        <f t="shared" si="24"/>
        <v>5361.120000000001</v>
      </c>
      <c r="O141"/>
      <c r="P141" s="12">
        <v>2.8065</v>
      </c>
      <c r="Q141" s="39">
        <f t="shared" si="25"/>
        <v>1.7175780000000005</v>
      </c>
      <c r="R141" s="223"/>
      <c r="S141" s="210"/>
      <c r="T141" s="2">
        <f t="shared" si="17"/>
        <v>5361.120000000001</v>
      </c>
      <c r="U141" s="115">
        <f>Q141+V141</f>
        <v>1.7175780000000005</v>
      </c>
    </row>
    <row r="142" spans="1:21" ht="12.75" hidden="1" outlineLevel="3">
      <c r="A142" s="7" t="s">
        <v>91</v>
      </c>
      <c r="B142" t="s">
        <v>83</v>
      </c>
      <c r="C142" s="7" t="s">
        <v>84</v>
      </c>
      <c r="D142" s="7" t="s">
        <v>41</v>
      </c>
      <c r="E142" s="8">
        <v>2008</v>
      </c>
      <c r="F142" s="9">
        <v>42</v>
      </c>
      <c r="G142" s="20"/>
      <c r="H142" s="94">
        <f>((10000+6000)/2)/J142</f>
        <v>2.5957170668397143</v>
      </c>
      <c r="I142" s="91"/>
      <c r="J142" s="14">
        <v>3082</v>
      </c>
      <c r="K142" s="126">
        <f>(40-15)/1000</f>
        <v>0.025</v>
      </c>
      <c r="L142" s="2">
        <f t="shared" si="23"/>
        <v>3236.1000000000004</v>
      </c>
      <c r="M142" s="3">
        <v>0.1</v>
      </c>
      <c r="N142" s="2">
        <f t="shared" si="24"/>
        <v>2912.4900000000002</v>
      </c>
      <c r="O142"/>
      <c r="P142" s="12">
        <v>2.8065</v>
      </c>
      <c r="Q142" s="39">
        <f t="shared" si="25"/>
        <v>2.6521425000000005</v>
      </c>
      <c r="R142" s="223"/>
      <c r="S142" s="210"/>
      <c r="T142" s="2">
        <f t="shared" si="17"/>
        <v>2912.4900000000002</v>
      </c>
      <c r="U142" s="115">
        <f>Q142+V142</f>
        <v>2.6521425000000005</v>
      </c>
    </row>
    <row r="143" spans="1:21" ht="12.75" hidden="1" outlineLevel="3">
      <c r="A143" s="7" t="s">
        <v>91</v>
      </c>
      <c r="B143" t="s">
        <v>83</v>
      </c>
      <c r="C143" s="7" t="s">
        <v>78</v>
      </c>
      <c r="D143" s="7" t="s">
        <v>41</v>
      </c>
      <c r="E143" s="8">
        <v>2008</v>
      </c>
      <c r="F143" s="9">
        <v>70</v>
      </c>
      <c r="G143" s="20"/>
      <c r="H143" s="94">
        <f>20000/J143</f>
        <v>6.489292667099286</v>
      </c>
      <c r="I143" s="91"/>
      <c r="J143" s="14">
        <v>3082</v>
      </c>
      <c r="K143" s="126">
        <f>(81-58)/1000</f>
        <v>0.023</v>
      </c>
      <c r="L143" s="2">
        <f t="shared" si="23"/>
        <v>4962.0199999999995</v>
      </c>
      <c r="M143" s="3">
        <v>0.1</v>
      </c>
      <c r="N143" s="2">
        <f t="shared" si="24"/>
        <v>4465.817999999999</v>
      </c>
      <c r="O143"/>
      <c r="P143" s="12">
        <v>2.8065</v>
      </c>
      <c r="Q143" s="39">
        <f t="shared" si="25"/>
        <v>4.0666185</v>
      </c>
      <c r="R143" s="223"/>
      <c r="S143" s="210"/>
      <c r="T143" s="2">
        <f t="shared" si="17"/>
        <v>4465.817999999999</v>
      </c>
      <c r="U143" s="115">
        <f>Q143+V143</f>
        <v>4.0666185</v>
      </c>
    </row>
    <row r="144" spans="1:21" ht="12.75" hidden="1" outlineLevel="3">
      <c r="A144" s="7" t="s">
        <v>91</v>
      </c>
      <c r="B144" t="s">
        <v>83</v>
      </c>
      <c r="C144" s="7" t="s">
        <v>79</v>
      </c>
      <c r="D144" s="7" t="s">
        <v>41</v>
      </c>
      <c r="E144" s="8">
        <v>2008</v>
      </c>
      <c r="F144" s="9">
        <f>231</f>
        <v>231</v>
      </c>
      <c r="G144" s="20"/>
      <c r="H144" s="94">
        <f>20000/J144</f>
        <v>6.489292667099286</v>
      </c>
      <c r="I144" s="91"/>
      <c r="J144" s="14">
        <v>3082</v>
      </c>
      <c r="K144" s="126">
        <f>(149-112)/1000</f>
        <v>0.037</v>
      </c>
      <c r="L144" s="2">
        <f t="shared" si="23"/>
        <v>26341.854</v>
      </c>
      <c r="M144" s="3">
        <v>0.1</v>
      </c>
      <c r="N144" s="2">
        <f t="shared" si="24"/>
        <v>23707.6686</v>
      </c>
      <c r="O144"/>
      <c r="P144" s="12">
        <v>2.8065</v>
      </c>
      <c r="Q144" s="39">
        <f t="shared" si="25"/>
        <v>21.58843995</v>
      </c>
      <c r="R144" s="223"/>
      <c r="S144" s="210"/>
      <c r="T144" s="2">
        <f t="shared" si="17"/>
        <v>23707.6686</v>
      </c>
      <c r="U144" s="115">
        <f>Q144+V144</f>
        <v>21.58843995</v>
      </c>
    </row>
    <row r="145" spans="1:21" ht="12.75" outlineLevel="2" collapsed="1">
      <c r="A145" s="7"/>
      <c r="B145" s="1" t="s">
        <v>247</v>
      </c>
      <c r="C145" s="7"/>
      <c r="D145" s="7"/>
      <c r="E145" s="8"/>
      <c r="F145" s="9"/>
      <c r="G145" s="20"/>
      <c r="H145" s="94"/>
      <c r="I145" s="91"/>
      <c r="J145" s="14"/>
      <c r="K145" s="126"/>
      <c r="L145" s="2"/>
      <c r="M145" s="3"/>
      <c r="N145" s="2"/>
      <c r="O145"/>
      <c r="P145" s="12"/>
      <c r="Q145" s="39"/>
      <c r="R145" s="223"/>
      <c r="S145" s="210"/>
      <c r="T145" s="2"/>
      <c r="U145" s="115">
        <f>SUBTOTAL(9,U141:U144)</f>
        <v>30.02477895</v>
      </c>
    </row>
    <row r="146" spans="1:21" ht="12.75" hidden="1" outlineLevel="3">
      <c r="A146" s="7" t="s">
        <v>91</v>
      </c>
      <c r="B146" t="s">
        <v>141</v>
      </c>
      <c r="C146" s="31" t="s">
        <v>131</v>
      </c>
      <c r="D146" s="7" t="s">
        <v>122</v>
      </c>
      <c r="E146" s="8">
        <v>2009</v>
      </c>
      <c r="F146" s="9">
        <f>2+8+5+20+2+6+1+2+8+1+3+2</f>
        <v>60</v>
      </c>
      <c r="G146" s="20"/>
      <c r="H146" s="94">
        <f>20000/J146</f>
        <v>5.4945054945054945</v>
      </c>
      <c r="I146" s="91"/>
      <c r="J146" s="14">
        <f>14*5*52</f>
        <v>3640</v>
      </c>
      <c r="K146" s="126">
        <f>0.186/2</f>
        <v>0.093</v>
      </c>
      <c r="L146" s="2">
        <f t="shared" si="23"/>
        <v>20311.199999999997</v>
      </c>
      <c r="M146" s="3">
        <v>0.1</v>
      </c>
      <c r="N146" s="2">
        <f t="shared" si="24"/>
        <v>18280.079999999998</v>
      </c>
      <c r="O146"/>
      <c r="P146" s="12">
        <v>2.8065</v>
      </c>
      <c r="Q146" s="39">
        <f t="shared" si="25"/>
        <v>14.094242999999999</v>
      </c>
      <c r="R146" s="223"/>
      <c r="S146" s="210"/>
      <c r="T146" s="2">
        <f t="shared" si="17"/>
        <v>18280.079999999998</v>
      </c>
      <c r="U146" s="115">
        <f aca="true" t="shared" si="26" ref="U146:U153">Q146+V146</f>
        <v>14.094242999999999</v>
      </c>
    </row>
    <row r="147" spans="1:21" ht="12.75" hidden="1" outlineLevel="3">
      <c r="A147" s="7" t="s">
        <v>91</v>
      </c>
      <c r="B147" t="s">
        <v>141</v>
      </c>
      <c r="C147" s="31" t="s">
        <v>132</v>
      </c>
      <c r="D147" s="7" t="s">
        <v>122</v>
      </c>
      <c r="E147" s="8">
        <v>2009</v>
      </c>
      <c r="F147" s="9">
        <f>2+1+2+68</f>
        <v>73</v>
      </c>
      <c r="G147" s="20"/>
      <c r="H147" s="94"/>
      <c r="I147" s="119"/>
      <c r="J147" s="14">
        <f>14*5*52</f>
        <v>3640</v>
      </c>
      <c r="K147" s="119">
        <f>K118</f>
        <v>0.033</v>
      </c>
      <c r="L147" s="2">
        <f t="shared" si="23"/>
        <v>8768.76</v>
      </c>
      <c r="M147" s="3">
        <v>0.1</v>
      </c>
      <c r="N147" s="2">
        <f t="shared" si="24"/>
        <v>7891.884</v>
      </c>
      <c r="O147"/>
      <c r="P147" s="12">
        <v>2.8065</v>
      </c>
      <c r="Q147" s="39">
        <f t="shared" si="25"/>
        <v>6.084772650000001</v>
      </c>
      <c r="R147" s="223"/>
      <c r="S147" s="210"/>
      <c r="T147" s="2">
        <f t="shared" si="17"/>
        <v>7891.884</v>
      </c>
      <c r="U147" s="115">
        <f t="shared" si="26"/>
        <v>6.084772650000001</v>
      </c>
    </row>
    <row r="148" spans="1:21" ht="12.75" hidden="1" outlineLevel="3">
      <c r="A148" s="7" t="s">
        <v>91</v>
      </c>
      <c r="B148" t="s">
        <v>141</v>
      </c>
      <c r="C148" s="31" t="s">
        <v>136</v>
      </c>
      <c r="D148" s="7" t="s">
        <v>122</v>
      </c>
      <c r="E148" s="8">
        <v>2009</v>
      </c>
      <c r="F148" s="9">
        <f>4</f>
        <v>4</v>
      </c>
      <c r="G148" s="20"/>
      <c r="H148" s="94"/>
      <c r="I148" s="119"/>
      <c r="J148" s="14">
        <f>14*5*52</f>
        <v>3640</v>
      </c>
      <c r="K148" s="119">
        <f>0.144/4</f>
        <v>0.036</v>
      </c>
      <c r="L148" s="2">
        <f t="shared" si="23"/>
        <v>524.16</v>
      </c>
      <c r="M148" s="3">
        <v>0.1</v>
      </c>
      <c r="N148" s="2">
        <f t="shared" si="24"/>
        <v>471.74399999999997</v>
      </c>
      <c r="O148"/>
      <c r="P148" s="12">
        <v>2.8065</v>
      </c>
      <c r="Q148" s="39">
        <f t="shared" si="25"/>
        <v>0.3637224</v>
      </c>
      <c r="R148" s="223"/>
      <c r="S148" s="210"/>
      <c r="T148" s="2">
        <f t="shared" si="17"/>
        <v>471.74399999999997</v>
      </c>
      <c r="U148" s="115">
        <f t="shared" si="26"/>
        <v>0.3637224</v>
      </c>
    </row>
    <row r="149" spans="1:21" ht="12.75" hidden="1" outlineLevel="3">
      <c r="A149" s="7" t="s">
        <v>91</v>
      </c>
      <c r="B149" t="s">
        <v>141</v>
      </c>
      <c r="C149" s="31" t="s">
        <v>133</v>
      </c>
      <c r="D149" s="7" t="s">
        <v>122</v>
      </c>
      <c r="E149" s="8">
        <v>2009</v>
      </c>
      <c r="F149" s="9">
        <f>1+2+2+2+3+3+4+2+2+1</f>
        <v>22</v>
      </c>
      <c r="G149" s="20"/>
      <c r="H149" s="94"/>
      <c r="I149" s="119"/>
      <c r="J149" s="14">
        <f>14*5*52</f>
        <v>3640</v>
      </c>
      <c r="K149" s="119">
        <f>K119</f>
        <v>0.064</v>
      </c>
      <c r="L149" s="2">
        <f t="shared" si="23"/>
        <v>5125.12</v>
      </c>
      <c r="M149" s="3">
        <v>0.1</v>
      </c>
      <c r="N149" s="2">
        <f t="shared" si="24"/>
        <v>4612.608</v>
      </c>
      <c r="O149"/>
      <c r="P149" s="12">
        <v>2.8065</v>
      </c>
      <c r="Q149" s="39">
        <f t="shared" si="25"/>
        <v>3.5563968000000004</v>
      </c>
      <c r="R149" s="223"/>
      <c r="S149" s="210"/>
      <c r="T149" s="2">
        <f t="shared" si="17"/>
        <v>4612.608</v>
      </c>
      <c r="U149" s="115">
        <f t="shared" si="26"/>
        <v>3.5563968000000004</v>
      </c>
    </row>
    <row r="150" spans="1:21" ht="12.75" hidden="1" outlineLevel="3">
      <c r="A150" s="7" t="s">
        <v>91</v>
      </c>
      <c r="B150" t="s">
        <v>141</v>
      </c>
      <c r="C150" s="31" t="s">
        <v>134</v>
      </c>
      <c r="D150" s="7" t="s">
        <v>122</v>
      </c>
      <c r="E150" s="8">
        <v>2009</v>
      </c>
      <c r="F150" s="9">
        <f>6+2+2</f>
        <v>10</v>
      </c>
      <c r="G150" s="20"/>
      <c r="H150" s="94"/>
      <c r="I150" s="119"/>
      <c r="J150" s="10">
        <v>8760</v>
      </c>
      <c r="K150" s="131">
        <f>(22-5)/1000</f>
        <v>0.017</v>
      </c>
      <c r="L150" s="2">
        <f t="shared" si="23"/>
        <v>1489.2000000000003</v>
      </c>
      <c r="M150" s="3">
        <v>0.1</v>
      </c>
      <c r="N150" s="2">
        <f t="shared" si="24"/>
        <v>1340.2800000000002</v>
      </c>
      <c r="O150"/>
      <c r="P150" s="12">
        <v>2.8065</v>
      </c>
      <c r="Q150" s="39">
        <f t="shared" si="25"/>
        <v>0.4293945000000001</v>
      </c>
      <c r="R150" s="223"/>
      <c r="S150" s="210"/>
      <c r="T150" s="2">
        <f t="shared" si="17"/>
        <v>1340.2800000000002</v>
      </c>
      <c r="U150" s="115">
        <f t="shared" si="26"/>
        <v>0.4293945000000001</v>
      </c>
    </row>
    <row r="151" spans="1:21" ht="12.75" hidden="1" outlineLevel="3">
      <c r="A151" s="7" t="s">
        <v>91</v>
      </c>
      <c r="B151" t="s">
        <v>141</v>
      </c>
      <c r="C151" s="31" t="s">
        <v>137</v>
      </c>
      <c r="D151" s="7" t="s">
        <v>122</v>
      </c>
      <c r="E151" s="8">
        <v>2009</v>
      </c>
      <c r="F151" s="9">
        <f>2</f>
        <v>2</v>
      </c>
      <c r="G151" s="20"/>
      <c r="H151" s="94"/>
      <c r="I151" s="119"/>
      <c r="J151" s="14">
        <f>14*5*52</f>
        <v>3640</v>
      </c>
      <c r="K151" s="119">
        <f>0.072/2</f>
        <v>0.036</v>
      </c>
      <c r="L151" s="2">
        <f t="shared" si="23"/>
        <v>262.08</v>
      </c>
      <c r="M151" s="3">
        <v>0.1</v>
      </c>
      <c r="N151" s="2">
        <f t="shared" si="24"/>
        <v>235.87199999999999</v>
      </c>
      <c r="O151"/>
      <c r="P151" s="12">
        <v>2.8065</v>
      </c>
      <c r="Q151" s="39">
        <f t="shared" si="25"/>
        <v>0.1818612</v>
      </c>
      <c r="R151" s="223"/>
      <c r="S151" s="210"/>
      <c r="T151" s="2">
        <f t="shared" si="17"/>
        <v>235.87199999999999</v>
      </c>
      <c r="U151" s="115">
        <f t="shared" si="26"/>
        <v>0.1818612</v>
      </c>
    </row>
    <row r="152" spans="1:21" ht="12.75" hidden="1" outlineLevel="3">
      <c r="A152" s="7" t="s">
        <v>91</v>
      </c>
      <c r="B152" t="s">
        <v>141</v>
      </c>
      <c r="C152" s="31" t="s">
        <v>135</v>
      </c>
      <c r="D152" s="7" t="s">
        <v>122</v>
      </c>
      <c r="E152" s="8">
        <v>2009</v>
      </c>
      <c r="F152" s="9">
        <f>4+15+6+12</f>
        <v>37</v>
      </c>
      <c r="G152" s="20"/>
      <c r="H152" s="94"/>
      <c r="I152" s="119"/>
      <c r="J152" s="14">
        <f>14*5*52</f>
        <v>3640</v>
      </c>
      <c r="K152" s="119">
        <f>0.062/3</f>
        <v>0.020666666666666667</v>
      </c>
      <c r="L152" s="2">
        <f t="shared" si="23"/>
        <v>2783.3866666666663</v>
      </c>
      <c r="M152" s="3">
        <v>0.1</v>
      </c>
      <c r="N152" s="2">
        <f t="shared" si="24"/>
        <v>2505.048</v>
      </c>
      <c r="O152"/>
      <c r="P152" s="12">
        <v>2.8065</v>
      </c>
      <c r="Q152" s="39">
        <f t="shared" si="25"/>
        <v>1.9314333</v>
      </c>
      <c r="R152" s="223"/>
      <c r="S152" s="210"/>
      <c r="T152" s="2">
        <f t="shared" si="17"/>
        <v>2505.048</v>
      </c>
      <c r="U152" s="115">
        <f t="shared" si="26"/>
        <v>1.9314333</v>
      </c>
    </row>
    <row r="153" spans="1:21" ht="12.75" hidden="1" outlineLevel="3">
      <c r="A153" s="7" t="s">
        <v>91</v>
      </c>
      <c r="B153" t="s">
        <v>141</v>
      </c>
      <c r="C153" s="31" t="s">
        <v>138</v>
      </c>
      <c r="D153" s="7" t="s">
        <v>122</v>
      </c>
      <c r="E153" s="8">
        <v>2009</v>
      </c>
      <c r="F153" s="9">
        <v>3</v>
      </c>
      <c r="G153" s="20"/>
      <c r="H153" s="94"/>
      <c r="I153" s="119"/>
      <c r="J153" s="14">
        <f>14*5*52</f>
        <v>3640</v>
      </c>
      <c r="K153" s="119">
        <f>0.062/3</f>
        <v>0.020666666666666667</v>
      </c>
      <c r="L153" s="2">
        <f t="shared" si="23"/>
        <v>225.67999999999998</v>
      </c>
      <c r="M153" s="3">
        <v>0.1</v>
      </c>
      <c r="N153" s="2">
        <f t="shared" si="24"/>
        <v>203.112</v>
      </c>
      <c r="O153"/>
      <c r="P153" s="12">
        <v>2.8065</v>
      </c>
      <c r="Q153" s="39">
        <f t="shared" si="25"/>
        <v>0.1566027</v>
      </c>
      <c r="R153" s="223"/>
      <c r="S153" s="210"/>
      <c r="T153" s="2">
        <f t="shared" si="17"/>
        <v>203.112</v>
      </c>
      <c r="U153" s="115">
        <f t="shared" si="26"/>
        <v>0.1566027</v>
      </c>
    </row>
    <row r="154" spans="1:21" ht="12.75" outlineLevel="2" collapsed="1">
      <c r="A154" s="7"/>
      <c r="B154" s="1" t="s">
        <v>248</v>
      </c>
      <c r="C154" s="31"/>
      <c r="D154" s="7"/>
      <c r="E154" s="8"/>
      <c r="F154" s="9"/>
      <c r="G154" s="20"/>
      <c r="H154" s="94"/>
      <c r="I154" s="119"/>
      <c r="J154" s="14"/>
      <c r="K154" s="119"/>
      <c r="L154" s="2"/>
      <c r="M154" s="3"/>
      <c r="N154" s="2"/>
      <c r="O154"/>
      <c r="P154" s="12"/>
      <c r="Q154" s="39"/>
      <c r="R154" s="223"/>
      <c r="S154" s="210"/>
      <c r="T154" s="2"/>
      <c r="U154" s="115">
        <f>SUBTOTAL(9,U146:U153)</f>
        <v>26.798426550000002</v>
      </c>
    </row>
    <row r="155" spans="1:21" ht="12.75" hidden="1" outlineLevel="3">
      <c r="A155" s="7" t="s">
        <v>91</v>
      </c>
      <c r="B155" t="s">
        <v>165</v>
      </c>
      <c r="C155" s="7" t="s">
        <v>126</v>
      </c>
      <c r="D155" s="7" t="s">
        <v>122</v>
      </c>
      <c r="E155" s="8">
        <v>2009</v>
      </c>
      <c r="F155" s="9">
        <v>16</v>
      </c>
      <c r="G155" s="20"/>
      <c r="H155" s="94">
        <f>20000/J155</f>
        <v>8.620689655172415</v>
      </c>
      <c r="I155" s="119"/>
      <c r="J155" s="14">
        <v>2320</v>
      </c>
      <c r="K155" s="119">
        <f>(149-112)/1000</f>
        <v>0.037</v>
      </c>
      <c r="L155" s="2">
        <f t="shared" si="23"/>
        <v>1373.4399999999998</v>
      </c>
      <c r="M155" s="3">
        <v>0.1</v>
      </c>
      <c r="N155" s="2">
        <f t="shared" si="24"/>
        <v>1236.0959999999998</v>
      </c>
      <c r="O155"/>
      <c r="P155" s="12">
        <v>2.8065</v>
      </c>
      <c r="Q155" s="39">
        <f t="shared" si="25"/>
        <v>1.4953032</v>
      </c>
      <c r="R155" s="223"/>
      <c r="S155" s="210"/>
      <c r="T155" s="2">
        <f aca="true" t="shared" si="27" ref="T155:T175">N155+R155</f>
        <v>1236.0959999999998</v>
      </c>
      <c r="U155" s="115">
        <f>Q155+V155</f>
        <v>1.4953032</v>
      </c>
    </row>
    <row r="156" spans="1:21" ht="12.75" outlineLevel="2" collapsed="1">
      <c r="A156" s="7"/>
      <c r="B156" s="1" t="s">
        <v>249</v>
      </c>
      <c r="C156" s="7"/>
      <c r="D156" s="7"/>
      <c r="E156" s="8"/>
      <c r="F156" s="9"/>
      <c r="G156" s="20"/>
      <c r="H156" s="94"/>
      <c r="I156" s="119"/>
      <c r="J156" s="14"/>
      <c r="K156" s="119"/>
      <c r="L156" s="2"/>
      <c r="M156" s="3"/>
      <c r="N156" s="2"/>
      <c r="O156"/>
      <c r="P156" s="12"/>
      <c r="Q156" s="39"/>
      <c r="R156" s="223"/>
      <c r="S156" s="210"/>
      <c r="T156" s="2"/>
      <c r="U156" s="115">
        <f>SUBTOTAL(9,U155:U155)</f>
        <v>1.4953032</v>
      </c>
    </row>
    <row r="157" spans="1:21" ht="12.75" hidden="1" outlineLevel="3">
      <c r="A157" s="7" t="s">
        <v>91</v>
      </c>
      <c r="B157" t="s">
        <v>143</v>
      </c>
      <c r="C157" s="7" t="s">
        <v>144</v>
      </c>
      <c r="D157" s="7" t="s">
        <v>122</v>
      </c>
      <c r="E157" s="8">
        <v>2009</v>
      </c>
      <c r="F157" s="9">
        <v>108</v>
      </c>
      <c r="G157" s="20"/>
      <c r="H157" s="94">
        <f>20000/J157</f>
        <v>6.148170919151553</v>
      </c>
      <c r="I157" s="119"/>
      <c r="J157" s="14">
        <v>3253</v>
      </c>
      <c r="K157" s="119">
        <f>(149-112)/1000</f>
        <v>0.037</v>
      </c>
      <c r="L157" s="2">
        <f>IF(K157&lt;&gt;"",J157*K157*F157,I157*F157)</f>
        <v>12998.988</v>
      </c>
      <c r="M157" s="3">
        <v>0.1</v>
      </c>
      <c r="N157" s="2">
        <f t="shared" si="24"/>
        <v>11699.0892</v>
      </c>
      <c r="O157"/>
      <c r="P157" s="12">
        <v>2.8065</v>
      </c>
      <c r="Q157" s="39">
        <f t="shared" si="25"/>
        <v>10.0932966</v>
      </c>
      <c r="R157" s="223"/>
      <c r="S157" s="210"/>
      <c r="T157" s="2">
        <f t="shared" si="27"/>
        <v>11699.0892</v>
      </c>
      <c r="U157" s="115">
        <f>Q157+V157</f>
        <v>10.0932966</v>
      </c>
    </row>
    <row r="158" spans="1:21" ht="12.75" outlineLevel="2" collapsed="1">
      <c r="A158" s="7"/>
      <c r="B158" s="1" t="s">
        <v>250</v>
      </c>
      <c r="C158" s="7"/>
      <c r="D158" s="7"/>
      <c r="E158" s="8"/>
      <c r="F158" s="9"/>
      <c r="G158" s="20"/>
      <c r="H158" s="94"/>
      <c r="I158" s="119"/>
      <c r="J158" s="14"/>
      <c r="K158" s="119"/>
      <c r="L158" s="2"/>
      <c r="M158" s="3"/>
      <c r="N158" s="2"/>
      <c r="O158"/>
      <c r="P158" s="12"/>
      <c r="Q158" s="39"/>
      <c r="R158" s="223"/>
      <c r="S158" s="210"/>
      <c r="T158" s="2"/>
      <c r="U158" s="115">
        <f>SUBTOTAL(9,U157:U157)</f>
        <v>10.0932966</v>
      </c>
    </row>
    <row r="159" spans="1:21" ht="12.75" hidden="1" outlineLevel="3">
      <c r="A159" s="7" t="s">
        <v>91</v>
      </c>
      <c r="B159" t="s">
        <v>139</v>
      </c>
      <c r="C159" s="7" t="s">
        <v>127</v>
      </c>
      <c r="D159" s="7" t="s">
        <v>122</v>
      </c>
      <c r="E159" s="8">
        <v>2009</v>
      </c>
      <c r="F159" s="9">
        <v>18</v>
      </c>
      <c r="G159" s="20"/>
      <c r="H159" s="94">
        <f>((10000+6000)/2)/J159</f>
        <v>3.7209302325581395</v>
      </c>
      <c r="I159" s="91"/>
      <c r="J159" s="14">
        <v>2150</v>
      </c>
      <c r="K159" s="126">
        <f>(40-15)/1000</f>
        <v>0.025</v>
      </c>
      <c r="L159" s="2">
        <f>IF(K159&lt;&gt;"",J159*K159*F159,I159*F159)</f>
        <v>967.5</v>
      </c>
      <c r="M159" s="3">
        <v>0.1</v>
      </c>
      <c r="N159" s="2">
        <f t="shared" si="24"/>
        <v>870.75</v>
      </c>
      <c r="O159"/>
      <c r="P159" s="12">
        <v>2.8065</v>
      </c>
      <c r="Q159" s="39">
        <f t="shared" si="25"/>
        <v>1.1366325000000002</v>
      </c>
      <c r="R159" s="223"/>
      <c r="S159" s="210"/>
      <c r="T159" s="2">
        <f t="shared" si="27"/>
        <v>870.75</v>
      </c>
      <c r="U159" s="115">
        <f>Q159+V159</f>
        <v>1.1366325000000002</v>
      </c>
    </row>
    <row r="160" spans="1:21" ht="12.75" hidden="1" outlineLevel="3">
      <c r="A160" s="7" t="s">
        <v>91</v>
      </c>
      <c r="B160" t="s">
        <v>139</v>
      </c>
      <c r="C160" s="7" t="s">
        <v>125</v>
      </c>
      <c r="D160" s="7" t="s">
        <v>122</v>
      </c>
      <c r="E160" s="8">
        <v>2009</v>
      </c>
      <c r="F160" s="9">
        <v>1</v>
      </c>
      <c r="G160" s="20"/>
      <c r="H160" s="94">
        <f>20000/J160</f>
        <v>8.620689655172415</v>
      </c>
      <c r="I160" s="91"/>
      <c r="J160" s="14">
        <v>2320</v>
      </c>
      <c r="K160" s="126">
        <f>(51-28)/1000</f>
        <v>0.023</v>
      </c>
      <c r="L160" s="2">
        <f>IF(K160&lt;&gt;"",J160*K160*F160,I160*F160)</f>
        <v>53.36</v>
      </c>
      <c r="M160" s="3">
        <v>0.1</v>
      </c>
      <c r="N160" s="2">
        <f t="shared" si="24"/>
        <v>48.024</v>
      </c>
      <c r="O160"/>
      <c r="P160" s="12">
        <v>2.8065</v>
      </c>
      <c r="Q160" s="39">
        <f t="shared" si="25"/>
        <v>0.05809455</v>
      </c>
      <c r="R160" s="223"/>
      <c r="S160" s="210"/>
      <c r="T160" s="2">
        <f t="shared" si="27"/>
        <v>48.024</v>
      </c>
      <c r="U160" s="115">
        <f>Q160+V160</f>
        <v>0.05809455</v>
      </c>
    </row>
    <row r="161" spans="1:21" ht="12.75" hidden="1" outlineLevel="3">
      <c r="A161" s="7" t="s">
        <v>91</v>
      </c>
      <c r="B161" t="s">
        <v>139</v>
      </c>
      <c r="C161" s="7" t="s">
        <v>124</v>
      </c>
      <c r="D161" s="7" t="s">
        <v>122</v>
      </c>
      <c r="E161" s="8">
        <v>2009</v>
      </c>
      <c r="F161" s="9">
        <v>466</v>
      </c>
      <c r="G161" s="20"/>
      <c r="H161" s="94">
        <f>20000/J161</f>
        <v>8.620689655172415</v>
      </c>
      <c r="I161" s="91"/>
      <c r="J161" s="14">
        <v>2320</v>
      </c>
      <c r="K161" s="126">
        <f>(81-55)/1000</f>
        <v>0.026</v>
      </c>
      <c r="L161" s="2">
        <f>IF(K161&lt;&gt;"",J161*K161*F161,I161*F161)</f>
        <v>28109.12</v>
      </c>
      <c r="M161" s="3">
        <v>0.1</v>
      </c>
      <c r="N161" s="2">
        <f t="shared" si="24"/>
        <v>25298.208</v>
      </c>
      <c r="O161"/>
      <c r="P161" s="12">
        <v>2.8065</v>
      </c>
      <c r="Q161" s="39">
        <f t="shared" si="25"/>
        <v>30.6031986</v>
      </c>
      <c r="R161" s="223"/>
      <c r="S161" s="210"/>
      <c r="T161" s="2">
        <f t="shared" si="27"/>
        <v>25298.208</v>
      </c>
      <c r="U161" s="115">
        <f>Q161+V161</f>
        <v>30.6031986</v>
      </c>
    </row>
    <row r="162" spans="1:21" ht="12.75" hidden="1" outlineLevel="3">
      <c r="A162" s="7" t="s">
        <v>91</v>
      </c>
      <c r="B162" t="s">
        <v>139</v>
      </c>
      <c r="C162" s="7" t="s">
        <v>126</v>
      </c>
      <c r="D162" s="7" t="s">
        <v>122</v>
      </c>
      <c r="E162" s="8">
        <v>2009</v>
      </c>
      <c r="F162" s="9">
        <v>2</v>
      </c>
      <c r="G162" s="20"/>
      <c r="H162" s="94">
        <f>20000/J162</f>
        <v>8.620689655172415</v>
      </c>
      <c r="I162" s="91"/>
      <c r="J162" s="14">
        <v>2320</v>
      </c>
      <c r="K162" s="126">
        <f>(149-112)/1000</f>
        <v>0.037</v>
      </c>
      <c r="L162" s="2">
        <f>IF(K162&lt;&gt;"",J162*K162*F162,I162*F162)</f>
        <v>171.67999999999998</v>
      </c>
      <c r="M162" s="3">
        <v>0.1</v>
      </c>
      <c r="N162" s="2">
        <f t="shared" si="24"/>
        <v>154.51199999999997</v>
      </c>
      <c r="O162"/>
      <c r="P162" s="12">
        <v>2.8065</v>
      </c>
      <c r="Q162" s="39">
        <f>N162/J162*P162</f>
        <v>0.1869129</v>
      </c>
      <c r="R162" s="223"/>
      <c r="S162" s="210"/>
      <c r="T162" s="2">
        <f t="shared" si="27"/>
        <v>154.51199999999997</v>
      </c>
      <c r="U162" s="115">
        <f>Q162+V162</f>
        <v>0.1869129</v>
      </c>
    </row>
    <row r="163" spans="1:21" ht="12.75" outlineLevel="2" collapsed="1">
      <c r="A163" s="7"/>
      <c r="B163" s="1" t="s">
        <v>251</v>
      </c>
      <c r="C163" s="7"/>
      <c r="D163" s="7"/>
      <c r="E163" s="8"/>
      <c r="F163" s="9"/>
      <c r="G163" s="20"/>
      <c r="H163" s="94"/>
      <c r="I163" s="91"/>
      <c r="J163" s="14"/>
      <c r="K163" s="126"/>
      <c r="L163" s="2"/>
      <c r="M163" s="3"/>
      <c r="N163" s="2"/>
      <c r="O163"/>
      <c r="P163" s="12"/>
      <c r="Q163" s="39"/>
      <c r="R163" s="223"/>
      <c r="S163" s="210"/>
      <c r="T163" s="2"/>
      <c r="U163" s="115">
        <f>SUBTOTAL(9,U159:U162)</f>
        <v>31.98483855</v>
      </c>
    </row>
    <row r="164" spans="1:21" s="186" customFormat="1" ht="12.75" outlineLevel="1">
      <c r="A164" s="191" t="s">
        <v>103</v>
      </c>
      <c r="B164" s="239"/>
      <c r="C164" s="233"/>
      <c r="D164" s="233"/>
      <c r="E164" s="247"/>
      <c r="F164" s="234"/>
      <c r="G164" s="188"/>
      <c r="H164" s="198"/>
      <c r="I164" s="190"/>
      <c r="J164" s="235"/>
      <c r="K164" s="199"/>
      <c r="L164" s="237"/>
      <c r="M164" s="248"/>
      <c r="N164" s="237"/>
      <c r="O164" s="239"/>
      <c r="P164" s="240"/>
      <c r="Q164" s="249"/>
      <c r="R164" s="242"/>
      <c r="S164" s="250"/>
      <c r="T164" s="237"/>
      <c r="U164" s="264">
        <f>SUBTOTAL(9,U133:U162)</f>
        <v>734.6097944999999</v>
      </c>
    </row>
    <row r="165" spans="1:21" ht="12.75" hidden="1" outlineLevel="3">
      <c r="A165" s="7" t="s">
        <v>92</v>
      </c>
      <c r="B165" t="s">
        <v>74</v>
      </c>
      <c r="C165" s="7" t="s">
        <v>75</v>
      </c>
      <c r="D165" s="7" t="s">
        <v>41</v>
      </c>
      <c r="E165" s="8">
        <v>2008</v>
      </c>
      <c r="F165" s="9">
        <f>356+12</f>
        <v>368</v>
      </c>
      <c r="G165" s="37"/>
      <c r="H165" s="32">
        <v>16</v>
      </c>
      <c r="I165" s="91">
        <f>(450-187)*4450/1000</f>
        <v>1170.35</v>
      </c>
      <c r="J165" s="10">
        <v>4000</v>
      </c>
      <c r="K165" s="38">
        <f>I165/J165</f>
        <v>0.2925875</v>
      </c>
      <c r="L165" s="2">
        <f t="shared" si="23"/>
        <v>430688.8</v>
      </c>
      <c r="M165" s="3">
        <v>0.1</v>
      </c>
      <c r="N165" s="2">
        <f aca="true" t="shared" si="28" ref="N165:N171">+L165*(1-M165)</f>
        <v>387619.92</v>
      </c>
      <c r="O165"/>
      <c r="P165" s="12">
        <v>2.8065</v>
      </c>
      <c r="Q165" s="39">
        <f aca="true" t="shared" si="29" ref="Q165:Q175">N165/J165*P165</f>
        <v>271.96382637</v>
      </c>
      <c r="R165" s="223"/>
      <c r="S165" s="210"/>
      <c r="T165" s="2">
        <f t="shared" si="27"/>
        <v>387619.92</v>
      </c>
      <c r="U165" s="115">
        <f>Q165+V165</f>
        <v>271.96382637</v>
      </c>
    </row>
    <row r="166" spans="1:21" ht="12.75" outlineLevel="2" collapsed="1">
      <c r="A166" s="7"/>
      <c r="B166" s="1" t="s">
        <v>252</v>
      </c>
      <c r="C166" s="7"/>
      <c r="D166" s="7"/>
      <c r="E166" s="8"/>
      <c r="F166" s="9"/>
      <c r="G166" s="37"/>
      <c r="H166" s="32"/>
      <c r="I166" s="91"/>
      <c r="J166" s="10"/>
      <c r="K166" s="38"/>
      <c r="L166" s="2"/>
      <c r="M166" s="3"/>
      <c r="N166" s="2"/>
      <c r="O166"/>
      <c r="P166" s="12"/>
      <c r="Q166" s="39"/>
      <c r="R166" s="223"/>
      <c r="S166" s="210"/>
      <c r="T166" s="2"/>
      <c r="U166" s="115">
        <f>SUBTOTAL(9,U165:U165)</f>
        <v>271.96382637</v>
      </c>
    </row>
    <row r="167" spans="1:21" ht="12.75" hidden="1" outlineLevel="3">
      <c r="A167" s="7" t="s">
        <v>92</v>
      </c>
      <c r="B167" t="s">
        <v>85</v>
      </c>
      <c r="C167" t="s">
        <v>54</v>
      </c>
      <c r="D167" t="s">
        <v>41</v>
      </c>
      <c r="E167" s="4">
        <v>2008</v>
      </c>
      <c r="F167" s="9">
        <v>260</v>
      </c>
      <c r="G167" s="15"/>
      <c r="H167" s="32">
        <v>24</v>
      </c>
      <c r="I167" s="91">
        <f>(51-28)*4000/1000</f>
        <v>92</v>
      </c>
      <c r="J167" s="10">
        <v>6500</v>
      </c>
      <c r="K167" s="38">
        <f>I167/J167</f>
        <v>0.014153846153846154</v>
      </c>
      <c r="L167" s="2">
        <f t="shared" si="23"/>
        <v>23920</v>
      </c>
      <c r="M167" s="11">
        <v>0.1</v>
      </c>
      <c r="N167" s="2">
        <f t="shared" si="28"/>
        <v>21528</v>
      </c>
      <c r="O167"/>
      <c r="P167" s="12">
        <v>2.8065</v>
      </c>
      <c r="Q167" s="39">
        <f t="shared" si="29"/>
        <v>9.295128</v>
      </c>
      <c r="R167" s="223"/>
      <c r="S167" s="210"/>
      <c r="T167" s="2">
        <f t="shared" si="27"/>
        <v>21528</v>
      </c>
      <c r="U167" s="115">
        <f>Q167+V167</f>
        <v>9.295128</v>
      </c>
    </row>
    <row r="168" spans="1:21" ht="12.75" hidden="1" outlineLevel="3">
      <c r="A168" s="7" t="s">
        <v>92</v>
      </c>
      <c r="B168" t="s">
        <v>85</v>
      </c>
      <c r="C168" t="s">
        <v>55</v>
      </c>
      <c r="D168" t="s">
        <v>41</v>
      </c>
      <c r="E168" s="4">
        <v>2008</v>
      </c>
      <c r="F168" s="9">
        <v>76</v>
      </c>
      <c r="G168" s="15"/>
      <c r="H168" s="32">
        <v>24</v>
      </c>
      <c r="I168" s="91">
        <f>(88-55)*4000/1000</f>
        <v>132</v>
      </c>
      <c r="J168" s="10">
        <v>6500</v>
      </c>
      <c r="K168" s="38">
        <f>I168/J168</f>
        <v>0.020307692307692308</v>
      </c>
      <c r="L168" s="2">
        <f t="shared" si="23"/>
        <v>10032</v>
      </c>
      <c r="M168" s="11">
        <v>0.1</v>
      </c>
      <c r="N168" s="2">
        <f t="shared" si="28"/>
        <v>9028.800000000001</v>
      </c>
      <c r="O168"/>
      <c r="P168" s="12">
        <v>2.8065</v>
      </c>
      <c r="Q168" s="39">
        <f t="shared" si="29"/>
        <v>3.8983580307692316</v>
      </c>
      <c r="R168" s="223"/>
      <c r="S168" s="210"/>
      <c r="T168" s="2">
        <f t="shared" si="27"/>
        <v>9028.800000000001</v>
      </c>
      <c r="U168" s="115">
        <f>Q168+V168</f>
        <v>3.8983580307692316</v>
      </c>
    </row>
    <row r="169" spans="1:21" ht="12.75" hidden="1" outlineLevel="3">
      <c r="A169" s="7" t="s">
        <v>92</v>
      </c>
      <c r="B169" t="s">
        <v>85</v>
      </c>
      <c r="C169" t="s">
        <v>56</v>
      </c>
      <c r="D169" t="s">
        <v>41</v>
      </c>
      <c r="E169" s="4">
        <v>2008</v>
      </c>
      <c r="F169" s="9">
        <v>11</v>
      </c>
      <c r="G169" s="15"/>
      <c r="H169" s="24">
        <v>8</v>
      </c>
      <c r="I169" s="91">
        <v>459</v>
      </c>
      <c r="J169" s="10">
        <f>5100*0.3</f>
        <v>1530</v>
      </c>
      <c r="K169" s="38">
        <f>I169/J169</f>
        <v>0.3</v>
      </c>
      <c r="L169" s="2">
        <f t="shared" si="23"/>
        <v>5049</v>
      </c>
      <c r="M169" s="11">
        <v>0.1</v>
      </c>
      <c r="N169" s="2">
        <f t="shared" si="28"/>
        <v>4544.1</v>
      </c>
      <c r="O169"/>
      <c r="P169" s="12">
        <v>2.8065</v>
      </c>
      <c r="Q169" s="39">
        <f t="shared" si="29"/>
        <v>8.335305000000002</v>
      </c>
      <c r="R169" s="223"/>
      <c r="S169" s="210"/>
      <c r="T169" s="2">
        <f t="shared" si="27"/>
        <v>4544.1</v>
      </c>
      <c r="U169" s="115">
        <f>Q169+V169</f>
        <v>8.335305000000002</v>
      </c>
    </row>
    <row r="170" spans="1:21" ht="12.75" hidden="1" outlineLevel="3">
      <c r="A170" s="7" t="s">
        <v>92</v>
      </c>
      <c r="B170" t="s">
        <v>85</v>
      </c>
      <c r="C170" t="s">
        <v>57</v>
      </c>
      <c r="D170" t="s">
        <v>41</v>
      </c>
      <c r="E170" s="4">
        <v>2008</v>
      </c>
      <c r="F170" s="9">
        <v>3</v>
      </c>
      <c r="G170" s="15"/>
      <c r="H170" s="24">
        <v>8</v>
      </c>
      <c r="I170" s="91">
        <v>459</v>
      </c>
      <c r="J170" s="10">
        <f>5100*0.3</f>
        <v>1530</v>
      </c>
      <c r="K170" s="38">
        <f>I170/J170</f>
        <v>0.3</v>
      </c>
      <c r="L170" s="2">
        <f t="shared" si="23"/>
        <v>1377</v>
      </c>
      <c r="M170" s="11">
        <v>0.1</v>
      </c>
      <c r="N170" s="2">
        <f t="shared" si="28"/>
        <v>1239.3</v>
      </c>
      <c r="O170"/>
      <c r="P170" s="12">
        <v>2.8065</v>
      </c>
      <c r="Q170" s="39">
        <f t="shared" si="29"/>
        <v>2.273265</v>
      </c>
      <c r="R170" s="223"/>
      <c r="S170" s="210"/>
      <c r="T170" s="2">
        <f t="shared" si="27"/>
        <v>1239.3</v>
      </c>
      <c r="U170" s="115">
        <f>Q170+V170</f>
        <v>2.273265</v>
      </c>
    </row>
    <row r="171" spans="1:21" ht="12.75" hidden="1" outlineLevel="3">
      <c r="A171" s="7" t="s">
        <v>92</v>
      </c>
      <c r="B171" t="s">
        <v>85</v>
      </c>
      <c r="C171" t="s">
        <v>58</v>
      </c>
      <c r="D171" t="s">
        <v>41</v>
      </c>
      <c r="E171" s="4">
        <v>2008</v>
      </c>
      <c r="F171" s="9">
        <v>37</v>
      </c>
      <c r="G171" s="15"/>
      <c r="H171" s="32">
        <v>10</v>
      </c>
      <c r="I171" s="91"/>
      <c r="J171" s="10">
        <v>8760</v>
      </c>
      <c r="K171" s="38">
        <f>(22-5)/1000</f>
        <v>0.017</v>
      </c>
      <c r="L171" s="2">
        <f t="shared" si="23"/>
        <v>5510.040000000001</v>
      </c>
      <c r="M171" s="11">
        <v>0.1</v>
      </c>
      <c r="N171" s="2">
        <f t="shared" si="28"/>
        <v>4959.036000000001</v>
      </c>
      <c r="O171"/>
      <c r="P171" s="12">
        <v>2.8065</v>
      </c>
      <c r="Q171" s="39">
        <f t="shared" si="29"/>
        <v>1.5887596500000005</v>
      </c>
      <c r="R171" s="223"/>
      <c r="S171" s="210"/>
      <c r="T171" s="2">
        <f t="shared" si="27"/>
        <v>4959.036000000001</v>
      </c>
      <c r="U171" s="115">
        <f>Q171+V171</f>
        <v>1.5887596500000005</v>
      </c>
    </row>
    <row r="172" spans="1:21" ht="12.75" outlineLevel="2" collapsed="1">
      <c r="A172" s="7"/>
      <c r="B172" s="1" t="s">
        <v>253</v>
      </c>
      <c r="C172"/>
      <c r="D172"/>
      <c r="E172" s="4"/>
      <c r="F172" s="9"/>
      <c r="G172" s="15"/>
      <c r="H172" s="32"/>
      <c r="I172" s="91"/>
      <c r="J172" s="10"/>
      <c r="K172" s="38"/>
      <c r="L172" s="2"/>
      <c r="M172" s="11"/>
      <c r="N172" s="2"/>
      <c r="O172"/>
      <c r="P172" s="12"/>
      <c r="Q172" s="39"/>
      <c r="R172" s="223"/>
      <c r="S172" s="210"/>
      <c r="T172" s="2"/>
      <c r="U172" s="115">
        <f>SUBTOTAL(9,U167:U171)</f>
        <v>25.390815680769233</v>
      </c>
    </row>
    <row r="173" spans="1:21" ht="12.75" hidden="1" outlineLevel="3">
      <c r="A173" s="7" t="s">
        <v>92</v>
      </c>
      <c r="B173" t="s">
        <v>147</v>
      </c>
      <c r="C173" s="7" t="s">
        <v>148</v>
      </c>
      <c r="D173" s="7" t="s">
        <v>122</v>
      </c>
      <c r="E173" s="8">
        <v>2009</v>
      </c>
      <c r="F173" s="9">
        <v>41</v>
      </c>
      <c r="G173" s="20"/>
      <c r="H173" s="94">
        <f>20000/J173</f>
        <v>6.389776357827476</v>
      </c>
      <c r="I173" s="91"/>
      <c r="J173" s="14">
        <v>3130</v>
      </c>
      <c r="K173" s="119">
        <f>(507-351)/1000</f>
        <v>0.156</v>
      </c>
      <c r="L173" s="2">
        <f t="shared" si="23"/>
        <v>20019.48</v>
      </c>
      <c r="M173" s="3">
        <v>0.1</v>
      </c>
      <c r="N173" s="2">
        <f>+L173*(1-M173)</f>
        <v>18017.532</v>
      </c>
      <c r="O173"/>
      <c r="P173" s="12">
        <v>2.8065</v>
      </c>
      <c r="Q173" s="39">
        <f t="shared" si="29"/>
        <v>16.155336600000002</v>
      </c>
      <c r="R173" s="223"/>
      <c r="S173" s="210"/>
      <c r="T173" s="2">
        <f t="shared" si="27"/>
        <v>18017.532</v>
      </c>
      <c r="U173" s="115">
        <f>Q173+V173</f>
        <v>16.155336600000002</v>
      </c>
    </row>
    <row r="174" spans="1:21" ht="12.75" outlineLevel="2" collapsed="1">
      <c r="A174" s="7"/>
      <c r="B174" s="1" t="s">
        <v>254</v>
      </c>
      <c r="C174" s="7"/>
      <c r="D174" s="7"/>
      <c r="E174" s="8"/>
      <c r="F174" s="9"/>
      <c r="G174" s="20"/>
      <c r="H174" s="94"/>
      <c r="I174" s="91"/>
      <c r="J174" s="14"/>
      <c r="K174" s="119"/>
      <c r="L174" s="2"/>
      <c r="M174" s="3"/>
      <c r="N174" s="2"/>
      <c r="O174"/>
      <c r="P174" s="12"/>
      <c r="Q174" s="39"/>
      <c r="R174" s="223"/>
      <c r="S174" s="210"/>
      <c r="T174" s="2"/>
      <c r="U174" s="115">
        <f>SUBTOTAL(9,U173:U173)</f>
        <v>16.155336600000002</v>
      </c>
    </row>
    <row r="175" spans="1:21" ht="12.75" hidden="1" outlineLevel="3">
      <c r="A175" s="7" t="s">
        <v>92</v>
      </c>
      <c r="B175" t="s">
        <v>165</v>
      </c>
      <c r="C175" s="7" t="s">
        <v>126</v>
      </c>
      <c r="D175" s="7" t="s">
        <v>122</v>
      </c>
      <c r="E175" s="8">
        <v>2009</v>
      </c>
      <c r="F175" s="9">
        <v>32</v>
      </c>
      <c r="G175" s="20"/>
      <c r="H175" s="94"/>
      <c r="I175" s="119"/>
      <c r="J175" s="14">
        <v>3130</v>
      </c>
      <c r="K175" s="119">
        <f>(149-112)/1000</f>
        <v>0.037</v>
      </c>
      <c r="L175" s="2">
        <f t="shared" si="23"/>
        <v>3705.9199999999996</v>
      </c>
      <c r="M175" s="3">
        <v>0.1</v>
      </c>
      <c r="N175" s="2">
        <f>+L175*(1-M175)</f>
        <v>3335.3279999999995</v>
      </c>
      <c r="O175"/>
      <c r="P175" s="12">
        <v>2.8065</v>
      </c>
      <c r="Q175" s="39">
        <f t="shared" si="29"/>
        <v>2.9906064</v>
      </c>
      <c r="R175" s="223"/>
      <c r="S175" s="210"/>
      <c r="T175" s="2">
        <f t="shared" si="27"/>
        <v>3335.3279999999995</v>
      </c>
      <c r="U175" s="115">
        <f>Q175+V175</f>
        <v>2.9906064</v>
      </c>
    </row>
    <row r="176" spans="1:21" ht="12.75" outlineLevel="2" collapsed="1">
      <c r="A176" s="7"/>
      <c r="B176" s="1" t="s">
        <v>249</v>
      </c>
      <c r="C176" s="7"/>
      <c r="D176" s="7"/>
      <c r="E176" s="8"/>
      <c r="F176" s="9"/>
      <c r="G176" s="20"/>
      <c r="H176" s="94"/>
      <c r="I176" s="119"/>
      <c r="J176" s="14"/>
      <c r="K176" s="119"/>
      <c r="L176" s="2"/>
      <c r="M176" s="3"/>
      <c r="N176" s="2"/>
      <c r="O176"/>
      <c r="P176" s="12"/>
      <c r="Q176" s="39"/>
      <c r="R176" s="223"/>
      <c r="S176" s="210"/>
      <c r="T176" s="2"/>
      <c r="U176" s="115">
        <f>SUBTOTAL(9,U175:U175)</f>
        <v>2.9906064</v>
      </c>
    </row>
    <row r="177" spans="1:21" s="186" customFormat="1" ht="12.75" outlineLevel="1">
      <c r="A177" s="191" t="s">
        <v>104</v>
      </c>
      <c r="B177" s="239"/>
      <c r="C177" s="233"/>
      <c r="D177" s="233"/>
      <c r="E177" s="247"/>
      <c r="F177" s="234"/>
      <c r="G177" s="188"/>
      <c r="H177" s="198"/>
      <c r="I177" s="200"/>
      <c r="J177" s="235"/>
      <c r="K177" s="200"/>
      <c r="L177" s="237"/>
      <c r="M177" s="248"/>
      <c r="N177" s="237"/>
      <c r="O177" s="239"/>
      <c r="P177" s="240"/>
      <c r="Q177" s="249"/>
      <c r="R177" s="242"/>
      <c r="S177" s="250"/>
      <c r="T177" s="237"/>
      <c r="U177" s="264">
        <f>SUBTOTAL(9,U165:U175)</f>
        <v>316.5005850507692</v>
      </c>
    </row>
    <row r="178" spans="1:21" s="208" customFormat="1" ht="13.5" thickBot="1">
      <c r="A178" s="64" t="s">
        <v>95</v>
      </c>
      <c r="B178" s="251"/>
      <c r="C178" s="252"/>
      <c r="D178" s="252"/>
      <c r="E178" s="253"/>
      <c r="F178" s="254"/>
      <c r="G178" s="201"/>
      <c r="H178" s="202"/>
      <c r="I178" s="203"/>
      <c r="J178" s="255"/>
      <c r="K178" s="203"/>
      <c r="L178" s="256"/>
      <c r="M178" s="257"/>
      <c r="N178" s="256"/>
      <c r="O178" s="251"/>
      <c r="P178" s="258"/>
      <c r="Q178" s="259"/>
      <c r="R178" s="260"/>
      <c r="S178" s="261"/>
      <c r="T178" s="256"/>
      <c r="U178" s="265">
        <f>SUBTOTAL(9,U3:U175)</f>
        <v>81081.7403625407</v>
      </c>
    </row>
    <row r="179" ht="13.5" thickTop="1"/>
    <row r="180" ht="12.75">
      <c r="U180" s="275">
        <f>U178-'LRAM Detail'!U148</f>
        <v>0</v>
      </c>
    </row>
    <row r="194" ht="12.75"/>
    <row r="197" ht="12.75"/>
    <row r="198" ht="12.75"/>
    <row r="199" ht="12.75"/>
    <row r="200" ht="12.75"/>
    <row r="207" ht="12.75"/>
    <row r="212" ht="12.75"/>
    <row r="213" ht="12.75"/>
    <row r="214" ht="12.75"/>
    <row r="235" ht="12.75"/>
    <row r="236" ht="12.75"/>
    <row r="246" ht="12.75"/>
    <row r="247" ht="12.75"/>
    <row r="248" ht="12.75"/>
    <row r="249" ht="12.75"/>
    <row r="252" ht="12.75"/>
    <row r="253" ht="12.75"/>
    <row r="256" ht="12.75"/>
    <row r="257" ht="12.75"/>
    <row r="264" ht="12.75"/>
    <row r="265" ht="12.75"/>
    <row r="286" ht="12.75"/>
    <row r="287" ht="12.75"/>
    <row r="288" ht="12.75"/>
    <row r="290" ht="12.75"/>
    <row r="291" ht="12.75"/>
    <row r="292" ht="12.75"/>
    <row r="294" ht="12.75"/>
    <row r="296" ht="12.75"/>
    <row r="298" ht="12.75"/>
    <row r="299" ht="12.75"/>
    <row r="313" ht="12.75"/>
    <row r="314" ht="12.75"/>
    <row r="315" ht="12.75"/>
  </sheetData>
  <sheetProtection/>
  <printOptions/>
  <pageMargins left="0.27" right="0.2" top="0.44" bottom="0.5" header="0.26" footer="0.24"/>
  <pageSetup fitToHeight="1" fitToWidth="1" horizontalDpi="600" verticalDpi="600" orientation="landscape" scale="91" r:id="rId3"/>
  <headerFooter alignWithMargins="0">
    <oddFooter>&amp;L&amp;Z&amp;F  &amp;A</oddFooter>
  </headerFooter>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U181"/>
  <sheetViews>
    <sheetView zoomScale="80" zoomScaleNormal="80" zoomScalePageLayoutView="0" workbookViewId="0" topLeftCell="A1">
      <pane xSplit="5" ySplit="2" topLeftCell="R3" activePane="bottomRight" state="frozen"/>
      <selection pane="topLeft" activeCell="A1" sqref="A1"/>
      <selection pane="topRight" activeCell="F1" sqref="F1"/>
      <selection pane="bottomLeft" activeCell="A4" sqref="A4"/>
      <selection pane="bottomRight" activeCell="T181" sqref="T181"/>
    </sheetView>
  </sheetViews>
  <sheetFormatPr defaultColWidth="9.140625" defaultRowHeight="12.75" outlineLevelRow="3" outlineLevelCol="1"/>
  <cols>
    <col min="1" max="1" width="18.140625" style="17" customWidth="1"/>
    <col min="2" max="2" width="73.7109375" style="17" bestFit="1" customWidth="1"/>
    <col min="3" max="3" width="31.57421875" style="17" hidden="1" customWidth="1" outlineLevel="1"/>
    <col min="4" max="4" width="18.28125" style="17" hidden="1" customWidth="1" outlineLevel="1"/>
    <col min="5" max="5" width="11.421875" style="24" hidden="1" customWidth="1" outlineLevel="1"/>
    <col min="6" max="6" width="12.140625" style="204" hidden="1" customWidth="1" outlineLevel="1"/>
    <col min="7" max="7" width="13.00390625" style="204" hidden="1" customWidth="1" outlineLevel="1"/>
    <col min="8" max="8" width="11.00390625" style="24" hidden="1" customWidth="1" outlineLevel="1"/>
    <col min="9" max="9" width="10.7109375" style="205" hidden="1" customWidth="1" outlineLevel="1"/>
    <col min="10" max="10" width="10.8515625" style="17" hidden="1" customWidth="1" outlineLevel="1"/>
    <col min="11" max="11" width="10.57421875" style="17" hidden="1" customWidth="1" outlineLevel="1"/>
    <col min="12" max="12" width="14.140625" style="27" hidden="1" customWidth="1" outlineLevel="1"/>
    <col min="13" max="13" width="6.57421875" style="28" hidden="1" customWidth="1" outlineLevel="1"/>
    <col min="14" max="14" width="13.28125" style="27" hidden="1" customWidth="1" outlineLevel="1"/>
    <col min="15" max="15" width="2.57421875" style="17" hidden="1" customWidth="1" outlineLevel="1"/>
    <col min="16" max="16" width="14.57421875" style="17" hidden="1" customWidth="1" outlineLevel="1"/>
    <col min="17" max="17" width="15.140625" style="17" hidden="1" customWidth="1" outlineLevel="1"/>
    <col min="18" max="18" width="12.28125" style="17" hidden="1" customWidth="1" outlineLevel="1"/>
    <col min="19" max="19" width="0" style="17" hidden="1" customWidth="1" outlineLevel="1"/>
    <col min="20" max="20" width="17.140625" style="17" customWidth="1" collapsed="1"/>
    <col min="21" max="21" width="0" style="17" hidden="1" customWidth="1" outlineLevel="1"/>
    <col min="22" max="22" width="9.140625" style="17" customWidth="1" collapsed="1"/>
    <col min="23" max="26" width="8.8515625" style="17" customWidth="1"/>
    <col min="27" max="16384" width="9.140625" style="17" customWidth="1"/>
  </cols>
  <sheetData>
    <row r="1" ht="12.75">
      <c r="A1" s="83" t="s">
        <v>256</v>
      </c>
    </row>
    <row r="2" spans="1:21" s="78" customFormat="1" ht="405">
      <c r="A2" s="78" t="s">
        <v>6</v>
      </c>
      <c r="B2" s="78" t="s">
        <v>7</v>
      </c>
      <c r="C2" s="78" t="s">
        <v>8</v>
      </c>
      <c r="D2" s="78" t="s">
        <v>9</v>
      </c>
      <c r="E2" s="79" t="s">
        <v>98</v>
      </c>
      <c r="F2" s="80" t="s">
        <v>10</v>
      </c>
      <c r="G2" s="80" t="s">
        <v>33</v>
      </c>
      <c r="H2" s="79" t="s">
        <v>106</v>
      </c>
      <c r="I2" s="90" t="s">
        <v>185</v>
      </c>
      <c r="J2" s="78" t="s">
        <v>93</v>
      </c>
      <c r="K2" s="78" t="s">
        <v>186</v>
      </c>
      <c r="L2" s="81" t="s">
        <v>13</v>
      </c>
      <c r="M2" s="82" t="s">
        <v>14</v>
      </c>
      <c r="N2" s="81" t="s">
        <v>176</v>
      </c>
      <c r="O2" s="78" t="s">
        <v>94</v>
      </c>
      <c r="P2" s="78" t="s">
        <v>153</v>
      </c>
      <c r="Q2" s="78" t="s">
        <v>123</v>
      </c>
      <c r="R2" s="224" t="s">
        <v>267</v>
      </c>
      <c r="S2" s="224" t="s">
        <v>268</v>
      </c>
      <c r="T2" s="78" t="s">
        <v>265</v>
      </c>
      <c r="U2" s="78" t="s">
        <v>259</v>
      </c>
    </row>
    <row r="3" spans="1:21" ht="12.75" hidden="1" outlineLevel="3">
      <c r="A3" s="7" t="s">
        <v>15</v>
      </c>
      <c r="B3" t="s">
        <v>17</v>
      </c>
      <c r="C3" t="s">
        <v>19</v>
      </c>
      <c r="D3" t="s">
        <v>18</v>
      </c>
      <c r="E3" s="4">
        <v>2006</v>
      </c>
      <c r="F3" s="9">
        <v>140</v>
      </c>
      <c r="G3" s="15"/>
      <c r="H3" s="32">
        <v>8</v>
      </c>
      <c r="I3" s="91">
        <v>44.35</v>
      </c>
      <c r="J3" s="14"/>
      <c r="K3" s="89"/>
      <c r="L3" s="2">
        <f aca="true" t="shared" si="0" ref="L3:L25">IF(K3&lt;&gt;"",J3*K3*F3,I3*F3)</f>
        <v>6209</v>
      </c>
      <c r="M3" s="11">
        <v>0.1</v>
      </c>
      <c r="N3" s="2">
        <f aca="true" t="shared" si="1" ref="N3:N10">+L3*(1-M3)</f>
        <v>5588.1</v>
      </c>
      <c r="O3"/>
      <c r="P3" s="12">
        <v>0.0127</v>
      </c>
      <c r="Q3" s="6">
        <f aca="true" t="shared" si="2" ref="Q3:Q25">+N3*P3</f>
        <v>70.96887</v>
      </c>
      <c r="R3" s="223"/>
      <c r="S3" s="210"/>
      <c r="T3" s="2">
        <f>N3+R3</f>
        <v>5588.1</v>
      </c>
      <c r="U3" s="120">
        <f>Q3+S3</f>
        <v>70.96887</v>
      </c>
    </row>
    <row r="4" spans="1:21" ht="12.75" outlineLevel="2" collapsed="1">
      <c r="A4" s="7"/>
      <c r="B4" s="206" t="s">
        <v>232</v>
      </c>
      <c r="C4"/>
      <c r="D4"/>
      <c r="E4" s="4"/>
      <c r="F4" s="9"/>
      <c r="G4" s="15"/>
      <c r="H4" s="32"/>
      <c r="I4" s="91"/>
      <c r="J4" s="14"/>
      <c r="K4" s="89"/>
      <c r="L4" s="2"/>
      <c r="M4" s="11"/>
      <c r="N4" s="2"/>
      <c r="O4"/>
      <c r="P4" s="12"/>
      <c r="Q4" s="6"/>
      <c r="R4" s="223"/>
      <c r="S4" s="210"/>
      <c r="T4" s="60">
        <f>SUBTOTAL(9,T3:T3)</f>
        <v>5588.1</v>
      </c>
      <c r="U4" s="120"/>
    </row>
    <row r="5" spans="1:21" ht="12.75" hidden="1" outlineLevel="3">
      <c r="A5" s="17" t="s">
        <v>15</v>
      </c>
      <c r="B5" s="17" t="s">
        <v>21</v>
      </c>
      <c r="C5" s="17" t="s">
        <v>19</v>
      </c>
      <c r="D5" s="17" t="s">
        <v>16</v>
      </c>
      <c r="E5" s="24">
        <v>2006</v>
      </c>
      <c r="F5" s="25">
        <v>8247</v>
      </c>
      <c r="G5" s="26"/>
      <c r="H5" s="32">
        <v>8</v>
      </c>
      <c r="I5" s="91">
        <v>44.35</v>
      </c>
      <c r="J5" s="14"/>
      <c r="K5" s="89"/>
      <c r="L5" s="2">
        <f t="shared" si="0"/>
        <v>365754.45</v>
      </c>
      <c r="M5" s="28">
        <v>0.1</v>
      </c>
      <c r="N5" s="27">
        <f t="shared" si="1"/>
        <v>329179.005</v>
      </c>
      <c r="P5" s="12">
        <v>0.0127</v>
      </c>
      <c r="Q5" s="29">
        <f t="shared" si="2"/>
        <v>4180.5733635</v>
      </c>
      <c r="R5" s="223"/>
      <c r="S5" s="210"/>
      <c r="T5" s="60">
        <f aca="true" t="shared" si="3" ref="T5:T82">N5+R5</f>
        <v>329179.005</v>
      </c>
      <c r="U5" s="120">
        <f aca="true" t="shared" si="4" ref="U5:U10">Q5+S5</f>
        <v>4180.5733635</v>
      </c>
    </row>
    <row r="6" spans="1:21" ht="12.75" hidden="1" outlineLevel="3">
      <c r="A6" s="31" t="s">
        <v>15</v>
      </c>
      <c r="B6" s="31" t="s">
        <v>21</v>
      </c>
      <c r="C6" s="31" t="s">
        <v>1</v>
      </c>
      <c r="D6" s="31" t="s">
        <v>16</v>
      </c>
      <c r="E6" s="32">
        <v>2006</v>
      </c>
      <c r="F6" s="25">
        <v>326</v>
      </c>
      <c r="G6" s="26"/>
      <c r="H6" s="32">
        <v>10</v>
      </c>
      <c r="I6" s="91">
        <v>23.65</v>
      </c>
      <c r="J6" s="14"/>
      <c r="K6" s="89"/>
      <c r="L6" s="2">
        <f t="shared" si="0"/>
        <v>7709.9</v>
      </c>
      <c r="M6" s="34">
        <v>0.1</v>
      </c>
      <c r="N6" s="27">
        <f t="shared" si="1"/>
        <v>6938.91</v>
      </c>
      <c r="O6" s="31"/>
      <c r="P6" s="12">
        <v>0.0127</v>
      </c>
      <c r="Q6" s="35">
        <f t="shared" si="2"/>
        <v>88.124157</v>
      </c>
      <c r="R6" s="223"/>
      <c r="S6" s="225"/>
      <c r="T6" s="60">
        <f t="shared" si="3"/>
        <v>6938.91</v>
      </c>
      <c r="U6" s="120">
        <f t="shared" si="4"/>
        <v>88.124157</v>
      </c>
    </row>
    <row r="7" spans="1:21" ht="12.75" hidden="1" outlineLevel="3">
      <c r="A7" s="17" t="s">
        <v>15</v>
      </c>
      <c r="B7" s="17" t="s">
        <v>21</v>
      </c>
      <c r="C7" s="17" t="s">
        <v>2</v>
      </c>
      <c r="D7" s="17" t="s">
        <v>16</v>
      </c>
      <c r="E7" s="24">
        <v>2006</v>
      </c>
      <c r="F7" s="25">
        <v>101</v>
      </c>
      <c r="G7" s="26"/>
      <c r="H7" s="32">
        <v>10</v>
      </c>
      <c r="I7" s="91">
        <v>63.95</v>
      </c>
      <c r="J7" s="14"/>
      <c r="K7" s="89"/>
      <c r="L7" s="2">
        <f t="shared" si="0"/>
        <v>6458.950000000001</v>
      </c>
      <c r="M7" s="28">
        <v>0.1</v>
      </c>
      <c r="N7" s="27">
        <f t="shared" si="1"/>
        <v>5813.055000000001</v>
      </c>
      <c r="P7" s="12">
        <v>0.0127</v>
      </c>
      <c r="Q7" s="29">
        <f t="shared" si="2"/>
        <v>73.82579850000002</v>
      </c>
      <c r="R7" s="223"/>
      <c r="S7" s="210"/>
      <c r="T7" s="60">
        <f t="shared" si="3"/>
        <v>5813.055000000001</v>
      </c>
      <c r="U7" s="120">
        <f t="shared" si="4"/>
        <v>73.82579850000002</v>
      </c>
    </row>
    <row r="8" spans="1:21" ht="12.75" hidden="1" outlineLevel="3">
      <c r="A8" s="17" t="s">
        <v>15</v>
      </c>
      <c r="B8" s="17" t="s">
        <v>21</v>
      </c>
      <c r="C8" s="17" t="s">
        <v>107</v>
      </c>
      <c r="D8" s="17" t="s">
        <v>16</v>
      </c>
      <c r="E8" s="24">
        <v>2006</v>
      </c>
      <c r="F8" s="25">
        <v>792</v>
      </c>
      <c r="G8" s="26"/>
      <c r="H8" s="32">
        <v>11</v>
      </c>
      <c r="I8" s="91">
        <v>203</v>
      </c>
      <c r="J8" s="14"/>
      <c r="K8" s="89"/>
      <c r="L8" s="2">
        <f t="shared" si="0"/>
        <v>160776</v>
      </c>
      <c r="M8" s="28">
        <v>0.1</v>
      </c>
      <c r="N8" s="27">
        <f t="shared" si="1"/>
        <v>144698.4</v>
      </c>
      <c r="P8" s="12">
        <v>0.0127</v>
      </c>
      <c r="Q8" s="29">
        <f t="shared" si="2"/>
        <v>1837.6696799999997</v>
      </c>
      <c r="R8" s="223"/>
      <c r="S8" s="210"/>
      <c r="T8" s="60">
        <f t="shared" si="3"/>
        <v>144698.4</v>
      </c>
      <c r="U8" s="120">
        <f t="shared" si="4"/>
        <v>1837.6696799999997</v>
      </c>
    </row>
    <row r="9" spans="1:21" ht="12.75" hidden="1" outlineLevel="3">
      <c r="A9" s="17" t="s">
        <v>15</v>
      </c>
      <c r="B9" s="17" t="s">
        <v>21</v>
      </c>
      <c r="C9" s="17" t="s">
        <v>22</v>
      </c>
      <c r="D9" s="17" t="s">
        <v>16</v>
      </c>
      <c r="E9" s="24">
        <v>2006</v>
      </c>
      <c r="F9" s="25">
        <v>83</v>
      </c>
      <c r="G9" s="26"/>
      <c r="H9" s="32">
        <v>11</v>
      </c>
      <c r="I9" s="91">
        <v>63.15</v>
      </c>
      <c r="J9" s="14"/>
      <c r="K9" s="89"/>
      <c r="L9" s="2">
        <f t="shared" si="0"/>
        <v>5241.45</v>
      </c>
      <c r="M9" s="28">
        <v>0.1</v>
      </c>
      <c r="N9" s="27">
        <f t="shared" si="1"/>
        <v>4717.305</v>
      </c>
      <c r="P9" s="12">
        <v>0.0127</v>
      </c>
      <c r="Q9" s="29">
        <f t="shared" si="2"/>
        <v>59.9097735</v>
      </c>
      <c r="R9" s="223"/>
      <c r="S9" s="210"/>
      <c r="T9" s="60">
        <f t="shared" si="3"/>
        <v>4717.305</v>
      </c>
      <c r="U9" s="120">
        <f t="shared" si="4"/>
        <v>59.9097735</v>
      </c>
    </row>
    <row r="10" spans="1:21" ht="14.25" customHeight="1" hidden="1" outlineLevel="3">
      <c r="A10" s="17" t="s">
        <v>15</v>
      </c>
      <c r="B10" s="17" t="s">
        <v>21</v>
      </c>
      <c r="C10" s="17" t="s">
        <v>23</v>
      </c>
      <c r="D10" s="17" t="s">
        <v>16</v>
      </c>
      <c r="E10" s="24">
        <v>2006</v>
      </c>
      <c r="F10" s="25">
        <v>5197</v>
      </c>
      <c r="G10" s="26"/>
      <c r="H10" s="32">
        <v>5</v>
      </c>
      <c r="I10" s="91">
        <v>13.5</v>
      </c>
      <c r="J10" s="14"/>
      <c r="K10" s="89"/>
      <c r="L10" s="2">
        <f t="shared" si="0"/>
        <v>70159.5</v>
      </c>
      <c r="M10" s="28">
        <v>0.05</v>
      </c>
      <c r="N10" s="27">
        <f t="shared" si="1"/>
        <v>66651.525</v>
      </c>
      <c r="P10" s="12">
        <v>0.0127</v>
      </c>
      <c r="Q10" s="29">
        <f t="shared" si="2"/>
        <v>846.4743674999999</v>
      </c>
      <c r="R10" s="223"/>
      <c r="S10" s="210"/>
      <c r="T10" s="60">
        <f t="shared" si="3"/>
        <v>66651.525</v>
      </c>
      <c r="U10" s="120">
        <f t="shared" si="4"/>
        <v>846.4743674999999</v>
      </c>
    </row>
    <row r="11" spans="2:21" ht="14.25" customHeight="1" outlineLevel="2" collapsed="1">
      <c r="B11" s="1" t="s">
        <v>233</v>
      </c>
      <c r="F11" s="25"/>
      <c r="G11" s="26"/>
      <c r="H11" s="32"/>
      <c r="I11" s="91"/>
      <c r="J11" s="14"/>
      <c r="K11" s="89"/>
      <c r="L11" s="2"/>
      <c r="P11" s="12"/>
      <c r="Q11" s="29"/>
      <c r="R11" s="223"/>
      <c r="S11" s="210"/>
      <c r="T11" s="60">
        <f>SUBTOTAL(9,T5:T10)</f>
        <v>557998.2</v>
      </c>
      <c r="U11" s="120"/>
    </row>
    <row r="12" spans="1:21" s="31" customFormat="1" ht="12.75" hidden="1" outlineLevel="3">
      <c r="A12" s="7" t="s">
        <v>15</v>
      </c>
      <c r="B12" s="7" t="s">
        <v>27</v>
      </c>
      <c r="C12" s="7" t="s">
        <v>28</v>
      </c>
      <c r="D12" s="7" t="s">
        <v>29</v>
      </c>
      <c r="E12" s="8">
        <v>2006</v>
      </c>
      <c r="F12" s="96">
        <v>8</v>
      </c>
      <c r="G12" s="20"/>
      <c r="H12" s="32">
        <v>20</v>
      </c>
      <c r="I12" s="91">
        <v>600</v>
      </c>
      <c r="J12" s="14" t="s">
        <v>121</v>
      </c>
      <c r="K12" s="89"/>
      <c r="L12" s="2">
        <f t="shared" si="0"/>
        <v>4800</v>
      </c>
      <c r="M12" s="98">
        <v>0</v>
      </c>
      <c r="N12" s="97">
        <f>240*H12</f>
        <v>4800</v>
      </c>
      <c r="O12" s="7"/>
      <c r="P12" s="12">
        <v>0.0127</v>
      </c>
      <c r="Q12" s="100">
        <f t="shared" si="2"/>
        <v>60.96</v>
      </c>
      <c r="R12" s="223"/>
      <c r="S12" s="225"/>
      <c r="T12" s="60">
        <f t="shared" si="3"/>
        <v>4800</v>
      </c>
      <c r="U12" s="120">
        <f>Q12+S12</f>
        <v>60.96</v>
      </c>
    </row>
    <row r="13" spans="1:21" s="31" customFormat="1" ht="12.75" outlineLevel="2" collapsed="1">
      <c r="A13" s="7"/>
      <c r="B13" s="19" t="s">
        <v>234</v>
      </c>
      <c r="C13" s="7"/>
      <c r="D13" s="7"/>
      <c r="E13" s="8"/>
      <c r="F13" s="96"/>
      <c r="G13" s="20"/>
      <c r="H13" s="32"/>
      <c r="I13" s="91"/>
      <c r="J13" s="14"/>
      <c r="K13" s="89"/>
      <c r="L13" s="2"/>
      <c r="M13" s="98"/>
      <c r="N13" s="97"/>
      <c r="O13" s="7"/>
      <c r="P13" s="12"/>
      <c r="Q13" s="100"/>
      <c r="R13" s="223"/>
      <c r="S13" s="225"/>
      <c r="T13" s="60">
        <f>SUBTOTAL(9,T12:T12)</f>
        <v>4800</v>
      </c>
      <c r="U13" s="120"/>
    </row>
    <row r="14" spans="1:21" s="31" customFormat="1" ht="12.75" hidden="1" outlineLevel="3">
      <c r="A14" t="s">
        <v>15</v>
      </c>
      <c r="B14" t="s">
        <v>4</v>
      </c>
      <c r="C14" s="7" t="s">
        <v>24</v>
      </c>
      <c r="D14" t="s">
        <v>18</v>
      </c>
      <c r="E14" s="4">
        <v>2006</v>
      </c>
      <c r="F14" s="5">
        <v>143</v>
      </c>
      <c r="G14" s="15"/>
      <c r="H14" s="32">
        <v>18</v>
      </c>
      <c r="I14" s="91">
        <v>32.85</v>
      </c>
      <c r="J14" s="14"/>
      <c r="K14" s="89"/>
      <c r="L14" s="2">
        <f t="shared" si="0"/>
        <v>4697.55</v>
      </c>
      <c r="M14" s="3">
        <v>0</v>
      </c>
      <c r="N14" s="2">
        <f aca="true" t="shared" si="5" ref="N14:N25">+L14*(1-M14)</f>
        <v>4697.55</v>
      </c>
      <c r="O14"/>
      <c r="P14" s="12">
        <v>0.0127</v>
      </c>
      <c r="Q14" s="6">
        <f t="shared" si="2"/>
        <v>59.658885</v>
      </c>
      <c r="R14" s="223"/>
      <c r="S14" s="210"/>
      <c r="T14" s="60">
        <f t="shared" si="3"/>
        <v>4697.55</v>
      </c>
      <c r="U14" s="120">
        <f>Q14+S14</f>
        <v>59.658885</v>
      </c>
    </row>
    <row r="15" spans="1:21" ht="12.75" hidden="1" outlineLevel="3">
      <c r="A15" t="s">
        <v>15</v>
      </c>
      <c r="B15" t="s">
        <v>4</v>
      </c>
      <c r="C15" s="7" t="s">
        <v>0</v>
      </c>
      <c r="D15" t="s">
        <v>18</v>
      </c>
      <c r="E15" s="4">
        <v>2006</v>
      </c>
      <c r="F15" s="5">
        <v>610</v>
      </c>
      <c r="G15" s="15"/>
      <c r="H15" s="32">
        <v>8</v>
      </c>
      <c r="I15" s="91">
        <v>44.35</v>
      </c>
      <c r="J15" s="14"/>
      <c r="K15" s="89"/>
      <c r="L15" s="2">
        <f t="shared" si="0"/>
        <v>27053.5</v>
      </c>
      <c r="M15" s="3">
        <v>0.1</v>
      </c>
      <c r="N15" s="2">
        <f t="shared" si="5"/>
        <v>24348.15</v>
      </c>
      <c r="O15"/>
      <c r="P15" s="12">
        <v>0.0127</v>
      </c>
      <c r="Q15" s="6">
        <f t="shared" si="2"/>
        <v>309.221505</v>
      </c>
      <c r="R15" s="223"/>
      <c r="S15" s="210"/>
      <c r="T15" s="60">
        <f t="shared" si="3"/>
        <v>24348.15</v>
      </c>
      <c r="U15" s="120">
        <f>Q15+S15</f>
        <v>309.221505</v>
      </c>
    </row>
    <row r="16" spans="1:21" ht="12.75" hidden="1" outlineLevel="3">
      <c r="A16" t="s">
        <v>15</v>
      </c>
      <c r="B16" t="s">
        <v>4</v>
      </c>
      <c r="C16" s="7" t="s">
        <v>5</v>
      </c>
      <c r="D16" t="s">
        <v>18</v>
      </c>
      <c r="E16" s="4">
        <v>2006</v>
      </c>
      <c r="F16" s="5">
        <v>60</v>
      </c>
      <c r="G16" s="15"/>
      <c r="H16" s="32">
        <v>10</v>
      </c>
      <c r="I16" s="91">
        <f>(22-5)*8760/1000</f>
        <v>148.92</v>
      </c>
      <c r="J16" s="14"/>
      <c r="K16" s="89"/>
      <c r="L16" s="2">
        <f t="shared" si="0"/>
        <v>8935.199999999999</v>
      </c>
      <c r="M16" s="3">
        <v>0.1</v>
      </c>
      <c r="N16" s="2">
        <f t="shared" si="5"/>
        <v>8041.679999999999</v>
      </c>
      <c r="O16"/>
      <c r="P16" s="12">
        <v>0.0127</v>
      </c>
      <c r="Q16" s="6">
        <f t="shared" si="2"/>
        <v>102.129336</v>
      </c>
      <c r="R16" s="223"/>
      <c r="S16" s="210"/>
      <c r="T16" s="60">
        <f t="shared" si="3"/>
        <v>8041.679999999999</v>
      </c>
      <c r="U16" s="120">
        <f>Q16+S16</f>
        <v>102.129336</v>
      </c>
    </row>
    <row r="17" spans="1:21" ht="12.75" hidden="1" outlineLevel="3">
      <c r="A17" t="s">
        <v>15</v>
      </c>
      <c r="B17" t="s">
        <v>4</v>
      </c>
      <c r="C17" s="7" t="s">
        <v>26</v>
      </c>
      <c r="D17" t="s">
        <v>18</v>
      </c>
      <c r="E17" s="4">
        <v>2006</v>
      </c>
      <c r="F17" s="5">
        <v>900</v>
      </c>
      <c r="G17" s="15"/>
      <c r="H17" s="32">
        <v>5</v>
      </c>
      <c r="I17" s="91">
        <v>13.5</v>
      </c>
      <c r="J17" s="14"/>
      <c r="K17" s="89"/>
      <c r="L17" s="2">
        <f t="shared" si="0"/>
        <v>12150</v>
      </c>
      <c r="M17" s="3">
        <v>0.05</v>
      </c>
      <c r="N17" s="2">
        <f t="shared" si="5"/>
        <v>11542.5</v>
      </c>
      <c r="O17"/>
      <c r="P17" s="12">
        <v>0.0127</v>
      </c>
      <c r="Q17" s="6">
        <f t="shared" si="2"/>
        <v>146.58974999999998</v>
      </c>
      <c r="R17" s="223"/>
      <c r="S17" s="210"/>
      <c r="T17" s="60">
        <f t="shared" si="3"/>
        <v>11542.5</v>
      </c>
      <c r="U17" s="120">
        <f>Q17+S17</f>
        <v>146.58974999999998</v>
      </c>
    </row>
    <row r="18" spans="1:21" ht="12.75" outlineLevel="2" collapsed="1">
      <c r="A18"/>
      <c r="B18" s="1" t="s">
        <v>235</v>
      </c>
      <c r="C18" s="7"/>
      <c r="D18"/>
      <c r="E18" s="4"/>
      <c r="F18" s="5"/>
      <c r="G18" s="15"/>
      <c r="H18" s="32"/>
      <c r="I18" s="91"/>
      <c r="J18" s="14"/>
      <c r="K18" s="89"/>
      <c r="L18" s="2"/>
      <c r="M18" s="3"/>
      <c r="N18" s="2"/>
      <c r="O18"/>
      <c r="P18" s="12"/>
      <c r="Q18" s="6"/>
      <c r="R18" s="223"/>
      <c r="S18" s="210"/>
      <c r="T18" s="60">
        <f>SUBTOTAL(9,T14:T17)</f>
        <v>48629.88</v>
      </c>
      <c r="U18" s="120"/>
    </row>
    <row r="19" spans="1:21" ht="12.75" hidden="1" outlineLevel="3">
      <c r="A19" s="17" t="s">
        <v>15</v>
      </c>
      <c r="B19" s="17" t="s">
        <v>96</v>
      </c>
      <c r="C19" s="17" t="s">
        <v>107</v>
      </c>
      <c r="D19" s="17" t="s">
        <v>41</v>
      </c>
      <c r="E19" s="24">
        <v>2008</v>
      </c>
      <c r="F19" s="25">
        <v>159</v>
      </c>
      <c r="G19" s="26"/>
      <c r="H19" s="32">
        <v>11</v>
      </c>
      <c r="I19" s="91">
        <v>203</v>
      </c>
      <c r="J19" s="14"/>
      <c r="K19" s="89"/>
      <c r="L19" s="2">
        <f t="shared" si="0"/>
        <v>32277</v>
      </c>
      <c r="M19" s="28">
        <v>0.1</v>
      </c>
      <c r="N19" s="27">
        <f t="shared" si="5"/>
        <v>29049.3</v>
      </c>
      <c r="P19" s="12">
        <v>0.0127</v>
      </c>
      <c r="Q19" s="29">
        <f t="shared" si="2"/>
        <v>368.92611</v>
      </c>
      <c r="R19" s="223"/>
      <c r="S19" s="210"/>
      <c r="T19" s="60">
        <f t="shared" si="3"/>
        <v>29049.3</v>
      </c>
      <c r="U19" s="120">
        <f>Q19+S19</f>
        <v>368.92611</v>
      </c>
    </row>
    <row r="20" spans="2:21" ht="12.75" outlineLevel="2" collapsed="1">
      <c r="B20" s="1" t="s">
        <v>269</v>
      </c>
      <c r="F20" s="25"/>
      <c r="G20" s="26"/>
      <c r="H20" s="32"/>
      <c r="I20" s="91"/>
      <c r="J20" s="14"/>
      <c r="K20" s="89"/>
      <c r="L20" s="2"/>
      <c r="P20" s="12"/>
      <c r="Q20" s="29"/>
      <c r="R20" s="223"/>
      <c r="S20" s="210"/>
      <c r="T20" s="60">
        <f>SUBTOTAL(9,T19:T19)</f>
        <v>29049.3</v>
      </c>
      <c r="U20" s="120"/>
    </row>
    <row r="21" spans="1:21" ht="12.75" hidden="1" outlineLevel="3">
      <c r="A21" s="7" t="s">
        <v>15</v>
      </c>
      <c r="B21" s="7" t="s">
        <v>43</v>
      </c>
      <c r="C21" s="31" t="s">
        <v>171</v>
      </c>
      <c r="D21" s="7" t="s">
        <v>41</v>
      </c>
      <c r="E21" s="8">
        <v>2008</v>
      </c>
      <c r="F21" s="9">
        <v>803</v>
      </c>
      <c r="G21" s="20"/>
      <c r="H21" s="32">
        <v>9</v>
      </c>
      <c r="I21" s="91">
        <v>1101.29</v>
      </c>
      <c r="J21" s="14"/>
      <c r="K21" s="89"/>
      <c r="L21" s="2">
        <f t="shared" si="0"/>
        <v>884335.87</v>
      </c>
      <c r="M21" s="11">
        <v>0.1</v>
      </c>
      <c r="N21" s="2">
        <f t="shared" si="5"/>
        <v>795902.283</v>
      </c>
      <c r="O21"/>
      <c r="P21" s="12">
        <v>0.0127</v>
      </c>
      <c r="Q21" s="6">
        <f t="shared" si="2"/>
        <v>10107.9589941</v>
      </c>
      <c r="R21" s="223"/>
      <c r="S21" s="209"/>
      <c r="T21" s="60">
        <f t="shared" si="3"/>
        <v>795902.283</v>
      </c>
      <c r="U21" s="120">
        <f>Q21+S21</f>
        <v>10107.9589941</v>
      </c>
    </row>
    <row r="22" spans="1:21" ht="12.75" outlineLevel="2" collapsed="1">
      <c r="A22" s="7"/>
      <c r="B22" s="19" t="s">
        <v>270</v>
      </c>
      <c r="C22" s="31"/>
      <c r="D22" s="7"/>
      <c r="E22" s="8"/>
      <c r="F22" s="9"/>
      <c r="G22" s="20"/>
      <c r="H22" s="32"/>
      <c r="I22" s="91"/>
      <c r="J22" s="14"/>
      <c r="K22" s="89"/>
      <c r="L22" s="2"/>
      <c r="M22" s="11"/>
      <c r="N22" s="2"/>
      <c r="O22"/>
      <c r="P22" s="12"/>
      <c r="Q22" s="6"/>
      <c r="R22" s="223"/>
      <c r="S22" s="209"/>
      <c r="T22" s="60">
        <f>SUBTOTAL(9,T21:T21)</f>
        <v>795902.283</v>
      </c>
      <c r="U22" s="120"/>
    </row>
    <row r="23" spans="1:21" ht="12.75" hidden="1" outlineLevel="3">
      <c r="A23" s="17" t="s">
        <v>15</v>
      </c>
      <c r="B23" s="17" t="s">
        <v>96</v>
      </c>
      <c r="C23" s="17" t="s">
        <v>107</v>
      </c>
      <c r="D23" s="17" t="s">
        <v>166</v>
      </c>
      <c r="E23" s="24">
        <v>2009</v>
      </c>
      <c r="F23" s="25">
        <v>165</v>
      </c>
      <c r="G23" s="26"/>
      <c r="H23" s="32">
        <v>11</v>
      </c>
      <c r="I23" s="91">
        <v>203</v>
      </c>
      <c r="J23" s="14"/>
      <c r="K23" s="89"/>
      <c r="L23" s="2">
        <f t="shared" si="0"/>
        <v>33495</v>
      </c>
      <c r="M23" s="28">
        <v>0.1</v>
      </c>
      <c r="N23" s="27">
        <f t="shared" si="5"/>
        <v>30145.5</v>
      </c>
      <c r="P23" s="12">
        <v>0.0127</v>
      </c>
      <c r="Q23" s="29">
        <f t="shared" si="2"/>
        <v>382.84785</v>
      </c>
      <c r="R23" s="223"/>
      <c r="S23" s="210"/>
      <c r="T23" s="60">
        <f t="shared" si="3"/>
        <v>30145.5</v>
      </c>
      <c r="U23" s="120">
        <f>Q23+S23</f>
        <v>382.84785</v>
      </c>
    </row>
    <row r="24" spans="2:21" ht="12.75" outlineLevel="2" collapsed="1">
      <c r="B24" s="1" t="s">
        <v>271</v>
      </c>
      <c r="F24" s="25"/>
      <c r="G24" s="26"/>
      <c r="H24" s="32"/>
      <c r="I24" s="91"/>
      <c r="J24" s="14"/>
      <c r="K24" s="89"/>
      <c r="L24" s="2"/>
      <c r="P24" s="12"/>
      <c r="Q24" s="29"/>
      <c r="R24" s="223"/>
      <c r="S24" s="210"/>
      <c r="T24" s="60">
        <f>SUBTOTAL(9,T23:T23)</f>
        <v>30145.5</v>
      </c>
      <c r="U24" s="120"/>
    </row>
    <row r="25" spans="1:21" ht="12.75" hidden="1" outlineLevel="3">
      <c r="A25" s="7" t="s">
        <v>15</v>
      </c>
      <c r="B25" s="7" t="s">
        <v>43</v>
      </c>
      <c r="C25" s="7"/>
      <c r="D25" s="17" t="s">
        <v>166</v>
      </c>
      <c r="E25" s="24">
        <v>2009</v>
      </c>
      <c r="F25" s="9">
        <v>516</v>
      </c>
      <c r="G25" s="20"/>
      <c r="H25" s="32">
        <v>9</v>
      </c>
      <c r="I25" s="91">
        <v>1101.29</v>
      </c>
      <c r="J25" s="14"/>
      <c r="K25" s="89"/>
      <c r="L25" s="2">
        <f t="shared" si="0"/>
        <v>568265.64</v>
      </c>
      <c r="M25" s="11">
        <v>0.1</v>
      </c>
      <c r="N25" s="2">
        <f t="shared" si="5"/>
        <v>511439.076</v>
      </c>
      <c r="O25"/>
      <c r="P25" s="12">
        <v>0.0127</v>
      </c>
      <c r="Q25" s="6">
        <f t="shared" si="2"/>
        <v>6495.2762652</v>
      </c>
      <c r="R25" s="223"/>
      <c r="S25" s="209"/>
      <c r="T25" s="60">
        <f t="shared" si="3"/>
        <v>511439.076</v>
      </c>
      <c r="U25" s="120">
        <f>Q25+S25</f>
        <v>6495.2762652</v>
      </c>
    </row>
    <row r="26" spans="1:21" ht="12.75" outlineLevel="2" collapsed="1">
      <c r="A26" s="7"/>
      <c r="B26" s="19" t="s">
        <v>272</v>
      </c>
      <c r="C26" s="7"/>
      <c r="F26" s="9"/>
      <c r="G26" s="20"/>
      <c r="H26" s="32"/>
      <c r="I26" s="91"/>
      <c r="J26" s="14"/>
      <c r="K26" s="89"/>
      <c r="L26" s="2"/>
      <c r="M26" s="11"/>
      <c r="N26" s="2"/>
      <c r="O26"/>
      <c r="P26" s="12"/>
      <c r="Q26" s="6"/>
      <c r="R26" s="223"/>
      <c r="S26" s="209"/>
      <c r="T26" s="60">
        <f>SUBTOTAL(9,T25:T25)</f>
        <v>511439.076</v>
      </c>
      <c r="U26" s="120"/>
    </row>
    <row r="27" spans="1:21" s="186" customFormat="1" ht="12.75" outlineLevel="1">
      <c r="A27" s="207" t="s">
        <v>100</v>
      </c>
      <c r="B27" s="233"/>
      <c r="C27" s="233"/>
      <c r="E27" s="187"/>
      <c r="F27" s="234"/>
      <c r="G27" s="188"/>
      <c r="H27" s="189"/>
      <c r="I27" s="190"/>
      <c r="J27" s="235"/>
      <c r="K27" s="236"/>
      <c r="L27" s="237"/>
      <c r="M27" s="238"/>
      <c r="N27" s="237"/>
      <c r="O27" s="239"/>
      <c r="P27" s="240"/>
      <c r="Q27" s="241"/>
      <c r="R27" s="242"/>
      <c r="S27" s="243"/>
      <c r="T27" s="263">
        <f>SUBTOTAL(9,T3:T25)</f>
        <v>1983552.3390000002</v>
      </c>
      <c r="U27" s="244"/>
    </row>
    <row r="28" spans="1:21" ht="12.75" hidden="1" outlineLevel="3">
      <c r="A28" s="31" t="s">
        <v>32</v>
      </c>
      <c r="B28" s="31" t="s">
        <v>31</v>
      </c>
      <c r="C28" s="31" t="s">
        <v>261</v>
      </c>
      <c r="D28" s="31" t="s">
        <v>18</v>
      </c>
      <c r="E28" s="32">
        <v>2007</v>
      </c>
      <c r="F28" s="25">
        <v>156</v>
      </c>
      <c r="G28" s="101"/>
      <c r="H28" s="32">
        <v>10</v>
      </c>
      <c r="I28" s="91">
        <v>6941</v>
      </c>
      <c r="J28" s="14"/>
      <c r="K28" s="89"/>
      <c r="L28" s="2">
        <f>IF(K28&lt;&gt;"",J28*K28*F28,I28*F28)</f>
        <v>1082796</v>
      </c>
      <c r="M28" s="34">
        <v>0.3</v>
      </c>
      <c r="N28" s="102">
        <f>+L28*(1-M28)</f>
        <v>757957.2</v>
      </c>
      <c r="O28" s="31"/>
      <c r="P28" s="40">
        <v>0.0226</v>
      </c>
      <c r="Q28" s="35">
        <f>+N28*P28</f>
        <v>17129.83272</v>
      </c>
      <c r="R28" s="223"/>
      <c r="S28" s="226"/>
      <c r="T28" s="60">
        <f t="shared" si="3"/>
        <v>757957.2</v>
      </c>
      <c r="U28" s="120">
        <f>Q28+S28</f>
        <v>17129.83272</v>
      </c>
    </row>
    <row r="29" spans="1:21" ht="12.75" outlineLevel="2" collapsed="1">
      <c r="A29" s="31"/>
      <c r="B29" s="19" t="s">
        <v>236</v>
      </c>
      <c r="C29" s="31"/>
      <c r="D29" s="31"/>
      <c r="E29" s="32"/>
      <c r="F29" s="25"/>
      <c r="G29" s="101"/>
      <c r="H29" s="32"/>
      <c r="I29" s="91"/>
      <c r="J29" s="14"/>
      <c r="K29" s="89"/>
      <c r="L29" s="2"/>
      <c r="M29" s="34"/>
      <c r="N29" s="102"/>
      <c r="O29" s="31"/>
      <c r="P29" s="40"/>
      <c r="Q29" s="35"/>
      <c r="R29" s="223"/>
      <c r="S29" s="226"/>
      <c r="T29" s="60">
        <f>SUBTOTAL(9,T28:T28)</f>
        <v>757957.2</v>
      </c>
      <c r="U29" s="120"/>
    </row>
    <row r="30" spans="1:21" s="186" customFormat="1" ht="12.75" outlineLevel="1">
      <c r="A30" s="191" t="s">
        <v>101</v>
      </c>
      <c r="B30" s="192"/>
      <c r="C30" s="192"/>
      <c r="D30" s="192"/>
      <c r="E30" s="189"/>
      <c r="F30" s="193"/>
      <c r="G30" s="245"/>
      <c r="H30" s="189"/>
      <c r="I30" s="190"/>
      <c r="J30" s="235"/>
      <c r="K30" s="236"/>
      <c r="L30" s="237"/>
      <c r="M30" s="194"/>
      <c r="N30" s="195"/>
      <c r="O30" s="192"/>
      <c r="P30" s="196"/>
      <c r="Q30" s="197"/>
      <c r="R30" s="242"/>
      <c r="S30" s="246"/>
      <c r="T30" s="263">
        <f>SUBTOTAL(9,T28:T28)</f>
        <v>757957.2</v>
      </c>
      <c r="U30" s="244"/>
    </row>
    <row r="31" spans="1:21" s="31" customFormat="1" ht="12.75" hidden="1" outlineLevel="3">
      <c r="A31" s="7" t="s">
        <v>53</v>
      </c>
      <c r="B31" s="7" t="s">
        <v>44</v>
      </c>
      <c r="C31" s="7" t="s">
        <v>45</v>
      </c>
      <c r="D31" s="7" t="s">
        <v>41</v>
      </c>
      <c r="E31" s="8">
        <v>2008</v>
      </c>
      <c r="F31" s="25">
        <v>1</v>
      </c>
      <c r="G31" s="20"/>
      <c r="H31" s="32">
        <v>10</v>
      </c>
      <c r="I31" s="91">
        <v>176.3</v>
      </c>
      <c r="J31" s="14"/>
      <c r="K31" s="89"/>
      <c r="L31" s="2">
        <f aca="true" t="shared" si="6" ref="L31:L98">IF(K31&lt;&gt;"",J31*K31*F31,I31*F31)</f>
        <v>176.3</v>
      </c>
      <c r="M31" s="3">
        <v>0.1</v>
      </c>
      <c r="N31" s="2">
        <f aca="true" t="shared" si="7" ref="N31:N98">+L31*(1-M31)</f>
        <v>158.67000000000002</v>
      </c>
      <c r="O31"/>
      <c r="P31" s="12">
        <v>0.0179</v>
      </c>
      <c r="Q31" s="6">
        <f aca="true" t="shared" si="8" ref="Q31:Q98">+N31*P31</f>
        <v>2.840193</v>
      </c>
      <c r="R31" s="223"/>
      <c r="S31" s="209"/>
      <c r="T31" s="60">
        <f t="shared" si="3"/>
        <v>158.67000000000002</v>
      </c>
      <c r="U31" s="120">
        <f aca="true" t="shared" si="9" ref="U31:U50">Q31+S31</f>
        <v>2.840193</v>
      </c>
    </row>
    <row r="32" spans="1:21" s="31" customFormat="1" ht="12.75" hidden="1" outlineLevel="3">
      <c r="A32" s="7" t="s">
        <v>53</v>
      </c>
      <c r="B32" s="7" t="s">
        <v>44</v>
      </c>
      <c r="C32" s="7" t="s">
        <v>5</v>
      </c>
      <c r="D32" s="7" t="s">
        <v>41</v>
      </c>
      <c r="E32" s="8">
        <v>2008</v>
      </c>
      <c r="F32" s="25">
        <v>42</v>
      </c>
      <c r="G32" s="20"/>
      <c r="H32" s="32">
        <v>10</v>
      </c>
      <c r="I32" s="91"/>
      <c r="J32" s="14">
        <v>8760</v>
      </c>
      <c r="K32" s="119">
        <f>(22-5)/1000</f>
        <v>0.017</v>
      </c>
      <c r="L32" s="2">
        <f t="shared" si="6"/>
        <v>6254.64</v>
      </c>
      <c r="M32" s="3">
        <v>0.1</v>
      </c>
      <c r="N32" s="2">
        <f t="shared" si="7"/>
        <v>5629.176</v>
      </c>
      <c r="O32"/>
      <c r="P32" s="12">
        <v>0.0179</v>
      </c>
      <c r="Q32" s="6">
        <f t="shared" si="8"/>
        <v>100.7622504</v>
      </c>
      <c r="R32" s="223"/>
      <c r="S32" s="209"/>
      <c r="T32" s="60">
        <f t="shared" si="3"/>
        <v>5629.176</v>
      </c>
      <c r="U32" s="120">
        <f t="shared" si="9"/>
        <v>100.7622504</v>
      </c>
    </row>
    <row r="33" spans="1:21" s="31" customFormat="1" ht="12.75" hidden="1" outlineLevel="3">
      <c r="A33" s="7" t="s">
        <v>53</v>
      </c>
      <c r="B33" s="7" t="s">
        <v>44</v>
      </c>
      <c r="C33" s="7" t="s">
        <v>115</v>
      </c>
      <c r="D33" s="7" t="s">
        <v>41</v>
      </c>
      <c r="E33" s="8">
        <v>2008</v>
      </c>
      <c r="F33" s="25">
        <v>1</v>
      </c>
      <c r="G33" s="20"/>
      <c r="H33" s="94">
        <f aca="true" t="shared" si="10" ref="H33:H40">20000/J33</f>
        <v>6.148170919151553</v>
      </c>
      <c r="I33" s="91"/>
      <c r="J33" s="14">
        <v>3253</v>
      </c>
      <c r="K33" s="126">
        <f>((172/2)-58)/1000</f>
        <v>0.028</v>
      </c>
      <c r="L33" s="2">
        <f t="shared" si="6"/>
        <v>91.084</v>
      </c>
      <c r="M33" s="11">
        <v>0.1</v>
      </c>
      <c r="N33" s="23">
        <f t="shared" si="7"/>
        <v>81.9756</v>
      </c>
      <c r="O33" s="7"/>
      <c r="P33" s="12">
        <v>0.0179</v>
      </c>
      <c r="Q33" s="13">
        <f t="shared" si="8"/>
        <v>1.4673632399999998</v>
      </c>
      <c r="R33" s="223"/>
      <c r="S33" s="209"/>
      <c r="T33" s="60">
        <f t="shared" si="3"/>
        <v>81.9756</v>
      </c>
      <c r="U33" s="120">
        <f t="shared" si="9"/>
        <v>1.4673632399999998</v>
      </c>
    </row>
    <row r="34" spans="1:21" s="31" customFormat="1" ht="12.75" hidden="1" outlineLevel="3">
      <c r="A34" s="7" t="s">
        <v>53</v>
      </c>
      <c r="B34" s="7" t="s">
        <v>44</v>
      </c>
      <c r="C34" s="7" t="s">
        <v>116</v>
      </c>
      <c r="D34" s="7" t="s">
        <v>41</v>
      </c>
      <c r="E34" s="8">
        <v>2008</v>
      </c>
      <c r="F34" s="25">
        <v>677</v>
      </c>
      <c r="G34" s="20"/>
      <c r="H34" s="94">
        <f t="shared" si="10"/>
        <v>6.148170919151553</v>
      </c>
      <c r="I34" s="91"/>
      <c r="J34" s="14">
        <v>3253</v>
      </c>
      <c r="K34" s="126">
        <f>(142-112)/1000</f>
        <v>0.03</v>
      </c>
      <c r="L34" s="2">
        <f t="shared" si="6"/>
        <v>66068.43000000001</v>
      </c>
      <c r="M34" s="11">
        <v>0.1</v>
      </c>
      <c r="N34" s="23">
        <f t="shared" si="7"/>
        <v>59461.58700000001</v>
      </c>
      <c r="O34" s="7"/>
      <c r="P34" s="12">
        <v>0.0179</v>
      </c>
      <c r="Q34" s="13">
        <f t="shared" si="8"/>
        <v>1064.3624073</v>
      </c>
      <c r="R34" s="223"/>
      <c r="S34" s="209"/>
      <c r="T34" s="60">
        <f t="shared" si="3"/>
        <v>59461.58700000001</v>
      </c>
      <c r="U34" s="120">
        <f t="shared" si="9"/>
        <v>1064.3624073</v>
      </c>
    </row>
    <row r="35" spans="1:21" s="31" customFormat="1" ht="12.75" hidden="1" outlineLevel="3">
      <c r="A35" s="7" t="s">
        <v>53</v>
      </c>
      <c r="B35" s="7" t="s">
        <v>44</v>
      </c>
      <c r="C35" s="7" t="s">
        <v>112</v>
      </c>
      <c r="D35" s="7" t="s">
        <v>41</v>
      </c>
      <c r="E35" s="8">
        <v>2008</v>
      </c>
      <c r="F35" s="25">
        <v>70</v>
      </c>
      <c r="G35" s="20"/>
      <c r="H35" s="94">
        <f t="shared" si="10"/>
        <v>6.148170919151553</v>
      </c>
      <c r="I35" s="91"/>
      <c r="J35" s="14">
        <v>3253</v>
      </c>
      <c r="K35" s="126">
        <f>(142-58)/1000</f>
        <v>0.084</v>
      </c>
      <c r="L35" s="2">
        <f t="shared" si="6"/>
        <v>19127.64</v>
      </c>
      <c r="M35" s="11">
        <v>0.1</v>
      </c>
      <c r="N35" s="23">
        <f t="shared" si="7"/>
        <v>17214.876</v>
      </c>
      <c r="O35" s="7"/>
      <c r="P35" s="12">
        <v>0.0179</v>
      </c>
      <c r="Q35" s="13">
        <f t="shared" si="8"/>
        <v>308.14628039999997</v>
      </c>
      <c r="R35" s="223"/>
      <c r="S35" s="209"/>
      <c r="T35" s="60">
        <f t="shared" si="3"/>
        <v>17214.876</v>
      </c>
      <c r="U35" s="120">
        <f t="shared" si="9"/>
        <v>308.14628039999997</v>
      </c>
    </row>
    <row r="36" spans="1:21" s="31" customFormat="1" ht="12.75" hidden="1" outlineLevel="3">
      <c r="A36" s="7" t="s">
        <v>53</v>
      </c>
      <c r="B36" s="7" t="s">
        <v>44</v>
      </c>
      <c r="C36" s="7" t="s">
        <v>118</v>
      </c>
      <c r="D36" s="7" t="s">
        <v>41</v>
      </c>
      <c r="E36" s="8">
        <v>2008</v>
      </c>
      <c r="F36" s="25">
        <v>94</v>
      </c>
      <c r="G36" s="20"/>
      <c r="H36" s="94">
        <f t="shared" si="10"/>
        <v>6.148170919151553</v>
      </c>
      <c r="I36" s="91"/>
      <c r="J36" s="14">
        <v>3253</v>
      </c>
      <c r="K36" s="126">
        <f>(47-30)/1000</f>
        <v>0.017</v>
      </c>
      <c r="L36" s="2">
        <f t="shared" si="6"/>
        <v>5198.294</v>
      </c>
      <c r="M36" s="11">
        <v>0.1</v>
      </c>
      <c r="N36" s="23">
        <f t="shared" si="7"/>
        <v>4678.4646</v>
      </c>
      <c r="O36" s="7"/>
      <c r="P36" s="12">
        <v>0.0179</v>
      </c>
      <c r="Q36" s="13">
        <f t="shared" si="8"/>
        <v>83.74451634</v>
      </c>
      <c r="R36" s="223"/>
      <c r="S36" s="209"/>
      <c r="T36" s="60">
        <f t="shared" si="3"/>
        <v>4678.4646</v>
      </c>
      <c r="U36" s="120">
        <f t="shared" si="9"/>
        <v>83.74451634</v>
      </c>
    </row>
    <row r="37" spans="1:21" s="31" customFormat="1" ht="12.75" hidden="1" outlineLevel="3">
      <c r="A37" s="7" t="s">
        <v>53</v>
      </c>
      <c r="B37" s="7" t="s">
        <v>44</v>
      </c>
      <c r="C37" s="7" t="s">
        <v>119</v>
      </c>
      <c r="D37" s="7" t="s">
        <v>41</v>
      </c>
      <c r="E37" s="8">
        <v>2008</v>
      </c>
      <c r="F37" s="25">
        <v>14</v>
      </c>
      <c r="G37" s="20"/>
      <c r="H37" s="94">
        <f t="shared" si="10"/>
        <v>6.148170919151553</v>
      </c>
      <c r="I37" s="91"/>
      <c r="J37" s="14">
        <v>3253</v>
      </c>
      <c r="K37" s="126">
        <f>(81-30)/1000</f>
        <v>0.051</v>
      </c>
      <c r="L37" s="2">
        <f t="shared" si="6"/>
        <v>2322.642</v>
      </c>
      <c r="M37" s="11">
        <v>0.1</v>
      </c>
      <c r="N37" s="23">
        <f t="shared" si="7"/>
        <v>2090.3777999999998</v>
      </c>
      <c r="O37" s="7"/>
      <c r="P37" s="12">
        <v>0.0179</v>
      </c>
      <c r="Q37" s="13">
        <f t="shared" si="8"/>
        <v>37.41776261999999</v>
      </c>
      <c r="R37" s="223"/>
      <c r="S37" s="209"/>
      <c r="T37" s="60">
        <f t="shared" si="3"/>
        <v>2090.3777999999998</v>
      </c>
      <c r="U37" s="120">
        <f t="shared" si="9"/>
        <v>37.41776261999999</v>
      </c>
    </row>
    <row r="38" spans="1:21" s="31" customFormat="1" ht="12.75" hidden="1" outlineLevel="3">
      <c r="A38" s="7" t="s">
        <v>53</v>
      </c>
      <c r="B38" s="7" t="s">
        <v>44</v>
      </c>
      <c r="C38" s="7" t="s">
        <v>120</v>
      </c>
      <c r="D38" s="7" t="s">
        <v>41</v>
      </c>
      <c r="E38" s="8">
        <v>2008</v>
      </c>
      <c r="F38" s="25">
        <v>1077</v>
      </c>
      <c r="G38" s="20"/>
      <c r="H38" s="94">
        <f t="shared" si="10"/>
        <v>6.148170919151553</v>
      </c>
      <c r="I38" s="91"/>
      <c r="J38" s="14">
        <v>3253</v>
      </c>
      <c r="K38" s="126">
        <f>(81-58)/1000</f>
        <v>0.023</v>
      </c>
      <c r="L38" s="2">
        <f t="shared" si="6"/>
        <v>80580.06300000001</v>
      </c>
      <c r="M38" s="11">
        <v>0.1</v>
      </c>
      <c r="N38" s="23">
        <f t="shared" si="7"/>
        <v>72522.05670000002</v>
      </c>
      <c r="O38" s="7"/>
      <c r="P38" s="12">
        <v>0.0179</v>
      </c>
      <c r="Q38" s="13">
        <f t="shared" si="8"/>
        <v>1298.1448149300002</v>
      </c>
      <c r="R38" s="223"/>
      <c r="S38" s="209"/>
      <c r="T38" s="60">
        <f t="shared" si="3"/>
        <v>72522.05670000002</v>
      </c>
      <c r="U38" s="120">
        <f t="shared" si="9"/>
        <v>1298.1448149300002</v>
      </c>
    </row>
    <row r="39" spans="1:21" ht="12.75" hidden="1" outlineLevel="3">
      <c r="A39" s="7" t="s">
        <v>53</v>
      </c>
      <c r="B39" s="7" t="s">
        <v>44</v>
      </c>
      <c r="C39" s="7" t="s">
        <v>113</v>
      </c>
      <c r="D39" s="7" t="s">
        <v>41</v>
      </c>
      <c r="E39" s="8">
        <v>2008</v>
      </c>
      <c r="F39" s="25">
        <v>1280</v>
      </c>
      <c r="G39" s="20"/>
      <c r="H39" s="94">
        <f t="shared" si="10"/>
        <v>6.148170919151553</v>
      </c>
      <c r="I39" s="91"/>
      <c r="J39" s="14">
        <v>3253</v>
      </c>
      <c r="K39" s="126">
        <f>(149-112)/1000</f>
        <v>0.037</v>
      </c>
      <c r="L39" s="2">
        <f t="shared" si="6"/>
        <v>154062.08</v>
      </c>
      <c r="M39" s="11">
        <v>0.1</v>
      </c>
      <c r="N39" s="23">
        <f t="shared" si="7"/>
        <v>138655.872</v>
      </c>
      <c r="O39" s="7"/>
      <c r="P39" s="12">
        <v>0.0179</v>
      </c>
      <c r="Q39" s="13">
        <f t="shared" si="8"/>
        <v>2481.9401088</v>
      </c>
      <c r="R39" s="223"/>
      <c r="S39" s="209"/>
      <c r="T39" s="60">
        <f t="shared" si="3"/>
        <v>138655.872</v>
      </c>
      <c r="U39" s="120">
        <f t="shared" si="9"/>
        <v>2481.9401088</v>
      </c>
    </row>
    <row r="40" spans="1:21" ht="12.75" hidden="1" outlineLevel="3">
      <c r="A40" s="7" t="s">
        <v>53</v>
      </c>
      <c r="B40" s="7" t="s">
        <v>44</v>
      </c>
      <c r="C40" s="7" t="s">
        <v>114</v>
      </c>
      <c r="D40" s="7" t="s">
        <v>41</v>
      </c>
      <c r="E40" s="8">
        <v>2008</v>
      </c>
      <c r="F40" s="25">
        <f>23+11</f>
        <v>34</v>
      </c>
      <c r="G40" s="20"/>
      <c r="H40" s="94">
        <f t="shared" si="10"/>
        <v>6.148170919151553</v>
      </c>
      <c r="I40" s="91"/>
      <c r="J40" s="14">
        <v>3253</v>
      </c>
      <c r="K40" s="126">
        <f>(81-58)/1000</f>
        <v>0.023</v>
      </c>
      <c r="L40" s="2">
        <f t="shared" si="6"/>
        <v>2543.846</v>
      </c>
      <c r="M40" s="11">
        <v>0.1</v>
      </c>
      <c r="N40" s="23">
        <f t="shared" si="7"/>
        <v>2289.4614</v>
      </c>
      <c r="O40" s="7"/>
      <c r="P40" s="12">
        <v>0.0179</v>
      </c>
      <c r="Q40" s="13">
        <f t="shared" si="8"/>
        <v>40.98135906</v>
      </c>
      <c r="R40" s="223"/>
      <c r="S40" s="209"/>
      <c r="T40" s="60">
        <f t="shared" si="3"/>
        <v>2289.4614</v>
      </c>
      <c r="U40" s="120">
        <f t="shared" si="9"/>
        <v>40.98135906</v>
      </c>
    </row>
    <row r="41" spans="1:21" s="31" customFormat="1" ht="12.75" hidden="1" outlineLevel="3">
      <c r="A41" s="7" t="s">
        <v>53</v>
      </c>
      <c r="B41" s="7" t="s">
        <v>44</v>
      </c>
      <c r="C41" s="7" t="s">
        <v>46</v>
      </c>
      <c r="D41" s="7" t="s">
        <v>41</v>
      </c>
      <c r="E41" s="8">
        <v>2008</v>
      </c>
      <c r="F41" s="25">
        <v>13</v>
      </c>
      <c r="G41" s="20"/>
      <c r="H41" s="94">
        <f aca="true" t="shared" si="11" ref="H41:H62">((10000+6000)/2)/J41</f>
        <v>2.459268367660621</v>
      </c>
      <c r="I41" s="91"/>
      <c r="J41" s="14">
        <v>3253</v>
      </c>
      <c r="K41" s="126">
        <f>(40-11)/1000</f>
        <v>0.029</v>
      </c>
      <c r="L41" s="2">
        <f t="shared" si="6"/>
        <v>1226.381</v>
      </c>
      <c r="M41" s="3">
        <v>0.1</v>
      </c>
      <c r="N41" s="2">
        <f t="shared" si="7"/>
        <v>1103.7429000000002</v>
      </c>
      <c r="O41"/>
      <c r="P41" s="12">
        <v>0.0179</v>
      </c>
      <c r="Q41" s="6">
        <f t="shared" si="8"/>
        <v>19.756997910000003</v>
      </c>
      <c r="R41" s="223"/>
      <c r="S41" s="209"/>
      <c r="T41" s="60">
        <f t="shared" si="3"/>
        <v>1103.7429000000002</v>
      </c>
      <c r="U41" s="120">
        <f t="shared" si="9"/>
        <v>19.756997910000003</v>
      </c>
    </row>
    <row r="42" spans="1:21" s="31" customFormat="1" ht="12.75" hidden="1" outlineLevel="3">
      <c r="A42" s="7" t="s">
        <v>53</v>
      </c>
      <c r="B42" s="7" t="s">
        <v>44</v>
      </c>
      <c r="C42" s="7" t="s">
        <v>47</v>
      </c>
      <c r="D42" s="7" t="s">
        <v>41</v>
      </c>
      <c r="E42" s="8">
        <v>2008</v>
      </c>
      <c r="F42" s="9">
        <v>344</v>
      </c>
      <c r="G42" s="20"/>
      <c r="H42" s="94">
        <f t="shared" si="11"/>
        <v>2.459268367660621</v>
      </c>
      <c r="I42" s="91"/>
      <c r="J42" s="14">
        <v>3253</v>
      </c>
      <c r="K42" s="126">
        <f>(40-13)/1000</f>
        <v>0.027</v>
      </c>
      <c r="L42" s="2">
        <f t="shared" si="6"/>
        <v>30213.864</v>
      </c>
      <c r="M42" s="3">
        <v>0.1</v>
      </c>
      <c r="N42" s="2">
        <f t="shared" si="7"/>
        <v>27192.477600000002</v>
      </c>
      <c r="O42"/>
      <c r="P42" s="12">
        <v>0.0179</v>
      </c>
      <c r="Q42" s="6">
        <f t="shared" si="8"/>
        <v>486.74534904</v>
      </c>
      <c r="R42" s="223"/>
      <c r="S42" s="209"/>
      <c r="T42" s="60">
        <f t="shared" si="3"/>
        <v>27192.477600000002</v>
      </c>
      <c r="U42" s="120">
        <f t="shared" si="9"/>
        <v>486.74534904</v>
      </c>
    </row>
    <row r="43" spans="1:21" s="31" customFormat="1" ht="12.75" hidden="1" outlineLevel="3">
      <c r="A43" s="7" t="s">
        <v>53</v>
      </c>
      <c r="B43" s="7" t="s">
        <v>44</v>
      </c>
      <c r="C43" s="7" t="s">
        <v>48</v>
      </c>
      <c r="D43" s="7" t="s">
        <v>41</v>
      </c>
      <c r="E43" s="8">
        <v>2008</v>
      </c>
      <c r="F43" s="9">
        <v>43</v>
      </c>
      <c r="G43" s="20"/>
      <c r="H43" s="94">
        <f t="shared" si="11"/>
        <v>2.459268367660621</v>
      </c>
      <c r="I43" s="91"/>
      <c r="J43" s="14">
        <v>3253</v>
      </c>
      <c r="K43" s="126">
        <f>(100-23)/1000</f>
        <v>0.077</v>
      </c>
      <c r="L43" s="2">
        <f t="shared" si="6"/>
        <v>10770.682999999999</v>
      </c>
      <c r="M43" s="11">
        <v>0.1</v>
      </c>
      <c r="N43" s="23">
        <f t="shared" si="7"/>
        <v>9693.6147</v>
      </c>
      <c r="O43" s="7"/>
      <c r="P43" s="12">
        <v>0.0179</v>
      </c>
      <c r="Q43" s="13">
        <f t="shared" si="8"/>
        <v>173.51570313</v>
      </c>
      <c r="R43" s="223"/>
      <c r="S43" s="209"/>
      <c r="T43" s="60">
        <f t="shared" si="3"/>
        <v>9693.6147</v>
      </c>
      <c r="U43" s="120">
        <f t="shared" si="9"/>
        <v>173.51570313</v>
      </c>
    </row>
    <row r="44" spans="1:21" s="31" customFormat="1" ht="12.75" hidden="1" outlineLevel="3">
      <c r="A44" s="7" t="s">
        <v>53</v>
      </c>
      <c r="B44" s="7" t="s">
        <v>44</v>
      </c>
      <c r="C44" s="7" t="s">
        <v>108</v>
      </c>
      <c r="D44" s="7" t="s">
        <v>41</v>
      </c>
      <c r="E44" s="8">
        <v>2008</v>
      </c>
      <c r="F44" s="9">
        <v>41</v>
      </c>
      <c r="G44" s="20"/>
      <c r="H44" s="94">
        <f t="shared" si="11"/>
        <v>2.459268367660621</v>
      </c>
      <c r="I44" s="91"/>
      <c r="J44" s="14">
        <v>3253</v>
      </c>
      <c r="K44" s="126">
        <f>(60-15)/1000</f>
        <v>0.045</v>
      </c>
      <c r="L44" s="2">
        <f t="shared" si="6"/>
        <v>6001.785</v>
      </c>
      <c r="M44" s="11">
        <v>0.05</v>
      </c>
      <c r="N44" s="23">
        <f t="shared" si="7"/>
        <v>5701.69575</v>
      </c>
      <c r="O44" s="7"/>
      <c r="P44" s="12">
        <v>0.0179</v>
      </c>
      <c r="Q44" s="13">
        <f t="shared" si="8"/>
        <v>102.06035392499999</v>
      </c>
      <c r="R44" s="223"/>
      <c r="S44" s="209"/>
      <c r="T44" s="60">
        <f t="shared" si="3"/>
        <v>5701.69575</v>
      </c>
      <c r="U44" s="120">
        <f t="shared" si="9"/>
        <v>102.06035392499999</v>
      </c>
    </row>
    <row r="45" spans="1:21" ht="12.75" hidden="1" outlineLevel="3">
      <c r="A45" s="7" t="s">
        <v>53</v>
      </c>
      <c r="B45" s="7" t="s">
        <v>44</v>
      </c>
      <c r="C45" s="7" t="s">
        <v>109</v>
      </c>
      <c r="D45" s="7" t="s">
        <v>41</v>
      </c>
      <c r="E45" s="8">
        <v>2008</v>
      </c>
      <c r="F45" s="9">
        <v>43</v>
      </c>
      <c r="G45" s="20"/>
      <c r="H45" s="94">
        <f t="shared" si="11"/>
        <v>2.459268367660621</v>
      </c>
      <c r="I45" s="91"/>
      <c r="J45" s="14">
        <v>3253</v>
      </c>
      <c r="K45" s="126">
        <f>(75-18)/1000</f>
        <v>0.057</v>
      </c>
      <c r="L45" s="2">
        <f t="shared" si="6"/>
        <v>7973.103000000001</v>
      </c>
      <c r="M45" s="11">
        <v>0.05</v>
      </c>
      <c r="N45" s="23">
        <f t="shared" si="7"/>
        <v>7574.4478500000005</v>
      </c>
      <c r="O45" s="7"/>
      <c r="P45" s="12">
        <v>0.0179</v>
      </c>
      <c r="Q45" s="13">
        <f t="shared" si="8"/>
        <v>135.582616515</v>
      </c>
      <c r="R45" s="223"/>
      <c r="S45" s="209"/>
      <c r="T45" s="60">
        <f t="shared" si="3"/>
        <v>7574.4478500000005</v>
      </c>
      <c r="U45" s="120">
        <f t="shared" si="9"/>
        <v>135.582616515</v>
      </c>
    </row>
    <row r="46" spans="1:21" ht="12.75" hidden="1" outlineLevel="3">
      <c r="A46" s="7" t="s">
        <v>53</v>
      </c>
      <c r="B46" s="7" t="s">
        <v>44</v>
      </c>
      <c r="C46" s="7" t="s">
        <v>110</v>
      </c>
      <c r="D46" s="7" t="s">
        <v>41</v>
      </c>
      <c r="E46" s="8">
        <v>2008</v>
      </c>
      <c r="F46" s="9">
        <v>70</v>
      </c>
      <c r="G46" s="20"/>
      <c r="H46" s="94">
        <f t="shared" si="11"/>
        <v>2.459268367660621</v>
      </c>
      <c r="I46" s="91"/>
      <c r="J46" s="14">
        <v>3253</v>
      </c>
      <c r="K46" s="126">
        <f>(100-26)/1000</f>
        <v>0.074</v>
      </c>
      <c r="L46" s="2">
        <f t="shared" si="6"/>
        <v>16850.539999999997</v>
      </c>
      <c r="M46" s="11">
        <v>0.05</v>
      </c>
      <c r="N46" s="23">
        <f t="shared" si="7"/>
        <v>16008.012999999997</v>
      </c>
      <c r="O46" s="7"/>
      <c r="P46" s="12">
        <v>0.0179</v>
      </c>
      <c r="Q46" s="13">
        <f t="shared" si="8"/>
        <v>286.5434326999999</v>
      </c>
      <c r="R46" s="223"/>
      <c r="S46" s="209"/>
      <c r="T46" s="60">
        <f t="shared" si="3"/>
        <v>16008.012999999997</v>
      </c>
      <c r="U46" s="120">
        <f t="shared" si="9"/>
        <v>286.5434326999999</v>
      </c>
    </row>
    <row r="47" spans="1:21" s="31" customFormat="1" ht="12.75" hidden="1" outlineLevel="3">
      <c r="A47" s="7" t="s">
        <v>53</v>
      </c>
      <c r="B47" s="7" t="s">
        <v>44</v>
      </c>
      <c r="C47" s="7" t="s">
        <v>49</v>
      </c>
      <c r="D47" s="7" t="s">
        <v>41</v>
      </c>
      <c r="E47" s="8">
        <v>2008</v>
      </c>
      <c r="F47" s="9">
        <v>50</v>
      </c>
      <c r="G47" s="20"/>
      <c r="H47" s="94">
        <f t="shared" si="11"/>
        <v>2.459268367660621</v>
      </c>
      <c r="I47" s="91"/>
      <c r="J47" s="14">
        <v>3253</v>
      </c>
      <c r="K47" s="126">
        <f>(60-15)/1000</f>
        <v>0.045</v>
      </c>
      <c r="L47" s="2">
        <f t="shared" si="6"/>
        <v>7319.25</v>
      </c>
      <c r="M47" s="3">
        <v>0.1</v>
      </c>
      <c r="N47" s="2">
        <f t="shared" si="7"/>
        <v>6587.325</v>
      </c>
      <c r="O47"/>
      <c r="P47" s="12">
        <v>0.0179</v>
      </c>
      <c r="Q47" s="6">
        <f t="shared" si="8"/>
        <v>117.9131175</v>
      </c>
      <c r="R47" s="223"/>
      <c r="S47" s="209"/>
      <c r="T47" s="60">
        <f t="shared" si="3"/>
        <v>6587.325</v>
      </c>
      <c r="U47" s="120">
        <f t="shared" si="9"/>
        <v>117.9131175</v>
      </c>
    </row>
    <row r="48" spans="1:21" ht="12.75" hidden="1" outlineLevel="3">
      <c r="A48" s="7" t="s">
        <v>53</v>
      </c>
      <c r="B48" s="7" t="s">
        <v>44</v>
      </c>
      <c r="C48" s="7" t="s">
        <v>50</v>
      </c>
      <c r="D48" s="7" t="s">
        <v>41</v>
      </c>
      <c r="E48" s="8">
        <v>2008</v>
      </c>
      <c r="F48" s="9">
        <v>45</v>
      </c>
      <c r="G48" s="20"/>
      <c r="H48" s="94">
        <f t="shared" si="11"/>
        <v>2.459268367660621</v>
      </c>
      <c r="I48" s="91"/>
      <c r="J48" s="14">
        <v>3253</v>
      </c>
      <c r="K48" s="126">
        <f>(75-18)/1000</f>
        <v>0.057</v>
      </c>
      <c r="L48" s="2">
        <f t="shared" si="6"/>
        <v>8343.945000000002</v>
      </c>
      <c r="M48" s="3">
        <v>0.1</v>
      </c>
      <c r="N48" s="2">
        <f t="shared" si="7"/>
        <v>7509.550500000001</v>
      </c>
      <c r="O48"/>
      <c r="P48" s="12">
        <v>0.0179</v>
      </c>
      <c r="Q48" s="6">
        <f t="shared" si="8"/>
        <v>134.42095395</v>
      </c>
      <c r="R48" s="223"/>
      <c r="S48" s="209"/>
      <c r="T48" s="60">
        <f t="shared" si="3"/>
        <v>7509.550500000001</v>
      </c>
      <c r="U48" s="120">
        <f t="shared" si="9"/>
        <v>134.42095395</v>
      </c>
    </row>
    <row r="49" spans="1:21" ht="12.75" hidden="1" outlineLevel="3">
      <c r="A49" s="7" t="s">
        <v>53</v>
      </c>
      <c r="B49" s="7" t="s">
        <v>44</v>
      </c>
      <c r="C49" s="7" t="s">
        <v>51</v>
      </c>
      <c r="D49" s="7" t="s">
        <v>41</v>
      </c>
      <c r="E49" s="8">
        <v>2008</v>
      </c>
      <c r="F49" s="9">
        <v>8</v>
      </c>
      <c r="G49" s="20"/>
      <c r="H49" s="94">
        <f t="shared" si="11"/>
        <v>2.459268367660621</v>
      </c>
      <c r="I49" s="91"/>
      <c r="J49" s="14">
        <v>3253</v>
      </c>
      <c r="K49" s="126">
        <f>(100-28)/1000</f>
        <v>0.072</v>
      </c>
      <c r="L49" s="2">
        <f t="shared" si="6"/>
        <v>1873.7279999999998</v>
      </c>
      <c r="M49" s="11">
        <v>0.05</v>
      </c>
      <c r="N49" s="23">
        <f t="shared" si="7"/>
        <v>1780.0415999999998</v>
      </c>
      <c r="O49" s="7"/>
      <c r="P49" s="12">
        <v>0.0179</v>
      </c>
      <c r="Q49" s="13">
        <f t="shared" si="8"/>
        <v>31.862744639999995</v>
      </c>
      <c r="R49" s="223"/>
      <c r="S49" s="209"/>
      <c r="T49" s="60">
        <f t="shared" si="3"/>
        <v>1780.0415999999998</v>
      </c>
      <c r="U49" s="120">
        <f t="shared" si="9"/>
        <v>31.862744639999995</v>
      </c>
    </row>
    <row r="50" spans="1:21" ht="12.75" hidden="1" outlineLevel="3">
      <c r="A50" s="7" t="s">
        <v>53</v>
      </c>
      <c r="B50" s="7" t="s">
        <v>44</v>
      </c>
      <c r="C50" s="7" t="s">
        <v>52</v>
      </c>
      <c r="D50" s="7" t="s">
        <v>41</v>
      </c>
      <c r="E50" s="8">
        <v>2008</v>
      </c>
      <c r="F50" s="9">
        <v>35</v>
      </c>
      <c r="G50" s="20"/>
      <c r="H50" s="94">
        <f t="shared" si="11"/>
        <v>2.459268367660621</v>
      </c>
      <c r="I50" s="91"/>
      <c r="J50" s="14">
        <v>3253</v>
      </c>
      <c r="K50" s="126">
        <f>(100-26)/1000</f>
        <v>0.074</v>
      </c>
      <c r="L50" s="2">
        <f t="shared" si="6"/>
        <v>8425.269999999999</v>
      </c>
      <c r="M50" s="3">
        <v>0.1</v>
      </c>
      <c r="N50" s="2">
        <f t="shared" si="7"/>
        <v>7582.742999999999</v>
      </c>
      <c r="O50"/>
      <c r="P50" s="12">
        <v>0.0179</v>
      </c>
      <c r="Q50" s="6">
        <f t="shared" si="8"/>
        <v>135.73109969999996</v>
      </c>
      <c r="R50" s="223"/>
      <c r="S50" s="209"/>
      <c r="T50" s="60">
        <f t="shared" si="3"/>
        <v>7582.742999999999</v>
      </c>
      <c r="U50" s="120">
        <f t="shared" si="9"/>
        <v>135.73109969999996</v>
      </c>
    </row>
    <row r="51" spans="1:21" ht="12.75" outlineLevel="2" collapsed="1">
      <c r="A51" s="7"/>
      <c r="B51" s="19" t="s">
        <v>273</v>
      </c>
      <c r="C51" s="7"/>
      <c r="D51" s="7"/>
      <c r="E51" s="8"/>
      <c r="F51" s="9"/>
      <c r="G51" s="20"/>
      <c r="H51" s="94"/>
      <c r="I51" s="91"/>
      <c r="J51" s="14"/>
      <c r="K51" s="126"/>
      <c r="L51" s="2"/>
      <c r="M51" s="3"/>
      <c r="N51" s="2"/>
      <c r="O51"/>
      <c r="P51" s="12"/>
      <c r="Q51" s="6"/>
      <c r="R51" s="223"/>
      <c r="S51" s="209"/>
      <c r="T51" s="60">
        <f>SUBTOTAL(9,T31:T50)</f>
        <v>393516.16900000005</v>
      </c>
      <c r="U51" s="120"/>
    </row>
    <row r="52" spans="1:21" ht="12.75" hidden="1" outlineLevel="3">
      <c r="A52" s="7" t="s">
        <v>53</v>
      </c>
      <c r="B52" t="s">
        <v>59</v>
      </c>
      <c r="C52" t="s">
        <v>61</v>
      </c>
      <c r="D52" s="7" t="s">
        <v>41</v>
      </c>
      <c r="E52" s="8">
        <v>2008</v>
      </c>
      <c r="F52" s="9">
        <v>44</v>
      </c>
      <c r="G52" s="20"/>
      <c r="H52" s="94">
        <f t="shared" si="11"/>
        <v>3.7209302325581395</v>
      </c>
      <c r="I52" s="91"/>
      <c r="J52" s="14">
        <v>2150</v>
      </c>
      <c r="K52" s="126">
        <f>(60-15)/1000</f>
        <v>0.045</v>
      </c>
      <c r="L52" s="2">
        <f t="shared" si="6"/>
        <v>4257</v>
      </c>
      <c r="M52" s="3">
        <v>0.1</v>
      </c>
      <c r="N52" s="2">
        <f t="shared" si="7"/>
        <v>3831.3</v>
      </c>
      <c r="O52"/>
      <c r="P52" s="12">
        <v>0.0179</v>
      </c>
      <c r="Q52" s="6">
        <f t="shared" si="8"/>
        <v>68.58027</v>
      </c>
      <c r="R52" s="223">
        <f>N52</f>
        <v>3831.3</v>
      </c>
      <c r="S52" s="209">
        <f>N52*0.0182</f>
        <v>69.72966000000001</v>
      </c>
      <c r="T52" s="60">
        <f t="shared" si="3"/>
        <v>7662.6</v>
      </c>
      <c r="U52" s="120">
        <f aca="true" t="shared" si="12" ref="U52:U63">Q52+S52</f>
        <v>138.30993</v>
      </c>
    </row>
    <row r="53" spans="1:21" ht="12.75" hidden="1" outlineLevel="3">
      <c r="A53" s="7" t="s">
        <v>53</v>
      </c>
      <c r="B53" t="s">
        <v>59</v>
      </c>
      <c r="C53" t="s">
        <v>60</v>
      </c>
      <c r="D53" s="7" t="s">
        <v>41</v>
      </c>
      <c r="E53" s="8">
        <v>2008</v>
      </c>
      <c r="F53" s="9">
        <v>22</v>
      </c>
      <c r="G53" s="20"/>
      <c r="H53" s="94">
        <f t="shared" si="11"/>
        <v>3.7209302325581395</v>
      </c>
      <c r="I53" s="91"/>
      <c r="J53" s="14">
        <v>2150</v>
      </c>
      <c r="K53" s="126">
        <f>(60-13)/1000</f>
        <v>0.047</v>
      </c>
      <c r="L53" s="2">
        <f t="shared" si="6"/>
        <v>2223.1</v>
      </c>
      <c r="M53" s="3">
        <v>0.1</v>
      </c>
      <c r="N53" s="2">
        <f t="shared" si="7"/>
        <v>2000.79</v>
      </c>
      <c r="O53"/>
      <c r="P53" s="12">
        <v>0.0179</v>
      </c>
      <c r="Q53" s="6">
        <f t="shared" si="8"/>
        <v>35.814141</v>
      </c>
      <c r="R53" s="223">
        <f aca="true" t="shared" si="13" ref="R53:R70">N53</f>
        <v>2000.79</v>
      </c>
      <c r="S53" s="209">
        <f aca="true" t="shared" si="14" ref="S53:S70">N53*0.0182</f>
        <v>36.414378</v>
      </c>
      <c r="T53" s="60">
        <f t="shared" si="3"/>
        <v>4001.58</v>
      </c>
      <c r="U53" s="120">
        <f t="shared" si="12"/>
        <v>72.228519</v>
      </c>
    </row>
    <row r="54" spans="1:21" ht="12.75" hidden="1" outlineLevel="3">
      <c r="A54" s="7" t="s">
        <v>53</v>
      </c>
      <c r="B54" t="s">
        <v>59</v>
      </c>
      <c r="C54" s="7" t="s">
        <v>62</v>
      </c>
      <c r="D54" s="7" t="s">
        <v>41</v>
      </c>
      <c r="E54" s="8">
        <v>2008</v>
      </c>
      <c r="F54" s="9">
        <v>12</v>
      </c>
      <c r="G54" s="20"/>
      <c r="H54" s="94">
        <f t="shared" si="11"/>
        <v>3.7209302325581395</v>
      </c>
      <c r="I54" s="91"/>
      <c r="J54" s="14">
        <v>2150</v>
      </c>
      <c r="K54" s="126">
        <f>(40-11)/1000</f>
        <v>0.029</v>
      </c>
      <c r="L54" s="2">
        <f t="shared" si="6"/>
        <v>748.2</v>
      </c>
      <c r="M54" s="3">
        <v>0.1</v>
      </c>
      <c r="N54" s="2">
        <f t="shared" si="7"/>
        <v>673.3800000000001</v>
      </c>
      <c r="O54"/>
      <c r="P54" s="12">
        <v>0.0179</v>
      </c>
      <c r="Q54" s="6">
        <f t="shared" si="8"/>
        <v>12.053502000000002</v>
      </c>
      <c r="R54" s="223">
        <f t="shared" si="13"/>
        <v>673.3800000000001</v>
      </c>
      <c r="S54" s="209">
        <f t="shared" si="14"/>
        <v>12.255516000000002</v>
      </c>
      <c r="T54" s="60">
        <f t="shared" si="3"/>
        <v>1346.7600000000002</v>
      </c>
      <c r="U54" s="120">
        <f t="shared" si="12"/>
        <v>24.309018000000002</v>
      </c>
    </row>
    <row r="55" spans="1:21" ht="12.75" hidden="1" outlineLevel="3">
      <c r="A55" s="7" t="s">
        <v>53</v>
      </c>
      <c r="B55" t="s">
        <v>59</v>
      </c>
      <c r="C55" s="7" t="s">
        <v>63</v>
      </c>
      <c r="D55" s="7" t="s">
        <v>41</v>
      </c>
      <c r="E55" s="8">
        <v>2008</v>
      </c>
      <c r="F55" s="9">
        <v>8</v>
      </c>
      <c r="G55" s="20"/>
      <c r="H55" s="94">
        <f t="shared" si="11"/>
        <v>3.7209302325581395</v>
      </c>
      <c r="I55" s="91"/>
      <c r="J55" s="14">
        <v>2150</v>
      </c>
      <c r="K55" s="126">
        <f>(60-16)/1000</f>
        <v>0.044</v>
      </c>
      <c r="L55" s="2">
        <f t="shared" si="6"/>
        <v>756.8</v>
      </c>
      <c r="M55" s="3">
        <v>0.1</v>
      </c>
      <c r="N55" s="2">
        <f t="shared" si="7"/>
        <v>681.12</v>
      </c>
      <c r="O55"/>
      <c r="P55" s="12">
        <v>0.0179</v>
      </c>
      <c r="Q55" s="6">
        <f t="shared" si="8"/>
        <v>12.192048</v>
      </c>
      <c r="R55" s="223">
        <f t="shared" si="13"/>
        <v>681.12</v>
      </c>
      <c r="S55" s="209">
        <f t="shared" si="14"/>
        <v>12.396384000000001</v>
      </c>
      <c r="T55" s="60">
        <f t="shared" si="3"/>
        <v>1362.24</v>
      </c>
      <c r="U55" s="120">
        <f t="shared" si="12"/>
        <v>24.588432</v>
      </c>
    </row>
    <row r="56" spans="1:21" ht="12.75" hidden="1" outlineLevel="3">
      <c r="A56" s="7" t="s">
        <v>53</v>
      </c>
      <c r="B56" t="s">
        <v>59</v>
      </c>
      <c r="C56" s="7" t="s">
        <v>68</v>
      </c>
      <c r="D56" s="7" t="s">
        <v>41</v>
      </c>
      <c r="E56" s="8">
        <v>2008</v>
      </c>
      <c r="F56" s="9">
        <v>4</v>
      </c>
      <c r="G56" s="20"/>
      <c r="H56" s="94">
        <f t="shared" si="11"/>
        <v>3.7209302325581395</v>
      </c>
      <c r="I56" s="91"/>
      <c r="J56" s="14">
        <v>2150</v>
      </c>
      <c r="K56" s="126">
        <f>(100-26)/1000</f>
        <v>0.074</v>
      </c>
      <c r="L56" s="2">
        <f t="shared" si="6"/>
        <v>636.4</v>
      </c>
      <c r="M56" s="3">
        <v>0.1</v>
      </c>
      <c r="N56" s="2">
        <f t="shared" si="7"/>
        <v>572.76</v>
      </c>
      <c r="O56"/>
      <c r="P56" s="12">
        <v>0.0179</v>
      </c>
      <c r="Q56" s="6">
        <f t="shared" si="8"/>
        <v>10.252403999999999</v>
      </c>
      <c r="R56" s="223">
        <f t="shared" si="13"/>
        <v>572.76</v>
      </c>
      <c r="S56" s="209">
        <f t="shared" si="14"/>
        <v>10.424232</v>
      </c>
      <c r="T56" s="60">
        <f t="shared" si="3"/>
        <v>1145.52</v>
      </c>
      <c r="U56" s="120">
        <f t="shared" si="12"/>
        <v>20.676636</v>
      </c>
    </row>
    <row r="57" spans="1:21" ht="12.75" hidden="1" outlineLevel="3">
      <c r="A57" s="7" t="s">
        <v>53</v>
      </c>
      <c r="B57" t="s">
        <v>59</v>
      </c>
      <c r="C57" s="7" t="s">
        <v>64</v>
      </c>
      <c r="D57" s="7" t="s">
        <v>41</v>
      </c>
      <c r="E57" s="8">
        <v>2008</v>
      </c>
      <c r="F57" s="9">
        <v>1</v>
      </c>
      <c r="G57" s="20"/>
      <c r="H57" s="94">
        <f t="shared" si="11"/>
        <v>3.7209302325581395</v>
      </c>
      <c r="I57" s="91"/>
      <c r="J57" s="14">
        <v>2150</v>
      </c>
      <c r="K57" s="126">
        <f>(40-11)/1000</f>
        <v>0.029</v>
      </c>
      <c r="L57" s="2">
        <f t="shared" si="6"/>
        <v>62.35</v>
      </c>
      <c r="M57" s="3">
        <v>0.1</v>
      </c>
      <c r="N57" s="2">
        <f t="shared" si="7"/>
        <v>56.115</v>
      </c>
      <c r="O57"/>
      <c r="P57" s="12">
        <v>0.0179</v>
      </c>
      <c r="Q57" s="6">
        <f t="shared" si="8"/>
        <v>1.0044585</v>
      </c>
      <c r="R57" s="223">
        <f t="shared" si="13"/>
        <v>56.115</v>
      </c>
      <c r="S57" s="209">
        <f t="shared" si="14"/>
        <v>1.021293</v>
      </c>
      <c r="T57" s="60">
        <f t="shared" si="3"/>
        <v>112.23</v>
      </c>
      <c r="U57" s="120">
        <f t="shared" si="12"/>
        <v>2.0257515</v>
      </c>
    </row>
    <row r="58" spans="1:21" ht="12.75" hidden="1" outlineLevel="3">
      <c r="A58" s="7" t="s">
        <v>53</v>
      </c>
      <c r="B58" t="s">
        <v>59</v>
      </c>
      <c r="C58" s="7" t="s">
        <v>65</v>
      </c>
      <c r="D58" s="7" t="s">
        <v>41</v>
      </c>
      <c r="E58" s="8">
        <v>2008</v>
      </c>
      <c r="F58" s="9">
        <v>4</v>
      </c>
      <c r="G58" s="20"/>
      <c r="H58" s="94">
        <f t="shared" si="11"/>
        <v>3.7209302325581395</v>
      </c>
      <c r="I58" s="91"/>
      <c r="J58" s="14">
        <v>2150</v>
      </c>
      <c r="K58" s="126">
        <f>(75-18)/1000</f>
        <v>0.057</v>
      </c>
      <c r="L58" s="2">
        <f t="shared" si="6"/>
        <v>490.20000000000005</v>
      </c>
      <c r="M58" s="3">
        <v>0.1</v>
      </c>
      <c r="N58" s="2">
        <f t="shared" si="7"/>
        <v>441.18000000000006</v>
      </c>
      <c r="O58"/>
      <c r="P58" s="12">
        <v>0.0179</v>
      </c>
      <c r="Q58" s="6">
        <f t="shared" si="8"/>
        <v>7.897122</v>
      </c>
      <c r="R58" s="223">
        <f t="shared" si="13"/>
        <v>441.18000000000006</v>
      </c>
      <c r="S58" s="209">
        <f t="shared" si="14"/>
        <v>8.029476</v>
      </c>
      <c r="T58" s="60">
        <f t="shared" si="3"/>
        <v>882.3600000000001</v>
      </c>
      <c r="U58" s="120">
        <f t="shared" si="12"/>
        <v>15.926598000000002</v>
      </c>
    </row>
    <row r="59" spans="1:21" ht="12.75" hidden="1" outlineLevel="3">
      <c r="A59" s="7" t="s">
        <v>53</v>
      </c>
      <c r="B59" t="s">
        <v>59</v>
      </c>
      <c r="C59" s="7" t="s">
        <v>66</v>
      </c>
      <c r="D59" s="7" t="s">
        <v>41</v>
      </c>
      <c r="E59" s="8">
        <v>2008</v>
      </c>
      <c r="F59" s="9">
        <v>2</v>
      </c>
      <c r="G59" s="20"/>
      <c r="H59" s="94">
        <f t="shared" si="11"/>
        <v>3.7209302325581395</v>
      </c>
      <c r="I59" s="91"/>
      <c r="J59" s="14">
        <v>2150</v>
      </c>
      <c r="K59" s="126">
        <f>(100-26)/1000</f>
        <v>0.074</v>
      </c>
      <c r="L59" s="2">
        <f t="shared" si="6"/>
        <v>318.2</v>
      </c>
      <c r="M59" s="3">
        <v>0.1</v>
      </c>
      <c r="N59" s="2">
        <f t="shared" si="7"/>
        <v>286.38</v>
      </c>
      <c r="O59"/>
      <c r="P59" s="12">
        <v>0.0179</v>
      </c>
      <c r="Q59" s="6">
        <f t="shared" si="8"/>
        <v>5.126201999999999</v>
      </c>
      <c r="R59" s="223">
        <f t="shared" si="13"/>
        <v>286.38</v>
      </c>
      <c r="S59" s="209">
        <f t="shared" si="14"/>
        <v>5.212116</v>
      </c>
      <c r="T59" s="60">
        <f t="shared" si="3"/>
        <v>572.76</v>
      </c>
      <c r="U59" s="120">
        <f t="shared" si="12"/>
        <v>10.338318</v>
      </c>
    </row>
    <row r="60" spans="1:21" ht="12.75" hidden="1" outlineLevel="3">
      <c r="A60" s="7" t="s">
        <v>53</v>
      </c>
      <c r="B60" t="s">
        <v>59</v>
      </c>
      <c r="C60" s="7" t="s">
        <v>67</v>
      </c>
      <c r="D60" s="7" t="s">
        <v>41</v>
      </c>
      <c r="E60" s="8">
        <v>2008</v>
      </c>
      <c r="F60" s="9">
        <v>1</v>
      </c>
      <c r="G60" s="20"/>
      <c r="H60" s="94">
        <f t="shared" si="11"/>
        <v>3.7209302325581395</v>
      </c>
      <c r="I60" s="91"/>
      <c r="J60" s="14">
        <v>2150</v>
      </c>
      <c r="K60" s="126">
        <f>(60-17)/1000</f>
        <v>0.043</v>
      </c>
      <c r="L60" s="2">
        <f t="shared" si="6"/>
        <v>92.44999999999999</v>
      </c>
      <c r="M60" s="3">
        <v>0.1</v>
      </c>
      <c r="N60" s="2">
        <f t="shared" si="7"/>
        <v>83.205</v>
      </c>
      <c r="O60"/>
      <c r="P60" s="12">
        <v>0.0179</v>
      </c>
      <c r="Q60" s="6">
        <f t="shared" si="8"/>
        <v>1.4893695</v>
      </c>
      <c r="R60" s="223">
        <f t="shared" si="13"/>
        <v>83.205</v>
      </c>
      <c r="S60" s="209">
        <f t="shared" si="14"/>
        <v>1.514331</v>
      </c>
      <c r="T60" s="60">
        <f t="shared" si="3"/>
        <v>166.41</v>
      </c>
      <c r="U60" s="120">
        <f t="shared" si="12"/>
        <v>3.0037005</v>
      </c>
    </row>
    <row r="61" spans="1:21" ht="12.75" hidden="1" outlineLevel="3">
      <c r="A61" s="7" t="s">
        <v>53</v>
      </c>
      <c r="B61" t="s">
        <v>59</v>
      </c>
      <c r="C61" s="7" t="s">
        <v>58</v>
      </c>
      <c r="D61" s="7" t="s">
        <v>41</v>
      </c>
      <c r="E61" s="8">
        <v>2008</v>
      </c>
      <c r="F61" s="9">
        <v>4</v>
      </c>
      <c r="G61" s="20"/>
      <c r="H61" s="32">
        <v>10</v>
      </c>
      <c r="I61" s="91"/>
      <c r="J61" s="14">
        <v>8760</v>
      </c>
      <c r="K61" s="126">
        <f>(22-5)/1000</f>
        <v>0.017</v>
      </c>
      <c r="L61" s="2">
        <f t="shared" si="6"/>
        <v>595.6800000000001</v>
      </c>
      <c r="M61" s="3">
        <v>0.1</v>
      </c>
      <c r="N61" s="2">
        <f t="shared" si="7"/>
        <v>536.1120000000001</v>
      </c>
      <c r="O61"/>
      <c r="P61" s="12">
        <v>0.0179</v>
      </c>
      <c r="Q61" s="6">
        <f t="shared" si="8"/>
        <v>9.5964048</v>
      </c>
      <c r="R61" s="223">
        <f t="shared" si="13"/>
        <v>536.1120000000001</v>
      </c>
      <c r="S61" s="209">
        <f t="shared" si="14"/>
        <v>9.757238400000002</v>
      </c>
      <c r="T61" s="60">
        <f t="shared" si="3"/>
        <v>1072.2240000000002</v>
      </c>
      <c r="U61" s="120">
        <f t="shared" si="12"/>
        <v>19.3536432</v>
      </c>
    </row>
    <row r="62" spans="1:21" ht="12.75" hidden="1" outlineLevel="3">
      <c r="A62" s="7" t="s">
        <v>53</v>
      </c>
      <c r="B62" t="s">
        <v>59</v>
      </c>
      <c r="C62" s="7" t="s">
        <v>69</v>
      </c>
      <c r="D62" s="7" t="s">
        <v>41</v>
      </c>
      <c r="E62" s="8">
        <v>2008</v>
      </c>
      <c r="F62" s="9">
        <v>6</v>
      </c>
      <c r="G62" s="20"/>
      <c r="H62" s="94">
        <f t="shared" si="11"/>
        <v>3.7209302325581395</v>
      </c>
      <c r="I62" s="91"/>
      <c r="J62" s="14">
        <v>2150</v>
      </c>
      <c r="K62" s="126">
        <f>(40-7)/1000</f>
        <v>0.033</v>
      </c>
      <c r="L62" s="2">
        <f t="shared" si="6"/>
        <v>425.70000000000005</v>
      </c>
      <c r="M62" s="3">
        <v>0.1</v>
      </c>
      <c r="N62" s="2">
        <f t="shared" si="7"/>
        <v>383.13000000000005</v>
      </c>
      <c r="O62"/>
      <c r="P62" s="12">
        <v>0.0179</v>
      </c>
      <c r="Q62" s="6">
        <f t="shared" si="8"/>
        <v>6.858027000000001</v>
      </c>
      <c r="R62" s="223">
        <f t="shared" si="13"/>
        <v>383.13000000000005</v>
      </c>
      <c r="S62" s="209">
        <f t="shared" si="14"/>
        <v>6.972966000000001</v>
      </c>
      <c r="T62" s="60">
        <f t="shared" si="3"/>
        <v>766.2600000000001</v>
      </c>
      <c r="U62" s="120">
        <f t="shared" si="12"/>
        <v>13.830993000000003</v>
      </c>
    </row>
    <row r="63" spans="1:21" ht="12.75" hidden="1" outlineLevel="3">
      <c r="A63" s="7" t="s">
        <v>53</v>
      </c>
      <c r="B63" t="s">
        <v>59</v>
      </c>
      <c r="C63" s="7" t="s">
        <v>70</v>
      </c>
      <c r="D63" s="7" t="s">
        <v>41</v>
      </c>
      <c r="E63" s="8">
        <v>2008</v>
      </c>
      <c r="F63" s="9">
        <v>3</v>
      </c>
      <c r="G63" s="20"/>
      <c r="H63" s="94">
        <f>20000/J63</f>
        <v>8.620689655172415</v>
      </c>
      <c r="I63" s="91"/>
      <c r="J63" s="14">
        <v>2320</v>
      </c>
      <c r="K63" s="126">
        <f>(88-58)/1000</f>
        <v>0.03</v>
      </c>
      <c r="L63" s="2">
        <f t="shared" si="6"/>
        <v>208.79999999999998</v>
      </c>
      <c r="M63" s="3">
        <v>0.1</v>
      </c>
      <c r="N63" s="2">
        <f t="shared" si="7"/>
        <v>187.92</v>
      </c>
      <c r="O63"/>
      <c r="P63" s="12">
        <v>0.0179</v>
      </c>
      <c r="Q63" s="6">
        <f t="shared" si="8"/>
        <v>3.3637679999999994</v>
      </c>
      <c r="R63" s="223">
        <f t="shared" si="13"/>
        <v>187.92</v>
      </c>
      <c r="S63" s="209">
        <f t="shared" si="14"/>
        <v>3.420144</v>
      </c>
      <c r="T63" s="60">
        <f t="shared" si="3"/>
        <v>375.84</v>
      </c>
      <c r="U63" s="120">
        <f t="shared" si="12"/>
        <v>6.783911999999999</v>
      </c>
    </row>
    <row r="64" spans="1:21" ht="12.75" outlineLevel="2" collapsed="1">
      <c r="A64" s="7"/>
      <c r="B64" s="1" t="s">
        <v>237</v>
      </c>
      <c r="C64" s="7"/>
      <c r="D64" s="7"/>
      <c r="E64" s="8"/>
      <c r="F64" s="9"/>
      <c r="G64" s="20"/>
      <c r="H64" s="94"/>
      <c r="I64" s="91"/>
      <c r="J64" s="14"/>
      <c r="K64" s="126"/>
      <c r="L64" s="2"/>
      <c r="M64" s="3"/>
      <c r="N64" s="2"/>
      <c r="O64"/>
      <c r="P64" s="12"/>
      <c r="Q64" s="6"/>
      <c r="R64" s="223"/>
      <c r="S64" s="209"/>
      <c r="T64" s="60">
        <f>SUBTOTAL(9,T52:T63)</f>
        <v>19466.784</v>
      </c>
      <c r="U64" s="120"/>
    </row>
    <row r="65" spans="1:21" ht="12.75" hidden="1" outlineLevel="3">
      <c r="A65" s="7" t="s">
        <v>53</v>
      </c>
      <c r="B65" t="s">
        <v>80</v>
      </c>
      <c r="C65" s="7" t="s">
        <v>81</v>
      </c>
      <c r="D65" s="7" t="s">
        <v>41</v>
      </c>
      <c r="E65" s="8">
        <v>2008</v>
      </c>
      <c r="F65" s="9">
        <v>2</v>
      </c>
      <c r="G65" s="20"/>
      <c r="H65" s="32">
        <v>16</v>
      </c>
      <c r="I65" s="91"/>
      <c r="J65" s="14">
        <v>2594</v>
      </c>
      <c r="K65" s="126">
        <f>(51-30)/1000</f>
        <v>0.021</v>
      </c>
      <c r="L65" s="2">
        <f t="shared" si="6"/>
        <v>108.94800000000001</v>
      </c>
      <c r="M65" s="3">
        <v>0.1</v>
      </c>
      <c r="N65" s="2">
        <f t="shared" si="7"/>
        <v>98.0532</v>
      </c>
      <c r="O65"/>
      <c r="P65" s="12">
        <v>0.0179</v>
      </c>
      <c r="Q65" s="6">
        <f t="shared" si="8"/>
        <v>1.75515228</v>
      </c>
      <c r="R65" s="223">
        <f t="shared" si="13"/>
        <v>98.0532</v>
      </c>
      <c r="S65" s="209">
        <f t="shared" si="14"/>
        <v>1.7845682400000002</v>
      </c>
      <c r="T65" s="60">
        <f t="shared" si="3"/>
        <v>196.1064</v>
      </c>
      <c r="U65" s="120">
        <f>Q65+S65</f>
        <v>3.5397205200000004</v>
      </c>
    </row>
    <row r="66" spans="1:21" ht="12.75" hidden="1" outlineLevel="3">
      <c r="A66" s="7" t="s">
        <v>53</v>
      </c>
      <c r="B66" t="s">
        <v>80</v>
      </c>
      <c r="C66" s="7" t="s">
        <v>78</v>
      </c>
      <c r="D66" s="7" t="s">
        <v>41</v>
      </c>
      <c r="E66" s="8">
        <v>2008</v>
      </c>
      <c r="F66" s="9">
        <v>34</v>
      </c>
      <c r="G66" s="20"/>
      <c r="H66" s="32">
        <v>16</v>
      </c>
      <c r="I66" s="91"/>
      <c r="J66" s="14">
        <v>2594</v>
      </c>
      <c r="K66" s="126">
        <f>(88-58)/1000</f>
        <v>0.03</v>
      </c>
      <c r="L66" s="2">
        <f t="shared" si="6"/>
        <v>2645.8799999999997</v>
      </c>
      <c r="M66" s="3">
        <v>0.1</v>
      </c>
      <c r="N66" s="2">
        <f t="shared" si="7"/>
        <v>2381.292</v>
      </c>
      <c r="O66"/>
      <c r="P66" s="12">
        <v>0.0179</v>
      </c>
      <c r="Q66" s="6">
        <f t="shared" si="8"/>
        <v>42.6251268</v>
      </c>
      <c r="R66" s="223">
        <f t="shared" si="13"/>
        <v>2381.292</v>
      </c>
      <c r="S66" s="209">
        <f t="shared" si="14"/>
        <v>43.3395144</v>
      </c>
      <c r="T66" s="60">
        <f t="shared" si="3"/>
        <v>4762.584</v>
      </c>
      <c r="U66" s="120">
        <f>Q66+S66</f>
        <v>85.96464119999999</v>
      </c>
    </row>
    <row r="67" spans="1:21" ht="12.75" hidden="1" outlineLevel="3">
      <c r="A67" s="7" t="s">
        <v>53</v>
      </c>
      <c r="B67" t="s">
        <v>80</v>
      </c>
      <c r="C67" s="7" t="s">
        <v>82</v>
      </c>
      <c r="D67" s="7" t="s">
        <v>41</v>
      </c>
      <c r="E67" s="8">
        <v>2008</v>
      </c>
      <c r="F67" s="9">
        <v>1</v>
      </c>
      <c r="G67" s="20"/>
      <c r="H67" s="32">
        <v>16</v>
      </c>
      <c r="I67" s="91"/>
      <c r="J67" s="14">
        <v>2594</v>
      </c>
      <c r="K67" s="126">
        <f>(149-85)/1000</f>
        <v>0.064</v>
      </c>
      <c r="L67" s="2">
        <f t="shared" si="6"/>
        <v>166.016</v>
      </c>
      <c r="M67" s="3">
        <v>0.1</v>
      </c>
      <c r="N67" s="2">
        <f t="shared" si="7"/>
        <v>149.4144</v>
      </c>
      <c r="O67"/>
      <c r="P67" s="12">
        <v>0.0179</v>
      </c>
      <c r="Q67" s="6">
        <f t="shared" si="8"/>
        <v>2.67451776</v>
      </c>
      <c r="R67" s="223">
        <f t="shared" si="13"/>
        <v>149.4144</v>
      </c>
      <c r="S67" s="209">
        <f t="shared" si="14"/>
        <v>2.71934208</v>
      </c>
      <c r="T67" s="60">
        <f t="shared" si="3"/>
        <v>298.8288</v>
      </c>
      <c r="U67" s="120">
        <f>Q67+S67</f>
        <v>5.39385984</v>
      </c>
    </row>
    <row r="68" spans="1:21" s="31" customFormat="1" ht="12.75" hidden="1" outlineLevel="3">
      <c r="A68" s="7" t="s">
        <v>53</v>
      </c>
      <c r="B68" t="s">
        <v>80</v>
      </c>
      <c r="C68" s="7" t="s">
        <v>79</v>
      </c>
      <c r="D68" s="7" t="s">
        <v>41</v>
      </c>
      <c r="E68" s="8">
        <v>2008</v>
      </c>
      <c r="F68" s="9">
        <v>61</v>
      </c>
      <c r="G68" s="20"/>
      <c r="H68" s="32">
        <v>16</v>
      </c>
      <c r="I68" s="91"/>
      <c r="J68" s="14">
        <v>2594</v>
      </c>
      <c r="K68" s="126">
        <f>(175-112)/1000</f>
        <v>0.063</v>
      </c>
      <c r="L68" s="2">
        <f t="shared" si="6"/>
        <v>9968.742</v>
      </c>
      <c r="M68" s="3">
        <v>0.1</v>
      </c>
      <c r="N68" s="2">
        <f t="shared" si="7"/>
        <v>8971.8678</v>
      </c>
      <c r="O68"/>
      <c r="P68" s="12">
        <v>0.0179</v>
      </c>
      <c r="Q68" s="6">
        <f t="shared" si="8"/>
        <v>160.59643362</v>
      </c>
      <c r="R68" s="223">
        <f t="shared" si="13"/>
        <v>8971.8678</v>
      </c>
      <c r="S68" s="209">
        <f t="shared" si="14"/>
        <v>163.28799396</v>
      </c>
      <c r="T68" s="60">
        <f t="shared" si="3"/>
        <v>17943.7356</v>
      </c>
      <c r="U68" s="120">
        <f>Q68+S68</f>
        <v>323.88442757999997</v>
      </c>
    </row>
    <row r="69" spans="1:21" s="31" customFormat="1" ht="12.75" outlineLevel="2" collapsed="1">
      <c r="A69" s="7"/>
      <c r="B69" s="1" t="s">
        <v>238</v>
      </c>
      <c r="C69" s="7"/>
      <c r="D69" s="7"/>
      <c r="E69" s="8"/>
      <c r="F69" s="9"/>
      <c r="G69" s="20"/>
      <c r="H69" s="32"/>
      <c r="I69" s="91"/>
      <c r="J69" s="14"/>
      <c r="K69" s="126"/>
      <c r="L69" s="2"/>
      <c r="M69" s="3"/>
      <c r="N69" s="2"/>
      <c r="O69"/>
      <c r="P69" s="12"/>
      <c r="Q69" s="6"/>
      <c r="R69" s="223"/>
      <c r="S69" s="209"/>
      <c r="T69" s="60">
        <f>SUBTOTAL(9,T65:T68)</f>
        <v>23201.2548</v>
      </c>
      <c r="U69" s="120"/>
    </row>
    <row r="70" spans="1:21" s="31" customFormat="1" ht="12.75" hidden="1" outlineLevel="3">
      <c r="A70" s="7" t="s">
        <v>53</v>
      </c>
      <c r="B70" t="s">
        <v>71</v>
      </c>
      <c r="C70" s="7" t="s">
        <v>48</v>
      </c>
      <c r="D70" s="7" t="s">
        <v>41</v>
      </c>
      <c r="E70" s="8">
        <v>2008</v>
      </c>
      <c r="F70" s="9">
        <v>156</v>
      </c>
      <c r="G70" s="20"/>
      <c r="H70" s="94">
        <f>((10000+6000)/2)/J70</f>
        <v>2.149959688255845</v>
      </c>
      <c r="I70" s="91"/>
      <c r="J70" s="14">
        <v>3721</v>
      </c>
      <c r="K70" s="126">
        <f>(100-23)/1000</f>
        <v>0.077</v>
      </c>
      <c r="L70" s="2">
        <f t="shared" si="6"/>
        <v>44696.652</v>
      </c>
      <c r="M70" s="3">
        <v>0.1</v>
      </c>
      <c r="N70" s="2">
        <f t="shared" si="7"/>
        <v>40226.986800000006</v>
      </c>
      <c r="O70"/>
      <c r="P70" s="12">
        <v>0.0179</v>
      </c>
      <c r="Q70" s="6">
        <f t="shared" si="8"/>
        <v>720.0630637200001</v>
      </c>
      <c r="R70" s="223">
        <f t="shared" si="13"/>
        <v>40226.986800000006</v>
      </c>
      <c r="S70" s="209">
        <f t="shared" si="14"/>
        <v>732.1311597600002</v>
      </c>
      <c r="T70" s="60">
        <f t="shared" si="3"/>
        <v>80453.97360000001</v>
      </c>
      <c r="U70" s="120">
        <f>Q70+S70</f>
        <v>1452.1942234800003</v>
      </c>
    </row>
    <row r="71" spans="1:21" s="31" customFormat="1" ht="12.75" outlineLevel="2" collapsed="1">
      <c r="A71" s="7"/>
      <c r="B71" s="1" t="s">
        <v>239</v>
      </c>
      <c r="C71" s="7"/>
      <c r="D71" s="7"/>
      <c r="E71" s="8"/>
      <c r="F71" s="9"/>
      <c r="G71" s="20"/>
      <c r="H71" s="94"/>
      <c r="I71" s="91"/>
      <c r="J71" s="14"/>
      <c r="K71" s="126"/>
      <c r="L71" s="2"/>
      <c r="M71" s="3"/>
      <c r="N71" s="2"/>
      <c r="O71"/>
      <c r="P71" s="12"/>
      <c r="Q71" s="6"/>
      <c r="R71" s="223"/>
      <c r="S71" s="209"/>
      <c r="T71" s="60">
        <f>SUBTOTAL(9,T70:T70)</f>
        <v>80453.97360000001</v>
      </c>
      <c r="U71" s="120"/>
    </row>
    <row r="72" spans="1:21" s="31" customFormat="1" ht="12.75" hidden="1" outlineLevel="3">
      <c r="A72" s="7" t="s">
        <v>53</v>
      </c>
      <c r="B72" s="7" t="s">
        <v>44</v>
      </c>
      <c r="C72" s="7" t="s">
        <v>193</v>
      </c>
      <c r="D72" s="31" t="s">
        <v>166</v>
      </c>
      <c r="E72" s="32">
        <v>2009</v>
      </c>
      <c r="F72" s="127">
        <v>6</v>
      </c>
      <c r="G72" s="20"/>
      <c r="H72" s="94">
        <f aca="true" t="shared" si="15" ref="H72:H91">20000/J72</f>
        <v>6.148170919151553</v>
      </c>
      <c r="I72" s="91"/>
      <c r="J72" s="14">
        <f>3253</f>
        <v>3253</v>
      </c>
      <c r="K72" s="179">
        <v>0.045</v>
      </c>
      <c r="L72" s="180">
        <f t="shared" si="6"/>
        <v>878.31</v>
      </c>
      <c r="M72" s="181">
        <v>0.1</v>
      </c>
      <c r="N72" s="180">
        <f t="shared" si="7"/>
        <v>790.4789999999999</v>
      </c>
      <c r="O72" s="7"/>
      <c r="P72" s="182">
        <v>0.0179</v>
      </c>
      <c r="Q72" s="183">
        <f t="shared" si="8"/>
        <v>14.149574099999999</v>
      </c>
      <c r="R72" s="227"/>
      <c r="S72" s="226"/>
      <c r="T72" s="60">
        <f t="shared" si="3"/>
        <v>790.4789999999999</v>
      </c>
      <c r="U72" s="120">
        <f aca="true" t="shared" si="16" ref="U72:U110">Q72+S72</f>
        <v>14.149574099999999</v>
      </c>
    </row>
    <row r="73" spans="1:21" s="31" customFormat="1" ht="12.75" hidden="1" outlineLevel="3">
      <c r="A73" s="7" t="s">
        <v>53</v>
      </c>
      <c r="B73" s="7" t="s">
        <v>44</v>
      </c>
      <c r="C73" s="7" t="s">
        <v>194</v>
      </c>
      <c r="D73" s="31" t="s">
        <v>166</v>
      </c>
      <c r="E73" s="32">
        <v>2009</v>
      </c>
      <c r="F73" s="127">
        <v>11</v>
      </c>
      <c r="G73" s="20"/>
      <c r="H73" s="94">
        <f t="shared" si="15"/>
        <v>6.148170919151553</v>
      </c>
      <c r="I73" s="91"/>
      <c r="J73" s="14">
        <f>3253</f>
        <v>3253</v>
      </c>
      <c r="K73" s="179">
        <v>0.049</v>
      </c>
      <c r="L73" s="180">
        <f t="shared" si="6"/>
        <v>1753.3670000000002</v>
      </c>
      <c r="M73" s="181">
        <v>0.1</v>
      </c>
      <c r="N73" s="180">
        <f t="shared" si="7"/>
        <v>1578.0303000000001</v>
      </c>
      <c r="O73" s="7"/>
      <c r="P73" s="182">
        <v>0.0179</v>
      </c>
      <c r="Q73" s="183">
        <f t="shared" si="8"/>
        <v>28.24674237</v>
      </c>
      <c r="R73" s="227"/>
      <c r="S73" s="226"/>
      <c r="T73" s="60">
        <f t="shared" si="3"/>
        <v>1578.0303000000001</v>
      </c>
      <c r="U73" s="120">
        <f t="shared" si="16"/>
        <v>28.24674237</v>
      </c>
    </row>
    <row r="74" spans="1:21" s="31" customFormat="1" ht="12.75" hidden="1" outlineLevel="3">
      <c r="A74" s="7" t="s">
        <v>53</v>
      </c>
      <c r="B74" s="7" t="s">
        <v>44</v>
      </c>
      <c r="C74" s="7" t="s">
        <v>195</v>
      </c>
      <c r="D74" s="31" t="s">
        <v>166</v>
      </c>
      <c r="E74" s="32">
        <v>2009</v>
      </c>
      <c r="F74" s="127">
        <v>58</v>
      </c>
      <c r="G74" s="20"/>
      <c r="H74" s="94">
        <f t="shared" si="15"/>
        <v>6.148170919151553</v>
      </c>
      <c r="I74" s="91"/>
      <c r="J74" s="14">
        <f>3253</f>
        <v>3253</v>
      </c>
      <c r="K74" s="179">
        <v>0.071</v>
      </c>
      <c r="L74" s="180">
        <f t="shared" si="6"/>
        <v>13395.853999999998</v>
      </c>
      <c r="M74" s="181">
        <v>0.1</v>
      </c>
      <c r="N74" s="180">
        <f t="shared" si="7"/>
        <v>12056.268599999998</v>
      </c>
      <c r="O74" s="7"/>
      <c r="P74" s="182">
        <v>0.0179</v>
      </c>
      <c r="Q74" s="183">
        <f t="shared" si="8"/>
        <v>215.80720793999996</v>
      </c>
      <c r="R74" s="227"/>
      <c r="S74" s="226"/>
      <c r="T74" s="60">
        <f t="shared" si="3"/>
        <v>12056.268599999998</v>
      </c>
      <c r="U74" s="120">
        <f t="shared" si="16"/>
        <v>215.80720793999996</v>
      </c>
    </row>
    <row r="75" spans="1:21" s="31" customFormat="1" ht="12.75" hidden="1" outlineLevel="3">
      <c r="A75" s="7" t="s">
        <v>53</v>
      </c>
      <c r="B75" s="7" t="s">
        <v>44</v>
      </c>
      <c r="C75" s="7" t="s">
        <v>196</v>
      </c>
      <c r="D75" s="31" t="s">
        <v>166</v>
      </c>
      <c r="E75" s="32">
        <v>2009</v>
      </c>
      <c r="F75" s="127">
        <v>655</v>
      </c>
      <c r="G75" s="20"/>
      <c r="H75" s="94">
        <f t="shared" si="15"/>
        <v>6.148170919151553</v>
      </c>
      <c r="I75" s="91"/>
      <c r="J75" s="14">
        <f>3253</f>
        <v>3253</v>
      </c>
      <c r="K75" s="179">
        <v>0.06</v>
      </c>
      <c r="L75" s="180">
        <f t="shared" si="6"/>
        <v>127842.90000000001</v>
      </c>
      <c r="M75" s="181">
        <v>0.1</v>
      </c>
      <c r="N75" s="180">
        <f t="shared" si="7"/>
        <v>115058.61000000002</v>
      </c>
      <c r="O75" s="7"/>
      <c r="P75" s="182">
        <v>0.0179</v>
      </c>
      <c r="Q75" s="183">
        <f t="shared" si="8"/>
        <v>2059.5491190000002</v>
      </c>
      <c r="R75" s="227"/>
      <c r="S75" s="226"/>
      <c r="T75" s="60">
        <f t="shared" si="3"/>
        <v>115058.61000000002</v>
      </c>
      <c r="U75" s="120">
        <f t="shared" si="16"/>
        <v>2059.5491190000002</v>
      </c>
    </row>
    <row r="76" spans="1:21" s="31" customFormat="1" ht="12.75" hidden="1" outlineLevel="3">
      <c r="A76" s="7" t="s">
        <v>53</v>
      </c>
      <c r="B76" s="7" t="s">
        <v>44</v>
      </c>
      <c r="C76" s="7" t="s">
        <v>197</v>
      </c>
      <c r="D76" s="31" t="s">
        <v>166</v>
      </c>
      <c r="E76" s="32">
        <v>2009</v>
      </c>
      <c r="F76" s="127">
        <v>1</v>
      </c>
      <c r="G76" s="20"/>
      <c r="H76" s="94">
        <f t="shared" si="15"/>
        <v>6.148170919151553</v>
      </c>
      <c r="I76" s="91"/>
      <c r="J76" s="14">
        <f>3253</f>
        <v>3253</v>
      </c>
      <c r="K76" s="179">
        <v>0.14</v>
      </c>
      <c r="L76" s="180">
        <f t="shared" si="6"/>
        <v>455.42</v>
      </c>
      <c r="M76" s="181">
        <v>0.1</v>
      </c>
      <c r="N76" s="180">
        <f t="shared" si="7"/>
        <v>409.87800000000004</v>
      </c>
      <c r="O76" s="7"/>
      <c r="P76" s="182">
        <v>0.0179</v>
      </c>
      <c r="Q76" s="183">
        <f t="shared" si="8"/>
        <v>7.3368162</v>
      </c>
      <c r="R76" s="227"/>
      <c r="S76" s="226"/>
      <c r="T76" s="60">
        <f t="shared" si="3"/>
        <v>409.87800000000004</v>
      </c>
      <c r="U76" s="120">
        <f t="shared" si="16"/>
        <v>7.3368162</v>
      </c>
    </row>
    <row r="77" spans="1:21" s="31" customFormat="1" ht="12.75" hidden="1" outlineLevel="3">
      <c r="A77" s="7" t="s">
        <v>53</v>
      </c>
      <c r="B77" s="7" t="s">
        <v>44</v>
      </c>
      <c r="C77" s="7" t="s">
        <v>198</v>
      </c>
      <c r="D77" s="31" t="s">
        <v>166</v>
      </c>
      <c r="E77" s="32">
        <v>2009</v>
      </c>
      <c r="F77" s="127">
        <v>529</v>
      </c>
      <c r="G77" s="20"/>
      <c r="H77" s="94">
        <f t="shared" si="15"/>
        <v>6.148170919151553</v>
      </c>
      <c r="I77" s="91"/>
      <c r="J77" s="14">
        <f>3253</f>
        <v>3253</v>
      </c>
      <c r="K77" s="179">
        <v>0.03</v>
      </c>
      <c r="L77" s="180">
        <f t="shared" si="6"/>
        <v>51625.11</v>
      </c>
      <c r="M77" s="181">
        <v>0.1</v>
      </c>
      <c r="N77" s="180">
        <f t="shared" si="7"/>
        <v>46462.599</v>
      </c>
      <c r="O77" s="7"/>
      <c r="P77" s="182">
        <v>0.0179</v>
      </c>
      <c r="Q77" s="183">
        <f t="shared" si="8"/>
        <v>831.6805221</v>
      </c>
      <c r="R77" s="227"/>
      <c r="S77" s="226"/>
      <c r="T77" s="60">
        <f t="shared" si="3"/>
        <v>46462.599</v>
      </c>
      <c r="U77" s="120">
        <f t="shared" si="16"/>
        <v>831.6805221</v>
      </c>
    </row>
    <row r="78" spans="1:21" s="31" customFormat="1" ht="12.75" hidden="1" outlineLevel="3">
      <c r="A78" s="7" t="s">
        <v>53</v>
      </c>
      <c r="B78" s="7" t="s">
        <v>44</v>
      </c>
      <c r="C78" s="7" t="s">
        <v>199</v>
      </c>
      <c r="D78" s="31" t="s">
        <v>166</v>
      </c>
      <c r="E78" s="32">
        <v>2009</v>
      </c>
      <c r="F78" s="127">
        <v>8</v>
      </c>
      <c r="G78" s="20"/>
      <c r="H78" s="94">
        <f t="shared" si="15"/>
        <v>6.148170919151553</v>
      </c>
      <c r="I78" s="91"/>
      <c r="J78" s="14">
        <f>3253</f>
        <v>3253</v>
      </c>
      <c r="K78" s="179">
        <v>0.14</v>
      </c>
      <c r="L78" s="180">
        <f t="shared" si="6"/>
        <v>3643.36</v>
      </c>
      <c r="M78" s="181">
        <v>0.1</v>
      </c>
      <c r="N78" s="180">
        <f t="shared" si="7"/>
        <v>3279.0240000000003</v>
      </c>
      <c r="O78" s="7"/>
      <c r="P78" s="182">
        <v>0.0179</v>
      </c>
      <c r="Q78" s="183">
        <f t="shared" si="8"/>
        <v>58.6945296</v>
      </c>
      <c r="R78" s="227"/>
      <c r="S78" s="226"/>
      <c r="T78" s="60">
        <f t="shared" si="3"/>
        <v>3279.0240000000003</v>
      </c>
      <c r="U78" s="120">
        <f t="shared" si="16"/>
        <v>58.6945296</v>
      </c>
    </row>
    <row r="79" spans="1:21" s="31" customFormat="1" ht="12.75" hidden="1" outlineLevel="3">
      <c r="A79" s="7" t="s">
        <v>53</v>
      </c>
      <c r="B79" s="7" t="s">
        <v>44</v>
      </c>
      <c r="C79" s="7" t="s">
        <v>200</v>
      </c>
      <c r="D79" s="31" t="s">
        <v>166</v>
      </c>
      <c r="E79" s="32">
        <v>2009</v>
      </c>
      <c r="F79" s="127">
        <v>7</v>
      </c>
      <c r="G79" s="20"/>
      <c r="H79" s="94">
        <f t="shared" si="15"/>
        <v>6.148170919151553</v>
      </c>
      <c r="I79" s="91"/>
      <c r="J79" s="14">
        <f>3253</f>
        <v>3253</v>
      </c>
      <c r="K79" s="179">
        <v>0.025</v>
      </c>
      <c r="L79" s="180">
        <f t="shared" si="6"/>
        <v>569.275</v>
      </c>
      <c r="M79" s="181">
        <v>0.1</v>
      </c>
      <c r="N79" s="180">
        <f t="shared" si="7"/>
        <v>512.3475</v>
      </c>
      <c r="O79" s="7"/>
      <c r="P79" s="182">
        <v>0.0179</v>
      </c>
      <c r="Q79" s="183">
        <f t="shared" si="8"/>
        <v>9.17102025</v>
      </c>
      <c r="R79" s="227"/>
      <c r="S79" s="226"/>
      <c r="T79" s="60">
        <f t="shared" si="3"/>
        <v>512.3475</v>
      </c>
      <c r="U79" s="120">
        <f t="shared" si="16"/>
        <v>9.17102025</v>
      </c>
    </row>
    <row r="80" spans="1:21" s="31" customFormat="1" ht="12.75" hidden="1" outlineLevel="3">
      <c r="A80" s="7" t="s">
        <v>53</v>
      </c>
      <c r="B80" s="7" t="s">
        <v>44</v>
      </c>
      <c r="C80" s="7" t="s">
        <v>201</v>
      </c>
      <c r="D80" s="31" t="s">
        <v>166</v>
      </c>
      <c r="E80" s="32">
        <v>2009</v>
      </c>
      <c r="F80" s="127">
        <v>255</v>
      </c>
      <c r="G80" s="20"/>
      <c r="H80" s="94">
        <f t="shared" si="15"/>
        <v>6.148170919151553</v>
      </c>
      <c r="I80" s="91"/>
      <c r="J80" s="14">
        <f>3253</f>
        <v>3253</v>
      </c>
      <c r="K80" s="179">
        <v>0.038</v>
      </c>
      <c r="L80" s="180">
        <f t="shared" si="6"/>
        <v>31521.569999999996</v>
      </c>
      <c r="M80" s="181">
        <v>0.1</v>
      </c>
      <c r="N80" s="180">
        <f t="shared" si="7"/>
        <v>28369.412999999997</v>
      </c>
      <c r="O80" s="7"/>
      <c r="P80" s="182">
        <v>0.0179</v>
      </c>
      <c r="Q80" s="183">
        <f t="shared" si="8"/>
        <v>507.8124926999999</v>
      </c>
      <c r="R80" s="227"/>
      <c r="S80" s="226"/>
      <c r="T80" s="60">
        <f t="shared" si="3"/>
        <v>28369.412999999997</v>
      </c>
      <c r="U80" s="120">
        <f t="shared" si="16"/>
        <v>507.8124926999999</v>
      </c>
    </row>
    <row r="81" spans="1:21" s="31" customFormat="1" ht="12.75" hidden="1" outlineLevel="3">
      <c r="A81" s="7" t="s">
        <v>53</v>
      </c>
      <c r="B81" s="7" t="s">
        <v>44</v>
      </c>
      <c r="C81" s="7" t="s">
        <v>202</v>
      </c>
      <c r="D81" s="31" t="s">
        <v>166</v>
      </c>
      <c r="E81" s="32">
        <v>2009</v>
      </c>
      <c r="F81" s="127">
        <v>493</v>
      </c>
      <c r="G81" s="20"/>
      <c r="H81" s="94">
        <f t="shared" si="15"/>
        <v>6.148170919151553</v>
      </c>
      <c r="I81" s="91"/>
      <c r="J81" s="14">
        <f>3253</f>
        <v>3253</v>
      </c>
      <c r="K81" s="179">
        <v>0.074</v>
      </c>
      <c r="L81" s="180">
        <f t="shared" si="6"/>
        <v>118675.946</v>
      </c>
      <c r="M81" s="181">
        <v>0.1</v>
      </c>
      <c r="N81" s="180">
        <f t="shared" si="7"/>
        <v>106808.3514</v>
      </c>
      <c r="O81" s="7"/>
      <c r="P81" s="182">
        <v>0.0179</v>
      </c>
      <c r="Q81" s="183">
        <f t="shared" si="8"/>
        <v>1911.8694900599999</v>
      </c>
      <c r="R81" s="227"/>
      <c r="S81" s="226"/>
      <c r="T81" s="60">
        <f t="shared" si="3"/>
        <v>106808.3514</v>
      </c>
      <c r="U81" s="120">
        <f t="shared" si="16"/>
        <v>1911.8694900599999</v>
      </c>
    </row>
    <row r="82" spans="1:21" s="31" customFormat="1" ht="12.75" hidden="1" outlineLevel="3">
      <c r="A82" s="7" t="s">
        <v>53</v>
      </c>
      <c r="B82" s="7" t="s">
        <v>44</v>
      </c>
      <c r="C82" s="7" t="s">
        <v>203</v>
      </c>
      <c r="D82" s="31" t="s">
        <v>166</v>
      </c>
      <c r="E82" s="32">
        <v>2009</v>
      </c>
      <c r="F82" s="127">
        <v>274</v>
      </c>
      <c r="G82" s="20"/>
      <c r="H82" s="94">
        <f t="shared" si="15"/>
        <v>6.148170919151553</v>
      </c>
      <c r="I82" s="91"/>
      <c r="J82" s="14">
        <f>3253</f>
        <v>3253</v>
      </c>
      <c r="K82" s="179">
        <v>0.021</v>
      </c>
      <c r="L82" s="180">
        <f t="shared" si="6"/>
        <v>18717.762000000002</v>
      </c>
      <c r="M82" s="181">
        <v>0.1</v>
      </c>
      <c r="N82" s="180">
        <f t="shared" si="7"/>
        <v>16845.985800000002</v>
      </c>
      <c r="O82" s="7"/>
      <c r="P82" s="182">
        <v>0.0179</v>
      </c>
      <c r="Q82" s="183">
        <f t="shared" si="8"/>
        <v>301.54314582</v>
      </c>
      <c r="R82" s="227"/>
      <c r="S82" s="226"/>
      <c r="T82" s="60">
        <f t="shared" si="3"/>
        <v>16845.985800000002</v>
      </c>
      <c r="U82" s="120">
        <f t="shared" si="16"/>
        <v>301.54314582</v>
      </c>
    </row>
    <row r="83" spans="1:21" s="31" customFormat="1" ht="12.75" hidden="1" outlineLevel="3">
      <c r="A83" s="7" t="s">
        <v>53</v>
      </c>
      <c r="B83" s="7" t="s">
        <v>44</v>
      </c>
      <c r="C83" s="7" t="s">
        <v>204</v>
      </c>
      <c r="D83" s="31" t="s">
        <v>166</v>
      </c>
      <c r="E83" s="32">
        <v>2009</v>
      </c>
      <c r="F83" s="127">
        <v>1746</v>
      </c>
      <c r="G83" s="20"/>
      <c r="H83" s="94">
        <f t="shared" si="15"/>
        <v>6.148170919151553</v>
      </c>
      <c r="I83" s="91"/>
      <c r="J83" s="14">
        <f>3253</f>
        <v>3253</v>
      </c>
      <c r="K83" s="179">
        <v>0.031</v>
      </c>
      <c r="L83" s="180">
        <f t="shared" si="6"/>
        <v>176071.878</v>
      </c>
      <c r="M83" s="181">
        <v>0.1</v>
      </c>
      <c r="N83" s="180">
        <f t="shared" si="7"/>
        <v>158464.6902</v>
      </c>
      <c r="O83" s="7"/>
      <c r="P83" s="182">
        <v>0.0179</v>
      </c>
      <c r="Q83" s="183">
        <f t="shared" si="8"/>
        <v>2836.51795458</v>
      </c>
      <c r="R83" s="227"/>
      <c r="S83" s="226"/>
      <c r="T83" s="60">
        <f aca="true" t="shared" si="17" ref="T83:T159">N83+R83</f>
        <v>158464.6902</v>
      </c>
      <c r="U83" s="120">
        <f t="shared" si="16"/>
        <v>2836.51795458</v>
      </c>
    </row>
    <row r="84" spans="1:21" s="31" customFormat="1" ht="12.75" hidden="1" outlineLevel="3">
      <c r="A84" s="7" t="s">
        <v>53</v>
      </c>
      <c r="B84" s="7" t="s">
        <v>44</v>
      </c>
      <c r="C84" s="7" t="s">
        <v>205</v>
      </c>
      <c r="D84" s="31" t="s">
        <v>166</v>
      </c>
      <c r="E84" s="32">
        <v>2009</v>
      </c>
      <c r="F84" s="127">
        <v>40</v>
      </c>
      <c r="G84" s="20"/>
      <c r="H84" s="94">
        <f t="shared" si="15"/>
        <v>6.148170919151553</v>
      </c>
      <c r="I84" s="91"/>
      <c r="J84" s="14">
        <f>3253</f>
        <v>3253</v>
      </c>
      <c r="K84" s="179">
        <v>0.078</v>
      </c>
      <c r="L84" s="180">
        <f t="shared" si="6"/>
        <v>10149.36</v>
      </c>
      <c r="M84" s="181">
        <v>0.1</v>
      </c>
      <c r="N84" s="180">
        <f t="shared" si="7"/>
        <v>9134.424</v>
      </c>
      <c r="O84" s="7"/>
      <c r="P84" s="182">
        <v>0.0179</v>
      </c>
      <c r="Q84" s="183">
        <f t="shared" si="8"/>
        <v>163.5061896</v>
      </c>
      <c r="R84" s="227"/>
      <c r="S84" s="226"/>
      <c r="T84" s="60">
        <f t="shared" si="17"/>
        <v>9134.424</v>
      </c>
      <c r="U84" s="120">
        <f t="shared" si="16"/>
        <v>163.5061896</v>
      </c>
    </row>
    <row r="85" spans="1:21" s="31" customFormat="1" ht="12.75" hidden="1" outlineLevel="3">
      <c r="A85" s="7" t="s">
        <v>53</v>
      </c>
      <c r="B85" s="7" t="s">
        <v>44</v>
      </c>
      <c r="C85" s="7" t="s">
        <v>206</v>
      </c>
      <c r="D85" s="31" t="s">
        <v>166</v>
      </c>
      <c r="E85" s="32">
        <v>2009</v>
      </c>
      <c r="F85" s="127">
        <v>3366</v>
      </c>
      <c r="G85" s="20"/>
      <c r="H85" s="94">
        <f>20000/J85</f>
        <v>6.148170919151553</v>
      </c>
      <c r="I85" s="91"/>
      <c r="J85" s="14">
        <f>3253</f>
        <v>3253</v>
      </c>
      <c r="K85" s="179">
        <v>0.048</v>
      </c>
      <c r="L85" s="180">
        <f t="shared" si="6"/>
        <v>525580.704</v>
      </c>
      <c r="M85" s="181">
        <v>0.1</v>
      </c>
      <c r="N85" s="180">
        <f t="shared" si="7"/>
        <v>473022.63360000006</v>
      </c>
      <c r="O85" s="7"/>
      <c r="P85" s="182">
        <v>0.0179</v>
      </c>
      <c r="Q85" s="183">
        <f t="shared" si="8"/>
        <v>8467.10514144</v>
      </c>
      <c r="R85" s="227"/>
      <c r="S85" s="226"/>
      <c r="T85" s="60">
        <f t="shared" si="17"/>
        <v>473022.63360000006</v>
      </c>
      <c r="U85" s="120">
        <f t="shared" si="16"/>
        <v>8467.10514144</v>
      </c>
    </row>
    <row r="86" spans="1:21" s="31" customFormat="1" ht="12.75" hidden="1" outlineLevel="3">
      <c r="A86" s="7" t="s">
        <v>53</v>
      </c>
      <c r="B86" s="7" t="s">
        <v>44</v>
      </c>
      <c r="C86" s="7" t="s">
        <v>207</v>
      </c>
      <c r="D86" s="31" t="s">
        <v>166</v>
      </c>
      <c r="E86" s="32">
        <v>2009</v>
      </c>
      <c r="F86" s="127">
        <v>8</v>
      </c>
      <c r="G86" s="20"/>
      <c r="H86" s="94">
        <f t="shared" si="15"/>
        <v>6.148170919151553</v>
      </c>
      <c r="I86" s="91"/>
      <c r="J86" s="14">
        <f>3253</f>
        <v>3253</v>
      </c>
      <c r="K86" s="179">
        <v>0.033</v>
      </c>
      <c r="L86" s="180">
        <f t="shared" si="6"/>
        <v>858.792</v>
      </c>
      <c r="M86" s="181">
        <v>0.1</v>
      </c>
      <c r="N86" s="180">
        <f t="shared" si="7"/>
        <v>772.9128000000001</v>
      </c>
      <c r="O86" s="7"/>
      <c r="P86" s="182">
        <v>0.0179</v>
      </c>
      <c r="Q86" s="183">
        <f t="shared" si="8"/>
        <v>13.835139120000001</v>
      </c>
      <c r="R86" s="227"/>
      <c r="S86" s="226"/>
      <c r="T86" s="60">
        <f t="shared" si="17"/>
        <v>772.9128000000001</v>
      </c>
      <c r="U86" s="120">
        <f t="shared" si="16"/>
        <v>13.835139120000001</v>
      </c>
    </row>
    <row r="87" spans="1:21" s="31" customFormat="1" ht="12.75" hidden="1" outlineLevel="3">
      <c r="A87" s="7" t="s">
        <v>53</v>
      </c>
      <c r="B87" s="7" t="s">
        <v>44</v>
      </c>
      <c r="C87" s="7" t="s">
        <v>208</v>
      </c>
      <c r="D87" s="31" t="s">
        <v>166</v>
      </c>
      <c r="E87" s="32">
        <v>2009</v>
      </c>
      <c r="F87" s="127">
        <v>19</v>
      </c>
      <c r="G87" s="20"/>
      <c r="H87" s="94">
        <f t="shared" si="15"/>
        <v>6.148170919151553</v>
      </c>
      <c r="I87" s="91"/>
      <c r="J87" s="14">
        <f>3253</f>
        <v>3253</v>
      </c>
      <c r="K87" s="179">
        <v>0.033</v>
      </c>
      <c r="L87" s="180">
        <f t="shared" si="6"/>
        <v>2039.631</v>
      </c>
      <c r="M87" s="181">
        <v>0.1</v>
      </c>
      <c r="N87" s="180">
        <f t="shared" si="7"/>
        <v>1835.6679000000001</v>
      </c>
      <c r="O87" s="7"/>
      <c r="P87" s="182">
        <v>0.0179</v>
      </c>
      <c r="Q87" s="183">
        <f t="shared" si="8"/>
        <v>32.85845541</v>
      </c>
      <c r="R87" s="227"/>
      <c r="S87" s="226"/>
      <c r="T87" s="60">
        <f t="shared" si="17"/>
        <v>1835.6679000000001</v>
      </c>
      <c r="U87" s="120">
        <f t="shared" si="16"/>
        <v>32.85845541</v>
      </c>
    </row>
    <row r="88" spans="1:21" s="31" customFormat="1" ht="12.75" hidden="1" outlineLevel="3">
      <c r="A88" s="7" t="s">
        <v>53</v>
      </c>
      <c r="B88" s="7" t="s">
        <v>44</v>
      </c>
      <c r="C88" s="7" t="s">
        <v>209</v>
      </c>
      <c r="D88" s="31" t="s">
        <v>166</v>
      </c>
      <c r="E88" s="32">
        <v>2009</v>
      </c>
      <c r="F88" s="127">
        <v>4</v>
      </c>
      <c r="G88" s="20"/>
      <c r="H88" s="94">
        <f t="shared" si="15"/>
        <v>5.374899220639613</v>
      </c>
      <c r="I88" s="91"/>
      <c r="J88" s="14">
        <v>3721</v>
      </c>
      <c r="K88" s="179">
        <v>0.025</v>
      </c>
      <c r="L88" s="180">
        <f t="shared" si="6"/>
        <v>372.1</v>
      </c>
      <c r="M88" s="181">
        <v>0.1</v>
      </c>
      <c r="N88" s="180">
        <f t="shared" si="7"/>
        <v>334.89000000000004</v>
      </c>
      <c r="O88" s="7"/>
      <c r="P88" s="182">
        <v>0.0179</v>
      </c>
      <c r="Q88" s="183">
        <f t="shared" si="8"/>
        <v>5.994531</v>
      </c>
      <c r="R88" s="227"/>
      <c r="S88" s="226"/>
      <c r="T88" s="60">
        <f t="shared" si="17"/>
        <v>334.89000000000004</v>
      </c>
      <c r="U88" s="120">
        <f t="shared" si="16"/>
        <v>5.994531</v>
      </c>
    </row>
    <row r="89" spans="1:21" s="31" customFormat="1" ht="12.75" hidden="1" outlineLevel="3">
      <c r="A89" s="7" t="s">
        <v>53</v>
      </c>
      <c r="B89" s="7" t="s">
        <v>44</v>
      </c>
      <c r="C89" s="7" t="s">
        <v>210</v>
      </c>
      <c r="D89" s="31" t="s">
        <v>166</v>
      </c>
      <c r="E89" s="32">
        <v>2009</v>
      </c>
      <c r="F89" s="127">
        <v>32</v>
      </c>
      <c r="G89" s="20"/>
      <c r="H89" s="94">
        <f t="shared" si="15"/>
        <v>5.374899220639613</v>
      </c>
      <c r="I89" s="91"/>
      <c r="J89" s="14">
        <v>3721</v>
      </c>
      <c r="K89" s="179">
        <v>0.04</v>
      </c>
      <c r="L89" s="180">
        <f t="shared" si="6"/>
        <v>4762.88</v>
      </c>
      <c r="M89" s="181">
        <v>0.1</v>
      </c>
      <c r="N89" s="180">
        <f t="shared" si="7"/>
        <v>4286.592000000001</v>
      </c>
      <c r="O89" s="7"/>
      <c r="P89" s="182">
        <v>0.0179</v>
      </c>
      <c r="Q89" s="183">
        <f t="shared" si="8"/>
        <v>76.72999680000001</v>
      </c>
      <c r="R89" s="227"/>
      <c r="S89" s="226"/>
      <c r="T89" s="60">
        <f t="shared" si="17"/>
        <v>4286.592000000001</v>
      </c>
      <c r="U89" s="120">
        <f t="shared" si="16"/>
        <v>76.72999680000001</v>
      </c>
    </row>
    <row r="90" spans="1:21" s="31" customFormat="1" ht="12.75" hidden="1" outlineLevel="3">
      <c r="A90" s="7" t="s">
        <v>53</v>
      </c>
      <c r="B90" s="7" t="s">
        <v>44</v>
      </c>
      <c r="C90" s="7" t="s">
        <v>211</v>
      </c>
      <c r="D90" s="31" t="s">
        <v>166</v>
      </c>
      <c r="E90" s="32">
        <v>2009</v>
      </c>
      <c r="F90" s="127">
        <v>203</v>
      </c>
      <c r="G90" s="20"/>
      <c r="H90" s="94">
        <f t="shared" si="15"/>
        <v>6.148170919151553</v>
      </c>
      <c r="I90" s="91"/>
      <c r="J90" s="14">
        <f>3253</f>
        <v>3253</v>
      </c>
      <c r="K90" s="179">
        <v>0.027</v>
      </c>
      <c r="L90" s="180">
        <f t="shared" si="6"/>
        <v>17829.693</v>
      </c>
      <c r="M90" s="181">
        <v>0.1</v>
      </c>
      <c r="N90" s="180">
        <f t="shared" si="7"/>
        <v>16046.7237</v>
      </c>
      <c r="O90" s="7"/>
      <c r="P90" s="182">
        <v>0.0179</v>
      </c>
      <c r="Q90" s="183">
        <f t="shared" si="8"/>
        <v>287.23635423</v>
      </c>
      <c r="R90" s="227"/>
      <c r="S90" s="226"/>
      <c r="T90" s="60">
        <f t="shared" si="17"/>
        <v>16046.7237</v>
      </c>
      <c r="U90" s="120">
        <f t="shared" si="16"/>
        <v>287.23635423</v>
      </c>
    </row>
    <row r="91" spans="1:21" s="31" customFormat="1" ht="12.75" hidden="1" outlineLevel="3">
      <c r="A91" s="7" t="s">
        <v>53</v>
      </c>
      <c r="B91" s="7" t="s">
        <v>44</v>
      </c>
      <c r="C91" s="7" t="s">
        <v>212</v>
      </c>
      <c r="D91" s="31" t="s">
        <v>166</v>
      </c>
      <c r="E91" s="32">
        <v>2009</v>
      </c>
      <c r="F91" s="127">
        <v>2</v>
      </c>
      <c r="G91" s="20"/>
      <c r="H91" s="94">
        <f t="shared" si="15"/>
        <v>6.148170919151553</v>
      </c>
      <c r="I91" s="91"/>
      <c r="J91" s="14">
        <f>3253</f>
        <v>3253</v>
      </c>
      <c r="K91" s="179">
        <v>0.058</v>
      </c>
      <c r="L91" s="180">
        <f t="shared" si="6"/>
        <v>377.348</v>
      </c>
      <c r="M91" s="181">
        <v>0.1</v>
      </c>
      <c r="N91" s="180">
        <f t="shared" si="7"/>
        <v>339.6132</v>
      </c>
      <c r="O91" s="7"/>
      <c r="P91" s="182">
        <v>0.0179</v>
      </c>
      <c r="Q91" s="183">
        <f t="shared" si="8"/>
        <v>6.07907628</v>
      </c>
      <c r="R91" s="227"/>
      <c r="S91" s="226"/>
      <c r="T91" s="60">
        <f t="shared" si="17"/>
        <v>339.6132</v>
      </c>
      <c r="U91" s="120">
        <f t="shared" si="16"/>
        <v>6.07907628</v>
      </c>
    </row>
    <row r="92" spans="1:21" s="31" customFormat="1" ht="12.75" hidden="1" outlineLevel="3">
      <c r="A92" s="7" t="s">
        <v>53</v>
      </c>
      <c r="B92" s="7" t="s">
        <v>44</v>
      </c>
      <c r="C92" s="7" t="s">
        <v>213</v>
      </c>
      <c r="D92" s="31" t="s">
        <v>166</v>
      </c>
      <c r="E92" s="32">
        <v>2009</v>
      </c>
      <c r="F92" s="127">
        <v>164</v>
      </c>
      <c r="G92" s="20"/>
      <c r="H92" s="94">
        <v>10</v>
      </c>
      <c r="I92" s="91"/>
      <c r="J92" s="14">
        <v>8760</v>
      </c>
      <c r="K92" s="179">
        <v>0.027</v>
      </c>
      <c r="L92" s="180">
        <f t="shared" si="6"/>
        <v>38789.28</v>
      </c>
      <c r="M92" s="181">
        <v>0.1</v>
      </c>
      <c r="N92" s="180">
        <f t="shared" si="7"/>
        <v>34910.352</v>
      </c>
      <c r="O92" s="7"/>
      <c r="P92" s="182">
        <v>0.0179</v>
      </c>
      <c r="Q92" s="183">
        <f t="shared" si="8"/>
        <v>624.8953008</v>
      </c>
      <c r="R92" s="227"/>
      <c r="S92" s="226"/>
      <c r="T92" s="60">
        <f t="shared" si="17"/>
        <v>34910.352</v>
      </c>
      <c r="U92" s="120">
        <f t="shared" si="16"/>
        <v>624.8953008</v>
      </c>
    </row>
    <row r="93" spans="1:21" s="31" customFormat="1" ht="12.75" hidden="1" outlineLevel="3">
      <c r="A93" s="7" t="s">
        <v>53</v>
      </c>
      <c r="B93" s="7" t="s">
        <v>44</v>
      </c>
      <c r="C93" s="7" t="s">
        <v>214</v>
      </c>
      <c r="D93" s="31" t="s">
        <v>166</v>
      </c>
      <c r="E93" s="32">
        <v>2009</v>
      </c>
      <c r="F93" s="127">
        <v>35</v>
      </c>
      <c r="G93" s="20"/>
      <c r="H93" s="94">
        <v>10</v>
      </c>
      <c r="I93" s="91"/>
      <c r="J93" s="14">
        <v>8760</v>
      </c>
      <c r="K93" s="179">
        <v>0.027</v>
      </c>
      <c r="L93" s="180">
        <f t="shared" si="6"/>
        <v>8278.2</v>
      </c>
      <c r="M93" s="181">
        <v>0.1</v>
      </c>
      <c r="N93" s="180">
        <f t="shared" si="7"/>
        <v>7450.380000000001</v>
      </c>
      <c r="O93" s="7"/>
      <c r="P93" s="182">
        <v>0.0179</v>
      </c>
      <c r="Q93" s="183">
        <f t="shared" si="8"/>
        <v>133.361802</v>
      </c>
      <c r="R93" s="227"/>
      <c r="S93" s="226"/>
      <c r="T93" s="60">
        <f t="shared" si="17"/>
        <v>7450.380000000001</v>
      </c>
      <c r="U93" s="120">
        <f t="shared" si="16"/>
        <v>133.361802</v>
      </c>
    </row>
    <row r="94" spans="1:21" s="31" customFormat="1" ht="12.75" hidden="1" outlineLevel="3">
      <c r="A94" s="7" t="s">
        <v>53</v>
      </c>
      <c r="B94" s="7" t="s">
        <v>44</v>
      </c>
      <c r="C94" s="7" t="s">
        <v>215</v>
      </c>
      <c r="D94" s="31" t="s">
        <v>166</v>
      </c>
      <c r="E94" s="32">
        <v>2009</v>
      </c>
      <c r="F94" s="127">
        <v>6</v>
      </c>
      <c r="G94" s="20"/>
      <c r="H94" s="94">
        <f aca="true" t="shared" si="18" ref="H94:H99">(6000+10000)/2/J94</f>
        <v>2.149959688255845</v>
      </c>
      <c r="I94" s="91"/>
      <c r="J94" s="14">
        <v>3721</v>
      </c>
      <c r="K94" s="179">
        <v>0.029</v>
      </c>
      <c r="L94" s="180">
        <f t="shared" si="6"/>
        <v>647.4540000000001</v>
      </c>
      <c r="M94" s="181">
        <v>0.1</v>
      </c>
      <c r="N94" s="180">
        <f t="shared" si="7"/>
        <v>582.7086</v>
      </c>
      <c r="O94" s="7"/>
      <c r="P94" s="182">
        <v>0.0179</v>
      </c>
      <c r="Q94" s="183">
        <f t="shared" si="8"/>
        <v>10.43048394</v>
      </c>
      <c r="R94" s="227"/>
      <c r="S94" s="226"/>
      <c r="T94" s="60">
        <f t="shared" si="17"/>
        <v>582.7086</v>
      </c>
      <c r="U94" s="120">
        <f t="shared" si="16"/>
        <v>10.43048394</v>
      </c>
    </row>
    <row r="95" spans="1:21" s="31" customFormat="1" ht="12.75" hidden="1" outlineLevel="3">
      <c r="A95" s="7" t="s">
        <v>53</v>
      </c>
      <c r="B95" s="7" t="s">
        <v>44</v>
      </c>
      <c r="C95" s="7" t="s">
        <v>216</v>
      </c>
      <c r="D95" s="31" t="s">
        <v>166</v>
      </c>
      <c r="E95" s="32">
        <v>2009</v>
      </c>
      <c r="F95" s="127">
        <v>2066</v>
      </c>
      <c r="G95" s="20"/>
      <c r="H95" s="94">
        <f t="shared" si="18"/>
        <v>2.149959688255845</v>
      </c>
      <c r="I95" s="91"/>
      <c r="J95" s="14">
        <v>3721</v>
      </c>
      <c r="K95" s="179">
        <v>0.047</v>
      </c>
      <c r="L95" s="180">
        <f t="shared" si="6"/>
        <v>361316.542</v>
      </c>
      <c r="M95" s="181">
        <v>0.1</v>
      </c>
      <c r="N95" s="180">
        <f t="shared" si="7"/>
        <v>325184.8878</v>
      </c>
      <c r="O95" s="7"/>
      <c r="P95" s="182">
        <v>0.0179</v>
      </c>
      <c r="Q95" s="183">
        <f t="shared" si="8"/>
        <v>5820.80949162</v>
      </c>
      <c r="R95" s="227"/>
      <c r="S95" s="226"/>
      <c r="T95" s="60">
        <f t="shared" si="17"/>
        <v>325184.8878</v>
      </c>
      <c r="U95" s="120">
        <f t="shared" si="16"/>
        <v>5820.80949162</v>
      </c>
    </row>
    <row r="96" spans="1:21" s="31" customFormat="1" ht="12.75" hidden="1" outlineLevel="3">
      <c r="A96" s="7" t="s">
        <v>53</v>
      </c>
      <c r="B96" s="7" t="s">
        <v>44</v>
      </c>
      <c r="C96" s="7" t="s">
        <v>217</v>
      </c>
      <c r="D96" s="31" t="s">
        <v>166</v>
      </c>
      <c r="E96" s="32">
        <v>2009</v>
      </c>
      <c r="F96" s="127">
        <v>50</v>
      </c>
      <c r="G96" s="20"/>
      <c r="H96" s="94">
        <f t="shared" si="18"/>
        <v>2.149959688255845</v>
      </c>
      <c r="I96" s="91"/>
      <c r="J96" s="14">
        <v>3721</v>
      </c>
      <c r="K96" s="179">
        <v>0.077</v>
      </c>
      <c r="L96" s="180">
        <f t="shared" si="6"/>
        <v>14325.85</v>
      </c>
      <c r="M96" s="181">
        <v>0.1</v>
      </c>
      <c r="N96" s="180">
        <f t="shared" si="7"/>
        <v>12893.265000000001</v>
      </c>
      <c r="O96" s="7"/>
      <c r="P96" s="182">
        <v>0.0179</v>
      </c>
      <c r="Q96" s="183">
        <f t="shared" si="8"/>
        <v>230.7894435</v>
      </c>
      <c r="R96" s="223"/>
      <c r="S96" s="226"/>
      <c r="T96" s="60">
        <f t="shared" si="17"/>
        <v>12893.265000000001</v>
      </c>
      <c r="U96" s="120">
        <f t="shared" si="16"/>
        <v>230.7894435</v>
      </c>
    </row>
    <row r="97" spans="1:21" s="31" customFormat="1" ht="12.75" hidden="1" outlineLevel="3">
      <c r="A97" s="7" t="s">
        <v>53</v>
      </c>
      <c r="B97" s="7" t="s">
        <v>44</v>
      </c>
      <c r="C97" s="7" t="s">
        <v>218</v>
      </c>
      <c r="D97" s="31" t="s">
        <v>166</v>
      </c>
      <c r="E97" s="32">
        <v>2009</v>
      </c>
      <c r="F97" s="127">
        <v>6</v>
      </c>
      <c r="G97" s="20"/>
      <c r="H97" s="94">
        <f t="shared" si="18"/>
        <v>2.149959688255845</v>
      </c>
      <c r="I97" s="91"/>
      <c r="J97" s="14">
        <v>3721</v>
      </c>
      <c r="K97" s="179">
        <v>0.12</v>
      </c>
      <c r="L97" s="180">
        <f t="shared" si="6"/>
        <v>2679.12</v>
      </c>
      <c r="M97" s="181">
        <v>0.1</v>
      </c>
      <c r="N97" s="180">
        <f t="shared" si="7"/>
        <v>2411.208</v>
      </c>
      <c r="O97" s="7"/>
      <c r="P97" s="182">
        <v>0.0179</v>
      </c>
      <c r="Q97" s="183">
        <f t="shared" si="8"/>
        <v>43.160623199999996</v>
      </c>
      <c r="R97" s="223"/>
      <c r="S97" s="226"/>
      <c r="T97" s="60">
        <f t="shared" si="17"/>
        <v>2411.208</v>
      </c>
      <c r="U97" s="120">
        <f t="shared" si="16"/>
        <v>43.160623199999996</v>
      </c>
    </row>
    <row r="98" spans="1:21" s="31" customFormat="1" ht="12.75" hidden="1" outlineLevel="3">
      <c r="A98" s="7" t="s">
        <v>53</v>
      </c>
      <c r="B98" s="7" t="s">
        <v>44</v>
      </c>
      <c r="C98" s="7" t="s">
        <v>219</v>
      </c>
      <c r="D98" s="31" t="s">
        <v>166</v>
      </c>
      <c r="E98" s="32">
        <v>2009</v>
      </c>
      <c r="F98" s="127">
        <v>1</v>
      </c>
      <c r="G98" s="20"/>
      <c r="H98" s="94">
        <f t="shared" si="18"/>
        <v>2.149959688255845</v>
      </c>
      <c r="I98" s="91"/>
      <c r="J98" s="14">
        <v>3721</v>
      </c>
      <c r="K98" s="179">
        <v>0.029</v>
      </c>
      <c r="L98" s="180">
        <f t="shared" si="6"/>
        <v>107.909</v>
      </c>
      <c r="M98" s="181">
        <v>0.1</v>
      </c>
      <c r="N98" s="180">
        <f t="shared" si="7"/>
        <v>97.11810000000001</v>
      </c>
      <c r="O98" s="7"/>
      <c r="P98" s="182">
        <v>0.0179</v>
      </c>
      <c r="Q98" s="183">
        <f t="shared" si="8"/>
        <v>1.7384139900000002</v>
      </c>
      <c r="R98" s="223"/>
      <c r="S98" s="226"/>
      <c r="T98" s="60">
        <f t="shared" si="17"/>
        <v>97.11810000000001</v>
      </c>
      <c r="U98" s="120">
        <f t="shared" si="16"/>
        <v>1.7384139900000002</v>
      </c>
    </row>
    <row r="99" spans="1:21" s="31" customFormat="1" ht="12.75" hidden="1" outlineLevel="3">
      <c r="A99" s="7" t="s">
        <v>53</v>
      </c>
      <c r="B99" s="7" t="s">
        <v>44</v>
      </c>
      <c r="C99" s="7" t="s">
        <v>220</v>
      </c>
      <c r="D99" s="31" t="s">
        <v>166</v>
      </c>
      <c r="E99" s="32">
        <v>2009</v>
      </c>
      <c r="F99" s="127">
        <v>4</v>
      </c>
      <c r="G99" s="20"/>
      <c r="H99" s="94">
        <f t="shared" si="18"/>
        <v>2.149959688255845</v>
      </c>
      <c r="I99" s="91"/>
      <c r="J99" s="14">
        <v>3721</v>
      </c>
      <c r="K99" s="179">
        <v>0.047</v>
      </c>
      <c r="L99" s="180">
        <f aca="true" t="shared" si="19" ref="L99:L110">IF(K99&lt;&gt;"",J99*K99*F99,I99*F99)</f>
        <v>699.548</v>
      </c>
      <c r="M99" s="181">
        <v>0.1</v>
      </c>
      <c r="N99" s="180">
        <f aca="true" t="shared" si="20" ref="N99:N171">+L99*(1-M99)</f>
        <v>629.5932</v>
      </c>
      <c r="O99" s="7"/>
      <c r="P99" s="182">
        <v>0.0179</v>
      </c>
      <c r="Q99" s="183">
        <f aca="true" t="shared" si="21" ref="Q99:Q130">+N99*P99</f>
        <v>11.26971828</v>
      </c>
      <c r="R99" s="223"/>
      <c r="S99" s="226"/>
      <c r="T99" s="60">
        <f t="shared" si="17"/>
        <v>629.5932</v>
      </c>
      <c r="U99" s="120">
        <f t="shared" si="16"/>
        <v>11.26971828</v>
      </c>
    </row>
    <row r="100" spans="1:21" s="31" customFormat="1" ht="12.75" hidden="1" outlineLevel="3">
      <c r="A100" s="7" t="s">
        <v>53</v>
      </c>
      <c r="B100" s="7" t="s">
        <v>44</v>
      </c>
      <c r="C100" s="7" t="s">
        <v>221</v>
      </c>
      <c r="D100" s="31" t="s">
        <v>166</v>
      </c>
      <c r="E100" s="32">
        <v>2009</v>
      </c>
      <c r="F100" s="127">
        <v>41</v>
      </c>
      <c r="G100" s="20"/>
      <c r="H100" s="32">
        <v>10</v>
      </c>
      <c r="I100" s="91"/>
      <c r="J100" s="14">
        <v>985.5</v>
      </c>
      <c r="K100" s="179">
        <v>0.055</v>
      </c>
      <c r="L100" s="180">
        <f t="shared" si="19"/>
        <v>2222.3025000000002</v>
      </c>
      <c r="M100" s="181">
        <v>0.1</v>
      </c>
      <c r="N100" s="180">
        <f t="shared" si="20"/>
        <v>2000.0722500000002</v>
      </c>
      <c r="O100" s="7"/>
      <c r="P100" s="182">
        <v>0.0179</v>
      </c>
      <c r="Q100" s="183">
        <f t="shared" si="21"/>
        <v>35.801293275</v>
      </c>
      <c r="R100" s="223"/>
      <c r="S100" s="226"/>
      <c r="T100" s="60">
        <f t="shared" si="17"/>
        <v>2000.0722500000002</v>
      </c>
      <c r="U100" s="120">
        <f t="shared" si="16"/>
        <v>35.801293275</v>
      </c>
    </row>
    <row r="101" spans="1:21" s="31" customFormat="1" ht="12.75" hidden="1" outlineLevel="3">
      <c r="A101" s="7" t="s">
        <v>53</v>
      </c>
      <c r="B101" s="7" t="s">
        <v>44</v>
      </c>
      <c r="C101" s="7" t="s">
        <v>222</v>
      </c>
      <c r="D101" s="31" t="s">
        <v>166</v>
      </c>
      <c r="E101" s="32">
        <v>2009</v>
      </c>
      <c r="F101" s="127">
        <v>4</v>
      </c>
      <c r="G101" s="20"/>
      <c r="H101" s="32">
        <v>10</v>
      </c>
      <c r="I101" s="91"/>
      <c r="J101" s="14">
        <v>985.5</v>
      </c>
      <c r="K101" s="179">
        <v>0.101</v>
      </c>
      <c r="L101" s="180">
        <f t="shared" si="19"/>
        <v>398.14200000000005</v>
      </c>
      <c r="M101" s="181">
        <v>0.1</v>
      </c>
      <c r="N101" s="180">
        <f t="shared" si="20"/>
        <v>358.3278000000001</v>
      </c>
      <c r="O101" s="7"/>
      <c r="P101" s="182">
        <v>0.0179</v>
      </c>
      <c r="Q101" s="183">
        <f t="shared" si="21"/>
        <v>6.414067620000001</v>
      </c>
      <c r="R101" s="223"/>
      <c r="S101" s="226"/>
      <c r="T101" s="60">
        <f t="shared" si="17"/>
        <v>358.3278000000001</v>
      </c>
      <c r="U101" s="120">
        <f t="shared" si="16"/>
        <v>6.414067620000001</v>
      </c>
    </row>
    <row r="102" spans="1:21" s="31" customFormat="1" ht="12.75" hidden="1" outlineLevel="3">
      <c r="A102" s="7" t="s">
        <v>53</v>
      </c>
      <c r="B102" s="7" t="s">
        <v>44</v>
      </c>
      <c r="C102" s="7" t="s">
        <v>223</v>
      </c>
      <c r="D102" s="31" t="s">
        <v>166</v>
      </c>
      <c r="E102" s="32">
        <v>2009</v>
      </c>
      <c r="F102" s="127">
        <v>175</v>
      </c>
      <c r="G102" s="20"/>
      <c r="H102" s="94">
        <f>8000/J102</f>
        <v>2.149959688255845</v>
      </c>
      <c r="I102" s="91"/>
      <c r="J102" s="14">
        <v>3721</v>
      </c>
      <c r="K102" s="179">
        <v>0.047</v>
      </c>
      <c r="L102" s="180">
        <f t="shared" si="19"/>
        <v>30605.225</v>
      </c>
      <c r="M102" s="181">
        <v>0.1</v>
      </c>
      <c r="N102" s="180">
        <f t="shared" si="20"/>
        <v>27544.7025</v>
      </c>
      <c r="O102" s="7"/>
      <c r="P102" s="182">
        <v>0.0179</v>
      </c>
      <c r="Q102" s="183">
        <f t="shared" si="21"/>
        <v>493.05017475</v>
      </c>
      <c r="R102" s="223"/>
      <c r="S102" s="226"/>
      <c r="T102" s="60">
        <f t="shared" si="17"/>
        <v>27544.7025</v>
      </c>
      <c r="U102" s="120">
        <f t="shared" si="16"/>
        <v>493.05017475</v>
      </c>
    </row>
    <row r="103" spans="1:21" s="31" customFormat="1" ht="12.75" hidden="1" outlineLevel="3">
      <c r="A103" s="7" t="s">
        <v>53</v>
      </c>
      <c r="B103" s="7" t="s">
        <v>44</v>
      </c>
      <c r="C103" s="7" t="s">
        <v>224</v>
      </c>
      <c r="D103" s="31" t="s">
        <v>166</v>
      </c>
      <c r="E103" s="32">
        <v>2009</v>
      </c>
      <c r="F103" s="127">
        <v>91</v>
      </c>
      <c r="G103" s="20"/>
      <c r="H103" s="94">
        <f aca="true" t="shared" si="22" ref="H103:H110">8000/J103</f>
        <v>2.149959688255845</v>
      </c>
      <c r="I103" s="91"/>
      <c r="J103" s="14">
        <v>3721</v>
      </c>
      <c r="K103" s="179">
        <v>0.057</v>
      </c>
      <c r="L103" s="180">
        <f t="shared" si="19"/>
        <v>19300.827</v>
      </c>
      <c r="M103" s="181">
        <v>0.1</v>
      </c>
      <c r="N103" s="180">
        <f t="shared" si="20"/>
        <v>17370.744300000002</v>
      </c>
      <c r="O103" s="7"/>
      <c r="P103" s="182">
        <v>0.0179</v>
      </c>
      <c r="Q103" s="183">
        <f t="shared" si="21"/>
        <v>310.93632297000005</v>
      </c>
      <c r="R103" s="223"/>
      <c r="S103" s="226"/>
      <c r="T103" s="60">
        <f t="shared" si="17"/>
        <v>17370.744300000002</v>
      </c>
      <c r="U103" s="120">
        <f t="shared" si="16"/>
        <v>310.93632297000005</v>
      </c>
    </row>
    <row r="104" spans="1:21" s="31" customFormat="1" ht="12.75" hidden="1" outlineLevel="3">
      <c r="A104" s="7" t="s">
        <v>53</v>
      </c>
      <c r="B104" s="7" t="s">
        <v>44</v>
      </c>
      <c r="C104" s="7" t="s">
        <v>225</v>
      </c>
      <c r="D104" s="31" t="s">
        <v>166</v>
      </c>
      <c r="E104" s="32">
        <v>2009</v>
      </c>
      <c r="F104" s="127">
        <v>168</v>
      </c>
      <c r="G104" s="20"/>
      <c r="H104" s="94">
        <f t="shared" si="22"/>
        <v>2.149959688255845</v>
      </c>
      <c r="I104" s="91"/>
      <c r="J104" s="14">
        <v>3721</v>
      </c>
      <c r="K104" s="179">
        <v>0.074</v>
      </c>
      <c r="L104" s="180">
        <f t="shared" si="19"/>
        <v>46259.471999999994</v>
      </c>
      <c r="M104" s="181">
        <v>0.1</v>
      </c>
      <c r="N104" s="180">
        <f t="shared" si="20"/>
        <v>41633.5248</v>
      </c>
      <c r="O104" s="7"/>
      <c r="P104" s="182">
        <v>0.0179</v>
      </c>
      <c r="Q104" s="183">
        <f t="shared" si="21"/>
        <v>745.2400939199999</v>
      </c>
      <c r="R104" s="223"/>
      <c r="S104" s="226"/>
      <c r="T104" s="60">
        <f t="shared" si="17"/>
        <v>41633.5248</v>
      </c>
      <c r="U104" s="120">
        <f t="shared" si="16"/>
        <v>745.2400939199999</v>
      </c>
    </row>
    <row r="105" spans="1:21" s="31" customFormat="1" ht="12.75" hidden="1" outlineLevel="3">
      <c r="A105" s="7" t="s">
        <v>53</v>
      </c>
      <c r="B105" s="7" t="s">
        <v>44</v>
      </c>
      <c r="C105" s="7" t="s">
        <v>226</v>
      </c>
      <c r="D105" s="31" t="s">
        <v>166</v>
      </c>
      <c r="E105" s="32">
        <v>2009</v>
      </c>
      <c r="F105" s="127">
        <v>169</v>
      </c>
      <c r="G105" s="20"/>
      <c r="H105" s="94">
        <f t="shared" si="22"/>
        <v>2.149959688255845</v>
      </c>
      <c r="I105" s="91"/>
      <c r="J105" s="14">
        <v>3721</v>
      </c>
      <c r="K105" s="179">
        <v>0.047</v>
      </c>
      <c r="L105" s="180">
        <f t="shared" si="19"/>
        <v>29555.903</v>
      </c>
      <c r="M105" s="181">
        <v>0.1</v>
      </c>
      <c r="N105" s="180">
        <f t="shared" si="20"/>
        <v>26600.3127</v>
      </c>
      <c r="O105" s="7"/>
      <c r="P105" s="182">
        <v>0.0179</v>
      </c>
      <c r="Q105" s="183">
        <f t="shared" si="21"/>
        <v>476.14559732999993</v>
      </c>
      <c r="R105" s="223"/>
      <c r="S105" s="226"/>
      <c r="T105" s="60">
        <f t="shared" si="17"/>
        <v>26600.3127</v>
      </c>
      <c r="U105" s="120">
        <f t="shared" si="16"/>
        <v>476.14559732999993</v>
      </c>
    </row>
    <row r="106" spans="1:21" s="31" customFormat="1" ht="12.75" hidden="1" outlineLevel="3">
      <c r="A106" s="7" t="s">
        <v>53</v>
      </c>
      <c r="B106" s="7" t="s">
        <v>44</v>
      </c>
      <c r="C106" s="7" t="s">
        <v>227</v>
      </c>
      <c r="D106" s="31" t="s">
        <v>166</v>
      </c>
      <c r="E106" s="32">
        <v>2009</v>
      </c>
      <c r="F106" s="127">
        <v>103</v>
      </c>
      <c r="G106" s="20"/>
      <c r="H106" s="94">
        <f t="shared" si="22"/>
        <v>2.149959688255845</v>
      </c>
      <c r="I106" s="91"/>
      <c r="J106" s="14">
        <v>3721</v>
      </c>
      <c r="K106" s="179">
        <v>0.057</v>
      </c>
      <c r="L106" s="180">
        <f t="shared" si="19"/>
        <v>21845.991</v>
      </c>
      <c r="M106" s="181">
        <v>0.1</v>
      </c>
      <c r="N106" s="180">
        <f t="shared" si="20"/>
        <v>19661.391900000002</v>
      </c>
      <c r="O106" s="7"/>
      <c r="P106" s="182">
        <v>0.0179</v>
      </c>
      <c r="Q106" s="183">
        <f t="shared" si="21"/>
        <v>351.93891501</v>
      </c>
      <c r="R106" s="223"/>
      <c r="S106" s="226"/>
      <c r="T106" s="60">
        <f t="shared" si="17"/>
        <v>19661.391900000002</v>
      </c>
      <c r="U106" s="120">
        <f t="shared" si="16"/>
        <v>351.93891501</v>
      </c>
    </row>
    <row r="107" spans="1:21" s="31" customFormat="1" ht="12.75" hidden="1" outlineLevel="3">
      <c r="A107" s="7" t="s">
        <v>53</v>
      </c>
      <c r="B107" s="7" t="s">
        <v>44</v>
      </c>
      <c r="C107" s="7" t="s">
        <v>228</v>
      </c>
      <c r="D107" s="31" t="s">
        <v>166</v>
      </c>
      <c r="E107" s="32">
        <v>2009</v>
      </c>
      <c r="F107" s="127">
        <v>5</v>
      </c>
      <c r="G107" s="20"/>
      <c r="H107" s="94">
        <f t="shared" si="22"/>
        <v>2.149959688255845</v>
      </c>
      <c r="I107" s="91"/>
      <c r="J107" s="14">
        <v>3721</v>
      </c>
      <c r="K107" s="179">
        <v>0.025</v>
      </c>
      <c r="L107" s="180">
        <f t="shared" si="19"/>
        <v>465.125</v>
      </c>
      <c r="M107" s="181">
        <v>0.1</v>
      </c>
      <c r="N107" s="180">
        <f t="shared" si="20"/>
        <v>418.6125</v>
      </c>
      <c r="O107" s="7"/>
      <c r="P107" s="182">
        <v>0.0179</v>
      </c>
      <c r="Q107" s="183">
        <f t="shared" si="21"/>
        <v>7.49316375</v>
      </c>
      <c r="R107" s="223"/>
      <c r="S107" s="226"/>
      <c r="T107" s="60">
        <f t="shared" si="17"/>
        <v>418.6125</v>
      </c>
      <c r="U107" s="120">
        <f t="shared" si="16"/>
        <v>7.49316375</v>
      </c>
    </row>
    <row r="108" spans="1:21" s="31" customFormat="1" ht="12.75" hidden="1" outlineLevel="3">
      <c r="A108" s="7" t="s">
        <v>53</v>
      </c>
      <c r="B108" s="7" t="s">
        <v>44</v>
      </c>
      <c r="C108" s="7" t="s">
        <v>229</v>
      </c>
      <c r="D108" s="31" t="s">
        <v>166</v>
      </c>
      <c r="E108" s="32">
        <v>2009</v>
      </c>
      <c r="F108" s="127">
        <v>23</v>
      </c>
      <c r="G108" s="20"/>
      <c r="H108" s="94">
        <f t="shared" si="22"/>
        <v>2.149959688255845</v>
      </c>
      <c r="I108" s="91"/>
      <c r="J108" s="14">
        <v>3721</v>
      </c>
      <c r="K108" s="179">
        <v>0.0645</v>
      </c>
      <c r="L108" s="180">
        <f t="shared" si="19"/>
        <v>5520.1035</v>
      </c>
      <c r="M108" s="181">
        <v>0.1</v>
      </c>
      <c r="N108" s="180">
        <f t="shared" si="20"/>
        <v>4968.093150000001</v>
      </c>
      <c r="O108" s="7"/>
      <c r="P108" s="182">
        <v>0.0179</v>
      </c>
      <c r="Q108" s="183">
        <f t="shared" si="21"/>
        <v>88.928867385</v>
      </c>
      <c r="R108" s="223"/>
      <c r="S108" s="226"/>
      <c r="T108" s="60">
        <f t="shared" si="17"/>
        <v>4968.093150000001</v>
      </c>
      <c r="U108" s="120">
        <f t="shared" si="16"/>
        <v>88.928867385</v>
      </c>
    </row>
    <row r="109" spans="1:21" ht="12.75" hidden="1" outlineLevel="3">
      <c r="A109" s="7" t="s">
        <v>53</v>
      </c>
      <c r="B109" s="7" t="s">
        <v>44</v>
      </c>
      <c r="C109" s="7" t="s">
        <v>230</v>
      </c>
      <c r="D109" s="31" t="s">
        <v>166</v>
      </c>
      <c r="E109" s="32">
        <v>2009</v>
      </c>
      <c r="F109" s="127">
        <v>1</v>
      </c>
      <c r="G109" s="20"/>
      <c r="H109" s="94">
        <f t="shared" si="22"/>
        <v>2.149959688255845</v>
      </c>
      <c r="I109" s="91"/>
      <c r="J109" s="14">
        <v>3721</v>
      </c>
      <c r="K109" s="179">
        <v>0.074</v>
      </c>
      <c r="L109" s="180">
        <f t="shared" si="19"/>
        <v>275.354</v>
      </c>
      <c r="M109" s="181">
        <v>0.1</v>
      </c>
      <c r="N109" s="180">
        <f t="shared" si="20"/>
        <v>247.8186</v>
      </c>
      <c r="O109" s="7"/>
      <c r="P109" s="182">
        <v>0.0179</v>
      </c>
      <c r="Q109" s="183">
        <f t="shared" si="21"/>
        <v>4.43595294</v>
      </c>
      <c r="R109" s="223"/>
      <c r="S109" s="226"/>
      <c r="T109" s="60">
        <f t="shared" si="17"/>
        <v>247.8186</v>
      </c>
      <c r="U109" s="120">
        <f t="shared" si="16"/>
        <v>4.43595294</v>
      </c>
    </row>
    <row r="110" spans="1:21" ht="12.75" hidden="1" outlineLevel="3">
      <c r="A110" s="7" t="s">
        <v>53</v>
      </c>
      <c r="B110" s="7" t="s">
        <v>44</v>
      </c>
      <c r="C110" s="7" t="s">
        <v>231</v>
      </c>
      <c r="D110" s="31" t="s">
        <v>166</v>
      </c>
      <c r="E110" s="32">
        <v>2009</v>
      </c>
      <c r="F110" s="127">
        <v>70</v>
      </c>
      <c r="G110" s="20"/>
      <c r="H110" s="94">
        <f t="shared" si="22"/>
        <v>2.149959688255845</v>
      </c>
      <c r="I110" s="91"/>
      <c r="J110" s="14">
        <v>3721</v>
      </c>
      <c r="K110" s="179">
        <v>0.0295</v>
      </c>
      <c r="L110" s="180">
        <f t="shared" si="19"/>
        <v>7683.865</v>
      </c>
      <c r="M110" s="181">
        <v>0.1</v>
      </c>
      <c r="N110" s="180">
        <f t="shared" si="20"/>
        <v>6915.4785</v>
      </c>
      <c r="O110" s="7"/>
      <c r="P110" s="182">
        <v>0.0179</v>
      </c>
      <c r="Q110" s="183">
        <f t="shared" si="21"/>
        <v>123.78706515</v>
      </c>
      <c r="R110" s="223"/>
      <c r="S110" s="226"/>
      <c r="T110" s="60">
        <f t="shared" si="17"/>
        <v>6915.4785</v>
      </c>
      <c r="U110" s="120">
        <f t="shared" si="16"/>
        <v>123.78706515</v>
      </c>
    </row>
    <row r="111" spans="1:21" ht="12.75" outlineLevel="2" collapsed="1">
      <c r="A111" s="7"/>
      <c r="B111" s="19" t="s">
        <v>274</v>
      </c>
      <c r="C111" s="7"/>
      <c r="D111" s="31"/>
      <c r="E111" s="32"/>
      <c r="F111" s="127"/>
      <c r="G111" s="20"/>
      <c r="H111" s="94"/>
      <c r="I111" s="91"/>
      <c r="J111" s="14"/>
      <c r="K111" s="179"/>
      <c r="L111" s="180"/>
      <c r="M111" s="181"/>
      <c r="N111" s="180"/>
      <c r="O111" s="7"/>
      <c r="P111" s="182"/>
      <c r="Q111" s="183"/>
      <c r="R111" s="223"/>
      <c r="S111" s="226"/>
      <c r="T111" s="60">
        <f>SUBTOTAL(9,T72:T110)</f>
        <v>1528287.7257</v>
      </c>
      <c r="U111" s="120"/>
    </row>
    <row r="112" spans="1:21" ht="12.75" hidden="1" outlineLevel="3">
      <c r="A112" s="7" t="s">
        <v>53</v>
      </c>
      <c r="B112" t="s">
        <v>142</v>
      </c>
      <c r="C112" s="7" t="s">
        <v>128</v>
      </c>
      <c r="D112" s="7" t="s">
        <v>122</v>
      </c>
      <c r="E112" s="8">
        <v>2009</v>
      </c>
      <c r="F112" s="9">
        <v>7</v>
      </c>
      <c r="G112" s="20"/>
      <c r="H112" s="94">
        <f>20000/J112</f>
        <v>6.148170919151553</v>
      </c>
      <c r="I112" s="91"/>
      <c r="J112" s="14">
        <v>3253</v>
      </c>
      <c r="K112" s="126">
        <f>(51-28)/1000</f>
        <v>0.023</v>
      </c>
      <c r="L112" s="2">
        <f>IF(K112&lt;&gt;"",J112*K112*F112,I112*F112)</f>
        <v>523.7330000000001</v>
      </c>
      <c r="M112" s="3">
        <v>0.1</v>
      </c>
      <c r="N112" s="2">
        <f t="shared" si="20"/>
        <v>471.3597000000001</v>
      </c>
      <c r="O112"/>
      <c r="P112" s="12">
        <v>0.0179</v>
      </c>
      <c r="Q112" s="6">
        <f t="shared" si="21"/>
        <v>8.437338630000001</v>
      </c>
      <c r="R112" s="223"/>
      <c r="S112" s="209"/>
      <c r="T112" s="60">
        <f t="shared" si="17"/>
        <v>471.3597000000001</v>
      </c>
      <c r="U112" s="120">
        <f>Q112+S112</f>
        <v>8.437338630000001</v>
      </c>
    </row>
    <row r="113" spans="1:21" ht="12.75" hidden="1" outlineLevel="3">
      <c r="A113" s="7" t="s">
        <v>53</v>
      </c>
      <c r="B113" t="s">
        <v>142</v>
      </c>
      <c r="C113" s="7" t="s">
        <v>129</v>
      </c>
      <c r="D113" s="7" t="s">
        <v>122</v>
      </c>
      <c r="E113" s="8">
        <v>2009</v>
      </c>
      <c r="F113" s="9">
        <v>3</v>
      </c>
      <c r="G113" s="20"/>
      <c r="H113" s="94">
        <f>20000/J113</f>
        <v>6.148170919151553</v>
      </c>
      <c r="I113" s="91"/>
      <c r="J113" s="14">
        <v>3253</v>
      </c>
      <c r="K113" s="126">
        <f>(88-55)/1000</f>
        <v>0.033</v>
      </c>
      <c r="L113" s="2">
        <f>IF(K113&lt;&gt;"",J113*K113*F113,I113*F113)</f>
        <v>322.047</v>
      </c>
      <c r="M113" s="3">
        <v>0.1</v>
      </c>
      <c r="N113" s="2">
        <f t="shared" si="20"/>
        <v>289.8423</v>
      </c>
      <c r="O113"/>
      <c r="P113" s="12">
        <v>0.0179</v>
      </c>
      <c r="Q113" s="6">
        <f t="shared" si="21"/>
        <v>5.18817717</v>
      </c>
      <c r="R113" s="223"/>
      <c r="S113" s="209"/>
      <c r="T113" s="60">
        <f t="shared" si="17"/>
        <v>289.8423</v>
      </c>
      <c r="U113" s="120">
        <f>Q113+S113</f>
        <v>5.18817717</v>
      </c>
    </row>
    <row r="114" spans="1:21" ht="12.75" hidden="1" outlineLevel="3">
      <c r="A114" s="7" t="s">
        <v>53</v>
      </c>
      <c r="B114" t="s">
        <v>142</v>
      </c>
      <c r="C114" s="7" t="s">
        <v>130</v>
      </c>
      <c r="D114" s="7" t="s">
        <v>122</v>
      </c>
      <c r="E114" s="8">
        <v>2009</v>
      </c>
      <c r="F114" s="9">
        <v>26</v>
      </c>
      <c r="G114" s="20"/>
      <c r="H114" s="94">
        <f>20000/J114</f>
        <v>6.148170919151553</v>
      </c>
      <c r="I114" s="91"/>
      <c r="J114" s="14">
        <v>3253</v>
      </c>
      <c r="K114" s="126">
        <f>(149-85)/1000</f>
        <v>0.064</v>
      </c>
      <c r="L114" s="2">
        <f>IF(K114&lt;&gt;"",J114*K114*F114,I114*F114)</f>
        <v>5412.992</v>
      </c>
      <c r="M114" s="3">
        <v>0.1</v>
      </c>
      <c r="N114" s="2">
        <f t="shared" si="20"/>
        <v>4871.692800000001</v>
      </c>
      <c r="O114"/>
      <c r="P114" s="12">
        <v>0.0179</v>
      </c>
      <c r="Q114" s="6">
        <f t="shared" si="21"/>
        <v>87.20330112</v>
      </c>
      <c r="R114" s="223"/>
      <c r="S114" s="209"/>
      <c r="T114" s="60">
        <f t="shared" si="17"/>
        <v>4871.692800000001</v>
      </c>
      <c r="U114" s="120">
        <f>Q114+S114</f>
        <v>87.20330112</v>
      </c>
    </row>
    <row r="115" spans="1:21" ht="12.75" hidden="1" outlineLevel="3">
      <c r="A115" s="7" t="s">
        <v>53</v>
      </c>
      <c r="B115" t="s">
        <v>142</v>
      </c>
      <c r="C115" s="7" t="s">
        <v>56</v>
      </c>
      <c r="D115" s="7" t="s">
        <v>122</v>
      </c>
      <c r="E115" s="8">
        <v>2009</v>
      </c>
      <c r="F115" s="9">
        <v>8</v>
      </c>
      <c r="G115" s="20"/>
      <c r="H115" s="94"/>
      <c r="I115" s="91"/>
      <c r="J115" s="14">
        <f>4450*0.4</f>
        <v>1780</v>
      </c>
      <c r="K115" s="126">
        <f>(300)/1000</f>
        <v>0.3</v>
      </c>
      <c r="L115" s="2">
        <f>IF(K115&lt;&gt;"",J115*K115*F115,I115*F115)</f>
        <v>4272</v>
      </c>
      <c r="M115" s="3">
        <v>0.1</v>
      </c>
      <c r="N115" s="2">
        <f t="shared" si="20"/>
        <v>3844.8</v>
      </c>
      <c r="O115"/>
      <c r="P115" s="12">
        <v>0.0179</v>
      </c>
      <c r="Q115" s="6">
        <f t="shared" si="21"/>
        <v>68.82192</v>
      </c>
      <c r="R115" s="223"/>
      <c r="S115" s="209"/>
      <c r="T115" s="60">
        <f t="shared" si="17"/>
        <v>3844.8</v>
      </c>
      <c r="U115" s="120">
        <f>Q115+S115</f>
        <v>68.82192</v>
      </c>
    </row>
    <row r="116" spans="1:21" ht="12.75" outlineLevel="2" collapsed="1">
      <c r="A116" s="7"/>
      <c r="B116" s="1" t="s">
        <v>240</v>
      </c>
      <c r="C116" s="7"/>
      <c r="D116" s="7"/>
      <c r="E116" s="8"/>
      <c r="F116" s="9"/>
      <c r="G116" s="20"/>
      <c r="H116" s="94"/>
      <c r="I116" s="91"/>
      <c r="J116" s="14"/>
      <c r="K116" s="126"/>
      <c r="L116" s="2"/>
      <c r="M116" s="3"/>
      <c r="N116" s="2"/>
      <c r="O116"/>
      <c r="P116" s="12"/>
      <c r="Q116" s="6"/>
      <c r="R116" s="223"/>
      <c r="S116" s="209"/>
      <c r="T116" s="60">
        <f>SUBTOTAL(9,T112:T115)</f>
        <v>9477.694800000001</v>
      </c>
      <c r="U116" s="120"/>
    </row>
    <row r="117" spans="1:21" ht="12.75" hidden="1" outlineLevel="3">
      <c r="A117" s="7" t="s">
        <v>53</v>
      </c>
      <c r="B117" t="s">
        <v>140</v>
      </c>
      <c r="C117" s="7" t="s">
        <v>172</v>
      </c>
      <c r="D117" s="7" t="s">
        <v>122</v>
      </c>
      <c r="E117" s="8">
        <v>2009</v>
      </c>
      <c r="F117" s="127">
        <v>46</v>
      </c>
      <c r="G117" s="20"/>
      <c r="H117" s="94">
        <f>20000/J117</f>
        <v>5.832604257801108</v>
      </c>
      <c r="I117" s="119"/>
      <c r="J117" s="14">
        <v>3429</v>
      </c>
      <c r="K117" s="126">
        <f>(51-28)/1000</f>
        <v>0.023</v>
      </c>
      <c r="L117" s="2">
        <f>IF(K117&lt;&gt;"",J117*K117*F117,I117*F117)</f>
        <v>3627.882</v>
      </c>
      <c r="M117" s="3">
        <v>0.1</v>
      </c>
      <c r="N117" s="2">
        <f t="shared" si="20"/>
        <v>3265.0938</v>
      </c>
      <c r="O117"/>
      <c r="P117" s="12">
        <v>0.0179</v>
      </c>
      <c r="Q117" s="6">
        <f t="shared" si="21"/>
        <v>58.44517902</v>
      </c>
      <c r="R117" s="223"/>
      <c r="S117" s="209"/>
      <c r="T117" s="60">
        <f t="shared" si="17"/>
        <v>3265.0938</v>
      </c>
      <c r="U117" s="120">
        <f>Q117+S117</f>
        <v>58.44517902</v>
      </c>
    </row>
    <row r="118" spans="1:21" ht="12.75" hidden="1" outlineLevel="3">
      <c r="A118" s="7" t="s">
        <v>53</v>
      </c>
      <c r="B118" t="s">
        <v>140</v>
      </c>
      <c r="C118" s="7" t="s">
        <v>173</v>
      </c>
      <c r="D118" s="7" t="s">
        <v>122</v>
      </c>
      <c r="E118" s="8">
        <v>2009</v>
      </c>
      <c r="F118" s="127">
        <v>4</v>
      </c>
      <c r="G118" s="20"/>
      <c r="H118" s="94">
        <f>20000/J118</f>
        <v>5.832604257801108</v>
      </c>
      <c r="I118" s="119"/>
      <c r="J118" s="14">
        <v>3429</v>
      </c>
      <c r="K118" s="126">
        <f>(88-55)/1000</f>
        <v>0.033</v>
      </c>
      <c r="L118" s="2">
        <f aca="true" t="shared" si="23" ref="L118:L175">IF(K118&lt;&gt;"",J118*K118*F118,I118*F118)</f>
        <v>452.62800000000004</v>
      </c>
      <c r="M118" s="3">
        <v>0.1</v>
      </c>
      <c r="N118" s="2">
        <f t="shared" si="20"/>
        <v>407.3652000000001</v>
      </c>
      <c r="O118"/>
      <c r="P118" s="12">
        <v>0.0179</v>
      </c>
      <c r="Q118" s="6">
        <f t="shared" si="21"/>
        <v>7.291837080000001</v>
      </c>
      <c r="R118" s="223"/>
      <c r="S118" s="209"/>
      <c r="T118" s="60">
        <f t="shared" si="17"/>
        <v>407.3652000000001</v>
      </c>
      <c r="U118" s="120">
        <f>Q118+S118</f>
        <v>7.291837080000001</v>
      </c>
    </row>
    <row r="119" spans="1:21" ht="12.75" hidden="1" outlineLevel="3">
      <c r="A119" s="7" t="s">
        <v>53</v>
      </c>
      <c r="B119" t="s">
        <v>140</v>
      </c>
      <c r="C119" s="7" t="s">
        <v>174</v>
      </c>
      <c r="D119" s="7" t="s">
        <v>122</v>
      </c>
      <c r="E119" s="8">
        <v>2009</v>
      </c>
      <c r="F119" s="127">
        <v>3</v>
      </c>
      <c r="G119" s="20"/>
      <c r="H119" s="94">
        <f>20000/J119</f>
        <v>5.832604257801108</v>
      </c>
      <c r="I119" s="119"/>
      <c r="J119" s="14">
        <v>3429</v>
      </c>
      <c r="K119" s="126">
        <f>(149-85)/1000</f>
        <v>0.064</v>
      </c>
      <c r="L119" s="2">
        <f t="shared" si="23"/>
        <v>658.368</v>
      </c>
      <c r="M119" s="3">
        <v>0.1</v>
      </c>
      <c r="N119" s="2">
        <f t="shared" si="20"/>
        <v>592.5312</v>
      </c>
      <c r="O119"/>
      <c r="P119" s="12">
        <v>0.0179</v>
      </c>
      <c r="Q119" s="6">
        <f t="shared" si="21"/>
        <v>10.60630848</v>
      </c>
      <c r="R119" s="223"/>
      <c r="S119" s="209"/>
      <c r="T119" s="60">
        <f t="shared" si="17"/>
        <v>592.5312</v>
      </c>
      <c r="U119" s="120">
        <f>Q119+S119</f>
        <v>10.60630848</v>
      </c>
    </row>
    <row r="120" spans="1:21" ht="12.75" hidden="1" outlineLevel="3">
      <c r="A120" s="7" t="s">
        <v>53</v>
      </c>
      <c r="B120" t="s">
        <v>140</v>
      </c>
      <c r="C120" s="7" t="s">
        <v>175</v>
      </c>
      <c r="D120" s="7" t="s">
        <v>122</v>
      </c>
      <c r="E120" s="8">
        <v>2009</v>
      </c>
      <c r="F120" s="127">
        <v>60</v>
      </c>
      <c r="G120" s="20"/>
      <c r="H120" s="94">
        <f>20000/J120</f>
        <v>5.832604257801108</v>
      </c>
      <c r="I120" s="119"/>
      <c r="J120" s="14">
        <v>3429</v>
      </c>
      <c r="K120" s="126">
        <f>(149-85)/1000</f>
        <v>0.064</v>
      </c>
      <c r="L120" s="2">
        <f t="shared" si="23"/>
        <v>13167.36</v>
      </c>
      <c r="M120" s="3">
        <v>0.1</v>
      </c>
      <c r="N120" s="2">
        <f t="shared" si="20"/>
        <v>11850.624000000002</v>
      </c>
      <c r="O120"/>
      <c r="P120" s="12">
        <v>0.0179</v>
      </c>
      <c r="Q120" s="6">
        <f t="shared" si="21"/>
        <v>212.12616960000003</v>
      </c>
      <c r="R120" s="223"/>
      <c r="S120" s="209"/>
      <c r="T120" s="60">
        <f t="shared" si="17"/>
        <v>11850.624000000002</v>
      </c>
      <c r="U120" s="120">
        <f>Q120+S120</f>
        <v>212.12616960000003</v>
      </c>
    </row>
    <row r="121" spans="1:21" ht="12.75" outlineLevel="2" collapsed="1">
      <c r="A121" s="7"/>
      <c r="B121" s="1" t="s">
        <v>241</v>
      </c>
      <c r="C121" s="7"/>
      <c r="D121" s="7"/>
      <c r="E121" s="8"/>
      <c r="F121" s="127"/>
      <c r="G121" s="20"/>
      <c r="H121" s="94"/>
      <c r="I121" s="119"/>
      <c r="J121" s="14"/>
      <c r="K121" s="126"/>
      <c r="L121" s="2"/>
      <c r="M121" s="3"/>
      <c r="N121" s="2"/>
      <c r="O121"/>
      <c r="P121" s="12"/>
      <c r="Q121" s="6"/>
      <c r="R121" s="223"/>
      <c r="S121" s="209"/>
      <c r="T121" s="60">
        <f>SUBTOTAL(9,T117:T120)</f>
        <v>16115.614200000002</v>
      </c>
      <c r="U121" s="120"/>
    </row>
    <row r="122" spans="1:21" ht="12.75" hidden="1" outlineLevel="3">
      <c r="A122" s="7" t="s">
        <v>53</v>
      </c>
      <c r="B122" t="s">
        <v>145</v>
      </c>
      <c r="C122" s="7" t="s">
        <v>58</v>
      </c>
      <c r="D122" s="7" t="s">
        <v>122</v>
      </c>
      <c r="E122" s="8">
        <v>2009</v>
      </c>
      <c r="F122" s="9">
        <v>6</v>
      </c>
      <c r="G122" s="20"/>
      <c r="H122" s="94">
        <v>10</v>
      </c>
      <c r="I122" s="119"/>
      <c r="J122" s="14">
        <v>8760</v>
      </c>
      <c r="K122" s="119">
        <f>(22-5)/1000</f>
        <v>0.017</v>
      </c>
      <c r="L122" s="2">
        <f t="shared" si="23"/>
        <v>893.5200000000001</v>
      </c>
      <c r="M122" s="3">
        <v>0.1</v>
      </c>
      <c r="N122" s="2">
        <f t="shared" si="20"/>
        <v>804.1680000000001</v>
      </c>
      <c r="O122"/>
      <c r="P122" s="12">
        <v>0.0179</v>
      </c>
      <c r="Q122" s="6">
        <f t="shared" si="21"/>
        <v>14.394607200000001</v>
      </c>
      <c r="R122" s="223"/>
      <c r="S122" s="209"/>
      <c r="T122" s="60">
        <f t="shared" si="17"/>
        <v>804.1680000000001</v>
      </c>
      <c r="U122" s="120">
        <f>Q122+S122</f>
        <v>14.394607200000001</v>
      </c>
    </row>
    <row r="123" spans="1:21" ht="12.75" hidden="1" outlineLevel="3">
      <c r="A123" s="7" t="s">
        <v>53</v>
      </c>
      <c r="B123" t="s">
        <v>145</v>
      </c>
      <c r="C123" s="7" t="s">
        <v>127</v>
      </c>
      <c r="D123" s="7" t="s">
        <v>122</v>
      </c>
      <c r="E123" s="8">
        <v>2009</v>
      </c>
      <c r="F123" s="9">
        <v>140</v>
      </c>
      <c r="G123" s="20"/>
      <c r="H123" s="94">
        <f>((10000+6000)/2)/J123</f>
        <v>2.098085496984002</v>
      </c>
      <c r="I123" s="119"/>
      <c r="J123" s="14">
        <v>3813</v>
      </c>
      <c r="K123" s="126">
        <f>(40-13)/1000</f>
        <v>0.027</v>
      </c>
      <c r="L123" s="2">
        <f t="shared" si="23"/>
        <v>14413.14</v>
      </c>
      <c r="M123" s="3">
        <v>0.1</v>
      </c>
      <c r="N123" s="2">
        <f t="shared" si="20"/>
        <v>12971.826</v>
      </c>
      <c r="O123"/>
      <c r="P123" s="12">
        <v>0.0179</v>
      </c>
      <c r="Q123" s="6">
        <f t="shared" si="21"/>
        <v>232.19568539999997</v>
      </c>
      <c r="R123" s="223"/>
      <c r="S123" s="209"/>
      <c r="T123" s="60">
        <f t="shared" si="17"/>
        <v>12971.826</v>
      </c>
      <c r="U123" s="120">
        <f>Q123+S123</f>
        <v>232.19568539999997</v>
      </c>
    </row>
    <row r="124" spans="1:21" ht="12.75" hidden="1" outlineLevel="3">
      <c r="A124" s="7" t="s">
        <v>53</v>
      </c>
      <c r="B124" t="s">
        <v>145</v>
      </c>
      <c r="C124" s="7" t="s">
        <v>146</v>
      </c>
      <c r="D124" s="7" t="s">
        <v>122</v>
      </c>
      <c r="E124" s="8">
        <v>2009</v>
      </c>
      <c r="F124" s="9">
        <v>2</v>
      </c>
      <c r="G124" s="20"/>
      <c r="H124" s="94">
        <f>8000/J124</f>
        <v>2.098085496984002</v>
      </c>
      <c r="I124" s="119"/>
      <c r="J124" s="14">
        <v>3813</v>
      </c>
      <c r="K124" s="126">
        <f>(40-13)/1000</f>
        <v>0.027</v>
      </c>
      <c r="L124" s="2">
        <f t="shared" si="23"/>
        <v>205.902</v>
      </c>
      <c r="M124" s="3">
        <v>0.1</v>
      </c>
      <c r="N124" s="2">
        <f t="shared" si="20"/>
        <v>185.3118</v>
      </c>
      <c r="O124"/>
      <c r="P124" s="12">
        <v>0.0179</v>
      </c>
      <c r="Q124" s="6">
        <f t="shared" si="21"/>
        <v>3.31708122</v>
      </c>
      <c r="R124" s="223"/>
      <c r="S124" s="209"/>
      <c r="T124" s="60">
        <f t="shared" si="17"/>
        <v>185.3118</v>
      </c>
      <c r="U124" s="120">
        <f>Q124+S124</f>
        <v>3.31708122</v>
      </c>
    </row>
    <row r="125" spans="1:21" ht="12.75" hidden="1" outlineLevel="3">
      <c r="A125" s="7" t="s">
        <v>53</v>
      </c>
      <c r="B125" t="s">
        <v>145</v>
      </c>
      <c r="C125" s="7" t="s">
        <v>128</v>
      </c>
      <c r="D125" s="7" t="s">
        <v>122</v>
      </c>
      <c r="E125" s="8">
        <v>2009</v>
      </c>
      <c r="F125" s="9">
        <v>28</v>
      </c>
      <c r="G125" s="20"/>
      <c r="H125" s="94">
        <f>20000/J125</f>
        <v>5.832604257801108</v>
      </c>
      <c r="I125" s="91"/>
      <c r="J125" s="14">
        <v>3429</v>
      </c>
      <c r="K125" s="126">
        <f>(51-28)/1000</f>
        <v>0.023</v>
      </c>
      <c r="L125" s="2">
        <f t="shared" si="23"/>
        <v>2208.2760000000003</v>
      </c>
      <c r="M125" s="3">
        <v>0.1</v>
      </c>
      <c r="N125" s="2">
        <f t="shared" si="20"/>
        <v>1987.4484000000002</v>
      </c>
      <c r="O125"/>
      <c r="P125" s="12">
        <v>0.0179</v>
      </c>
      <c r="Q125" s="6">
        <f t="shared" si="21"/>
        <v>35.575326360000005</v>
      </c>
      <c r="R125" s="223"/>
      <c r="S125" s="209"/>
      <c r="T125" s="60">
        <f t="shared" si="17"/>
        <v>1987.4484000000002</v>
      </c>
      <c r="U125" s="120">
        <f>Q125+S125</f>
        <v>35.575326360000005</v>
      </c>
    </row>
    <row r="126" spans="1:21" ht="12.75" hidden="1" outlineLevel="3">
      <c r="A126" s="7" t="s">
        <v>53</v>
      </c>
      <c r="B126" t="s">
        <v>145</v>
      </c>
      <c r="C126" s="7" t="s">
        <v>129</v>
      </c>
      <c r="D126" s="7" t="s">
        <v>122</v>
      </c>
      <c r="E126" s="8">
        <v>2009</v>
      </c>
      <c r="F126" s="9">
        <v>20</v>
      </c>
      <c r="G126" s="20"/>
      <c r="H126" s="94">
        <f>20000/J126</f>
        <v>5.832604257801108</v>
      </c>
      <c r="I126" s="91"/>
      <c r="J126" s="14">
        <v>3429</v>
      </c>
      <c r="K126" s="126">
        <f>(81-55)/1000</f>
        <v>0.026</v>
      </c>
      <c r="L126" s="2">
        <f t="shared" si="23"/>
        <v>1783.08</v>
      </c>
      <c r="M126" s="3">
        <v>0.1</v>
      </c>
      <c r="N126" s="2">
        <f t="shared" si="20"/>
        <v>1604.772</v>
      </c>
      <c r="O126"/>
      <c r="P126" s="12">
        <v>0.0179</v>
      </c>
      <c r="Q126" s="6">
        <f t="shared" si="21"/>
        <v>28.725418799999996</v>
      </c>
      <c r="R126" s="223"/>
      <c r="S126" s="209"/>
      <c r="T126" s="60">
        <f t="shared" si="17"/>
        <v>1604.772</v>
      </c>
      <c r="U126" s="120">
        <f>Q126+S126</f>
        <v>28.725418799999996</v>
      </c>
    </row>
    <row r="127" spans="1:21" ht="12.75" outlineLevel="2" collapsed="1">
      <c r="A127" s="7"/>
      <c r="B127" s="1" t="s">
        <v>242</v>
      </c>
      <c r="C127" s="7"/>
      <c r="D127" s="7"/>
      <c r="E127" s="8"/>
      <c r="F127" s="9"/>
      <c r="G127" s="20"/>
      <c r="H127" s="94"/>
      <c r="I127" s="91"/>
      <c r="J127" s="14"/>
      <c r="K127" s="126"/>
      <c r="L127" s="2"/>
      <c r="M127" s="3"/>
      <c r="N127" s="2"/>
      <c r="O127"/>
      <c r="P127" s="12"/>
      <c r="Q127" s="6"/>
      <c r="R127" s="223"/>
      <c r="S127" s="209"/>
      <c r="T127" s="60">
        <f>SUBTOTAL(9,T122:T126)</f>
        <v>17553.5262</v>
      </c>
      <c r="U127" s="120"/>
    </row>
    <row r="128" spans="1:21" ht="12.75" hidden="1" outlineLevel="3">
      <c r="A128" s="7" t="s">
        <v>53</v>
      </c>
      <c r="B128" t="s">
        <v>149</v>
      </c>
      <c r="C128" s="7" t="s">
        <v>58</v>
      </c>
      <c r="D128" s="7" t="s">
        <v>122</v>
      </c>
      <c r="E128" s="8">
        <v>2009</v>
      </c>
      <c r="F128" s="9">
        <v>34</v>
      </c>
      <c r="G128" s="20"/>
      <c r="H128" s="94">
        <v>10</v>
      </c>
      <c r="I128" s="14"/>
      <c r="J128" s="14">
        <v>8760</v>
      </c>
      <c r="K128" s="119">
        <f>(22-5)/1000</f>
        <v>0.017</v>
      </c>
      <c r="L128" s="2">
        <f t="shared" si="23"/>
        <v>5063.280000000001</v>
      </c>
      <c r="M128" s="3">
        <v>0.1</v>
      </c>
      <c r="N128" s="2">
        <f t="shared" si="20"/>
        <v>4556.952000000001</v>
      </c>
      <c r="O128"/>
      <c r="P128" s="12">
        <v>0.0179</v>
      </c>
      <c r="Q128" s="6">
        <f t="shared" si="21"/>
        <v>81.56944080000002</v>
      </c>
      <c r="R128" s="223"/>
      <c r="S128" s="209"/>
      <c r="T128" s="60">
        <f t="shared" si="17"/>
        <v>4556.952000000001</v>
      </c>
      <c r="U128" s="120">
        <f>Q128+S128</f>
        <v>81.56944080000002</v>
      </c>
    </row>
    <row r="129" spans="1:21" ht="12.75" hidden="1" outlineLevel="3">
      <c r="A129" s="7" t="s">
        <v>53</v>
      </c>
      <c r="B129" t="s">
        <v>149</v>
      </c>
      <c r="C129" s="7" t="s">
        <v>128</v>
      </c>
      <c r="D129" s="7" t="s">
        <v>122</v>
      </c>
      <c r="E129" s="8">
        <v>2009</v>
      </c>
      <c r="F129" s="9">
        <v>203</v>
      </c>
      <c r="G129" s="20"/>
      <c r="H129" s="94">
        <f>20000/J129</f>
        <v>7.710100231303007</v>
      </c>
      <c r="I129" s="91"/>
      <c r="J129" s="14">
        <v>2594</v>
      </c>
      <c r="K129" s="126">
        <f>(51-28)/1000</f>
        <v>0.023</v>
      </c>
      <c r="L129" s="2">
        <f t="shared" si="23"/>
        <v>12111.386</v>
      </c>
      <c r="M129" s="3">
        <v>0.1</v>
      </c>
      <c r="N129" s="2">
        <f t="shared" si="20"/>
        <v>10900.2474</v>
      </c>
      <c r="O129"/>
      <c r="P129" s="12">
        <v>0.0179</v>
      </c>
      <c r="Q129" s="6">
        <f t="shared" si="21"/>
        <v>195.11442846</v>
      </c>
      <c r="R129" s="223"/>
      <c r="S129" s="209"/>
      <c r="T129" s="60">
        <f t="shared" si="17"/>
        <v>10900.2474</v>
      </c>
      <c r="U129" s="120">
        <f>Q129+S129</f>
        <v>195.11442846</v>
      </c>
    </row>
    <row r="130" spans="1:21" ht="12.75" hidden="1" outlineLevel="3">
      <c r="A130" s="7" t="s">
        <v>53</v>
      </c>
      <c r="B130" t="s">
        <v>149</v>
      </c>
      <c r="C130" s="7" t="s">
        <v>129</v>
      </c>
      <c r="D130" s="7" t="s">
        <v>122</v>
      </c>
      <c r="E130" s="8">
        <v>2009</v>
      </c>
      <c r="F130" s="9">
        <v>35</v>
      </c>
      <c r="G130" s="20"/>
      <c r="H130" s="94">
        <f>20000/J130</f>
        <v>7.710100231303007</v>
      </c>
      <c r="I130" s="91"/>
      <c r="J130" s="14">
        <v>2594</v>
      </c>
      <c r="K130" s="126">
        <f>(81-55)/1000</f>
        <v>0.026</v>
      </c>
      <c r="L130" s="2">
        <f t="shared" si="23"/>
        <v>2360.54</v>
      </c>
      <c r="M130" s="3">
        <v>0.1</v>
      </c>
      <c r="N130" s="2">
        <f t="shared" si="20"/>
        <v>2124.486</v>
      </c>
      <c r="O130"/>
      <c r="P130" s="12">
        <v>0.0179</v>
      </c>
      <c r="Q130" s="6">
        <f t="shared" si="21"/>
        <v>38.028299399999995</v>
      </c>
      <c r="R130" s="223"/>
      <c r="S130" s="209"/>
      <c r="T130" s="60">
        <f t="shared" si="17"/>
        <v>2124.486</v>
      </c>
      <c r="U130" s="120">
        <f>Q130+S130</f>
        <v>38.028299399999995</v>
      </c>
    </row>
    <row r="131" spans="1:21" ht="12.75" outlineLevel="2" collapsed="1">
      <c r="A131" s="7"/>
      <c r="B131" s="1" t="s">
        <v>243</v>
      </c>
      <c r="C131" s="7"/>
      <c r="D131" s="7"/>
      <c r="E131" s="8"/>
      <c r="F131" s="9"/>
      <c r="G131" s="20"/>
      <c r="H131" s="94"/>
      <c r="I131" s="91"/>
      <c r="J131" s="14"/>
      <c r="K131" s="126"/>
      <c r="L131" s="2"/>
      <c r="M131" s="3"/>
      <c r="N131" s="2"/>
      <c r="O131"/>
      <c r="P131" s="12"/>
      <c r="Q131" s="6"/>
      <c r="R131" s="223"/>
      <c r="S131" s="209"/>
      <c r="T131" s="60">
        <f>SUBTOTAL(9,T128:T130)</f>
        <v>17581.685400000002</v>
      </c>
      <c r="U131" s="120"/>
    </row>
    <row r="132" spans="1:21" s="186" customFormat="1" ht="12.75" outlineLevel="1">
      <c r="A132" s="191" t="s">
        <v>102</v>
      </c>
      <c r="B132" s="239"/>
      <c r="C132" s="233"/>
      <c r="D132" s="233"/>
      <c r="E132" s="247"/>
      <c r="F132" s="234"/>
      <c r="G132" s="188"/>
      <c r="H132" s="198"/>
      <c r="I132" s="190"/>
      <c r="J132" s="235"/>
      <c r="K132" s="199"/>
      <c r="L132" s="237"/>
      <c r="M132" s="248"/>
      <c r="N132" s="237"/>
      <c r="O132" s="239"/>
      <c r="P132" s="240"/>
      <c r="Q132" s="241"/>
      <c r="R132" s="242"/>
      <c r="S132" s="243"/>
      <c r="T132" s="263">
        <f>SUBTOTAL(9,T31:T130)</f>
        <v>2105654.4277</v>
      </c>
      <c r="U132" s="244"/>
    </row>
    <row r="133" spans="1:21" ht="12.75" hidden="1" outlineLevel="3">
      <c r="A133" s="7" t="s">
        <v>91</v>
      </c>
      <c r="B133" t="s">
        <v>72</v>
      </c>
      <c r="C133" s="7" t="s">
        <v>73</v>
      </c>
      <c r="D133" s="7" t="s">
        <v>41</v>
      </c>
      <c r="E133" s="8">
        <v>2008</v>
      </c>
      <c r="F133" s="9">
        <v>600</v>
      </c>
      <c r="G133" s="20"/>
      <c r="H133" s="94">
        <f>((10000+6000)/2)/J133</f>
        <v>2.5957170668397143</v>
      </c>
      <c r="I133" s="91"/>
      <c r="J133" s="14">
        <v>3082</v>
      </c>
      <c r="K133" s="126">
        <f>(40-15)/1000</f>
        <v>0.025</v>
      </c>
      <c r="L133" s="2">
        <f t="shared" si="23"/>
        <v>46230.00000000001</v>
      </c>
      <c r="M133" s="3">
        <v>0.1</v>
      </c>
      <c r="N133" s="2">
        <f t="shared" si="20"/>
        <v>41607.00000000001</v>
      </c>
      <c r="O133"/>
      <c r="P133" s="12">
        <v>2.8065</v>
      </c>
      <c r="Q133" s="39">
        <f>(N133/J133)*P133</f>
        <v>37.88775000000001</v>
      </c>
      <c r="R133" s="223"/>
      <c r="S133" s="210"/>
      <c r="T133" s="60">
        <f t="shared" si="17"/>
        <v>41607.00000000001</v>
      </c>
      <c r="U133" s="120">
        <f>Q133+V133</f>
        <v>37.88775000000001</v>
      </c>
    </row>
    <row r="134" spans="1:21" ht="12.75" outlineLevel="2" collapsed="1">
      <c r="A134" s="7"/>
      <c r="B134" s="1" t="s">
        <v>244</v>
      </c>
      <c r="C134" s="7"/>
      <c r="D134" s="7"/>
      <c r="E134" s="8"/>
      <c r="F134" s="9"/>
      <c r="G134" s="20"/>
      <c r="H134" s="94"/>
      <c r="I134" s="91"/>
      <c r="J134" s="14"/>
      <c r="K134" s="126"/>
      <c r="L134" s="2"/>
      <c r="M134" s="3"/>
      <c r="N134" s="2"/>
      <c r="O134"/>
      <c r="P134" s="12"/>
      <c r="Q134" s="39"/>
      <c r="R134" s="223"/>
      <c r="S134" s="210"/>
      <c r="T134" s="60">
        <f>SUBTOTAL(9,T133:T133)</f>
        <v>41607.00000000001</v>
      </c>
      <c r="U134" s="120"/>
    </row>
    <row r="135" spans="1:21" ht="12.75" hidden="1" outlineLevel="3">
      <c r="A135" s="7" t="s">
        <v>91</v>
      </c>
      <c r="B135" t="s">
        <v>86</v>
      </c>
      <c r="C135" s="7" t="s">
        <v>47</v>
      </c>
      <c r="D135" s="7" t="s">
        <v>41</v>
      </c>
      <c r="E135" s="8">
        <v>2008</v>
      </c>
      <c r="F135" s="9">
        <v>8481</v>
      </c>
      <c r="G135" s="20"/>
      <c r="H135" s="94">
        <f>((10000+6000)/2)/J135</f>
        <v>2.5957170668397143</v>
      </c>
      <c r="I135" s="91"/>
      <c r="J135" s="14">
        <v>3082</v>
      </c>
      <c r="K135" s="126">
        <f>(40-13)/1000</f>
        <v>0.027</v>
      </c>
      <c r="L135" s="2">
        <f t="shared" si="23"/>
        <v>705737.934</v>
      </c>
      <c r="M135" s="3">
        <v>0.1</v>
      </c>
      <c r="N135" s="2">
        <f t="shared" si="20"/>
        <v>635164.1406</v>
      </c>
      <c r="O135"/>
      <c r="P135" s="12">
        <v>2.8065</v>
      </c>
      <c r="Q135" s="39">
        <f aca="true" t="shared" si="24" ref="Q135:Q161">N135/J135*P135</f>
        <v>578.38681395</v>
      </c>
      <c r="R135" s="223"/>
      <c r="S135" s="210"/>
      <c r="T135" s="60">
        <f t="shared" si="17"/>
        <v>635164.1406</v>
      </c>
      <c r="U135" s="120">
        <f>Q135+V135</f>
        <v>578.38681395</v>
      </c>
    </row>
    <row r="136" spans="1:21" ht="12.75" outlineLevel="2" collapsed="1">
      <c r="A136" s="7"/>
      <c r="B136" s="1" t="s">
        <v>245</v>
      </c>
      <c r="C136" s="7"/>
      <c r="D136" s="7"/>
      <c r="E136" s="8"/>
      <c r="F136" s="9"/>
      <c r="G136" s="20"/>
      <c r="H136" s="94"/>
      <c r="I136" s="91"/>
      <c r="J136" s="14"/>
      <c r="K136" s="126"/>
      <c r="L136" s="2"/>
      <c r="M136" s="3"/>
      <c r="N136" s="2"/>
      <c r="O136"/>
      <c r="P136" s="12"/>
      <c r="Q136" s="39"/>
      <c r="R136" s="223"/>
      <c r="S136" s="210"/>
      <c r="T136" s="60">
        <f>SUBTOTAL(9,T135:T135)</f>
        <v>635164.1406</v>
      </c>
      <c r="U136" s="120"/>
    </row>
    <row r="137" spans="1:21" ht="12.75" hidden="1" outlineLevel="3">
      <c r="A137" s="7" t="s">
        <v>91</v>
      </c>
      <c r="B137" t="s">
        <v>76</v>
      </c>
      <c r="C137" s="7" t="s">
        <v>77</v>
      </c>
      <c r="D137" s="7" t="s">
        <v>41</v>
      </c>
      <c r="E137" s="8">
        <v>2008</v>
      </c>
      <c r="F137" s="9">
        <v>19</v>
      </c>
      <c r="G137" s="20"/>
      <c r="H137" s="94">
        <f>((10000+6000)/2)/J137</f>
        <v>2.5957170668397143</v>
      </c>
      <c r="I137" s="91"/>
      <c r="J137" s="14">
        <v>3082</v>
      </c>
      <c r="K137" s="126">
        <f>(150-30)/1000</f>
        <v>0.12</v>
      </c>
      <c r="L137" s="2">
        <f t="shared" si="23"/>
        <v>7026.959999999999</v>
      </c>
      <c r="M137" s="3">
        <v>0.1</v>
      </c>
      <c r="N137" s="2">
        <f t="shared" si="20"/>
        <v>6324.263999999999</v>
      </c>
      <c r="O137"/>
      <c r="P137" s="12">
        <v>2.8065</v>
      </c>
      <c r="Q137" s="39">
        <f t="shared" si="24"/>
        <v>5.758938</v>
      </c>
      <c r="R137" s="223"/>
      <c r="S137" s="210"/>
      <c r="T137" s="60">
        <f t="shared" si="17"/>
        <v>6324.263999999999</v>
      </c>
      <c r="U137" s="120">
        <f>Q137+V137</f>
        <v>5.758938</v>
      </c>
    </row>
    <row r="138" spans="1:21" ht="12.75" hidden="1" outlineLevel="3">
      <c r="A138" s="7" t="s">
        <v>91</v>
      </c>
      <c r="B138" t="s">
        <v>76</v>
      </c>
      <c r="C138" s="7" t="s">
        <v>78</v>
      </c>
      <c r="D138" s="7" t="s">
        <v>41</v>
      </c>
      <c r="E138" s="8">
        <v>2008</v>
      </c>
      <c r="F138" s="9">
        <f>15</f>
        <v>15</v>
      </c>
      <c r="G138" s="20"/>
      <c r="H138" s="94">
        <f>20000/J138</f>
        <v>6.489292667099286</v>
      </c>
      <c r="I138" s="91"/>
      <c r="J138" s="14">
        <v>3082</v>
      </c>
      <c r="K138" s="126">
        <f>(81-58)/1000</f>
        <v>0.023</v>
      </c>
      <c r="L138" s="2">
        <f t="shared" si="23"/>
        <v>1063.29</v>
      </c>
      <c r="M138" s="3">
        <v>0.1</v>
      </c>
      <c r="N138" s="2">
        <f t="shared" si="20"/>
        <v>956.961</v>
      </c>
      <c r="O138"/>
      <c r="P138" s="12">
        <v>2.8065</v>
      </c>
      <c r="Q138" s="39">
        <f t="shared" si="24"/>
        <v>0.8714182500000001</v>
      </c>
      <c r="R138" s="223"/>
      <c r="S138" s="210"/>
      <c r="T138" s="60">
        <f t="shared" si="17"/>
        <v>956.961</v>
      </c>
      <c r="U138" s="120">
        <f>Q138+V138</f>
        <v>0.8714182500000001</v>
      </c>
    </row>
    <row r="139" spans="1:21" ht="12.75" hidden="1" outlineLevel="3">
      <c r="A139" s="7" t="s">
        <v>91</v>
      </c>
      <c r="B139" t="s">
        <v>76</v>
      </c>
      <c r="C139" s="7" t="s">
        <v>79</v>
      </c>
      <c r="D139" s="7" t="s">
        <v>41</v>
      </c>
      <c r="E139" s="8">
        <v>2008</v>
      </c>
      <c r="F139" s="9">
        <v>121</v>
      </c>
      <c r="G139" s="20"/>
      <c r="H139" s="94">
        <f>20000/J139</f>
        <v>6.489292667099286</v>
      </c>
      <c r="I139" s="91"/>
      <c r="J139" s="14">
        <v>3082</v>
      </c>
      <c r="K139" s="126">
        <f>(149-112)/1000</f>
        <v>0.037</v>
      </c>
      <c r="L139" s="2">
        <f t="shared" si="23"/>
        <v>13798.114</v>
      </c>
      <c r="M139" s="3">
        <v>0.1</v>
      </c>
      <c r="N139" s="2">
        <f t="shared" si="20"/>
        <v>12418.302599999999</v>
      </c>
      <c r="O139"/>
      <c r="P139" s="12">
        <v>2.8065</v>
      </c>
      <c r="Q139" s="39">
        <f t="shared" si="24"/>
        <v>11.308230450000002</v>
      </c>
      <c r="R139" s="223"/>
      <c r="S139" s="210"/>
      <c r="T139" s="60">
        <f t="shared" si="17"/>
        <v>12418.302599999999</v>
      </c>
      <c r="U139" s="120">
        <f>Q139+V139</f>
        <v>11.308230450000002</v>
      </c>
    </row>
    <row r="140" spans="1:21" ht="12.75" outlineLevel="2" collapsed="1">
      <c r="A140" s="7"/>
      <c r="B140" s="1" t="s">
        <v>246</v>
      </c>
      <c r="C140" s="7"/>
      <c r="D140" s="7"/>
      <c r="E140" s="8"/>
      <c r="F140" s="9"/>
      <c r="G140" s="20"/>
      <c r="H140" s="94"/>
      <c r="I140" s="91"/>
      <c r="J140" s="14"/>
      <c r="K140" s="126"/>
      <c r="L140" s="2"/>
      <c r="M140" s="3"/>
      <c r="N140" s="2"/>
      <c r="O140"/>
      <c r="P140" s="12"/>
      <c r="Q140" s="39"/>
      <c r="R140" s="223"/>
      <c r="S140" s="210"/>
      <c r="T140" s="60">
        <f>SUBTOTAL(9,T137:T139)</f>
        <v>19699.527599999998</v>
      </c>
      <c r="U140" s="120"/>
    </row>
    <row r="141" spans="1:21" ht="12.75" hidden="1" outlineLevel="3">
      <c r="A141" s="7" t="s">
        <v>91</v>
      </c>
      <c r="B141" t="s">
        <v>83</v>
      </c>
      <c r="C141" s="7" t="s">
        <v>58</v>
      </c>
      <c r="D141" s="7" t="s">
        <v>41</v>
      </c>
      <c r="E141" s="8">
        <v>2008</v>
      </c>
      <c r="F141" s="9">
        <v>40</v>
      </c>
      <c r="G141" s="20"/>
      <c r="H141" s="32">
        <v>10</v>
      </c>
      <c r="I141" s="91"/>
      <c r="J141" s="23">
        <v>8760</v>
      </c>
      <c r="K141" s="119">
        <f>(22-5)/1000</f>
        <v>0.017</v>
      </c>
      <c r="L141" s="2">
        <f t="shared" si="23"/>
        <v>5956.800000000001</v>
      </c>
      <c r="M141" s="3">
        <v>0.1</v>
      </c>
      <c r="N141" s="2">
        <f t="shared" si="20"/>
        <v>5361.120000000001</v>
      </c>
      <c r="O141"/>
      <c r="P141" s="12">
        <v>2.8065</v>
      </c>
      <c r="Q141" s="39">
        <f t="shared" si="24"/>
        <v>1.7175780000000005</v>
      </c>
      <c r="R141" s="223"/>
      <c r="S141" s="210"/>
      <c r="T141" s="60">
        <f t="shared" si="17"/>
        <v>5361.120000000001</v>
      </c>
      <c r="U141" s="120">
        <f>Q141+V141</f>
        <v>1.7175780000000005</v>
      </c>
    </row>
    <row r="142" spans="1:21" ht="12.75" hidden="1" outlineLevel="3">
      <c r="A142" s="7" t="s">
        <v>91</v>
      </c>
      <c r="B142" t="s">
        <v>83</v>
      </c>
      <c r="C142" s="7" t="s">
        <v>84</v>
      </c>
      <c r="D142" s="7" t="s">
        <v>41</v>
      </c>
      <c r="E142" s="8">
        <v>2008</v>
      </c>
      <c r="F142" s="9">
        <v>42</v>
      </c>
      <c r="G142" s="20"/>
      <c r="H142" s="94">
        <f>((10000+6000)/2)/J142</f>
        <v>2.5957170668397143</v>
      </c>
      <c r="I142" s="91"/>
      <c r="J142" s="14">
        <v>3082</v>
      </c>
      <c r="K142" s="126">
        <f>(40-15)/1000</f>
        <v>0.025</v>
      </c>
      <c r="L142" s="2">
        <f t="shared" si="23"/>
        <v>3236.1000000000004</v>
      </c>
      <c r="M142" s="3">
        <v>0.1</v>
      </c>
      <c r="N142" s="2">
        <f t="shared" si="20"/>
        <v>2912.4900000000002</v>
      </c>
      <c r="O142"/>
      <c r="P142" s="12">
        <v>2.8065</v>
      </c>
      <c r="Q142" s="39">
        <f t="shared" si="24"/>
        <v>2.6521425000000005</v>
      </c>
      <c r="R142" s="223"/>
      <c r="S142" s="210"/>
      <c r="T142" s="60">
        <f t="shared" si="17"/>
        <v>2912.4900000000002</v>
      </c>
      <c r="U142" s="120">
        <f>Q142+V142</f>
        <v>2.6521425000000005</v>
      </c>
    </row>
    <row r="143" spans="1:21" ht="12.75" hidden="1" outlineLevel="3">
      <c r="A143" s="7" t="s">
        <v>91</v>
      </c>
      <c r="B143" t="s">
        <v>83</v>
      </c>
      <c r="C143" s="7" t="s">
        <v>78</v>
      </c>
      <c r="D143" s="7" t="s">
        <v>41</v>
      </c>
      <c r="E143" s="8">
        <v>2008</v>
      </c>
      <c r="F143" s="9">
        <v>70</v>
      </c>
      <c r="G143" s="20"/>
      <c r="H143" s="94">
        <f>20000/J143</f>
        <v>6.489292667099286</v>
      </c>
      <c r="I143" s="91"/>
      <c r="J143" s="14">
        <v>3082</v>
      </c>
      <c r="K143" s="126">
        <f>(81-58)/1000</f>
        <v>0.023</v>
      </c>
      <c r="L143" s="2">
        <f t="shared" si="23"/>
        <v>4962.0199999999995</v>
      </c>
      <c r="M143" s="3">
        <v>0.1</v>
      </c>
      <c r="N143" s="2">
        <f t="shared" si="20"/>
        <v>4465.817999999999</v>
      </c>
      <c r="O143"/>
      <c r="P143" s="12">
        <v>2.8065</v>
      </c>
      <c r="Q143" s="39">
        <f t="shared" si="24"/>
        <v>4.0666185</v>
      </c>
      <c r="R143" s="223"/>
      <c r="S143" s="210"/>
      <c r="T143" s="60">
        <f t="shared" si="17"/>
        <v>4465.817999999999</v>
      </c>
      <c r="U143" s="120">
        <f>Q143+V143</f>
        <v>4.0666185</v>
      </c>
    </row>
    <row r="144" spans="1:21" ht="12.75" hidden="1" outlineLevel="3">
      <c r="A144" s="7" t="s">
        <v>91</v>
      </c>
      <c r="B144" t="s">
        <v>83</v>
      </c>
      <c r="C144" s="7" t="s">
        <v>79</v>
      </c>
      <c r="D144" s="7" t="s">
        <v>41</v>
      </c>
      <c r="E144" s="8">
        <v>2008</v>
      </c>
      <c r="F144" s="9">
        <f>231</f>
        <v>231</v>
      </c>
      <c r="G144" s="20"/>
      <c r="H144" s="94">
        <f>20000/J144</f>
        <v>6.489292667099286</v>
      </c>
      <c r="I144" s="91"/>
      <c r="J144" s="14">
        <v>3082</v>
      </c>
      <c r="K144" s="126">
        <f>(149-112)/1000</f>
        <v>0.037</v>
      </c>
      <c r="L144" s="2">
        <f t="shared" si="23"/>
        <v>26341.854</v>
      </c>
      <c r="M144" s="3">
        <v>0.1</v>
      </c>
      <c r="N144" s="2">
        <f t="shared" si="20"/>
        <v>23707.6686</v>
      </c>
      <c r="O144"/>
      <c r="P144" s="12">
        <v>2.8065</v>
      </c>
      <c r="Q144" s="39">
        <f t="shared" si="24"/>
        <v>21.58843995</v>
      </c>
      <c r="R144" s="223"/>
      <c r="S144" s="210"/>
      <c r="T144" s="60">
        <f t="shared" si="17"/>
        <v>23707.6686</v>
      </c>
      <c r="U144" s="120">
        <f>Q144+V144</f>
        <v>21.58843995</v>
      </c>
    </row>
    <row r="145" spans="1:21" ht="12.75" outlineLevel="2" collapsed="1">
      <c r="A145" s="7"/>
      <c r="B145" s="1" t="s">
        <v>247</v>
      </c>
      <c r="C145" s="7"/>
      <c r="D145" s="7"/>
      <c r="E145" s="8"/>
      <c r="F145" s="9"/>
      <c r="G145" s="20"/>
      <c r="H145" s="94"/>
      <c r="I145" s="91"/>
      <c r="J145" s="14"/>
      <c r="K145" s="126"/>
      <c r="L145" s="2"/>
      <c r="M145" s="3"/>
      <c r="N145" s="2"/>
      <c r="O145"/>
      <c r="P145" s="12"/>
      <c r="Q145" s="39"/>
      <c r="R145" s="223"/>
      <c r="S145" s="210"/>
      <c r="T145" s="60">
        <f>SUBTOTAL(9,T141:T144)</f>
        <v>36447.096600000004</v>
      </c>
      <c r="U145" s="120"/>
    </row>
    <row r="146" spans="1:21" ht="12.75" hidden="1" outlineLevel="3">
      <c r="A146" s="7" t="s">
        <v>91</v>
      </c>
      <c r="B146" t="s">
        <v>141</v>
      </c>
      <c r="C146" s="31" t="s">
        <v>131</v>
      </c>
      <c r="D146" s="7" t="s">
        <v>122</v>
      </c>
      <c r="E146" s="8">
        <v>2009</v>
      </c>
      <c r="F146" s="9">
        <f>2+8+5+20+2+6+1+2+8+1+3+2</f>
        <v>60</v>
      </c>
      <c r="G146" s="20"/>
      <c r="H146" s="94">
        <f>20000/J146</f>
        <v>5.4945054945054945</v>
      </c>
      <c r="I146" s="91"/>
      <c r="J146" s="14">
        <f>14*5*52</f>
        <v>3640</v>
      </c>
      <c r="K146" s="126">
        <f>0.186/2</f>
        <v>0.093</v>
      </c>
      <c r="L146" s="2">
        <f t="shared" si="23"/>
        <v>20311.199999999997</v>
      </c>
      <c r="M146" s="3">
        <v>0.1</v>
      </c>
      <c r="N146" s="2">
        <f t="shared" si="20"/>
        <v>18280.079999999998</v>
      </c>
      <c r="O146"/>
      <c r="P146" s="12">
        <v>2.8065</v>
      </c>
      <c r="Q146" s="39">
        <f t="shared" si="24"/>
        <v>14.094242999999999</v>
      </c>
      <c r="R146" s="223"/>
      <c r="S146" s="210"/>
      <c r="T146" s="60">
        <f t="shared" si="17"/>
        <v>18280.079999999998</v>
      </c>
      <c r="U146" s="120">
        <f aca="true" t="shared" si="25" ref="U146:U153">Q146+V146</f>
        <v>14.094242999999999</v>
      </c>
    </row>
    <row r="147" spans="1:21" ht="12.75" hidden="1" outlineLevel="3">
      <c r="A147" s="7" t="s">
        <v>91</v>
      </c>
      <c r="B147" t="s">
        <v>141</v>
      </c>
      <c r="C147" s="31" t="s">
        <v>132</v>
      </c>
      <c r="D147" s="7" t="s">
        <v>122</v>
      </c>
      <c r="E147" s="8">
        <v>2009</v>
      </c>
      <c r="F147" s="9">
        <f>2+1+2+68</f>
        <v>73</v>
      </c>
      <c r="G147" s="20"/>
      <c r="H147" s="94"/>
      <c r="I147" s="119"/>
      <c r="J147" s="14">
        <f>14*5*52</f>
        <v>3640</v>
      </c>
      <c r="K147" s="119">
        <f>K118</f>
        <v>0.033</v>
      </c>
      <c r="L147" s="2">
        <f t="shared" si="23"/>
        <v>8768.76</v>
      </c>
      <c r="M147" s="3">
        <v>0.1</v>
      </c>
      <c r="N147" s="2">
        <f t="shared" si="20"/>
        <v>7891.884</v>
      </c>
      <c r="O147"/>
      <c r="P147" s="12">
        <v>2.8065</v>
      </c>
      <c r="Q147" s="39">
        <f t="shared" si="24"/>
        <v>6.084772650000001</v>
      </c>
      <c r="R147" s="223"/>
      <c r="S147" s="210"/>
      <c r="T147" s="60">
        <f t="shared" si="17"/>
        <v>7891.884</v>
      </c>
      <c r="U147" s="120">
        <f t="shared" si="25"/>
        <v>6.084772650000001</v>
      </c>
    </row>
    <row r="148" spans="1:21" ht="12.75" hidden="1" outlineLevel="3">
      <c r="A148" s="7" t="s">
        <v>91</v>
      </c>
      <c r="B148" t="s">
        <v>141</v>
      </c>
      <c r="C148" s="31" t="s">
        <v>136</v>
      </c>
      <c r="D148" s="7" t="s">
        <v>122</v>
      </c>
      <c r="E148" s="8">
        <v>2009</v>
      </c>
      <c r="F148" s="9">
        <f>4</f>
        <v>4</v>
      </c>
      <c r="G148" s="20"/>
      <c r="H148" s="94"/>
      <c r="I148" s="119"/>
      <c r="J148" s="14">
        <f>14*5*52</f>
        <v>3640</v>
      </c>
      <c r="K148" s="119">
        <f>0.144/4</f>
        <v>0.036</v>
      </c>
      <c r="L148" s="2">
        <f t="shared" si="23"/>
        <v>524.16</v>
      </c>
      <c r="M148" s="3">
        <v>0.1</v>
      </c>
      <c r="N148" s="2">
        <f t="shared" si="20"/>
        <v>471.74399999999997</v>
      </c>
      <c r="O148"/>
      <c r="P148" s="12">
        <v>2.8065</v>
      </c>
      <c r="Q148" s="39">
        <f t="shared" si="24"/>
        <v>0.3637224</v>
      </c>
      <c r="R148" s="223"/>
      <c r="S148" s="210"/>
      <c r="T148" s="60">
        <f t="shared" si="17"/>
        <v>471.74399999999997</v>
      </c>
      <c r="U148" s="120">
        <f t="shared" si="25"/>
        <v>0.3637224</v>
      </c>
    </row>
    <row r="149" spans="1:21" ht="12.75" hidden="1" outlineLevel="3">
      <c r="A149" s="7" t="s">
        <v>91</v>
      </c>
      <c r="B149" t="s">
        <v>141</v>
      </c>
      <c r="C149" s="31" t="s">
        <v>133</v>
      </c>
      <c r="D149" s="7" t="s">
        <v>122</v>
      </c>
      <c r="E149" s="8">
        <v>2009</v>
      </c>
      <c r="F149" s="9">
        <f>1+2+2+2+3+3+4+2+2+1</f>
        <v>22</v>
      </c>
      <c r="G149" s="20"/>
      <c r="H149" s="94"/>
      <c r="I149" s="119"/>
      <c r="J149" s="14">
        <f>14*5*52</f>
        <v>3640</v>
      </c>
      <c r="K149" s="119">
        <f>K119</f>
        <v>0.064</v>
      </c>
      <c r="L149" s="2">
        <f t="shared" si="23"/>
        <v>5125.12</v>
      </c>
      <c r="M149" s="3">
        <v>0.1</v>
      </c>
      <c r="N149" s="2">
        <f t="shared" si="20"/>
        <v>4612.608</v>
      </c>
      <c r="O149"/>
      <c r="P149" s="12">
        <v>2.8065</v>
      </c>
      <c r="Q149" s="39">
        <f t="shared" si="24"/>
        <v>3.5563968000000004</v>
      </c>
      <c r="R149" s="223"/>
      <c r="S149" s="210"/>
      <c r="T149" s="60">
        <f t="shared" si="17"/>
        <v>4612.608</v>
      </c>
      <c r="U149" s="120">
        <f t="shared" si="25"/>
        <v>3.5563968000000004</v>
      </c>
    </row>
    <row r="150" spans="1:21" ht="12.75" hidden="1" outlineLevel="3">
      <c r="A150" s="7" t="s">
        <v>91</v>
      </c>
      <c r="B150" t="s">
        <v>141</v>
      </c>
      <c r="C150" s="31" t="s">
        <v>134</v>
      </c>
      <c r="D150" s="7" t="s">
        <v>122</v>
      </c>
      <c r="E150" s="8">
        <v>2009</v>
      </c>
      <c r="F150" s="9">
        <f>6+2+2</f>
        <v>10</v>
      </c>
      <c r="G150" s="20"/>
      <c r="H150" s="94"/>
      <c r="I150" s="119"/>
      <c r="J150" s="10">
        <v>8760</v>
      </c>
      <c r="K150" s="131">
        <f>(22-5)/1000</f>
        <v>0.017</v>
      </c>
      <c r="L150" s="2">
        <f t="shared" si="23"/>
        <v>1489.2000000000003</v>
      </c>
      <c r="M150" s="3">
        <v>0.1</v>
      </c>
      <c r="N150" s="2">
        <f t="shared" si="20"/>
        <v>1340.2800000000002</v>
      </c>
      <c r="O150"/>
      <c r="P150" s="12">
        <v>2.8065</v>
      </c>
      <c r="Q150" s="39">
        <f t="shared" si="24"/>
        <v>0.4293945000000001</v>
      </c>
      <c r="R150" s="223"/>
      <c r="S150" s="210"/>
      <c r="T150" s="60">
        <f t="shared" si="17"/>
        <v>1340.2800000000002</v>
      </c>
      <c r="U150" s="120">
        <f t="shared" si="25"/>
        <v>0.4293945000000001</v>
      </c>
    </row>
    <row r="151" spans="1:21" ht="12.75" hidden="1" outlineLevel="3">
      <c r="A151" s="7" t="s">
        <v>91</v>
      </c>
      <c r="B151" t="s">
        <v>141</v>
      </c>
      <c r="C151" s="31" t="s">
        <v>137</v>
      </c>
      <c r="D151" s="7" t="s">
        <v>122</v>
      </c>
      <c r="E151" s="8">
        <v>2009</v>
      </c>
      <c r="F151" s="9">
        <f>2</f>
        <v>2</v>
      </c>
      <c r="G151" s="20"/>
      <c r="H151" s="94"/>
      <c r="I151" s="119"/>
      <c r="J151" s="14">
        <f>14*5*52</f>
        <v>3640</v>
      </c>
      <c r="K151" s="119">
        <f>0.072/2</f>
        <v>0.036</v>
      </c>
      <c r="L151" s="2">
        <f t="shared" si="23"/>
        <v>262.08</v>
      </c>
      <c r="M151" s="3">
        <v>0.1</v>
      </c>
      <c r="N151" s="2">
        <f t="shared" si="20"/>
        <v>235.87199999999999</v>
      </c>
      <c r="O151"/>
      <c r="P151" s="12">
        <v>2.8065</v>
      </c>
      <c r="Q151" s="39">
        <f t="shared" si="24"/>
        <v>0.1818612</v>
      </c>
      <c r="R151" s="223"/>
      <c r="S151" s="210"/>
      <c r="T151" s="60">
        <f t="shared" si="17"/>
        <v>235.87199999999999</v>
      </c>
      <c r="U151" s="120">
        <f t="shared" si="25"/>
        <v>0.1818612</v>
      </c>
    </row>
    <row r="152" spans="1:21" ht="12.75" hidden="1" outlineLevel="3">
      <c r="A152" s="7" t="s">
        <v>91</v>
      </c>
      <c r="B152" t="s">
        <v>141</v>
      </c>
      <c r="C152" s="31" t="s">
        <v>135</v>
      </c>
      <c r="D152" s="7" t="s">
        <v>122</v>
      </c>
      <c r="E152" s="8">
        <v>2009</v>
      </c>
      <c r="F152" s="9">
        <f>4+15+6+12</f>
        <v>37</v>
      </c>
      <c r="G152" s="20"/>
      <c r="H152" s="94"/>
      <c r="I152" s="119"/>
      <c r="J152" s="14">
        <f>14*5*52</f>
        <v>3640</v>
      </c>
      <c r="K152" s="119">
        <f>0.062/3</f>
        <v>0.020666666666666667</v>
      </c>
      <c r="L152" s="2">
        <f t="shared" si="23"/>
        <v>2783.3866666666663</v>
      </c>
      <c r="M152" s="3">
        <v>0.1</v>
      </c>
      <c r="N152" s="2">
        <f t="shared" si="20"/>
        <v>2505.048</v>
      </c>
      <c r="O152"/>
      <c r="P152" s="12">
        <v>2.8065</v>
      </c>
      <c r="Q152" s="39">
        <f t="shared" si="24"/>
        <v>1.9314333</v>
      </c>
      <c r="R152" s="223"/>
      <c r="S152" s="210"/>
      <c r="T152" s="60">
        <f t="shared" si="17"/>
        <v>2505.048</v>
      </c>
      <c r="U152" s="120">
        <f t="shared" si="25"/>
        <v>1.9314333</v>
      </c>
    </row>
    <row r="153" spans="1:21" ht="12.75" hidden="1" outlineLevel="3">
      <c r="A153" s="7" t="s">
        <v>91</v>
      </c>
      <c r="B153" t="s">
        <v>141</v>
      </c>
      <c r="C153" s="31" t="s">
        <v>138</v>
      </c>
      <c r="D153" s="7" t="s">
        <v>122</v>
      </c>
      <c r="E153" s="8">
        <v>2009</v>
      </c>
      <c r="F153" s="9">
        <v>3</v>
      </c>
      <c r="G153" s="20"/>
      <c r="H153" s="94"/>
      <c r="I153" s="119"/>
      <c r="J153" s="14">
        <f>14*5*52</f>
        <v>3640</v>
      </c>
      <c r="K153" s="119">
        <f>0.062/3</f>
        <v>0.020666666666666667</v>
      </c>
      <c r="L153" s="2">
        <f t="shared" si="23"/>
        <v>225.67999999999998</v>
      </c>
      <c r="M153" s="3">
        <v>0.1</v>
      </c>
      <c r="N153" s="2">
        <f t="shared" si="20"/>
        <v>203.112</v>
      </c>
      <c r="O153"/>
      <c r="P153" s="12">
        <v>2.8065</v>
      </c>
      <c r="Q153" s="39">
        <f t="shared" si="24"/>
        <v>0.1566027</v>
      </c>
      <c r="R153" s="223"/>
      <c r="S153" s="210"/>
      <c r="T153" s="60">
        <f t="shared" si="17"/>
        <v>203.112</v>
      </c>
      <c r="U153" s="120">
        <f t="shared" si="25"/>
        <v>0.1566027</v>
      </c>
    </row>
    <row r="154" spans="1:21" ht="12.75" outlineLevel="2" collapsed="1">
      <c r="A154" s="7"/>
      <c r="B154" s="1" t="s">
        <v>248</v>
      </c>
      <c r="C154" s="31"/>
      <c r="D154" s="7"/>
      <c r="E154" s="8"/>
      <c r="F154" s="9"/>
      <c r="G154" s="20"/>
      <c r="H154" s="94"/>
      <c r="I154" s="119"/>
      <c r="J154" s="14"/>
      <c r="K154" s="119"/>
      <c r="L154" s="2"/>
      <c r="M154" s="3"/>
      <c r="N154" s="2"/>
      <c r="O154"/>
      <c r="P154" s="12"/>
      <c r="Q154" s="39"/>
      <c r="R154" s="223"/>
      <c r="S154" s="210"/>
      <c r="T154" s="60">
        <f>SUBTOTAL(9,T146:T153)</f>
        <v>35540.628000000004</v>
      </c>
      <c r="U154" s="120"/>
    </row>
    <row r="155" spans="1:21" ht="12.75" hidden="1" outlineLevel="3">
      <c r="A155" s="7" t="s">
        <v>91</v>
      </c>
      <c r="B155" t="s">
        <v>165</v>
      </c>
      <c r="C155" s="7" t="s">
        <v>126</v>
      </c>
      <c r="D155" s="7" t="s">
        <v>122</v>
      </c>
      <c r="E155" s="8">
        <v>2009</v>
      </c>
      <c r="F155" s="9">
        <v>16</v>
      </c>
      <c r="G155" s="20"/>
      <c r="H155" s="94">
        <f>20000/J155</f>
        <v>8.620689655172415</v>
      </c>
      <c r="I155" s="119"/>
      <c r="J155" s="14">
        <v>2320</v>
      </c>
      <c r="K155" s="119">
        <f>(149-112)/1000</f>
        <v>0.037</v>
      </c>
      <c r="L155" s="2">
        <f t="shared" si="23"/>
        <v>1373.4399999999998</v>
      </c>
      <c r="M155" s="3">
        <v>0.1</v>
      </c>
      <c r="N155" s="2">
        <f t="shared" si="20"/>
        <v>1236.0959999999998</v>
      </c>
      <c r="O155"/>
      <c r="P155" s="12">
        <v>2.8065</v>
      </c>
      <c r="Q155" s="39">
        <f t="shared" si="24"/>
        <v>1.4953032</v>
      </c>
      <c r="R155" s="223"/>
      <c r="S155" s="210"/>
      <c r="T155" s="60">
        <f t="shared" si="17"/>
        <v>1236.0959999999998</v>
      </c>
      <c r="U155" s="120">
        <f>Q155+V155</f>
        <v>1.4953032</v>
      </c>
    </row>
    <row r="156" spans="1:21" ht="12.75" outlineLevel="2" collapsed="1">
      <c r="A156" s="7"/>
      <c r="B156" s="1" t="s">
        <v>249</v>
      </c>
      <c r="C156" s="7"/>
      <c r="D156" s="7"/>
      <c r="E156" s="8"/>
      <c r="F156" s="9"/>
      <c r="G156" s="20"/>
      <c r="H156" s="94"/>
      <c r="I156" s="119"/>
      <c r="J156" s="14"/>
      <c r="K156" s="119"/>
      <c r="L156" s="2"/>
      <c r="M156" s="3"/>
      <c r="N156" s="2"/>
      <c r="O156"/>
      <c r="P156" s="12"/>
      <c r="Q156" s="39"/>
      <c r="R156" s="223"/>
      <c r="S156" s="210"/>
      <c r="T156" s="60">
        <f>SUBTOTAL(9,T155:T155)</f>
        <v>1236.0959999999998</v>
      </c>
      <c r="U156" s="120"/>
    </row>
    <row r="157" spans="1:21" ht="12.75" hidden="1" outlineLevel="3">
      <c r="A157" s="7" t="s">
        <v>91</v>
      </c>
      <c r="B157" t="s">
        <v>143</v>
      </c>
      <c r="C157" s="7" t="s">
        <v>144</v>
      </c>
      <c r="D157" s="7" t="s">
        <v>122</v>
      </c>
      <c r="E157" s="8">
        <v>2009</v>
      </c>
      <c r="F157" s="9">
        <v>108</v>
      </c>
      <c r="G157" s="20"/>
      <c r="H157" s="94">
        <f>20000/J157</f>
        <v>6.148170919151553</v>
      </c>
      <c r="I157" s="119"/>
      <c r="J157" s="14">
        <v>3253</v>
      </c>
      <c r="K157" s="119">
        <f>(149-112)/1000</f>
        <v>0.037</v>
      </c>
      <c r="L157" s="2">
        <f>IF(K157&lt;&gt;"",J157*K157*F157,I157*F157)</f>
        <v>12998.988</v>
      </c>
      <c r="M157" s="3">
        <v>0.1</v>
      </c>
      <c r="N157" s="2">
        <f t="shared" si="20"/>
        <v>11699.0892</v>
      </c>
      <c r="O157"/>
      <c r="P157" s="12">
        <v>2.8065</v>
      </c>
      <c r="Q157" s="39">
        <f t="shared" si="24"/>
        <v>10.0932966</v>
      </c>
      <c r="R157" s="223"/>
      <c r="S157" s="210"/>
      <c r="T157" s="60">
        <f t="shared" si="17"/>
        <v>11699.0892</v>
      </c>
      <c r="U157" s="120">
        <f>Q157+V157</f>
        <v>10.0932966</v>
      </c>
    </row>
    <row r="158" spans="1:21" ht="12.75" outlineLevel="2" collapsed="1">
      <c r="A158" s="7"/>
      <c r="B158" s="1" t="s">
        <v>250</v>
      </c>
      <c r="C158" s="7"/>
      <c r="D158" s="7"/>
      <c r="E158" s="8"/>
      <c r="F158" s="9"/>
      <c r="G158" s="20"/>
      <c r="H158" s="94"/>
      <c r="I158" s="119"/>
      <c r="J158" s="14"/>
      <c r="K158" s="119"/>
      <c r="L158" s="2"/>
      <c r="M158" s="3"/>
      <c r="N158" s="2"/>
      <c r="O158"/>
      <c r="P158" s="12"/>
      <c r="Q158" s="39"/>
      <c r="R158" s="223"/>
      <c r="S158" s="210"/>
      <c r="T158" s="60">
        <f>SUBTOTAL(9,T157:T157)</f>
        <v>11699.0892</v>
      </c>
      <c r="U158" s="120"/>
    </row>
    <row r="159" spans="1:21" ht="12.75" hidden="1" outlineLevel="3">
      <c r="A159" s="7" t="s">
        <v>91</v>
      </c>
      <c r="B159" t="s">
        <v>139</v>
      </c>
      <c r="C159" s="7" t="s">
        <v>127</v>
      </c>
      <c r="D159" s="7" t="s">
        <v>122</v>
      </c>
      <c r="E159" s="8">
        <v>2009</v>
      </c>
      <c r="F159" s="9">
        <v>18</v>
      </c>
      <c r="G159" s="20"/>
      <c r="H159" s="94">
        <f>((10000+6000)/2)/J159</f>
        <v>3.7209302325581395</v>
      </c>
      <c r="I159" s="91"/>
      <c r="J159" s="14">
        <v>2150</v>
      </c>
      <c r="K159" s="126">
        <f>(40-15)/1000</f>
        <v>0.025</v>
      </c>
      <c r="L159" s="2">
        <f>IF(K159&lt;&gt;"",J159*K159*F159,I159*F159)</f>
        <v>967.5</v>
      </c>
      <c r="M159" s="3">
        <v>0.1</v>
      </c>
      <c r="N159" s="2">
        <f t="shared" si="20"/>
        <v>870.75</v>
      </c>
      <c r="O159"/>
      <c r="P159" s="12">
        <v>2.8065</v>
      </c>
      <c r="Q159" s="39">
        <f t="shared" si="24"/>
        <v>1.1366325000000002</v>
      </c>
      <c r="R159" s="223"/>
      <c r="S159" s="210"/>
      <c r="T159" s="60">
        <f t="shared" si="17"/>
        <v>870.75</v>
      </c>
      <c r="U159" s="120">
        <f>Q159+V159</f>
        <v>1.1366325000000002</v>
      </c>
    </row>
    <row r="160" spans="1:21" ht="12.75" hidden="1" outlineLevel="3">
      <c r="A160" s="7" t="s">
        <v>91</v>
      </c>
      <c r="B160" t="s">
        <v>139</v>
      </c>
      <c r="C160" s="7" t="s">
        <v>125</v>
      </c>
      <c r="D160" s="7" t="s">
        <v>122</v>
      </c>
      <c r="E160" s="8">
        <v>2009</v>
      </c>
      <c r="F160" s="9">
        <v>1</v>
      </c>
      <c r="G160" s="20"/>
      <c r="H160" s="94">
        <f>20000/J160</f>
        <v>8.620689655172415</v>
      </c>
      <c r="I160" s="91"/>
      <c r="J160" s="14">
        <v>2320</v>
      </c>
      <c r="K160" s="126">
        <f>(51-28)/1000</f>
        <v>0.023</v>
      </c>
      <c r="L160" s="2">
        <f>IF(K160&lt;&gt;"",J160*K160*F160,I160*F160)</f>
        <v>53.36</v>
      </c>
      <c r="M160" s="3">
        <v>0.1</v>
      </c>
      <c r="N160" s="2">
        <f t="shared" si="20"/>
        <v>48.024</v>
      </c>
      <c r="O160"/>
      <c r="P160" s="12">
        <v>2.8065</v>
      </c>
      <c r="Q160" s="39">
        <f t="shared" si="24"/>
        <v>0.05809455</v>
      </c>
      <c r="R160" s="223"/>
      <c r="S160" s="210"/>
      <c r="T160" s="60">
        <f aca="true" t="shared" si="26" ref="T160:T175">N160+R160</f>
        <v>48.024</v>
      </c>
      <c r="U160" s="120">
        <f>Q160+V160</f>
        <v>0.05809455</v>
      </c>
    </row>
    <row r="161" spans="1:21" ht="12.75" hidden="1" outlineLevel="3">
      <c r="A161" s="7" t="s">
        <v>91</v>
      </c>
      <c r="B161" t="s">
        <v>139</v>
      </c>
      <c r="C161" s="7" t="s">
        <v>124</v>
      </c>
      <c r="D161" s="7" t="s">
        <v>122</v>
      </c>
      <c r="E161" s="8">
        <v>2009</v>
      </c>
      <c r="F161" s="9">
        <v>466</v>
      </c>
      <c r="G161" s="20"/>
      <c r="H161" s="94">
        <f>20000/J161</f>
        <v>8.620689655172415</v>
      </c>
      <c r="I161" s="91"/>
      <c r="J161" s="14">
        <v>2320</v>
      </c>
      <c r="K161" s="126">
        <f>(81-55)/1000</f>
        <v>0.026</v>
      </c>
      <c r="L161" s="2">
        <f>IF(K161&lt;&gt;"",J161*K161*F161,I161*F161)</f>
        <v>28109.12</v>
      </c>
      <c r="M161" s="3">
        <v>0.1</v>
      </c>
      <c r="N161" s="2">
        <f t="shared" si="20"/>
        <v>25298.208</v>
      </c>
      <c r="O161"/>
      <c r="P161" s="12">
        <v>2.8065</v>
      </c>
      <c r="Q161" s="39">
        <f t="shared" si="24"/>
        <v>30.6031986</v>
      </c>
      <c r="R161" s="223"/>
      <c r="S161" s="210"/>
      <c r="T161" s="60">
        <f t="shared" si="26"/>
        <v>25298.208</v>
      </c>
      <c r="U161" s="120">
        <f>Q161+V161</f>
        <v>30.6031986</v>
      </c>
    </row>
    <row r="162" spans="1:21" ht="12.75" hidden="1" outlineLevel="3">
      <c r="A162" s="7" t="s">
        <v>91</v>
      </c>
      <c r="B162" t="s">
        <v>139</v>
      </c>
      <c r="C162" s="7" t="s">
        <v>126</v>
      </c>
      <c r="D162" s="7" t="s">
        <v>122</v>
      </c>
      <c r="E162" s="8">
        <v>2009</v>
      </c>
      <c r="F162" s="9">
        <v>2</v>
      </c>
      <c r="G162" s="20"/>
      <c r="H162" s="94">
        <f>20000/J162</f>
        <v>8.620689655172415</v>
      </c>
      <c r="I162" s="91"/>
      <c r="J162" s="14">
        <v>2320</v>
      </c>
      <c r="K162" s="126">
        <f>(149-112)/1000</f>
        <v>0.037</v>
      </c>
      <c r="L162" s="2">
        <f>IF(K162&lt;&gt;"",J162*K162*F162,I162*F162)</f>
        <v>171.67999999999998</v>
      </c>
      <c r="M162" s="3">
        <v>0.1</v>
      </c>
      <c r="N162" s="2">
        <f t="shared" si="20"/>
        <v>154.51199999999997</v>
      </c>
      <c r="O162"/>
      <c r="P162" s="12">
        <v>2.8065</v>
      </c>
      <c r="Q162" s="39">
        <f>N162/J162*P162</f>
        <v>0.1869129</v>
      </c>
      <c r="R162" s="223"/>
      <c r="S162" s="210"/>
      <c r="T162" s="60">
        <f t="shared" si="26"/>
        <v>154.51199999999997</v>
      </c>
      <c r="U162" s="120">
        <f>Q162+V162</f>
        <v>0.1869129</v>
      </c>
    </row>
    <row r="163" spans="1:21" ht="12.75" outlineLevel="2" collapsed="1">
      <c r="A163" s="7"/>
      <c r="B163" s="1" t="s">
        <v>251</v>
      </c>
      <c r="C163" s="7"/>
      <c r="D163" s="7"/>
      <c r="E163" s="8"/>
      <c r="F163" s="9"/>
      <c r="G163" s="20"/>
      <c r="H163" s="94"/>
      <c r="I163" s="91"/>
      <c r="J163" s="14"/>
      <c r="K163" s="126"/>
      <c r="L163" s="2"/>
      <c r="M163" s="3"/>
      <c r="N163" s="2"/>
      <c r="O163"/>
      <c r="P163" s="12"/>
      <c r="Q163" s="39"/>
      <c r="R163" s="223"/>
      <c r="S163" s="210"/>
      <c r="T163" s="60">
        <f>SUBTOTAL(9,T159:T162)</f>
        <v>26371.494</v>
      </c>
      <c r="U163" s="120"/>
    </row>
    <row r="164" spans="1:21" s="186" customFormat="1" ht="12.75" outlineLevel="1">
      <c r="A164" s="191" t="s">
        <v>103</v>
      </c>
      <c r="B164" s="239"/>
      <c r="C164" s="233"/>
      <c r="D164" s="233"/>
      <c r="E164" s="247"/>
      <c r="F164" s="234"/>
      <c r="G164" s="188"/>
      <c r="H164" s="198"/>
      <c r="I164" s="190"/>
      <c r="J164" s="235"/>
      <c r="K164" s="199"/>
      <c r="L164" s="237"/>
      <c r="M164" s="248"/>
      <c r="N164" s="237"/>
      <c r="O164" s="239"/>
      <c r="P164" s="240"/>
      <c r="Q164" s="249"/>
      <c r="R164" s="242"/>
      <c r="S164" s="250"/>
      <c r="T164" s="263">
        <f>SUBTOTAL(9,T133:T162)</f>
        <v>807765.0719999998</v>
      </c>
      <c r="U164" s="244"/>
    </row>
    <row r="165" spans="1:21" ht="12.75" hidden="1" outlineLevel="3">
      <c r="A165" s="7" t="s">
        <v>92</v>
      </c>
      <c r="B165" t="s">
        <v>74</v>
      </c>
      <c r="C165" s="7" t="s">
        <v>75</v>
      </c>
      <c r="D165" s="7" t="s">
        <v>41</v>
      </c>
      <c r="E165" s="8">
        <v>2008</v>
      </c>
      <c r="F165" s="9">
        <f>356+12</f>
        <v>368</v>
      </c>
      <c r="G165" s="37"/>
      <c r="H165" s="32">
        <v>16</v>
      </c>
      <c r="I165" s="91">
        <f>(450-187)*4450/1000</f>
        <v>1170.35</v>
      </c>
      <c r="J165" s="10">
        <v>4000</v>
      </c>
      <c r="K165" s="38">
        <f>I165/J165</f>
        <v>0.2925875</v>
      </c>
      <c r="L165" s="2">
        <f t="shared" si="23"/>
        <v>430688.8</v>
      </c>
      <c r="M165" s="3">
        <v>0.1</v>
      </c>
      <c r="N165" s="2">
        <f t="shared" si="20"/>
        <v>387619.92</v>
      </c>
      <c r="O165"/>
      <c r="P165" s="12">
        <v>2.8065</v>
      </c>
      <c r="Q165" s="39">
        <f aca="true" t="shared" si="27" ref="Q165:Q175">N165/J165*P165</f>
        <v>271.96382637</v>
      </c>
      <c r="R165" s="223"/>
      <c r="S165" s="210"/>
      <c r="T165" s="60">
        <f t="shared" si="26"/>
        <v>387619.92</v>
      </c>
      <c r="U165" s="120">
        <f>Q165+V165</f>
        <v>271.96382637</v>
      </c>
    </row>
    <row r="166" spans="1:21" ht="12.75" outlineLevel="2" collapsed="1">
      <c r="A166" s="7"/>
      <c r="B166" s="1" t="s">
        <v>252</v>
      </c>
      <c r="C166" s="7"/>
      <c r="D166" s="7"/>
      <c r="E166" s="8"/>
      <c r="F166" s="9"/>
      <c r="G166" s="37"/>
      <c r="H166" s="32"/>
      <c r="I166" s="91"/>
      <c r="J166" s="10"/>
      <c r="K166" s="38"/>
      <c r="L166" s="2"/>
      <c r="M166" s="3"/>
      <c r="N166" s="2"/>
      <c r="O166"/>
      <c r="P166" s="12"/>
      <c r="Q166" s="39"/>
      <c r="R166" s="223"/>
      <c r="S166" s="210"/>
      <c r="T166" s="60">
        <f>SUBTOTAL(9,T165:T165)</f>
        <v>387619.92</v>
      </c>
      <c r="U166" s="120"/>
    </row>
    <row r="167" spans="1:21" ht="12.75" hidden="1" outlineLevel="3">
      <c r="A167" s="7" t="s">
        <v>92</v>
      </c>
      <c r="B167" t="s">
        <v>85</v>
      </c>
      <c r="C167" t="s">
        <v>54</v>
      </c>
      <c r="D167" t="s">
        <v>41</v>
      </c>
      <c r="E167" s="4">
        <v>2008</v>
      </c>
      <c r="F167" s="9">
        <v>260</v>
      </c>
      <c r="G167" s="15"/>
      <c r="H167" s="32">
        <v>24</v>
      </c>
      <c r="I167" s="91">
        <f>(51-28)*4000/1000</f>
        <v>92</v>
      </c>
      <c r="J167" s="10">
        <v>6500</v>
      </c>
      <c r="K167" s="38">
        <f>I167/J167</f>
        <v>0.014153846153846154</v>
      </c>
      <c r="L167" s="2">
        <f t="shared" si="23"/>
        <v>23920</v>
      </c>
      <c r="M167" s="11">
        <v>0.1</v>
      </c>
      <c r="N167" s="2">
        <f t="shared" si="20"/>
        <v>21528</v>
      </c>
      <c r="O167"/>
      <c r="P167" s="12">
        <v>2.8065</v>
      </c>
      <c r="Q167" s="39">
        <f t="shared" si="27"/>
        <v>9.295128</v>
      </c>
      <c r="R167" s="223"/>
      <c r="S167" s="210"/>
      <c r="T167" s="60">
        <f t="shared" si="26"/>
        <v>21528</v>
      </c>
      <c r="U167" s="120">
        <f>Q167+V167</f>
        <v>9.295128</v>
      </c>
    </row>
    <row r="168" spans="1:21" ht="12.75" hidden="1" outlineLevel="3">
      <c r="A168" s="7" t="s">
        <v>92</v>
      </c>
      <c r="B168" t="s">
        <v>85</v>
      </c>
      <c r="C168" t="s">
        <v>55</v>
      </c>
      <c r="D168" t="s">
        <v>41</v>
      </c>
      <c r="E168" s="4">
        <v>2008</v>
      </c>
      <c r="F168" s="9">
        <v>76</v>
      </c>
      <c r="G168" s="15"/>
      <c r="H168" s="32">
        <v>24</v>
      </c>
      <c r="I168" s="91">
        <f>(88-55)*4000/1000</f>
        <v>132</v>
      </c>
      <c r="J168" s="10">
        <v>6500</v>
      </c>
      <c r="K168" s="38">
        <f>I168/J168</f>
        <v>0.020307692307692308</v>
      </c>
      <c r="L168" s="2">
        <f t="shared" si="23"/>
        <v>10032</v>
      </c>
      <c r="M168" s="11">
        <v>0.1</v>
      </c>
      <c r="N168" s="2">
        <f t="shared" si="20"/>
        <v>9028.800000000001</v>
      </c>
      <c r="O168"/>
      <c r="P168" s="12">
        <v>2.8065</v>
      </c>
      <c r="Q168" s="39">
        <f t="shared" si="27"/>
        <v>3.8983580307692316</v>
      </c>
      <c r="R168" s="223"/>
      <c r="S168" s="210"/>
      <c r="T168" s="60">
        <f t="shared" si="26"/>
        <v>9028.800000000001</v>
      </c>
      <c r="U168" s="120">
        <f>Q168+V168</f>
        <v>3.8983580307692316</v>
      </c>
    </row>
    <row r="169" spans="1:21" ht="12.75" hidden="1" outlineLevel="3">
      <c r="A169" s="7" t="s">
        <v>92</v>
      </c>
      <c r="B169" t="s">
        <v>85</v>
      </c>
      <c r="C169" t="s">
        <v>56</v>
      </c>
      <c r="D169" t="s">
        <v>41</v>
      </c>
      <c r="E169" s="4">
        <v>2008</v>
      </c>
      <c r="F169" s="9">
        <v>11</v>
      </c>
      <c r="G169" s="15"/>
      <c r="H169" s="24">
        <v>8</v>
      </c>
      <c r="I169" s="91">
        <v>459</v>
      </c>
      <c r="J169" s="10">
        <f>5100*0.3</f>
        <v>1530</v>
      </c>
      <c r="K169" s="38">
        <f>I169/J169</f>
        <v>0.3</v>
      </c>
      <c r="L169" s="2">
        <f t="shared" si="23"/>
        <v>5049</v>
      </c>
      <c r="M169" s="11">
        <v>0.1</v>
      </c>
      <c r="N169" s="2">
        <f t="shared" si="20"/>
        <v>4544.1</v>
      </c>
      <c r="O169"/>
      <c r="P169" s="12">
        <v>2.8065</v>
      </c>
      <c r="Q169" s="39">
        <f t="shared" si="27"/>
        <v>8.335305000000002</v>
      </c>
      <c r="R169" s="223"/>
      <c r="S169" s="210"/>
      <c r="T169" s="60">
        <f t="shared" si="26"/>
        <v>4544.1</v>
      </c>
      <c r="U169" s="120">
        <f>Q169+V169</f>
        <v>8.335305000000002</v>
      </c>
    </row>
    <row r="170" spans="1:21" ht="12.75" hidden="1" outlineLevel="3">
      <c r="A170" s="7" t="s">
        <v>92</v>
      </c>
      <c r="B170" t="s">
        <v>85</v>
      </c>
      <c r="C170" t="s">
        <v>57</v>
      </c>
      <c r="D170" t="s">
        <v>41</v>
      </c>
      <c r="E170" s="4">
        <v>2008</v>
      </c>
      <c r="F170" s="9">
        <v>3</v>
      </c>
      <c r="G170" s="15"/>
      <c r="H170" s="24">
        <v>8</v>
      </c>
      <c r="I170" s="91">
        <v>459</v>
      </c>
      <c r="J170" s="10">
        <f>5100*0.3</f>
        <v>1530</v>
      </c>
      <c r="K170" s="38">
        <f>I170/J170</f>
        <v>0.3</v>
      </c>
      <c r="L170" s="2">
        <f t="shared" si="23"/>
        <v>1377</v>
      </c>
      <c r="M170" s="11">
        <v>0.1</v>
      </c>
      <c r="N170" s="2">
        <f t="shared" si="20"/>
        <v>1239.3</v>
      </c>
      <c r="O170"/>
      <c r="P170" s="12">
        <v>2.8065</v>
      </c>
      <c r="Q170" s="39">
        <f t="shared" si="27"/>
        <v>2.273265</v>
      </c>
      <c r="R170" s="223"/>
      <c r="S170" s="210"/>
      <c r="T170" s="60">
        <f t="shared" si="26"/>
        <v>1239.3</v>
      </c>
      <c r="U170" s="120">
        <f>Q170+V170</f>
        <v>2.273265</v>
      </c>
    </row>
    <row r="171" spans="1:21" ht="12.75" hidden="1" outlineLevel="3">
      <c r="A171" s="7" t="s">
        <v>92</v>
      </c>
      <c r="B171" t="s">
        <v>85</v>
      </c>
      <c r="C171" t="s">
        <v>58</v>
      </c>
      <c r="D171" t="s">
        <v>41</v>
      </c>
      <c r="E171" s="4">
        <v>2008</v>
      </c>
      <c r="F171" s="9">
        <v>37</v>
      </c>
      <c r="G171" s="15"/>
      <c r="H171" s="32">
        <v>10</v>
      </c>
      <c r="I171" s="91"/>
      <c r="J171" s="10">
        <v>8760</v>
      </c>
      <c r="K171" s="38">
        <f>(22-5)/1000</f>
        <v>0.017</v>
      </c>
      <c r="L171" s="2">
        <f t="shared" si="23"/>
        <v>5510.040000000001</v>
      </c>
      <c r="M171" s="11">
        <v>0.1</v>
      </c>
      <c r="N171" s="2">
        <f t="shared" si="20"/>
        <v>4959.036000000001</v>
      </c>
      <c r="O171"/>
      <c r="P171" s="12">
        <v>2.8065</v>
      </c>
      <c r="Q171" s="39">
        <f t="shared" si="27"/>
        <v>1.5887596500000005</v>
      </c>
      <c r="R171" s="223"/>
      <c r="S171" s="210"/>
      <c r="T171" s="60">
        <f t="shared" si="26"/>
        <v>4959.036000000001</v>
      </c>
      <c r="U171" s="120">
        <f>Q171+V171</f>
        <v>1.5887596500000005</v>
      </c>
    </row>
    <row r="172" spans="1:21" ht="12.75" outlineLevel="2" collapsed="1">
      <c r="A172" s="7"/>
      <c r="B172" s="1" t="s">
        <v>253</v>
      </c>
      <c r="C172"/>
      <c r="D172"/>
      <c r="E172" s="4"/>
      <c r="F172" s="9"/>
      <c r="G172" s="15"/>
      <c r="H172" s="32"/>
      <c r="I172" s="91"/>
      <c r="J172" s="10"/>
      <c r="K172" s="38"/>
      <c r="L172" s="2"/>
      <c r="M172" s="11"/>
      <c r="N172" s="2"/>
      <c r="O172"/>
      <c r="P172" s="12"/>
      <c r="Q172" s="39"/>
      <c r="R172" s="223"/>
      <c r="S172" s="210"/>
      <c r="T172" s="60">
        <f>SUBTOTAL(9,T167:T171)</f>
        <v>41299.236000000004</v>
      </c>
      <c r="U172" s="120"/>
    </row>
    <row r="173" spans="1:21" ht="12.75" hidden="1" outlineLevel="3">
      <c r="A173" s="7" t="s">
        <v>92</v>
      </c>
      <c r="B173" t="s">
        <v>147</v>
      </c>
      <c r="C173" s="7" t="s">
        <v>148</v>
      </c>
      <c r="D173" s="7" t="s">
        <v>122</v>
      </c>
      <c r="E173" s="8">
        <v>2009</v>
      </c>
      <c r="F173" s="9">
        <v>41</v>
      </c>
      <c r="G173" s="20"/>
      <c r="H173" s="94">
        <f>20000/J173</f>
        <v>6.389776357827476</v>
      </c>
      <c r="I173" s="91"/>
      <c r="J173" s="14">
        <v>3130</v>
      </c>
      <c r="K173" s="119">
        <f>(507-351)/1000</f>
        <v>0.156</v>
      </c>
      <c r="L173" s="2">
        <f t="shared" si="23"/>
        <v>20019.48</v>
      </c>
      <c r="M173" s="3">
        <v>0.1</v>
      </c>
      <c r="N173" s="2">
        <f>+L173*(1-M173)</f>
        <v>18017.532</v>
      </c>
      <c r="O173"/>
      <c r="P173" s="12">
        <v>2.8065</v>
      </c>
      <c r="Q173" s="39">
        <f t="shared" si="27"/>
        <v>16.155336600000002</v>
      </c>
      <c r="R173" s="223"/>
      <c r="S173" s="210"/>
      <c r="T173" s="60">
        <f t="shared" si="26"/>
        <v>18017.532</v>
      </c>
      <c r="U173" s="120">
        <f>Q173+V173</f>
        <v>16.155336600000002</v>
      </c>
    </row>
    <row r="174" spans="1:21" ht="12.75" outlineLevel="2" collapsed="1">
      <c r="A174" s="7"/>
      <c r="B174" s="1" t="s">
        <v>254</v>
      </c>
      <c r="C174" s="7"/>
      <c r="D174" s="7"/>
      <c r="E174" s="8"/>
      <c r="F174" s="9"/>
      <c r="G174" s="20"/>
      <c r="H174" s="94"/>
      <c r="I174" s="91"/>
      <c r="J174" s="14"/>
      <c r="K174" s="119"/>
      <c r="L174" s="2"/>
      <c r="M174" s="3"/>
      <c r="N174" s="2"/>
      <c r="O174"/>
      <c r="P174" s="12"/>
      <c r="Q174" s="39"/>
      <c r="R174" s="223"/>
      <c r="S174" s="210"/>
      <c r="T174" s="60">
        <f>SUBTOTAL(9,T173:T173)</f>
        <v>18017.532</v>
      </c>
      <c r="U174" s="120"/>
    </row>
    <row r="175" spans="1:21" ht="12.75" hidden="1" outlineLevel="3">
      <c r="A175" s="7" t="s">
        <v>92</v>
      </c>
      <c r="B175" t="s">
        <v>165</v>
      </c>
      <c r="C175" s="7" t="s">
        <v>126</v>
      </c>
      <c r="D175" s="7" t="s">
        <v>122</v>
      </c>
      <c r="E175" s="8">
        <v>2009</v>
      </c>
      <c r="F175" s="9">
        <v>32</v>
      </c>
      <c r="G175" s="20"/>
      <c r="H175" s="94"/>
      <c r="I175" s="119"/>
      <c r="J175" s="14">
        <v>3130</v>
      </c>
      <c r="K175" s="119">
        <f>(149-112)/1000</f>
        <v>0.037</v>
      </c>
      <c r="L175" s="2">
        <f t="shared" si="23"/>
        <v>3705.9199999999996</v>
      </c>
      <c r="M175" s="3">
        <v>0.1</v>
      </c>
      <c r="N175" s="2">
        <f>+L175*(1-M175)</f>
        <v>3335.3279999999995</v>
      </c>
      <c r="O175"/>
      <c r="P175" s="12">
        <v>2.8065</v>
      </c>
      <c r="Q175" s="39">
        <f t="shared" si="27"/>
        <v>2.9906064</v>
      </c>
      <c r="R175" s="223"/>
      <c r="S175" s="210"/>
      <c r="T175" s="60">
        <f t="shared" si="26"/>
        <v>3335.3279999999995</v>
      </c>
      <c r="U175" s="120">
        <f>Q175+V175</f>
        <v>2.9906064</v>
      </c>
    </row>
    <row r="176" spans="1:21" ht="12.75" outlineLevel="2" collapsed="1">
      <c r="A176" s="7"/>
      <c r="B176" s="1" t="s">
        <v>249</v>
      </c>
      <c r="C176" s="7"/>
      <c r="D176" s="7"/>
      <c r="E176" s="8"/>
      <c r="F176" s="9"/>
      <c r="G176" s="20"/>
      <c r="H176" s="94"/>
      <c r="I176" s="119"/>
      <c r="J176" s="14"/>
      <c r="K176" s="119"/>
      <c r="L176" s="2"/>
      <c r="M176" s="3"/>
      <c r="N176" s="2"/>
      <c r="O176"/>
      <c r="P176" s="12"/>
      <c r="Q176" s="39"/>
      <c r="R176" s="223"/>
      <c r="S176" s="210"/>
      <c r="T176" s="60">
        <f>SUBTOTAL(9,T175:T175)</f>
        <v>3335.3279999999995</v>
      </c>
      <c r="U176" s="120"/>
    </row>
    <row r="177" spans="1:21" s="186" customFormat="1" ht="12.75" outlineLevel="1">
      <c r="A177" s="191" t="s">
        <v>104</v>
      </c>
      <c r="B177" s="239"/>
      <c r="C177" s="233"/>
      <c r="D177" s="233"/>
      <c r="E177" s="247"/>
      <c r="F177" s="234"/>
      <c r="G177" s="188"/>
      <c r="H177" s="198"/>
      <c r="I177" s="200"/>
      <c r="J177" s="235"/>
      <c r="K177" s="200"/>
      <c r="L177" s="237"/>
      <c r="M177" s="248"/>
      <c r="N177" s="237"/>
      <c r="O177" s="239"/>
      <c r="P177" s="240"/>
      <c r="Q177" s="249"/>
      <c r="R177" s="242"/>
      <c r="S177" s="250"/>
      <c r="T177" s="263">
        <f>SUBTOTAL(9,T165:T175)</f>
        <v>450272.01599999995</v>
      </c>
      <c r="U177" s="244"/>
    </row>
    <row r="178" spans="1:21" s="208" customFormat="1" ht="13.5" thickBot="1">
      <c r="A178" s="64" t="s">
        <v>95</v>
      </c>
      <c r="B178" s="251"/>
      <c r="C178" s="252"/>
      <c r="D178" s="252"/>
      <c r="E178" s="253"/>
      <c r="F178" s="254"/>
      <c r="G178" s="201"/>
      <c r="H178" s="202"/>
      <c r="I178" s="203"/>
      <c r="J178" s="255"/>
      <c r="K178" s="203"/>
      <c r="L178" s="256"/>
      <c r="M178" s="257"/>
      <c r="N178" s="256"/>
      <c r="O178" s="251"/>
      <c r="P178" s="258"/>
      <c r="Q178" s="259"/>
      <c r="R178" s="260"/>
      <c r="S178" s="261"/>
      <c r="T178" s="71">
        <f>SUBTOTAL(9,T3:T175)</f>
        <v>6105201.054699996</v>
      </c>
      <c r="U178" s="262"/>
    </row>
    <row r="179" ht="13.5" thickTop="1"/>
    <row r="180" ht="12.75"/>
    <row r="181" ht="12.75">
      <c r="T181" s="276">
        <f>T178-'LRAM Detail'!T148</f>
        <v>0</v>
      </c>
    </row>
    <row r="194" ht="12.75"/>
    <row r="197" ht="12.75"/>
    <row r="198" ht="12.75"/>
    <row r="199" ht="12.75"/>
    <row r="200" ht="12.75"/>
    <row r="207" ht="12.75"/>
    <row r="212" ht="12.75"/>
    <row r="213" ht="12.75"/>
    <row r="214" ht="12.75"/>
    <row r="235" ht="12.75"/>
    <row r="236" ht="12.75"/>
    <row r="246" ht="12.75"/>
    <row r="247" ht="12.75"/>
    <row r="248" ht="12.75"/>
    <row r="249" ht="12.75"/>
    <row r="252" ht="12.75"/>
    <row r="253" ht="12.75"/>
    <row r="256" ht="12.75"/>
    <row r="257" ht="12.75"/>
    <row r="264" ht="12.75"/>
    <row r="265" ht="12.75"/>
    <row r="286" ht="12.75"/>
    <row r="287" ht="12.75"/>
    <row r="288" ht="12.75"/>
    <row r="290" ht="12.75"/>
    <row r="291" ht="12.75"/>
    <row r="292" ht="12.75"/>
    <row r="294" ht="12.75"/>
    <row r="296" ht="12.75"/>
    <row r="298" ht="12.75"/>
    <row r="299" ht="12.75"/>
    <row r="313" ht="12.75"/>
    <row r="314" ht="12.75"/>
    <row r="315" ht="12.75"/>
  </sheetData>
  <sheetProtection/>
  <printOptions/>
  <pageMargins left="0.27" right="0.2" top="0.44" bottom="0.5" header="0.26" footer="0.24"/>
  <pageSetup fitToHeight="1" fitToWidth="1" horizontalDpi="600" verticalDpi="600" orientation="landscape" scale="89" r:id="rId3"/>
  <headerFooter alignWithMargins="0">
    <oddFooter>&amp;L&amp;Z&amp;F  &amp;A</oddFooter>
  </headerFooter>
  <legacyDrawing r:id="rId2"/>
</worksheet>
</file>

<file path=xl/worksheets/sheet6.xml><?xml version="1.0" encoding="utf-8"?>
<worksheet xmlns="http://schemas.openxmlformats.org/spreadsheetml/2006/main" xmlns:r="http://schemas.openxmlformats.org/officeDocument/2006/relationships">
  <sheetPr>
    <tabColor rgb="FFFFFF00"/>
    <pageSetUpPr fitToPage="1"/>
  </sheetPr>
  <dimension ref="A1:AF170"/>
  <sheetViews>
    <sheetView zoomScale="80" zoomScaleNormal="80" zoomScalePageLayoutView="0" workbookViewId="0" topLeftCell="A1">
      <pane xSplit="5" ySplit="2" topLeftCell="O105" activePane="bottomRight" state="frozen"/>
      <selection pane="topLeft" activeCell="B21" sqref="B21"/>
      <selection pane="topRight" activeCell="B21" sqref="B21"/>
      <selection pane="bottomLeft" activeCell="B21" sqref="B21"/>
      <selection pane="bottomRight" activeCell="B21" sqref="B21"/>
    </sheetView>
  </sheetViews>
  <sheetFormatPr defaultColWidth="9.140625" defaultRowHeight="12.75" outlineLevelRow="1" outlineLevelCol="1"/>
  <cols>
    <col min="1" max="1" width="15.421875" style="0" customWidth="1"/>
    <col min="2" max="2" width="33.7109375" style="0" customWidth="1"/>
    <col min="3" max="3" width="31.57421875" style="0" customWidth="1"/>
    <col min="4" max="4" width="11.57421875" style="0" customWidth="1"/>
    <col min="5" max="5" width="10.28125" style="4" customWidth="1"/>
    <col min="6" max="6" width="7.421875" style="5" bestFit="1" customWidth="1"/>
    <col min="7" max="7" width="13.00390625" style="5" hidden="1" customWidth="1"/>
    <col min="8" max="8" width="9.7109375" style="4" customWidth="1"/>
    <col min="9" max="9" width="10.7109375" style="89" customWidth="1"/>
    <col min="10" max="10" width="10.7109375" style="0" customWidth="1"/>
    <col min="11" max="11" width="9.7109375" style="0" customWidth="1"/>
    <col min="12" max="12" width="14.140625" style="2" bestFit="1" customWidth="1"/>
    <col min="13" max="13" width="6.57421875" style="3" customWidth="1"/>
    <col min="14" max="14" width="13.28125" style="2" customWidth="1"/>
    <col min="15" max="15" width="1.28515625" style="0" customWidth="1"/>
    <col min="16" max="16" width="12.57421875" style="0" customWidth="1"/>
    <col min="17" max="17" width="15.140625" style="0" customWidth="1"/>
    <col min="18" max="18" width="11.57421875" style="223" customWidth="1"/>
    <col min="19" max="19" width="11.57421875" style="210" customWidth="1"/>
    <col min="20" max="21" width="12.28125" style="0" customWidth="1"/>
    <col min="22" max="22" width="12.28125" style="0" hidden="1" customWidth="1" outlineLevel="1"/>
    <col min="23" max="23" width="12.28125" style="140" hidden="1" customWidth="1" outlineLevel="1"/>
    <col min="24" max="24" width="12.7109375" style="128" hidden="1" customWidth="1" outlineLevel="1"/>
    <col min="25" max="25" width="13.00390625" style="128" hidden="1" customWidth="1" outlineLevel="1"/>
    <col min="26" max="26" width="14.00390625" style="6" hidden="1" customWidth="1" outlineLevel="1"/>
    <col min="27" max="27" width="13.421875" style="6" hidden="1" customWidth="1" outlineLevel="1"/>
    <col min="28" max="28" width="9.57421875" style="0" bestFit="1" customWidth="1" collapsed="1"/>
    <col min="35" max="38" width="8.8515625" style="0" customWidth="1"/>
  </cols>
  <sheetData>
    <row r="1" ht="12.75">
      <c r="A1" s="83" t="s">
        <v>258</v>
      </c>
    </row>
    <row r="2" spans="1:27" s="78" customFormat="1" ht="76.5">
      <c r="A2" s="78" t="s">
        <v>6</v>
      </c>
      <c r="B2" s="78" t="s">
        <v>7</v>
      </c>
      <c r="C2" s="78" t="s">
        <v>8</v>
      </c>
      <c r="D2" s="78" t="s">
        <v>9</v>
      </c>
      <c r="E2" s="79" t="s">
        <v>98</v>
      </c>
      <c r="F2" s="80" t="s">
        <v>10</v>
      </c>
      <c r="G2" s="80" t="s">
        <v>33</v>
      </c>
      <c r="H2" s="79" t="s">
        <v>106</v>
      </c>
      <c r="I2" s="90" t="s">
        <v>185</v>
      </c>
      <c r="J2" s="78" t="s">
        <v>93</v>
      </c>
      <c r="K2" s="78" t="s">
        <v>186</v>
      </c>
      <c r="L2" s="81" t="s">
        <v>13</v>
      </c>
      <c r="M2" s="82" t="s">
        <v>14</v>
      </c>
      <c r="N2" s="81" t="s">
        <v>176</v>
      </c>
      <c r="O2" s="78" t="s">
        <v>94</v>
      </c>
      <c r="P2" s="78" t="s">
        <v>153</v>
      </c>
      <c r="Q2" s="78" t="s">
        <v>123</v>
      </c>
      <c r="R2" s="212" t="s">
        <v>275</v>
      </c>
      <c r="S2" s="212" t="s">
        <v>276</v>
      </c>
      <c r="T2" s="78" t="s">
        <v>265</v>
      </c>
      <c r="U2" s="78" t="s">
        <v>259</v>
      </c>
      <c r="W2" s="141" t="s">
        <v>187</v>
      </c>
      <c r="X2" s="132" t="s">
        <v>167</v>
      </c>
      <c r="Y2" s="132" t="s">
        <v>183</v>
      </c>
      <c r="Z2" s="145" t="s">
        <v>181</v>
      </c>
      <c r="AA2" s="145" t="s">
        <v>182</v>
      </c>
    </row>
    <row r="3" spans="1:27" ht="12.75">
      <c r="A3" s="7" t="s">
        <v>15</v>
      </c>
      <c r="B3" t="s">
        <v>17</v>
      </c>
      <c r="C3" t="s">
        <v>19</v>
      </c>
      <c r="D3" t="s">
        <v>18</v>
      </c>
      <c r="E3" s="4">
        <v>2006</v>
      </c>
      <c r="F3" s="9">
        <v>140</v>
      </c>
      <c r="G3" s="15"/>
      <c r="H3" s="32">
        <v>8</v>
      </c>
      <c r="I3" s="91">
        <v>44.35</v>
      </c>
      <c r="J3" s="14"/>
      <c r="K3" s="89"/>
      <c r="L3" s="2">
        <f aca="true" t="shared" si="0" ref="L3:L18">IF(K3&lt;&gt;"",J3*K3*F3,I3*F3)</f>
        <v>6209</v>
      </c>
      <c r="M3" s="11">
        <v>0.1</v>
      </c>
      <c r="N3" s="2">
        <f aca="true" t="shared" si="1" ref="N3:N9">+L3*(1-M3)</f>
        <v>5588.1</v>
      </c>
      <c r="P3" s="12">
        <v>0.0127</v>
      </c>
      <c r="Q3" s="6">
        <f aca="true" t="shared" si="2" ref="Q3:Q18">+N3*P3</f>
        <v>70.96887</v>
      </c>
      <c r="T3" s="2">
        <f>N3+R3</f>
        <v>5588.1</v>
      </c>
      <c r="U3" s="120">
        <f aca="true" t="shared" si="3" ref="U3:U18">Q3+S3</f>
        <v>70.96887</v>
      </c>
      <c r="V3" s="120"/>
      <c r="W3" s="140">
        <v>5418</v>
      </c>
      <c r="X3" s="133">
        <v>64.47420000000001</v>
      </c>
      <c r="Y3" s="134">
        <f aca="true" t="shared" si="4" ref="Y3:Y16">Q3-X3</f>
        <v>6.494669999999985</v>
      </c>
      <c r="Z3" s="6">
        <f aca="true" t="shared" si="5" ref="Z3:Z16">(N3-W3)*P3</f>
        <v>2.1602700000000046</v>
      </c>
      <c r="AA3" s="6">
        <f aca="true" t="shared" si="6" ref="AA3:AA16">(P3-(X3/W3))*W3</f>
        <v>4.334399999999984</v>
      </c>
    </row>
    <row r="4" spans="1:32" ht="12.75">
      <c r="A4" s="17" t="s">
        <v>15</v>
      </c>
      <c r="B4" s="17" t="s">
        <v>21</v>
      </c>
      <c r="C4" s="17" t="s">
        <v>19</v>
      </c>
      <c r="D4" s="17" t="s">
        <v>16</v>
      </c>
      <c r="E4" s="24">
        <v>2006</v>
      </c>
      <c r="F4" s="25">
        <v>8247</v>
      </c>
      <c r="G4" s="26"/>
      <c r="H4" s="32">
        <v>8</v>
      </c>
      <c r="I4" s="91">
        <v>44.35</v>
      </c>
      <c r="J4" s="14"/>
      <c r="K4" s="89"/>
      <c r="L4" s="2">
        <f t="shared" si="0"/>
        <v>365754.45</v>
      </c>
      <c r="M4" s="28">
        <v>0.1</v>
      </c>
      <c r="N4" s="27">
        <f t="shared" si="1"/>
        <v>329179.005</v>
      </c>
      <c r="O4" s="17"/>
      <c r="P4" s="12">
        <v>0.0127</v>
      </c>
      <c r="Q4" s="29">
        <f t="shared" si="2"/>
        <v>4180.5733635</v>
      </c>
      <c r="T4" s="2">
        <f aca="true" t="shared" si="7" ref="T4:T67">N4+R4</f>
        <v>329179.005</v>
      </c>
      <c r="U4" s="120">
        <f t="shared" si="3"/>
        <v>4180.5733635</v>
      </c>
      <c r="V4" s="120"/>
      <c r="W4" s="140">
        <v>319158.9</v>
      </c>
      <c r="X4" s="133">
        <v>3797.9909100000004</v>
      </c>
      <c r="Y4" s="134">
        <f t="shared" si="4"/>
        <v>382.58245349999925</v>
      </c>
      <c r="Z4" s="6">
        <f t="shared" si="5"/>
        <v>127.25533349999976</v>
      </c>
      <c r="AA4" s="6">
        <f t="shared" si="6"/>
        <v>255.32711999999958</v>
      </c>
      <c r="AB4" s="17"/>
      <c r="AC4" s="27"/>
      <c r="AD4" s="27"/>
      <c r="AE4" s="27"/>
      <c r="AF4" s="30"/>
    </row>
    <row r="5" spans="1:32" ht="12.75">
      <c r="A5" s="31" t="s">
        <v>15</v>
      </c>
      <c r="B5" s="31" t="s">
        <v>21</v>
      </c>
      <c r="C5" s="31" t="s">
        <v>1</v>
      </c>
      <c r="D5" s="31" t="s">
        <v>16</v>
      </c>
      <c r="E5" s="32">
        <v>2006</v>
      </c>
      <c r="F5" s="25">
        <v>326</v>
      </c>
      <c r="G5" s="26"/>
      <c r="H5" s="32">
        <v>10</v>
      </c>
      <c r="I5" s="91">
        <v>23.65</v>
      </c>
      <c r="J5" s="14"/>
      <c r="K5" s="89"/>
      <c r="L5" s="2">
        <f t="shared" si="0"/>
        <v>7709.9</v>
      </c>
      <c r="M5" s="34">
        <v>0.1</v>
      </c>
      <c r="N5" s="27">
        <f t="shared" si="1"/>
        <v>6938.91</v>
      </c>
      <c r="O5" s="31"/>
      <c r="P5" s="12">
        <v>0.0127</v>
      </c>
      <c r="Q5" s="35">
        <f t="shared" si="2"/>
        <v>88.124157</v>
      </c>
      <c r="S5" s="225"/>
      <c r="T5" s="2">
        <f t="shared" si="7"/>
        <v>6938.91</v>
      </c>
      <c r="U5" s="120">
        <f t="shared" si="3"/>
        <v>88.124157</v>
      </c>
      <c r="V5" s="120"/>
      <c r="W5" s="142">
        <v>6953.58</v>
      </c>
      <c r="X5" s="133">
        <v>82.747602</v>
      </c>
      <c r="Y5" s="134">
        <f t="shared" si="4"/>
        <v>5.376554999999996</v>
      </c>
      <c r="Z5" s="6">
        <f t="shared" si="5"/>
        <v>-0.18630900000000092</v>
      </c>
      <c r="AA5" s="6">
        <f t="shared" si="6"/>
        <v>5.5628639999999905</v>
      </c>
      <c r="AB5" s="31"/>
      <c r="AC5" s="27"/>
      <c r="AD5" s="27"/>
      <c r="AE5" s="27"/>
      <c r="AF5" s="36"/>
    </row>
    <row r="6" spans="1:32" ht="12.75">
      <c r="A6" s="17" t="s">
        <v>15</v>
      </c>
      <c r="B6" s="17" t="s">
        <v>21</v>
      </c>
      <c r="C6" s="17" t="s">
        <v>2</v>
      </c>
      <c r="D6" s="17" t="s">
        <v>16</v>
      </c>
      <c r="E6" s="24">
        <v>2006</v>
      </c>
      <c r="F6" s="25">
        <v>101</v>
      </c>
      <c r="G6" s="26"/>
      <c r="H6" s="32">
        <v>10</v>
      </c>
      <c r="I6" s="91">
        <v>63.95</v>
      </c>
      <c r="J6" s="14"/>
      <c r="K6" s="89"/>
      <c r="L6" s="2">
        <f t="shared" si="0"/>
        <v>6458.950000000001</v>
      </c>
      <c r="M6" s="28">
        <v>0.1</v>
      </c>
      <c r="N6" s="27">
        <f t="shared" si="1"/>
        <v>5813.055000000001</v>
      </c>
      <c r="O6" s="17"/>
      <c r="P6" s="12">
        <v>0.0127</v>
      </c>
      <c r="Q6" s="29">
        <f t="shared" si="2"/>
        <v>73.82579850000002</v>
      </c>
      <c r="T6" s="2">
        <f t="shared" si="7"/>
        <v>5813.055000000001</v>
      </c>
      <c r="U6" s="120">
        <f t="shared" si="3"/>
        <v>73.82579850000002</v>
      </c>
      <c r="V6" s="120"/>
      <c r="W6" s="140">
        <v>14525.820000000002</v>
      </c>
      <c r="X6" s="133">
        <v>172.85725800000003</v>
      </c>
      <c r="Y6" s="134">
        <f t="shared" si="4"/>
        <v>-99.03145950000001</v>
      </c>
      <c r="Z6" s="6">
        <f t="shared" si="5"/>
        <v>-110.6521155</v>
      </c>
      <c r="AA6" s="6">
        <f t="shared" si="6"/>
        <v>11.62065599999998</v>
      </c>
      <c r="AB6" s="17"/>
      <c r="AC6" s="27"/>
      <c r="AD6" s="27"/>
      <c r="AE6" s="27"/>
      <c r="AF6" s="30"/>
    </row>
    <row r="7" spans="1:32" ht="12.75">
      <c r="A7" s="17" t="s">
        <v>15</v>
      </c>
      <c r="B7" s="17" t="s">
        <v>21</v>
      </c>
      <c r="C7" s="17" t="s">
        <v>107</v>
      </c>
      <c r="D7" s="17" t="s">
        <v>16</v>
      </c>
      <c r="E7" s="24">
        <v>2006</v>
      </c>
      <c r="F7" s="25">
        <v>792</v>
      </c>
      <c r="G7" s="26"/>
      <c r="H7" s="32">
        <v>11</v>
      </c>
      <c r="I7" s="91">
        <v>203</v>
      </c>
      <c r="J7" s="14"/>
      <c r="K7" s="89"/>
      <c r="L7" s="2">
        <f t="shared" si="0"/>
        <v>160776</v>
      </c>
      <c r="M7" s="28">
        <v>0.1</v>
      </c>
      <c r="N7" s="27">
        <f t="shared" si="1"/>
        <v>144698.4</v>
      </c>
      <c r="O7" s="17"/>
      <c r="P7" s="12">
        <v>0.0127</v>
      </c>
      <c r="Q7" s="29">
        <f t="shared" si="2"/>
        <v>1837.6696799999997</v>
      </c>
      <c r="T7" s="2">
        <f t="shared" si="7"/>
        <v>144698.4</v>
      </c>
      <c r="U7" s="120">
        <f t="shared" si="3"/>
        <v>1837.6696799999997</v>
      </c>
      <c r="V7" s="120"/>
      <c r="W7" s="140">
        <v>98366.40000000001</v>
      </c>
      <c r="X7" s="133">
        <v>1170.5601600000002</v>
      </c>
      <c r="Y7" s="134">
        <f t="shared" si="4"/>
        <v>667.1095199999995</v>
      </c>
      <c r="Z7" s="6">
        <f t="shared" si="5"/>
        <v>588.4163999999998</v>
      </c>
      <c r="AA7" s="6">
        <f t="shared" si="6"/>
        <v>78.69311999999987</v>
      </c>
      <c r="AB7" s="17"/>
      <c r="AC7" s="27"/>
      <c r="AD7" s="27"/>
      <c r="AE7" s="27"/>
      <c r="AF7" s="30"/>
    </row>
    <row r="8" spans="1:32" ht="12.75">
      <c r="A8" s="17" t="s">
        <v>15</v>
      </c>
      <c r="B8" s="17" t="s">
        <v>21</v>
      </c>
      <c r="C8" s="17" t="s">
        <v>22</v>
      </c>
      <c r="D8" s="17" t="s">
        <v>16</v>
      </c>
      <c r="E8" s="24">
        <v>2006</v>
      </c>
      <c r="F8" s="25">
        <v>83</v>
      </c>
      <c r="G8" s="26"/>
      <c r="H8" s="32">
        <v>11</v>
      </c>
      <c r="I8" s="91">
        <v>63.15</v>
      </c>
      <c r="J8" s="14"/>
      <c r="K8" s="89"/>
      <c r="L8" s="2">
        <f t="shared" si="0"/>
        <v>5241.45</v>
      </c>
      <c r="M8" s="28">
        <v>0.1</v>
      </c>
      <c r="N8" s="27">
        <f t="shared" si="1"/>
        <v>4717.305</v>
      </c>
      <c r="O8" s="17"/>
      <c r="P8" s="12">
        <v>0.0127</v>
      </c>
      <c r="Q8" s="29">
        <f t="shared" si="2"/>
        <v>59.9097735</v>
      </c>
      <c r="T8" s="2">
        <f t="shared" si="7"/>
        <v>4717.305</v>
      </c>
      <c r="U8" s="120">
        <f t="shared" si="3"/>
        <v>59.9097735</v>
      </c>
      <c r="V8" s="120"/>
      <c r="W8" s="140">
        <v>5609.969999999999</v>
      </c>
      <c r="X8" s="133">
        <v>66.75864299999999</v>
      </c>
      <c r="Y8" s="134">
        <f t="shared" si="4"/>
        <v>-6.848869499999992</v>
      </c>
      <c r="Z8" s="6">
        <f t="shared" si="5"/>
        <v>-11.336845499999988</v>
      </c>
      <c r="AA8" s="6">
        <f t="shared" si="6"/>
        <v>4.487975999999992</v>
      </c>
      <c r="AB8" s="17"/>
      <c r="AC8" s="27"/>
      <c r="AD8" s="27"/>
      <c r="AE8" s="27"/>
      <c r="AF8" s="30"/>
    </row>
    <row r="9" spans="1:32" ht="14.25" customHeight="1">
      <c r="A9" s="17" t="s">
        <v>15</v>
      </c>
      <c r="B9" s="17" t="s">
        <v>21</v>
      </c>
      <c r="C9" s="17" t="s">
        <v>23</v>
      </c>
      <c r="D9" s="17" t="s">
        <v>16</v>
      </c>
      <c r="E9" s="24">
        <v>2006</v>
      </c>
      <c r="F9" s="25">
        <v>5197</v>
      </c>
      <c r="G9" s="26"/>
      <c r="H9" s="32">
        <v>5</v>
      </c>
      <c r="I9" s="91">
        <v>13.5</v>
      </c>
      <c r="J9" s="14"/>
      <c r="K9" s="89"/>
      <c r="L9" s="2">
        <f t="shared" si="0"/>
        <v>70159.5</v>
      </c>
      <c r="M9" s="28">
        <v>0.05</v>
      </c>
      <c r="N9" s="27">
        <f t="shared" si="1"/>
        <v>66651.525</v>
      </c>
      <c r="O9" s="17"/>
      <c r="P9" s="12">
        <v>0.0127</v>
      </c>
      <c r="Q9" s="29">
        <f t="shared" si="2"/>
        <v>846.4743674999999</v>
      </c>
      <c r="T9" s="2">
        <f t="shared" si="7"/>
        <v>66651.525</v>
      </c>
      <c r="U9" s="120">
        <f t="shared" si="3"/>
        <v>846.4743674999999</v>
      </c>
      <c r="V9" s="120"/>
      <c r="W9" s="140">
        <v>67638.95499999999</v>
      </c>
      <c r="X9" s="133">
        <v>804.9035644999999</v>
      </c>
      <c r="Y9" s="134">
        <f t="shared" si="4"/>
        <v>41.570802999999955</v>
      </c>
      <c r="Z9" s="6">
        <f t="shared" si="5"/>
        <v>-12.54036099999991</v>
      </c>
      <c r="AA9" s="6">
        <f t="shared" si="6"/>
        <v>54.111163999999896</v>
      </c>
      <c r="AB9" s="17"/>
      <c r="AC9" s="27"/>
      <c r="AD9" s="27"/>
      <c r="AE9" s="27"/>
      <c r="AF9" s="30"/>
    </row>
    <row r="10" spans="1:32" s="31" customFormat="1" ht="12.75">
      <c r="A10" s="7" t="s">
        <v>15</v>
      </c>
      <c r="B10" s="7" t="s">
        <v>27</v>
      </c>
      <c r="C10" s="7" t="s">
        <v>28</v>
      </c>
      <c r="D10" s="7" t="s">
        <v>29</v>
      </c>
      <c r="E10" s="8">
        <v>2006</v>
      </c>
      <c r="F10" s="96">
        <v>8</v>
      </c>
      <c r="G10" s="20"/>
      <c r="H10" s="32">
        <v>20</v>
      </c>
      <c r="I10" s="91">
        <v>600</v>
      </c>
      <c r="J10" s="14" t="s">
        <v>121</v>
      </c>
      <c r="K10" s="89"/>
      <c r="L10" s="2">
        <f t="shared" si="0"/>
        <v>4800</v>
      </c>
      <c r="M10" s="98">
        <v>0</v>
      </c>
      <c r="N10" s="97">
        <f>240*H10</f>
        <v>4800</v>
      </c>
      <c r="O10" s="7"/>
      <c r="P10" s="12">
        <v>0.0127</v>
      </c>
      <c r="Q10" s="100">
        <f t="shared" si="2"/>
        <v>60.96</v>
      </c>
      <c r="R10" s="223"/>
      <c r="S10" s="225"/>
      <c r="T10" s="2">
        <f t="shared" si="7"/>
        <v>4800</v>
      </c>
      <c r="U10" s="120">
        <f t="shared" si="3"/>
        <v>60.96</v>
      </c>
      <c r="V10" s="120"/>
      <c r="W10" s="142">
        <v>4800</v>
      </c>
      <c r="X10" s="133">
        <v>57.120000000000005</v>
      </c>
      <c r="Y10" s="134">
        <f t="shared" si="4"/>
        <v>3.8399999999999963</v>
      </c>
      <c r="Z10" s="6">
        <f t="shared" si="5"/>
        <v>0</v>
      </c>
      <c r="AA10" s="6">
        <f t="shared" si="6"/>
        <v>3.8399999999999936</v>
      </c>
      <c r="AB10" s="7"/>
      <c r="AC10" s="7"/>
      <c r="AD10" s="7"/>
      <c r="AE10" s="7"/>
      <c r="AF10" s="7"/>
    </row>
    <row r="11" spans="1:32" s="31" customFormat="1" ht="12.75">
      <c r="A11" t="s">
        <v>15</v>
      </c>
      <c r="B11" t="s">
        <v>4</v>
      </c>
      <c r="C11" s="7" t="s">
        <v>24</v>
      </c>
      <c r="D11" t="s">
        <v>18</v>
      </c>
      <c r="E11" s="4">
        <v>2006</v>
      </c>
      <c r="F11" s="5">
        <v>143</v>
      </c>
      <c r="G11" s="15"/>
      <c r="H11" s="32">
        <v>18</v>
      </c>
      <c r="I11" s="91">
        <v>32.85</v>
      </c>
      <c r="J11" s="14"/>
      <c r="K11" s="89"/>
      <c r="L11" s="2">
        <f t="shared" si="0"/>
        <v>4697.55</v>
      </c>
      <c r="M11" s="3">
        <v>0</v>
      </c>
      <c r="N11" s="2">
        <f aca="true" t="shared" si="8" ref="N11:N18">+L11*(1-M11)</f>
        <v>4697.55</v>
      </c>
      <c r="O11"/>
      <c r="P11" s="12">
        <v>0.0127</v>
      </c>
      <c r="Q11" s="6">
        <f t="shared" si="2"/>
        <v>59.658885</v>
      </c>
      <c r="R11" s="223"/>
      <c r="S11" s="210"/>
      <c r="T11" s="2">
        <f t="shared" si="7"/>
        <v>4697.55</v>
      </c>
      <c r="U11" s="120">
        <f t="shared" si="3"/>
        <v>59.658885</v>
      </c>
      <c r="V11" s="120"/>
      <c r="W11" s="140">
        <v>5319.6</v>
      </c>
      <c r="X11" s="133">
        <v>63.30324000000001</v>
      </c>
      <c r="Y11" s="134">
        <f t="shared" si="4"/>
        <v>-3.6443550000000116</v>
      </c>
      <c r="Z11" s="6">
        <f t="shared" si="5"/>
        <v>-7.900035000000002</v>
      </c>
      <c r="AA11" s="6">
        <f t="shared" si="6"/>
        <v>4.255679999999993</v>
      </c>
      <c r="AB11"/>
      <c r="AC11"/>
      <c r="AD11"/>
      <c r="AE11"/>
      <c r="AF11"/>
    </row>
    <row r="12" spans="1:32" s="17" customFormat="1" ht="12.75">
      <c r="A12" t="s">
        <v>15</v>
      </c>
      <c r="B12" t="s">
        <v>4</v>
      </c>
      <c r="C12" s="7" t="s">
        <v>0</v>
      </c>
      <c r="D12" t="s">
        <v>18</v>
      </c>
      <c r="E12" s="4">
        <v>2006</v>
      </c>
      <c r="F12" s="5">
        <v>610</v>
      </c>
      <c r="G12" s="15"/>
      <c r="H12" s="32">
        <v>8</v>
      </c>
      <c r="I12" s="91">
        <v>44.35</v>
      </c>
      <c r="J12" s="14"/>
      <c r="K12" s="89"/>
      <c r="L12" s="2">
        <f t="shared" si="0"/>
        <v>27053.5</v>
      </c>
      <c r="M12" s="3">
        <v>0.1</v>
      </c>
      <c r="N12" s="2">
        <f t="shared" si="8"/>
        <v>24348.15</v>
      </c>
      <c r="O12"/>
      <c r="P12" s="12">
        <v>0.0127</v>
      </c>
      <c r="Q12" s="6">
        <f t="shared" si="2"/>
        <v>309.221505</v>
      </c>
      <c r="R12" s="223"/>
      <c r="S12" s="210"/>
      <c r="T12" s="2">
        <f t="shared" si="7"/>
        <v>24348.15</v>
      </c>
      <c r="U12" s="120">
        <f t="shared" si="3"/>
        <v>309.221505</v>
      </c>
      <c r="V12" s="120"/>
      <c r="W12" s="140">
        <v>23607</v>
      </c>
      <c r="X12" s="133">
        <v>280.92330000000004</v>
      </c>
      <c r="Y12" s="134">
        <f t="shared" si="4"/>
        <v>28.29820499999994</v>
      </c>
      <c r="Z12" s="6">
        <f t="shared" si="5"/>
        <v>9.412605000000019</v>
      </c>
      <c r="AA12" s="6">
        <f t="shared" si="6"/>
        <v>18.885599999999968</v>
      </c>
      <c r="AB12"/>
      <c r="AC12"/>
      <c r="AD12"/>
      <c r="AE12"/>
      <c r="AF12"/>
    </row>
    <row r="13" spans="1:32" s="17" customFormat="1" ht="12.75">
      <c r="A13" t="s">
        <v>15</v>
      </c>
      <c r="B13" t="s">
        <v>4</v>
      </c>
      <c r="C13" s="7" t="s">
        <v>5</v>
      </c>
      <c r="D13" t="s">
        <v>18</v>
      </c>
      <c r="E13" s="4">
        <v>2006</v>
      </c>
      <c r="F13" s="5">
        <v>60</v>
      </c>
      <c r="G13" s="15"/>
      <c r="H13" s="32">
        <v>10</v>
      </c>
      <c r="I13" s="91">
        <f>(22-5)*8760/1000</f>
        <v>148.92</v>
      </c>
      <c r="J13" s="14"/>
      <c r="K13" s="89"/>
      <c r="L13" s="2">
        <f t="shared" si="0"/>
        <v>8935.199999999999</v>
      </c>
      <c r="M13" s="3">
        <v>0.1</v>
      </c>
      <c r="N13" s="2">
        <f t="shared" si="8"/>
        <v>8041.679999999999</v>
      </c>
      <c r="O13"/>
      <c r="P13" s="12">
        <v>0.0127</v>
      </c>
      <c r="Q13" s="6">
        <f t="shared" si="2"/>
        <v>102.129336</v>
      </c>
      <c r="R13" s="223"/>
      <c r="S13" s="210"/>
      <c r="T13" s="2">
        <f t="shared" si="7"/>
        <v>8041.679999999999</v>
      </c>
      <c r="U13" s="120">
        <f t="shared" si="3"/>
        <v>102.129336</v>
      </c>
      <c r="V13" s="120"/>
      <c r="W13" s="140">
        <v>8046</v>
      </c>
      <c r="X13" s="133">
        <v>95.74740000000001</v>
      </c>
      <c r="Y13" s="134">
        <f t="shared" si="4"/>
        <v>6.381935999999982</v>
      </c>
      <c r="Z13" s="6">
        <f t="shared" si="5"/>
        <v>-0.05486400000000785</v>
      </c>
      <c r="AA13" s="6">
        <f t="shared" si="6"/>
        <v>6.436799999999989</v>
      </c>
      <c r="AB13"/>
      <c r="AC13"/>
      <c r="AD13"/>
      <c r="AE13"/>
      <c r="AF13"/>
    </row>
    <row r="14" spans="1:32" s="17" customFormat="1" ht="12.75">
      <c r="A14" t="s">
        <v>15</v>
      </c>
      <c r="B14" t="s">
        <v>4</v>
      </c>
      <c r="C14" s="7" t="s">
        <v>26</v>
      </c>
      <c r="D14" t="s">
        <v>18</v>
      </c>
      <c r="E14" s="4">
        <v>2006</v>
      </c>
      <c r="F14" s="5">
        <v>900</v>
      </c>
      <c r="G14" s="15"/>
      <c r="H14" s="32">
        <v>5</v>
      </c>
      <c r="I14" s="91">
        <v>13.5</v>
      </c>
      <c r="J14" s="14"/>
      <c r="K14" s="89"/>
      <c r="L14" s="2">
        <f t="shared" si="0"/>
        <v>12150</v>
      </c>
      <c r="M14" s="3">
        <v>0.05</v>
      </c>
      <c r="N14" s="2">
        <f t="shared" si="8"/>
        <v>11542.5</v>
      </c>
      <c r="O14"/>
      <c r="P14" s="12">
        <v>0.0127</v>
      </c>
      <c r="Q14" s="6">
        <f t="shared" si="2"/>
        <v>146.58974999999998</v>
      </c>
      <c r="R14" s="223"/>
      <c r="S14" s="210"/>
      <c r="T14" s="2">
        <f t="shared" si="7"/>
        <v>11542.5</v>
      </c>
      <c r="U14" s="120">
        <f t="shared" si="3"/>
        <v>146.58974999999998</v>
      </c>
      <c r="V14" s="120"/>
      <c r="W14" s="140">
        <v>11713.5</v>
      </c>
      <c r="X14" s="133">
        <v>139.39065000000002</v>
      </c>
      <c r="Y14" s="134">
        <f t="shared" si="4"/>
        <v>7.199099999999959</v>
      </c>
      <c r="Z14" s="6">
        <f t="shared" si="5"/>
        <v>-2.1717</v>
      </c>
      <c r="AA14" s="6">
        <f t="shared" si="6"/>
        <v>9.370799999999964</v>
      </c>
      <c r="AB14"/>
      <c r="AC14"/>
      <c r="AD14"/>
      <c r="AE14"/>
      <c r="AF14"/>
    </row>
    <row r="15" spans="1:32" ht="12.75">
      <c r="A15" s="17" t="s">
        <v>15</v>
      </c>
      <c r="B15" s="17" t="s">
        <v>96</v>
      </c>
      <c r="C15" s="17" t="s">
        <v>107</v>
      </c>
      <c r="D15" s="17" t="s">
        <v>41</v>
      </c>
      <c r="E15" s="24">
        <v>2008</v>
      </c>
      <c r="F15" s="25">
        <v>159</v>
      </c>
      <c r="G15" s="26"/>
      <c r="H15" s="32">
        <v>11</v>
      </c>
      <c r="I15" s="91">
        <v>203</v>
      </c>
      <c r="J15" s="14"/>
      <c r="K15" s="89"/>
      <c r="L15" s="2">
        <f t="shared" si="0"/>
        <v>32277</v>
      </c>
      <c r="M15" s="28">
        <v>0.1</v>
      </c>
      <c r="N15" s="27">
        <f t="shared" si="8"/>
        <v>29049.3</v>
      </c>
      <c r="O15" s="17"/>
      <c r="P15" s="12">
        <v>0.0127</v>
      </c>
      <c r="Q15" s="29">
        <f t="shared" si="2"/>
        <v>368.92611</v>
      </c>
      <c r="T15" s="2">
        <f t="shared" si="7"/>
        <v>29049.3</v>
      </c>
      <c r="U15" s="120">
        <f t="shared" si="3"/>
        <v>368.92611</v>
      </c>
      <c r="V15" s="120"/>
      <c r="W15" s="140">
        <v>19747.8</v>
      </c>
      <c r="X15" s="133">
        <v>234.99882</v>
      </c>
      <c r="Y15" s="134">
        <f t="shared" si="4"/>
        <v>133.92729</v>
      </c>
      <c r="Z15" s="6">
        <f t="shared" si="5"/>
        <v>118.12904999999999</v>
      </c>
      <c r="AA15" s="6">
        <f t="shared" si="6"/>
        <v>15.798239999999973</v>
      </c>
      <c r="AB15" s="17"/>
      <c r="AC15" s="27"/>
      <c r="AD15" s="27"/>
      <c r="AE15" s="27"/>
      <c r="AF15" s="30"/>
    </row>
    <row r="16" spans="1:27" ht="12.75">
      <c r="A16" s="7" t="s">
        <v>15</v>
      </c>
      <c r="B16" s="7" t="s">
        <v>43</v>
      </c>
      <c r="C16" s="31" t="s">
        <v>171</v>
      </c>
      <c r="D16" s="7" t="s">
        <v>41</v>
      </c>
      <c r="E16" s="8">
        <v>2008</v>
      </c>
      <c r="F16" s="9">
        <v>803</v>
      </c>
      <c r="G16" s="20"/>
      <c r="H16" s="32">
        <v>9</v>
      </c>
      <c r="I16" s="91">
        <v>1101.29</v>
      </c>
      <c r="J16" s="14"/>
      <c r="K16" s="89"/>
      <c r="L16" s="2">
        <f t="shared" si="0"/>
        <v>884335.87</v>
      </c>
      <c r="M16" s="11">
        <v>0.1</v>
      </c>
      <c r="N16" s="2">
        <f t="shared" si="8"/>
        <v>795902.283</v>
      </c>
      <c r="P16" s="12">
        <v>0.0127</v>
      </c>
      <c r="Q16" s="6">
        <f t="shared" si="2"/>
        <v>10107.9589941</v>
      </c>
      <c r="S16" s="209"/>
      <c r="T16" s="2">
        <f t="shared" si="7"/>
        <v>795902.283</v>
      </c>
      <c r="U16" s="120">
        <f t="shared" si="3"/>
        <v>10107.9589941</v>
      </c>
      <c r="V16" s="120"/>
      <c r="W16" s="140">
        <v>679554.8099999999</v>
      </c>
      <c r="X16" s="133">
        <v>8086.702239</v>
      </c>
      <c r="Y16" s="134">
        <f t="shared" si="4"/>
        <v>2021.2567550999993</v>
      </c>
      <c r="Z16" s="6">
        <f t="shared" si="5"/>
        <v>1477.6129071000014</v>
      </c>
      <c r="AA16" s="6">
        <f t="shared" si="6"/>
        <v>543.643847999999</v>
      </c>
    </row>
    <row r="17" spans="1:32" ht="12.75">
      <c r="A17" s="17" t="s">
        <v>15</v>
      </c>
      <c r="B17" s="17" t="s">
        <v>96</v>
      </c>
      <c r="C17" s="17" t="s">
        <v>107</v>
      </c>
      <c r="D17" s="17" t="s">
        <v>166</v>
      </c>
      <c r="E17" s="24">
        <v>2009</v>
      </c>
      <c r="F17" s="25">
        <v>165</v>
      </c>
      <c r="G17" s="26"/>
      <c r="H17" s="32">
        <v>11</v>
      </c>
      <c r="I17" s="91">
        <v>203</v>
      </c>
      <c r="J17" s="14"/>
      <c r="K17" s="89"/>
      <c r="L17" s="2">
        <f t="shared" si="0"/>
        <v>33495</v>
      </c>
      <c r="M17" s="28">
        <v>0.1</v>
      </c>
      <c r="N17" s="27">
        <f t="shared" si="8"/>
        <v>30145.5</v>
      </c>
      <c r="O17" s="17"/>
      <c r="P17" s="12">
        <v>0.0127</v>
      </c>
      <c r="Q17" s="29">
        <f t="shared" si="2"/>
        <v>382.84785</v>
      </c>
      <c r="T17" s="2">
        <f t="shared" si="7"/>
        <v>30145.5</v>
      </c>
      <c r="U17" s="120">
        <f t="shared" si="3"/>
        <v>382.84785</v>
      </c>
      <c r="V17" s="120"/>
      <c r="X17" s="133"/>
      <c r="Y17" s="134"/>
      <c r="Z17" s="29"/>
      <c r="AA17" s="29"/>
      <c r="AB17" s="17"/>
      <c r="AC17" s="27"/>
      <c r="AD17" s="27"/>
      <c r="AE17" s="27"/>
      <c r="AF17" s="30"/>
    </row>
    <row r="18" spans="1:25" ht="12.75">
      <c r="A18" s="7" t="s">
        <v>15</v>
      </c>
      <c r="B18" s="7" t="s">
        <v>43</v>
      </c>
      <c r="C18" s="7"/>
      <c r="D18" s="17" t="s">
        <v>166</v>
      </c>
      <c r="E18" s="24">
        <v>2009</v>
      </c>
      <c r="F18" s="9">
        <v>516</v>
      </c>
      <c r="G18" s="20"/>
      <c r="H18" s="32">
        <v>9</v>
      </c>
      <c r="I18" s="91">
        <v>1101.29</v>
      </c>
      <c r="J18" s="14"/>
      <c r="K18" s="89"/>
      <c r="L18" s="2">
        <f t="shared" si="0"/>
        <v>568265.64</v>
      </c>
      <c r="M18" s="11">
        <v>0.1</v>
      </c>
      <c r="N18" s="2">
        <f t="shared" si="8"/>
        <v>511439.076</v>
      </c>
      <c r="P18" s="12">
        <v>0.0127</v>
      </c>
      <c r="Q18" s="6">
        <f t="shared" si="2"/>
        <v>6495.2762652</v>
      </c>
      <c r="S18" s="209"/>
      <c r="T18" s="2">
        <f t="shared" si="7"/>
        <v>511439.076</v>
      </c>
      <c r="U18" s="120">
        <f t="shared" si="3"/>
        <v>6495.2762652</v>
      </c>
      <c r="V18" s="120"/>
      <c r="X18" s="133"/>
      <c r="Y18" s="134"/>
    </row>
    <row r="19" spans="1:27" s="1" customFormat="1" ht="12.75">
      <c r="A19" s="85" t="s">
        <v>100</v>
      </c>
      <c r="E19" s="55"/>
      <c r="F19" s="56"/>
      <c r="G19" s="57"/>
      <c r="H19" s="55"/>
      <c r="I19" s="92"/>
      <c r="J19" s="14"/>
      <c r="K19" s="89"/>
      <c r="L19" s="86">
        <f>SUM(L3:L18)</f>
        <v>2198319.0100000002</v>
      </c>
      <c r="M19" s="61"/>
      <c r="N19" s="86">
        <f>SUM(N3:N18)</f>
        <v>1983552.3390000002</v>
      </c>
      <c r="P19" s="62"/>
      <c r="Q19" s="139">
        <f>SUM(Q3:Q18)</f>
        <v>25191.114705299995</v>
      </c>
      <c r="R19" s="227">
        <f>SUM(R3:R18)</f>
        <v>0</v>
      </c>
      <c r="S19" s="226">
        <f>SUM(S3:S18)</f>
        <v>0</v>
      </c>
      <c r="T19" s="86">
        <f>SUM(T3:T18)</f>
        <v>1983552.3390000002</v>
      </c>
      <c r="U19" s="139">
        <f>SUM(U3:U18)</f>
        <v>25191.114705299995</v>
      </c>
      <c r="V19" s="120"/>
      <c r="W19" s="143"/>
      <c r="X19" s="135"/>
      <c r="Y19" s="134"/>
      <c r="Z19" s="63"/>
      <c r="AA19" s="63"/>
    </row>
    <row r="20" spans="1:32" s="7" customFormat="1" ht="12.75">
      <c r="A20" s="31" t="s">
        <v>32</v>
      </c>
      <c r="B20" s="31" t="s">
        <v>31</v>
      </c>
      <c r="C20" s="31" t="s">
        <v>261</v>
      </c>
      <c r="D20" s="31" t="s">
        <v>18</v>
      </c>
      <c r="E20" s="32">
        <v>2007</v>
      </c>
      <c r="F20" s="25">
        <v>156</v>
      </c>
      <c r="G20" s="101"/>
      <c r="H20" s="32">
        <v>10</v>
      </c>
      <c r="I20" s="91">
        <v>6941</v>
      </c>
      <c r="J20" s="14"/>
      <c r="K20" s="89"/>
      <c r="L20" s="2">
        <f>IF(K20&lt;&gt;"",J20*K20*F20,I20*F20)</f>
        <v>1082796</v>
      </c>
      <c r="M20" s="34">
        <v>0.3</v>
      </c>
      <c r="N20" s="102">
        <f>+L20*(1-M20)</f>
        <v>757957.2</v>
      </c>
      <c r="O20" s="31"/>
      <c r="P20" s="40">
        <v>0.0226</v>
      </c>
      <c r="Q20" s="35">
        <f>+N20*P20</f>
        <v>17129.83272</v>
      </c>
      <c r="R20" s="223"/>
      <c r="S20" s="226"/>
      <c r="T20" s="2">
        <f t="shared" si="7"/>
        <v>757957.2</v>
      </c>
      <c r="U20" s="120">
        <f>Q20+S20</f>
        <v>17129.83272</v>
      </c>
      <c r="V20" s="120"/>
      <c r="W20" s="142">
        <v>757957.2</v>
      </c>
      <c r="X20" s="133">
        <v>14780.1654</v>
      </c>
      <c r="Y20" s="134">
        <f>Q20-X20</f>
        <v>2349.6673199999987</v>
      </c>
      <c r="Z20" s="6">
        <f>(N20-W20)*P20</f>
        <v>0</v>
      </c>
      <c r="AA20" s="6">
        <f>(P20-(X20/W20))*W20</f>
        <v>2349.6673199999987</v>
      </c>
      <c r="AB20" s="31"/>
      <c r="AC20" s="31"/>
      <c r="AD20" s="31"/>
      <c r="AE20" s="31"/>
      <c r="AF20" s="31"/>
    </row>
    <row r="21" spans="1:27" s="1" customFormat="1" ht="12.75">
      <c r="A21" s="19" t="s">
        <v>101</v>
      </c>
      <c r="B21" s="19"/>
      <c r="C21" s="19"/>
      <c r="E21" s="76"/>
      <c r="F21" s="56"/>
      <c r="G21" s="87"/>
      <c r="H21" s="76"/>
      <c r="I21" s="92"/>
      <c r="J21" s="14"/>
      <c r="K21" s="119"/>
      <c r="L21" s="60">
        <f>SUM(L20)</f>
        <v>1082796</v>
      </c>
      <c r="M21" s="75"/>
      <c r="N21" s="60">
        <f>SUM(N20)</f>
        <v>757957.2</v>
      </c>
      <c r="P21" s="62"/>
      <c r="Q21" s="63">
        <f>SUM(Q20)</f>
        <v>17129.83272</v>
      </c>
      <c r="R21" s="223">
        <f>SUM(R20)</f>
        <v>0</v>
      </c>
      <c r="S21" s="209"/>
      <c r="T21" s="2">
        <f t="shared" si="7"/>
        <v>757957.2</v>
      </c>
      <c r="U21" s="63">
        <f>SUM(U20)</f>
        <v>17129.83272</v>
      </c>
      <c r="V21" s="120"/>
      <c r="W21" s="143"/>
      <c r="X21" s="135"/>
      <c r="Y21" s="134"/>
      <c r="Z21" s="63"/>
      <c r="AA21" s="63"/>
    </row>
    <row r="22" spans="1:27" ht="12.75">
      <c r="A22" s="7" t="s">
        <v>53</v>
      </c>
      <c r="B22" s="7" t="s">
        <v>44</v>
      </c>
      <c r="C22" s="7" t="s">
        <v>45</v>
      </c>
      <c r="D22" s="7" t="s">
        <v>41</v>
      </c>
      <c r="E22" s="8">
        <v>2008</v>
      </c>
      <c r="F22" s="25">
        <v>1</v>
      </c>
      <c r="G22" s="20"/>
      <c r="H22" s="32">
        <v>10</v>
      </c>
      <c r="I22" s="91">
        <v>176.3</v>
      </c>
      <c r="J22" s="14"/>
      <c r="K22" s="89"/>
      <c r="L22" s="2">
        <f aca="true" t="shared" si="9" ref="L22:L53">IF(K22&lt;&gt;"",J22*K22*F22,I22*F22)</f>
        <v>176.3</v>
      </c>
      <c r="M22" s="3">
        <v>0.1</v>
      </c>
      <c r="N22" s="2">
        <f aca="true" t="shared" si="10" ref="N22:N41">+L22*(1-M22)</f>
        <v>158.67000000000002</v>
      </c>
      <c r="P22" s="12">
        <v>0.0179</v>
      </c>
      <c r="Q22" s="6">
        <f aca="true" t="shared" si="11" ref="Q22:Q41">+N22*P22</f>
        <v>2.840193</v>
      </c>
      <c r="S22" s="209"/>
      <c r="T22" s="2">
        <f t="shared" si="7"/>
        <v>158.67000000000002</v>
      </c>
      <c r="U22" s="120">
        <f aca="true" t="shared" si="12" ref="U22:U53">Q22+S22</f>
        <v>2.840193</v>
      </c>
      <c r="V22" s="120"/>
      <c r="W22" s="140">
        <v>12.6</v>
      </c>
      <c r="X22" s="133">
        <v>0.14994000000000002</v>
      </c>
      <c r="Y22" s="134">
        <f aca="true" t="shared" si="13" ref="Y22:Y58">Q22-X22</f>
        <v>2.6902530000000002</v>
      </c>
      <c r="Z22" s="6">
        <f aca="true" t="shared" si="14" ref="Z22:Z40">(N22-W22)*P22</f>
        <v>2.614653</v>
      </c>
      <c r="AA22" s="6">
        <f aca="true" t="shared" si="15" ref="AA22:AA58">(P22-(X22/W22))*W22</f>
        <v>0.07559999999999996</v>
      </c>
    </row>
    <row r="23" spans="1:27" ht="12.75">
      <c r="A23" s="7" t="s">
        <v>53</v>
      </c>
      <c r="B23" s="7" t="s">
        <v>44</v>
      </c>
      <c r="C23" s="7" t="s">
        <v>5</v>
      </c>
      <c r="D23" s="7" t="s">
        <v>41</v>
      </c>
      <c r="E23" s="8">
        <v>2008</v>
      </c>
      <c r="F23" s="25">
        <v>42</v>
      </c>
      <c r="G23" s="20"/>
      <c r="H23" s="32">
        <v>10</v>
      </c>
      <c r="I23" s="91"/>
      <c r="J23" s="14">
        <v>8760</v>
      </c>
      <c r="K23" s="119">
        <f>(22-5)/1000</f>
        <v>0.017</v>
      </c>
      <c r="L23" s="2">
        <f t="shared" si="9"/>
        <v>6254.64</v>
      </c>
      <c r="M23" s="3">
        <v>0.1</v>
      </c>
      <c r="N23" s="2">
        <f t="shared" si="10"/>
        <v>5629.176</v>
      </c>
      <c r="P23" s="12">
        <v>0.0179</v>
      </c>
      <c r="Q23" s="6">
        <f t="shared" si="11"/>
        <v>100.7622504</v>
      </c>
      <c r="S23" s="209"/>
      <c r="T23" s="2">
        <f t="shared" si="7"/>
        <v>5629.176</v>
      </c>
      <c r="U23" s="120">
        <f t="shared" si="12"/>
        <v>100.7622504</v>
      </c>
      <c r="V23" s="120"/>
      <c r="W23" s="140">
        <v>1509.8850000000002</v>
      </c>
      <c r="X23" s="133">
        <v>17.967631500000003</v>
      </c>
      <c r="Y23" s="134">
        <f t="shared" si="13"/>
        <v>82.79461889999999</v>
      </c>
      <c r="Z23" s="6">
        <f t="shared" si="14"/>
        <v>73.7353089</v>
      </c>
      <c r="AA23" s="6">
        <f t="shared" si="15"/>
        <v>9.059309999999998</v>
      </c>
    </row>
    <row r="24" spans="1:27" s="7" customFormat="1" ht="12.75">
      <c r="A24" s="7" t="s">
        <v>53</v>
      </c>
      <c r="B24" s="7" t="s">
        <v>44</v>
      </c>
      <c r="C24" s="7" t="s">
        <v>115</v>
      </c>
      <c r="D24" s="7" t="s">
        <v>41</v>
      </c>
      <c r="E24" s="8">
        <v>2008</v>
      </c>
      <c r="F24" s="25">
        <v>1</v>
      </c>
      <c r="G24" s="20"/>
      <c r="H24" s="94">
        <f aca="true" t="shared" si="16" ref="H24:H31">20000/J24</f>
        <v>6.148170919151553</v>
      </c>
      <c r="I24" s="91"/>
      <c r="J24" s="14">
        <v>3253</v>
      </c>
      <c r="K24" s="126">
        <f>((172/2)-58)/1000</f>
        <v>0.028</v>
      </c>
      <c r="L24" s="2">
        <f t="shared" si="9"/>
        <v>91.084</v>
      </c>
      <c r="M24" s="11">
        <v>0.1</v>
      </c>
      <c r="N24" s="23">
        <f t="shared" si="10"/>
        <v>81.9756</v>
      </c>
      <c r="P24" s="12">
        <v>0.0179</v>
      </c>
      <c r="Q24" s="13">
        <f t="shared" si="11"/>
        <v>1.4673632399999998</v>
      </c>
      <c r="R24" s="223"/>
      <c r="S24" s="209"/>
      <c r="T24" s="2">
        <f t="shared" si="7"/>
        <v>81.9756</v>
      </c>
      <c r="U24" s="120">
        <f t="shared" si="12"/>
        <v>1.4673632399999998</v>
      </c>
      <c r="V24" s="120"/>
      <c r="W24" s="142">
        <v>64752.840000000004</v>
      </c>
      <c r="X24" s="133">
        <v>770.5587960000001</v>
      </c>
      <c r="Y24" s="134">
        <f t="shared" si="13"/>
        <v>-769.0914327600001</v>
      </c>
      <c r="Z24" s="6">
        <f t="shared" si="14"/>
        <v>-1157.60847276</v>
      </c>
      <c r="AA24" s="6">
        <f t="shared" si="15"/>
        <v>388.5170399999999</v>
      </c>
    </row>
    <row r="25" spans="1:27" s="7" customFormat="1" ht="12.75">
      <c r="A25" s="7" t="s">
        <v>53</v>
      </c>
      <c r="B25" s="7" t="s">
        <v>44</v>
      </c>
      <c r="C25" s="7" t="s">
        <v>116</v>
      </c>
      <c r="D25" s="7" t="s">
        <v>41</v>
      </c>
      <c r="E25" s="8">
        <v>2008</v>
      </c>
      <c r="F25" s="25">
        <v>677</v>
      </c>
      <c r="G25" s="20"/>
      <c r="H25" s="94">
        <f t="shared" si="16"/>
        <v>6.148170919151553</v>
      </c>
      <c r="I25" s="91"/>
      <c r="J25" s="14">
        <v>3253</v>
      </c>
      <c r="K25" s="126">
        <f>(142-112)/1000</f>
        <v>0.03</v>
      </c>
      <c r="L25" s="2">
        <f t="shared" si="9"/>
        <v>66068.43000000001</v>
      </c>
      <c r="M25" s="11">
        <v>0.1</v>
      </c>
      <c r="N25" s="23">
        <f t="shared" si="10"/>
        <v>59461.58700000001</v>
      </c>
      <c r="P25" s="12">
        <v>0.0179</v>
      </c>
      <c r="Q25" s="13">
        <f t="shared" si="11"/>
        <v>1064.3624073</v>
      </c>
      <c r="R25" s="223"/>
      <c r="S25" s="209"/>
      <c r="T25" s="2">
        <f t="shared" si="7"/>
        <v>59461.58700000001</v>
      </c>
      <c r="U25" s="120">
        <f t="shared" si="12"/>
        <v>1064.3624073</v>
      </c>
      <c r="V25" s="120"/>
      <c r="W25" s="142">
        <v>13260.554999999998</v>
      </c>
      <c r="X25" s="133">
        <v>157.8006045</v>
      </c>
      <c r="Y25" s="134">
        <f t="shared" si="13"/>
        <v>906.5618028000001</v>
      </c>
      <c r="Z25" s="6">
        <f t="shared" si="14"/>
        <v>826.9984728000001</v>
      </c>
      <c r="AA25" s="6">
        <f t="shared" si="15"/>
        <v>79.56332999999997</v>
      </c>
    </row>
    <row r="26" spans="1:27" s="7" customFormat="1" ht="12.75">
      <c r="A26" s="7" t="s">
        <v>53</v>
      </c>
      <c r="B26" s="7" t="s">
        <v>44</v>
      </c>
      <c r="C26" s="7" t="s">
        <v>112</v>
      </c>
      <c r="D26" s="7" t="s">
        <v>41</v>
      </c>
      <c r="E26" s="8">
        <v>2008</v>
      </c>
      <c r="F26" s="25">
        <v>70</v>
      </c>
      <c r="G26" s="20"/>
      <c r="H26" s="94">
        <f t="shared" si="16"/>
        <v>6.148170919151553</v>
      </c>
      <c r="I26" s="91"/>
      <c r="J26" s="14">
        <v>3253</v>
      </c>
      <c r="K26" s="126">
        <f>(142-58)/1000</f>
        <v>0.084</v>
      </c>
      <c r="L26" s="2">
        <f t="shared" si="9"/>
        <v>19127.64</v>
      </c>
      <c r="M26" s="11">
        <v>0.1</v>
      </c>
      <c r="N26" s="23">
        <f t="shared" si="10"/>
        <v>17214.876</v>
      </c>
      <c r="P26" s="12">
        <v>0.0179</v>
      </c>
      <c r="Q26" s="13">
        <f t="shared" si="11"/>
        <v>308.14628039999997</v>
      </c>
      <c r="R26" s="223"/>
      <c r="S26" s="209"/>
      <c r="T26" s="2">
        <f t="shared" si="7"/>
        <v>17214.876</v>
      </c>
      <c r="U26" s="120">
        <f t="shared" si="12"/>
        <v>308.14628039999997</v>
      </c>
      <c r="V26" s="120"/>
      <c r="W26" s="142">
        <v>7799.737499999999</v>
      </c>
      <c r="X26" s="133">
        <v>92.81687624999999</v>
      </c>
      <c r="Y26" s="134">
        <f t="shared" si="13"/>
        <v>215.32940414999996</v>
      </c>
      <c r="Z26" s="6">
        <f t="shared" si="14"/>
        <v>168.53097915</v>
      </c>
      <c r="AA26" s="6">
        <f t="shared" si="15"/>
        <v>46.79842499999998</v>
      </c>
    </row>
    <row r="27" spans="1:27" s="7" customFormat="1" ht="12.75">
      <c r="A27" s="7" t="s">
        <v>53</v>
      </c>
      <c r="B27" s="7" t="s">
        <v>44</v>
      </c>
      <c r="C27" s="7" t="s">
        <v>118</v>
      </c>
      <c r="D27" s="7" t="s">
        <v>41</v>
      </c>
      <c r="E27" s="8">
        <v>2008</v>
      </c>
      <c r="F27" s="25">
        <v>94</v>
      </c>
      <c r="G27" s="20"/>
      <c r="H27" s="94">
        <f t="shared" si="16"/>
        <v>6.148170919151553</v>
      </c>
      <c r="I27" s="91"/>
      <c r="J27" s="14">
        <v>3253</v>
      </c>
      <c r="K27" s="126">
        <f>(47-30)/1000</f>
        <v>0.017</v>
      </c>
      <c r="L27" s="2">
        <f t="shared" si="9"/>
        <v>5198.294</v>
      </c>
      <c r="M27" s="11">
        <v>0.1</v>
      </c>
      <c r="N27" s="23">
        <f t="shared" si="10"/>
        <v>4678.4646</v>
      </c>
      <c r="P27" s="12">
        <v>0.0179</v>
      </c>
      <c r="Q27" s="13">
        <f t="shared" si="11"/>
        <v>83.74451634</v>
      </c>
      <c r="R27" s="223"/>
      <c r="S27" s="209"/>
      <c r="T27" s="2">
        <f t="shared" si="7"/>
        <v>4678.4646</v>
      </c>
      <c r="U27" s="120">
        <f t="shared" si="12"/>
        <v>83.74451634</v>
      </c>
      <c r="V27" s="120"/>
      <c r="W27" s="142">
        <v>10361.6025</v>
      </c>
      <c r="X27" s="133">
        <v>123.30306975000002</v>
      </c>
      <c r="Y27" s="134">
        <f t="shared" si="13"/>
        <v>-39.558553410000016</v>
      </c>
      <c r="Z27" s="6">
        <f t="shared" si="14"/>
        <v>-101.72816841000001</v>
      </c>
      <c r="AA27" s="6">
        <f t="shared" si="15"/>
        <v>62.169614999999986</v>
      </c>
    </row>
    <row r="28" spans="1:27" s="7" customFormat="1" ht="12.75">
      <c r="A28" s="7" t="s">
        <v>53</v>
      </c>
      <c r="B28" s="7" t="s">
        <v>44</v>
      </c>
      <c r="C28" s="7" t="s">
        <v>119</v>
      </c>
      <c r="D28" s="7" t="s">
        <v>41</v>
      </c>
      <c r="E28" s="8">
        <v>2008</v>
      </c>
      <c r="F28" s="25">
        <v>14</v>
      </c>
      <c r="G28" s="20"/>
      <c r="H28" s="94">
        <f t="shared" si="16"/>
        <v>6.148170919151553</v>
      </c>
      <c r="I28" s="91"/>
      <c r="J28" s="14">
        <v>3253</v>
      </c>
      <c r="K28" s="126">
        <f>(81-30)/1000</f>
        <v>0.051</v>
      </c>
      <c r="L28" s="2">
        <f t="shared" si="9"/>
        <v>2322.642</v>
      </c>
      <c r="M28" s="11">
        <v>0.1</v>
      </c>
      <c r="N28" s="23">
        <f t="shared" si="10"/>
        <v>2090.3777999999998</v>
      </c>
      <c r="P28" s="12">
        <v>0.0179</v>
      </c>
      <c r="Q28" s="13">
        <f t="shared" si="11"/>
        <v>37.41776261999999</v>
      </c>
      <c r="R28" s="223"/>
      <c r="S28" s="209"/>
      <c r="T28" s="2">
        <f t="shared" si="7"/>
        <v>2090.3777999999998</v>
      </c>
      <c r="U28" s="120">
        <f t="shared" si="12"/>
        <v>37.41776261999999</v>
      </c>
      <c r="V28" s="120"/>
      <c r="W28" s="142">
        <v>21898.45</v>
      </c>
      <c r="X28" s="133">
        <v>260.591555</v>
      </c>
      <c r="Y28" s="134">
        <f t="shared" si="13"/>
        <v>-223.17379238000004</v>
      </c>
      <c r="Z28" s="6">
        <f t="shared" si="14"/>
        <v>-354.56449238000005</v>
      </c>
      <c r="AA28" s="6">
        <f t="shared" si="15"/>
        <v>131.39069999999998</v>
      </c>
    </row>
    <row r="29" spans="1:27" s="7" customFormat="1" ht="12.75">
      <c r="A29" s="7" t="s">
        <v>53</v>
      </c>
      <c r="B29" s="7" t="s">
        <v>44</v>
      </c>
      <c r="C29" s="7" t="s">
        <v>120</v>
      </c>
      <c r="D29" s="7" t="s">
        <v>41</v>
      </c>
      <c r="E29" s="8">
        <v>2008</v>
      </c>
      <c r="F29" s="25">
        <v>1077</v>
      </c>
      <c r="G29" s="20"/>
      <c r="H29" s="94">
        <f t="shared" si="16"/>
        <v>6.148170919151553</v>
      </c>
      <c r="I29" s="91"/>
      <c r="J29" s="14">
        <v>3253</v>
      </c>
      <c r="K29" s="126">
        <f>(81-58)/1000</f>
        <v>0.023</v>
      </c>
      <c r="L29" s="2">
        <f t="shared" si="9"/>
        <v>80580.06300000001</v>
      </c>
      <c r="M29" s="11">
        <v>0.1</v>
      </c>
      <c r="N29" s="23">
        <f t="shared" si="10"/>
        <v>72522.05670000002</v>
      </c>
      <c r="P29" s="12">
        <v>0.0179</v>
      </c>
      <c r="Q29" s="13">
        <f t="shared" si="11"/>
        <v>1298.1448149300002</v>
      </c>
      <c r="R29" s="223"/>
      <c r="S29" s="209"/>
      <c r="T29" s="2">
        <f t="shared" si="7"/>
        <v>72522.05670000002</v>
      </c>
      <c r="U29" s="120">
        <f t="shared" si="12"/>
        <v>1298.1448149300002</v>
      </c>
      <c r="V29" s="120"/>
      <c r="W29" s="142">
        <v>9011.25</v>
      </c>
      <c r="X29" s="133">
        <v>107.23387500000001</v>
      </c>
      <c r="Y29" s="134">
        <f t="shared" si="13"/>
        <v>1190.91093993</v>
      </c>
      <c r="Z29" s="6">
        <f t="shared" si="14"/>
        <v>1136.8434399300002</v>
      </c>
      <c r="AA29" s="6">
        <f t="shared" si="15"/>
        <v>54.06749999999999</v>
      </c>
    </row>
    <row r="30" spans="1:27" s="7" customFormat="1" ht="12.75">
      <c r="A30" s="7" t="s">
        <v>53</v>
      </c>
      <c r="B30" s="7" t="s">
        <v>44</v>
      </c>
      <c r="C30" s="7" t="s">
        <v>113</v>
      </c>
      <c r="D30" s="7" t="s">
        <v>41</v>
      </c>
      <c r="E30" s="8">
        <v>2008</v>
      </c>
      <c r="F30" s="25">
        <v>1280</v>
      </c>
      <c r="G30" s="20"/>
      <c r="H30" s="94">
        <f t="shared" si="16"/>
        <v>6.148170919151553</v>
      </c>
      <c r="I30" s="91"/>
      <c r="J30" s="14">
        <v>3253</v>
      </c>
      <c r="K30" s="126">
        <f>(149-112)/1000</f>
        <v>0.037</v>
      </c>
      <c r="L30" s="2">
        <f t="shared" si="9"/>
        <v>154062.08</v>
      </c>
      <c r="M30" s="11">
        <v>0.1</v>
      </c>
      <c r="N30" s="23">
        <f t="shared" si="10"/>
        <v>138655.872</v>
      </c>
      <c r="P30" s="12">
        <v>0.0179</v>
      </c>
      <c r="Q30" s="13">
        <f t="shared" si="11"/>
        <v>2481.9401088</v>
      </c>
      <c r="R30" s="223"/>
      <c r="S30" s="209"/>
      <c r="T30" s="2">
        <f t="shared" si="7"/>
        <v>138655.872</v>
      </c>
      <c r="U30" s="120">
        <f t="shared" si="12"/>
        <v>2481.9401088</v>
      </c>
      <c r="V30" s="120"/>
      <c r="W30" s="142">
        <v>10272.825</v>
      </c>
      <c r="X30" s="133">
        <v>122.24661750000001</v>
      </c>
      <c r="Y30" s="134">
        <f t="shared" si="13"/>
        <v>2359.6934913</v>
      </c>
      <c r="Z30" s="6">
        <f t="shared" si="14"/>
        <v>2298.0565413</v>
      </c>
      <c r="AA30" s="6">
        <f t="shared" si="15"/>
        <v>61.636949999999985</v>
      </c>
    </row>
    <row r="31" spans="1:27" s="7" customFormat="1" ht="12.75">
      <c r="A31" s="7" t="s">
        <v>53</v>
      </c>
      <c r="B31" s="7" t="s">
        <v>44</v>
      </c>
      <c r="C31" s="7" t="s">
        <v>114</v>
      </c>
      <c r="D31" s="7" t="s">
        <v>41</v>
      </c>
      <c r="E31" s="8">
        <v>2008</v>
      </c>
      <c r="F31" s="25">
        <f>23+11</f>
        <v>34</v>
      </c>
      <c r="G31" s="20"/>
      <c r="H31" s="94">
        <f t="shared" si="16"/>
        <v>6.148170919151553</v>
      </c>
      <c r="I31" s="91"/>
      <c r="J31" s="14">
        <v>3253</v>
      </c>
      <c r="K31" s="126">
        <f>(81-58)/1000</f>
        <v>0.023</v>
      </c>
      <c r="L31" s="2">
        <f t="shared" si="9"/>
        <v>2543.846</v>
      </c>
      <c r="M31" s="11">
        <v>0.1</v>
      </c>
      <c r="N31" s="23">
        <f t="shared" si="10"/>
        <v>2289.4614</v>
      </c>
      <c r="P31" s="12">
        <v>0.0179</v>
      </c>
      <c r="Q31" s="13">
        <f t="shared" si="11"/>
        <v>40.98135906</v>
      </c>
      <c r="R31" s="223"/>
      <c r="S31" s="209"/>
      <c r="T31" s="2">
        <f t="shared" si="7"/>
        <v>2289.4614</v>
      </c>
      <c r="U31" s="120">
        <f t="shared" si="12"/>
        <v>40.98135906</v>
      </c>
      <c r="V31" s="120"/>
      <c r="W31" s="142">
        <v>2435.0399999999995</v>
      </c>
      <c r="X31" s="133">
        <v>28.976975999999997</v>
      </c>
      <c r="Y31" s="134">
        <f t="shared" si="13"/>
        <v>12.004383060000006</v>
      </c>
      <c r="Z31" s="6">
        <f t="shared" si="14"/>
        <v>-2.6058569399999887</v>
      </c>
      <c r="AA31" s="6">
        <f t="shared" si="15"/>
        <v>14.610239999999994</v>
      </c>
    </row>
    <row r="32" spans="1:27" ht="12.75">
      <c r="A32" s="7" t="s">
        <v>53</v>
      </c>
      <c r="B32" s="7" t="s">
        <v>44</v>
      </c>
      <c r="C32" s="7" t="s">
        <v>46</v>
      </c>
      <c r="D32" s="7" t="s">
        <v>41</v>
      </c>
      <c r="E32" s="8">
        <v>2008</v>
      </c>
      <c r="F32" s="25">
        <v>13</v>
      </c>
      <c r="G32" s="20"/>
      <c r="H32" s="94">
        <f aca="true" t="shared" si="17" ref="H32:H42">((10000+6000)/2)/J32</f>
        <v>2.459268367660621</v>
      </c>
      <c r="I32" s="91"/>
      <c r="J32" s="14">
        <v>3253</v>
      </c>
      <c r="K32" s="126">
        <f>(40-11)/1000</f>
        <v>0.029</v>
      </c>
      <c r="L32" s="2">
        <f t="shared" si="9"/>
        <v>1226.381</v>
      </c>
      <c r="M32" s="3">
        <v>0.1</v>
      </c>
      <c r="N32" s="2">
        <f t="shared" si="10"/>
        <v>1103.7429000000002</v>
      </c>
      <c r="P32" s="12">
        <v>0.0179</v>
      </c>
      <c r="Q32" s="6">
        <f t="shared" si="11"/>
        <v>19.756997910000003</v>
      </c>
      <c r="S32" s="209"/>
      <c r="T32" s="2">
        <f t="shared" si="7"/>
        <v>1103.7429000000002</v>
      </c>
      <c r="U32" s="120">
        <f t="shared" si="12"/>
        <v>19.756997910000003</v>
      </c>
      <c r="V32" s="120"/>
      <c r="W32" s="140">
        <v>10372.95</v>
      </c>
      <c r="X32" s="133">
        <v>123.43810500000002</v>
      </c>
      <c r="Y32" s="134">
        <f t="shared" si="13"/>
        <v>-103.68110709000001</v>
      </c>
      <c r="Z32" s="6">
        <f t="shared" si="14"/>
        <v>-165.91880708999997</v>
      </c>
      <c r="AA32" s="6">
        <f t="shared" si="15"/>
        <v>62.23769999999999</v>
      </c>
    </row>
    <row r="33" spans="1:27" ht="12.75">
      <c r="A33" s="7" t="s">
        <v>53</v>
      </c>
      <c r="B33" s="7" t="s">
        <v>44</v>
      </c>
      <c r="C33" s="7" t="s">
        <v>47</v>
      </c>
      <c r="D33" s="7" t="s">
        <v>41</v>
      </c>
      <c r="E33" s="8">
        <v>2008</v>
      </c>
      <c r="F33" s="9">
        <v>344</v>
      </c>
      <c r="G33" s="20"/>
      <c r="H33" s="94">
        <f t="shared" si="17"/>
        <v>2.459268367660621</v>
      </c>
      <c r="I33" s="91"/>
      <c r="J33" s="14">
        <v>3253</v>
      </c>
      <c r="K33" s="126">
        <f>(40-13)/1000</f>
        <v>0.027</v>
      </c>
      <c r="L33" s="2">
        <f t="shared" si="9"/>
        <v>30213.864</v>
      </c>
      <c r="M33" s="3">
        <v>0.1</v>
      </c>
      <c r="N33" s="2">
        <f t="shared" si="10"/>
        <v>27192.477600000002</v>
      </c>
      <c r="P33" s="12">
        <v>0.0179</v>
      </c>
      <c r="Q33" s="6">
        <f t="shared" si="11"/>
        <v>486.74534904</v>
      </c>
      <c r="S33" s="209"/>
      <c r="T33" s="2">
        <f t="shared" si="7"/>
        <v>27192.477600000002</v>
      </c>
      <c r="U33" s="120">
        <f t="shared" si="12"/>
        <v>486.74534904</v>
      </c>
      <c r="V33" s="120"/>
      <c r="W33" s="140">
        <v>5632.2</v>
      </c>
      <c r="X33" s="133">
        <v>67.02318</v>
      </c>
      <c r="Y33" s="134">
        <f t="shared" si="13"/>
        <v>419.72216904000004</v>
      </c>
      <c r="Z33" s="6">
        <f t="shared" si="14"/>
        <v>385.92896904</v>
      </c>
      <c r="AA33" s="6">
        <f t="shared" si="15"/>
        <v>33.7932</v>
      </c>
    </row>
    <row r="34" spans="1:27" s="7" customFormat="1" ht="12.75">
      <c r="A34" s="7" t="s">
        <v>53</v>
      </c>
      <c r="B34" s="7" t="s">
        <v>44</v>
      </c>
      <c r="C34" s="7" t="s">
        <v>48</v>
      </c>
      <c r="D34" s="7" t="s">
        <v>41</v>
      </c>
      <c r="E34" s="8">
        <v>2008</v>
      </c>
      <c r="F34" s="9">
        <v>43</v>
      </c>
      <c r="G34" s="20"/>
      <c r="H34" s="94">
        <f t="shared" si="17"/>
        <v>2.459268367660621</v>
      </c>
      <c r="I34" s="91"/>
      <c r="J34" s="14">
        <v>3253</v>
      </c>
      <c r="K34" s="126">
        <f>(100-23)/1000</f>
        <v>0.077</v>
      </c>
      <c r="L34" s="2">
        <f t="shared" si="9"/>
        <v>10770.682999999999</v>
      </c>
      <c r="M34" s="11">
        <v>0.1</v>
      </c>
      <c r="N34" s="23">
        <f t="shared" si="10"/>
        <v>9693.6147</v>
      </c>
      <c r="P34" s="12">
        <v>0.0179</v>
      </c>
      <c r="Q34" s="13">
        <f t="shared" si="11"/>
        <v>173.51570313</v>
      </c>
      <c r="R34" s="223"/>
      <c r="S34" s="209"/>
      <c r="T34" s="2">
        <f t="shared" si="7"/>
        <v>9693.6147</v>
      </c>
      <c r="U34" s="120">
        <f t="shared" si="12"/>
        <v>173.51570313</v>
      </c>
      <c r="V34" s="120"/>
      <c r="W34" s="142">
        <v>224.28</v>
      </c>
      <c r="X34" s="133">
        <v>2.6689320000000003</v>
      </c>
      <c r="Y34" s="134">
        <f t="shared" si="13"/>
        <v>170.84677112999998</v>
      </c>
      <c r="Z34" s="6">
        <f t="shared" si="14"/>
        <v>169.50109113</v>
      </c>
      <c r="AA34" s="6">
        <f t="shared" si="15"/>
        <v>1.3456799999999995</v>
      </c>
    </row>
    <row r="35" spans="1:27" s="7" customFormat="1" ht="12.75">
      <c r="A35" s="7" t="s">
        <v>53</v>
      </c>
      <c r="B35" s="7" t="s">
        <v>44</v>
      </c>
      <c r="C35" s="7" t="s">
        <v>108</v>
      </c>
      <c r="D35" s="7" t="s">
        <v>41</v>
      </c>
      <c r="E35" s="8">
        <v>2008</v>
      </c>
      <c r="F35" s="9">
        <v>41</v>
      </c>
      <c r="G35" s="20"/>
      <c r="H35" s="94">
        <f t="shared" si="17"/>
        <v>2.459268367660621</v>
      </c>
      <c r="I35" s="91"/>
      <c r="J35" s="14">
        <v>3253</v>
      </c>
      <c r="K35" s="126">
        <f>(60-15)/1000</f>
        <v>0.045</v>
      </c>
      <c r="L35" s="2">
        <f t="shared" si="9"/>
        <v>6001.785</v>
      </c>
      <c r="M35" s="11">
        <v>0.05</v>
      </c>
      <c r="N35" s="23">
        <f t="shared" si="10"/>
        <v>5701.69575</v>
      </c>
      <c r="P35" s="12">
        <v>0.0179</v>
      </c>
      <c r="Q35" s="13">
        <f t="shared" si="11"/>
        <v>102.06035392499999</v>
      </c>
      <c r="R35" s="223"/>
      <c r="S35" s="209"/>
      <c r="T35" s="2">
        <f t="shared" si="7"/>
        <v>5701.69575</v>
      </c>
      <c r="U35" s="120">
        <f t="shared" si="12"/>
        <v>102.06035392499999</v>
      </c>
      <c r="V35" s="120"/>
      <c r="W35" s="142">
        <v>162683.1</v>
      </c>
      <c r="X35" s="133">
        <v>1935.9288900000001</v>
      </c>
      <c r="Y35" s="134">
        <f t="shared" si="13"/>
        <v>-1833.868536075</v>
      </c>
      <c r="Z35" s="6">
        <f t="shared" si="14"/>
        <v>-2809.967136075</v>
      </c>
      <c r="AA35" s="6">
        <f t="shared" si="15"/>
        <v>976.0985999999998</v>
      </c>
    </row>
    <row r="36" spans="1:27" s="7" customFormat="1" ht="12.75">
      <c r="A36" s="7" t="s">
        <v>53</v>
      </c>
      <c r="B36" s="7" t="s">
        <v>44</v>
      </c>
      <c r="C36" s="7" t="s">
        <v>109</v>
      </c>
      <c r="D36" s="7" t="s">
        <v>41</v>
      </c>
      <c r="E36" s="8">
        <v>2008</v>
      </c>
      <c r="F36" s="9">
        <v>43</v>
      </c>
      <c r="G36" s="20"/>
      <c r="H36" s="94">
        <f t="shared" si="17"/>
        <v>2.459268367660621</v>
      </c>
      <c r="I36" s="91"/>
      <c r="J36" s="14">
        <v>3253</v>
      </c>
      <c r="K36" s="126">
        <f>(75-18)/1000</f>
        <v>0.057</v>
      </c>
      <c r="L36" s="2">
        <f t="shared" si="9"/>
        <v>7973.103000000001</v>
      </c>
      <c r="M36" s="11">
        <v>0.05</v>
      </c>
      <c r="N36" s="23">
        <f t="shared" si="10"/>
        <v>7574.4478500000005</v>
      </c>
      <c r="P36" s="12">
        <v>0.0179</v>
      </c>
      <c r="Q36" s="13">
        <f t="shared" si="11"/>
        <v>135.582616515</v>
      </c>
      <c r="R36" s="223"/>
      <c r="S36" s="209"/>
      <c r="T36" s="2">
        <f t="shared" si="7"/>
        <v>7574.4478500000005</v>
      </c>
      <c r="U36" s="120">
        <f t="shared" si="12"/>
        <v>135.582616515</v>
      </c>
      <c r="V36" s="120"/>
      <c r="W36" s="142">
        <v>8410.5</v>
      </c>
      <c r="X36" s="133">
        <v>100.08495</v>
      </c>
      <c r="Y36" s="134">
        <f t="shared" si="13"/>
        <v>35.497666515000006</v>
      </c>
      <c r="Z36" s="6">
        <f t="shared" si="14"/>
        <v>-14.965333484999991</v>
      </c>
      <c r="AA36" s="6">
        <f t="shared" si="15"/>
        <v>50.46299999999999</v>
      </c>
    </row>
    <row r="37" spans="1:32" s="31" customFormat="1" ht="12.75">
      <c r="A37" s="7" t="s">
        <v>53</v>
      </c>
      <c r="B37" s="7" t="s">
        <v>44</v>
      </c>
      <c r="C37" s="7" t="s">
        <v>110</v>
      </c>
      <c r="D37" s="7" t="s">
        <v>41</v>
      </c>
      <c r="E37" s="8">
        <v>2008</v>
      </c>
      <c r="F37" s="9">
        <v>70</v>
      </c>
      <c r="G37" s="20"/>
      <c r="H37" s="94">
        <f t="shared" si="17"/>
        <v>2.459268367660621</v>
      </c>
      <c r="I37" s="91"/>
      <c r="J37" s="14">
        <v>3253</v>
      </c>
      <c r="K37" s="126">
        <f>(100-26)/1000</f>
        <v>0.074</v>
      </c>
      <c r="L37" s="2">
        <f t="shared" si="9"/>
        <v>16850.539999999997</v>
      </c>
      <c r="M37" s="11">
        <v>0.05</v>
      </c>
      <c r="N37" s="23">
        <f t="shared" si="10"/>
        <v>16008.012999999997</v>
      </c>
      <c r="O37" s="7"/>
      <c r="P37" s="12">
        <v>0.0179</v>
      </c>
      <c r="Q37" s="13">
        <f t="shared" si="11"/>
        <v>286.5434326999999</v>
      </c>
      <c r="R37" s="223"/>
      <c r="S37" s="209"/>
      <c r="T37" s="2">
        <f t="shared" si="7"/>
        <v>16008.012999999997</v>
      </c>
      <c r="U37" s="120">
        <f t="shared" si="12"/>
        <v>286.5434326999999</v>
      </c>
      <c r="V37" s="120"/>
      <c r="W37" s="142">
        <v>6399.990000000001</v>
      </c>
      <c r="X37" s="133">
        <v>76.15988100000001</v>
      </c>
      <c r="Y37" s="134">
        <f t="shared" si="13"/>
        <v>210.3835516999999</v>
      </c>
      <c r="Z37" s="6">
        <f t="shared" si="14"/>
        <v>171.98361169999995</v>
      </c>
      <c r="AA37" s="6">
        <f t="shared" si="15"/>
        <v>38.399939999999994</v>
      </c>
      <c r="AB37" s="7"/>
      <c r="AC37" s="7"/>
      <c r="AD37" s="7"/>
      <c r="AE37" s="7"/>
      <c r="AF37" s="7"/>
    </row>
    <row r="38" spans="1:32" s="17" customFormat="1" ht="12.75">
      <c r="A38" s="7" t="s">
        <v>53</v>
      </c>
      <c r="B38" s="7" t="s">
        <v>44</v>
      </c>
      <c r="C38" s="7" t="s">
        <v>49</v>
      </c>
      <c r="D38" s="7" t="s">
        <v>41</v>
      </c>
      <c r="E38" s="8">
        <v>2008</v>
      </c>
      <c r="F38" s="9">
        <v>50</v>
      </c>
      <c r="G38" s="20"/>
      <c r="H38" s="94">
        <f t="shared" si="17"/>
        <v>2.459268367660621</v>
      </c>
      <c r="I38" s="91"/>
      <c r="J38" s="14">
        <v>3253</v>
      </c>
      <c r="K38" s="126">
        <f>(60-15)/1000</f>
        <v>0.045</v>
      </c>
      <c r="L38" s="2">
        <f t="shared" si="9"/>
        <v>7319.25</v>
      </c>
      <c r="M38" s="3">
        <v>0.1</v>
      </c>
      <c r="N38" s="2">
        <f t="shared" si="10"/>
        <v>6587.325</v>
      </c>
      <c r="O38"/>
      <c r="P38" s="12">
        <v>0.0179</v>
      </c>
      <c r="Q38" s="6">
        <f t="shared" si="11"/>
        <v>117.9131175</v>
      </c>
      <c r="R38" s="223"/>
      <c r="S38" s="209"/>
      <c r="T38" s="2">
        <f t="shared" si="7"/>
        <v>6587.325</v>
      </c>
      <c r="U38" s="120">
        <f t="shared" si="12"/>
        <v>117.9131175</v>
      </c>
      <c r="V38" s="120"/>
      <c r="W38" s="140">
        <v>2859.5699999999997</v>
      </c>
      <c r="X38" s="133">
        <v>34.028883</v>
      </c>
      <c r="Y38" s="134">
        <f t="shared" si="13"/>
        <v>83.88423449999999</v>
      </c>
      <c r="Z38" s="6">
        <f t="shared" si="14"/>
        <v>66.7268145</v>
      </c>
      <c r="AA38" s="6">
        <f t="shared" si="15"/>
        <v>17.157419999999995</v>
      </c>
      <c r="AB38"/>
      <c r="AC38"/>
      <c r="AD38"/>
      <c r="AE38"/>
      <c r="AF38"/>
    </row>
    <row r="39" spans="1:27" ht="12.75">
      <c r="A39" s="7" t="s">
        <v>53</v>
      </c>
      <c r="B39" s="7" t="s">
        <v>44</v>
      </c>
      <c r="C39" s="7" t="s">
        <v>50</v>
      </c>
      <c r="D39" s="7" t="s">
        <v>41</v>
      </c>
      <c r="E39" s="8">
        <v>2008</v>
      </c>
      <c r="F39" s="9">
        <v>45</v>
      </c>
      <c r="G39" s="20"/>
      <c r="H39" s="94">
        <f t="shared" si="17"/>
        <v>2.459268367660621</v>
      </c>
      <c r="I39" s="91"/>
      <c r="J39" s="14">
        <v>3253</v>
      </c>
      <c r="K39" s="126">
        <f>(75-18)/1000</f>
        <v>0.057</v>
      </c>
      <c r="L39" s="2">
        <f t="shared" si="9"/>
        <v>8343.945000000002</v>
      </c>
      <c r="M39" s="3">
        <v>0.1</v>
      </c>
      <c r="N39" s="2">
        <f t="shared" si="10"/>
        <v>7509.550500000001</v>
      </c>
      <c r="P39" s="12">
        <v>0.0179</v>
      </c>
      <c r="Q39" s="6">
        <f t="shared" si="11"/>
        <v>134.42095395</v>
      </c>
      <c r="S39" s="209"/>
      <c r="T39" s="2">
        <f t="shared" si="7"/>
        <v>7509.550500000001</v>
      </c>
      <c r="U39" s="120">
        <f t="shared" si="12"/>
        <v>134.42095395</v>
      </c>
      <c r="V39" s="120"/>
      <c r="W39" s="140">
        <v>99207.855</v>
      </c>
      <c r="X39" s="133">
        <v>1180.5734745</v>
      </c>
      <c r="Y39" s="134">
        <f t="shared" si="13"/>
        <v>-1046.15252055</v>
      </c>
      <c r="Z39" s="6">
        <f t="shared" si="14"/>
        <v>-1641.39965055</v>
      </c>
      <c r="AA39" s="6">
        <f t="shared" si="15"/>
        <v>595.2471299999999</v>
      </c>
    </row>
    <row r="40" spans="1:27" s="7" customFormat="1" ht="12.75">
      <c r="A40" s="7" t="s">
        <v>53</v>
      </c>
      <c r="B40" s="7" t="s">
        <v>44</v>
      </c>
      <c r="C40" s="7" t="s">
        <v>51</v>
      </c>
      <c r="D40" s="7" t="s">
        <v>41</v>
      </c>
      <c r="E40" s="8">
        <v>2008</v>
      </c>
      <c r="F40" s="9">
        <v>8</v>
      </c>
      <c r="G40" s="20"/>
      <c r="H40" s="94">
        <f t="shared" si="17"/>
        <v>2.459268367660621</v>
      </c>
      <c r="I40" s="91"/>
      <c r="J40" s="14">
        <v>3253</v>
      </c>
      <c r="K40" s="126">
        <f>(100-28)/1000</f>
        <v>0.072</v>
      </c>
      <c r="L40" s="2">
        <f t="shared" si="9"/>
        <v>1873.7279999999998</v>
      </c>
      <c r="M40" s="11">
        <v>0.05</v>
      </c>
      <c r="N40" s="23">
        <f t="shared" si="10"/>
        <v>1780.0415999999998</v>
      </c>
      <c r="P40" s="12">
        <v>0.0179</v>
      </c>
      <c r="Q40" s="13">
        <f t="shared" si="11"/>
        <v>31.862744639999995</v>
      </c>
      <c r="R40" s="223"/>
      <c r="S40" s="209"/>
      <c r="T40" s="2">
        <f t="shared" si="7"/>
        <v>1780.0415999999998</v>
      </c>
      <c r="U40" s="120">
        <f t="shared" si="12"/>
        <v>31.862744639999995</v>
      </c>
      <c r="V40" s="120"/>
      <c r="W40" s="142">
        <v>189676.80000000002</v>
      </c>
      <c r="X40" s="133">
        <v>2257.15392</v>
      </c>
      <c r="Y40" s="134">
        <f t="shared" si="13"/>
        <v>-2225.29117536</v>
      </c>
      <c r="Z40" s="6">
        <f t="shared" si="14"/>
        <v>-3363.3519753600003</v>
      </c>
      <c r="AA40" s="6">
        <f t="shared" si="15"/>
        <v>1138.0608000000002</v>
      </c>
    </row>
    <row r="41" spans="1:27" ht="12.75">
      <c r="A41" s="7" t="s">
        <v>53</v>
      </c>
      <c r="B41" s="7" t="s">
        <v>44</v>
      </c>
      <c r="C41" s="7" t="s">
        <v>52</v>
      </c>
      <c r="D41" s="7" t="s">
        <v>41</v>
      </c>
      <c r="E41" s="8">
        <v>2008</v>
      </c>
      <c r="F41" s="9">
        <v>35</v>
      </c>
      <c r="G41" s="20"/>
      <c r="H41" s="94">
        <f t="shared" si="17"/>
        <v>2.459268367660621</v>
      </c>
      <c r="I41" s="91"/>
      <c r="J41" s="14">
        <v>3253</v>
      </c>
      <c r="K41" s="126">
        <f>(100-26)/1000</f>
        <v>0.074</v>
      </c>
      <c r="L41" s="2">
        <f t="shared" si="9"/>
        <v>8425.269999999999</v>
      </c>
      <c r="M41" s="3">
        <v>0.1</v>
      </c>
      <c r="N41" s="2">
        <f t="shared" si="10"/>
        <v>7582.742999999999</v>
      </c>
      <c r="P41" s="12">
        <v>0.0179</v>
      </c>
      <c r="Q41" s="6">
        <f t="shared" si="11"/>
        <v>135.73109969999996</v>
      </c>
      <c r="S41" s="209"/>
      <c r="T41" s="2">
        <f t="shared" si="7"/>
        <v>7582.742999999999</v>
      </c>
      <c r="U41" s="120">
        <f t="shared" si="12"/>
        <v>135.73109969999996</v>
      </c>
      <c r="V41" s="120"/>
      <c r="W41" s="140">
        <v>4765.95</v>
      </c>
      <c r="X41" s="133">
        <v>56.714805</v>
      </c>
      <c r="Y41" s="134">
        <f t="shared" si="13"/>
        <v>79.01629469999996</v>
      </c>
      <c r="AA41" s="6">
        <f t="shared" si="15"/>
        <v>28.59569999999999</v>
      </c>
    </row>
    <row r="42" spans="1:27" ht="12.75">
      <c r="A42" s="7" t="s">
        <v>53</v>
      </c>
      <c r="B42" t="s">
        <v>59</v>
      </c>
      <c r="C42" t="s">
        <v>61</v>
      </c>
      <c r="D42" s="7" t="s">
        <v>41</v>
      </c>
      <c r="E42" s="8">
        <v>2008</v>
      </c>
      <c r="F42" s="9">
        <v>44</v>
      </c>
      <c r="G42" s="20"/>
      <c r="H42" s="94">
        <f t="shared" si="17"/>
        <v>3.7209302325581395</v>
      </c>
      <c r="I42" s="91"/>
      <c r="J42" s="14">
        <v>2150</v>
      </c>
      <c r="K42" s="126">
        <f>(60-15)/1000</f>
        <v>0.045</v>
      </c>
      <c r="L42" s="2">
        <f t="shared" si="9"/>
        <v>4257</v>
      </c>
      <c r="M42" s="3">
        <v>0.1</v>
      </c>
      <c r="N42" s="2">
        <f aca="true" t="shared" si="18" ref="N42:N58">+L42*(1-M42)</f>
        <v>3831.3</v>
      </c>
      <c r="P42" s="12">
        <v>0.0179</v>
      </c>
      <c r="Q42" s="6">
        <f aca="true" t="shared" si="19" ref="Q42:Q58">+N42*P42</f>
        <v>68.58027</v>
      </c>
      <c r="R42" s="223">
        <f>N42</f>
        <v>3831.3</v>
      </c>
      <c r="S42" s="209">
        <f>N42*0.0182</f>
        <v>69.72966000000001</v>
      </c>
      <c r="T42" s="2">
        <f t="shared" si="7"/>
        <v>7662.6</v>
      </c>
      <c r="U42" s="120">
        <f t="shared" si="12"/>
        <v>138.30993</v>
      </c>
      <c r="V42" s="120"/>
      <c r="W42" s="140">
        <v>3831.3</v>
      </c>
      <c r="X42" s="133">
        <v>69.72966000000001</v>
      </c>
      <c r="Y42" s="134">
        <f t="shared" si="13"/>
        <v>-1.149390000000011</v>
      </c>
      <c r="AA42" s="6">
        <f t="shared" si="15"/>
        <v>-1.1493900000000064</v>
      </c>
    </row>
    <row r="43" spans="1:27" ht="12.75">
      <c r="A43" s="7" t="s">
        <v>53</v>
      </c>
      <c r="B43" t="s">
        <v>59</v>
      </c>
      <c r="C43" t="s">
        <v>60</v>
      </c>
      <c r="D43" s="7" t="s">
        <v>41</v>
      </c>
      <c r="E43" s="8">
        <v>2008</v>
      </c>
      <c r="F43" s="9">
        <v>22</v>
      </c>
      <c r="G43" s="20"/>
      <c r="H43" s="94">
        <f aca="true" t="shared" si="20" ref="H43:H52">((10000+6000)/2)/J43</f>
        <v>3.7209302325581395</v>
      </c>
      <c r="I43" s="91"/>
      <c r="J43" s="14">
        <v>2150</v>
      </c>
      <c r="K43" s="126">
        <f>(60-13)/1000</f>
        <v>0.047</v>
      </c>
      <c r="L43" s="2">
        <f t="shared" si="9"/>
        <v>2223.1</v>
      </c>
      <c r="M43" s="3">
        <v>0.1</v>
      </c>
      <c r="N43" s="2">
        <f t="shared" si="18"/>
        <v>2000.79</v>
      </c>
      <c r="P43" s="12">
        <v>0.0179</v>
      </c>
      <c r="Q43" s="6">
        <f t="shared" si="19"/>
        <v>35.814141</v>
      </c>
      <c r="R43" s="223">
        <f aca="true" t="shared" si="21" ref="R43:R58">N43</f>
        <v>2000.79</v>
      </c>
      <c r="S43" s="209">
        <f aca="true" t="shared" si="22" ref="S43:S58">N43*0.0182</f>
        <v>36.414378</v>
      </c>
      <c r="T43" s="2">
        <f t="shared" si="7"/>
        <v>4001.58</v>
      </c>
      <c r="U43" s="120">
        <f t="shared" si="12"/>
        <v>72.228519</v>
      </c>
      <c r="V43" s="120"/>
      <c r="W43" s="140">
        <v>2000.79</v>
      </c>
      <c r="X43" s="133">
        <v>36.414378</v>
      </c>
      <c r="Y43" s="134">
        <f t="shared" si="13"/>
        <v>-0.6002369999999999</v>
      </c>
      <c r="AA43" s="6">
        <f t="shared" si="15"/>
        <v>-0.6002370000000034</v>
      </c>
    </row>
    <row r="44" spans="1:27" ht="12.75">
      <c r="A44" s="7" t="s">
        <v>53</v>
      </c>
      <c r="B44" t="s">
        <v>59</v>
      </c>
      <c r="C44" s="7" t="s">
        <v>62</v>
      </c>
      <c r="D44" s="7" t="s">
        <v>41</v>
      </c>
      <c r="E44" s="8">
        <v>2008</v>
      </c>
      <c r="F44" s="9">
        <v>12</v>
      </c>
      <c r="G44" s="20"/>
      <c r="H44" s="94">
        <f t="shared" si="20"/>
        <v>3.7209302325581395</v>
      </c>
      <c r="I44" s="91"/>
      <c r="J44" s="14">
        <v>2150</v>
      </c>
      <c r="K44" s="126">
        <f>(40-11)/1000</f>
        <v>0.029</v>
      </c>
      <c r="L44" s="2">
        <f t="shared" si="9"/>
        <v>748.2</v>
      </c>
      <c r="M44" s="3">
        <v>0.1</v>
      </c>
      <c r="N44" s="2">
        <f t="shared" si="18"/>
        <v>673.3800000000001</v>
      </c>
      <c r="P44" s="12">
        <v>0.0179</v>
      </c>
      <c r="Q44" s="6">
        <f t="shared" si="19"/>
        <v>12.053502000000002</v>
      </c>
      <c r="R44" s="223">
        <f t="shared" si="21"/>
        <v>673.3800000000001</v>
      </c>
      <c r="S44" s="209">
        <f t="shared" si="22"/>
        <v>12.255516000000002</v>
      </c>
      <c r="T44" s="2">
        <f t="shared" si="7"/>
        <v>1346.7600000000002</v>
      </c>
      <c r="U44" s="120">
        <f t="shared" si="12"/>
        <v>24.309018000000002</v>
      </c>
      <c r="V44" s="120"/>
      <c r="W44" s="140">
        <v>673.3800000000001</v>
      </c>
      <c r="X44" s="133">
        <v>12.255516000000002</v>
      </c>
      <c r="Y44" s="134">
        <f t="shared" si="13"/>
        <v>-0.20201400000000014</v>
      </c>
      <c r="AA44" s="6">
        <f t="shared" si="15"/>
        <v>-0.20201400000000114</v>
      </c>
    </row>
    <row r="45" spans="1:27" ht="12.75">
      <c r="A45" s="7" t="s">
        <v>53</v>
      </c>
      <c r="B45" t="s">
        <v>59</v>
      </c>
      <c r="C45" s="7" t="s">
        <v>63</v>
      </c>
      <c r="D45" s="7" t="s">
        <v>41</v>
      </c>
      <c r="E45" s="8">
        <v>2008</v>
      </c>
      <c r="F45" s="9">
        <v>8</v>
      </c>
      <c r="G45" s="20"/>
      <c r="H45" s="94">
        <f t="shared" si="20"/>
        <v>3.7209302325581395</v>
      </c>
      <c r="I45" s="91"/>
      <c r="J45" s="14">
        <v>2150</v>
      </c>
      <c r="K45" s="126">
        <f>(60-16)/1000</f>
        <v>0.044</v>
      </c>
      <c r="L45" s="2">
        <f t="shared" si="9"/>
        <v>756.8</v>
      </c>
      <c r="M45" s="3">
        <v>0.1</v>
      </c>
      <c r="N45" s="2">
        <f t="shared" si="18"/>
        <v>681.12</v>
      </c>
      <c r="P45" s="12">
        <v>0.0179</v>
      </c>
      <c r="Q45" s="6">
        <f t="shared" si="19"/>
        <v>12.192048</v>
      </c>
      <c r="R45" s="223">
        <f t="shared" si="21"/>
        <v>681.12</v>
      </c>
      <c r="S45" s="209">
        <f t="shared" si="22"/>
        <v>12.396384000000001</v>
      </c>
      <c r="T45" s="2">
        <f t="shared" si="7"/>
        <v>1362.24</v>
      </c>
      <c r="U45" s="120">
        <f t="shared" si="12"/>
        <v>24.588432</v>
      </c>
      <c r="V45" s="120"/>
      <c r="W45" s="140">
        <v>681.12</v>
      </c>
      <c r="X45" s="133">
        <v>12.396384000000001</v>
      </c>
      <c r="Y45" s="134">
        <f t="shared" si="13"/>
        <v>-0.2043360000000014</v>
      </c>
      <c r="AA45" s="6">
        <f t="shared" si="15"/>
        <v>-0.20433600000000113</v>
      </c>
    </row>
    <row r="46" spans="1:27" ht="12.75">
      <c r="A46" s="7" t="s">
        <v>53</v>
      </c>
      <c r="B46" t="s">
        <v>59</v>
      </c>
      <c r="C46" s="7" t="s">
        <v>68</v>
      </c>
      <c r="D46" s="7" t="s">
        <v>41</v>
      </c>
      <c r="E46" s="8">
        <v>2008</v>
      </c>
      <c r="F46" s="9">
        <v>4</v>
      </c>
      <c r="G46" s="20"/>
      <c r="H46" s="94">
        <f t="shared" si="20"/>
        <v>3.7209302325581395</v>
      </c>
      <c r="I46" s="91"/>
      <c r="J46" s="14">
        <v>2150</v>
      </c>
      <c r="K46" s="126">
        <f>(100-26)/1000</f>
        <v>0.074</v>
      </c>
      <c r="L46" s="2">
        <f t="shared" si="9"/>
        <v>636.4</v>
      </c>
      <c r="M46" s="3">
        <v>0.1</v>
      </c>
      <c r="N46" s="2">
        <f t="shared" si="18"/>
        <v>572.76</v>
      </c>
      <c r="P46" s="12">
        <v>0.0179</v>
      </c>
      <c r="Q46" s="6">
        <f t="shared" si="19"/>
        <v>10.252403999999999</v>
      </c>
      <c r="R46" s="223">
        <f t="shared" si="21"/>
        <v>572.76</v>
      </c>
      <c r="S46" s="209">
        <f t="shared" si="22"/>
        <v>10.424232</v>
      </c>
      <c r="T46" s="2">
        <f t="shared" si="7"/>
        <v>1145.52</v>
      </c>
      <c r="U46" s="120">
        <f t="shared" si="12"/>
        <v>20.676636</v>
      </c>
      <c r="V46" s="120"/>
      <c r="W46" s="140">
        <v>572.76</v>
      </c>
      <c r="X46" s="133">
        <v>10.424232</v>
      </c>
      <c r="Y46" s="134">
        <f t="shared" si="13"/>
        <v>-0.17182800000000142</v>
      </c>
      <c r="AA46" s="6">
        <f t="shared" si="15"/>
        <v>-0.17182800000000095</v>
      </c>
    </row>
    <row r="47" spans="1:27" ht="12.75">
      <c r="A47" s="7" t="s">
        <v>53</v>
      </c>
      <c r="B47" t="s">
        <v>59</v>
      </c>
      <c r="C47" s="7" t="s">
        <v>64</v>
      </c>
      <c r="D47" s="7" t="s">
        <v>41</v>
      </c>
      <c r="E47" s="8">
        <v>2008</v>
      </c>
      <c r="F47" s="9">
        <v>1</v>
      </c>
      <c r="G47" s="20"/>
      <c r="H47" s="94">
        <f t="shared" si="20"/>
        <v>3.7209302325581395</v>
      </c>
      <c r="I47" s="91"/>
      <c r="J47" s="14">
        <v>2150</v>
      </c>
      <c r="K47" s="126">
        <f>(40-11)/1000</f>
        <v>0.029</v>
      </c>
      <c r="L47" s="2">
        <f t="shared" si="9"/>
        <v>62.35</v>
      </c>
      <c r="M47" s="3">
        <v>0.1</v>
      </c>
      <c r="N47" s="2">
        <f t="shared" si="18"/>
        <v>56.115</v>
      </c>
      <c r="P47" s="12">
        <v>0.0179</v>
      </c>
      <c r="Q47" s="6">
        <f t="shared" si="19"/>
        <v>1.0044585</v>
      </c>
      <c r="R47" s="223">
        <f t="shared" si="21"/>
        <v>56.115</v>
      </c>
      <c r="S47" s="209">
        <f t="shared" si="22"/>
        <v>1.021293</v>
      </c>
      <c r="T47" s="2">
        <f t="shared" si="7"/>
        <v>112.23</v>
      </c>
      <c r="U47" s="120">
        <f t="shared" si="12"/>
        <v>2.0257515</v>
      </c>
      <c r="V47" s="120"/>
      <c r="W47" s="140">
        <v>56.115</v>
      </c>
      <c r="X47" s="133">
        <v>1.021293</v>
      </c>
      <c r="Y47" s="134">
        <f t="shared" si="13"/>
        <v>-0.016834500000000086</v>
      </c>
      <c r="AA47" s="6">
        <f t="shared" si="15"/>
        <v>-0.016834500000000092</v>
      </c>
    </row>
    <row r="48" spans="1:27" ht="12.75">
      <c r="A48" s="7" t="s">
        <v>53</v>
      </c>
      <c r="B48" t="s">
        <v>59</v>
      </c>
      <c r="C48" s="7" t="s">
        <v>65</v>
      </c>
      <c r="D48" s="7" t="s">
        <v>41</v>
      </c>
      <c r="E48" s="8">
        <v>2008</v>
      </c>
      <c r="F48" s="9">
        <v>4</v>
      </c>
      <c r="G48" s="20"/>
      <c r="H48" s="94">
        <f t="shared" si="20"/>
        <v>3.7209302325581395</v>
      </c>
      <c r="I48" s="91"/>
      <c r="J48" s="14">
        <v>2150</v>
      </c>
      <c r="K48" s="126">
        <f>(75-18)/1000</f>
        <v>0.057</v>
      </c>
      <c r="L48" s="2">
        <f t="shared" si="9"/>
        <v>490.20000000000005</v>
      </c>
      <c r="M48" s="3">
        <v>0.1</v>
      </c>
      <c r="N48" s="2">
        <f t="shared" si="18"/>
        <v>441.18000000000006</v>
      </c>
      <c r="P48" s="12">
        <v>0.0179</v>
      </c>
      <c r="Q48" s="6">
        <f t="shared" si="19"/>
        <v>7.897122</v>
      </c>
      <c r="R48" s="223">
        <f t="shared" si="21"/>
        <v>441.18000000000006</v>
      </c>
      <c r="S48" s="209">
        <f t="shared" si="22"/>
        <v>8.029476</v>
      </c>
      <c r="T48" s="2">
        <f t="shared" si="7"/>
        <v>882.3600000000001</v>
      </c>
      <c r="U48" s="120">
        <f t="shared" si="12"/>
        <v>15.926598000000002</v>
      </c>
      <c r="V48" s="120"/>
      <c r="W48" s="140">
        <v>441.18</v>
      </c>
      <c r="X48" s="133">
        <v>8.029476</v>
      </c>
      <c r="Y48" s="134">
        <f t="shared" si="13"/>
        <v>-0.1323540000000003</v>
      </c>
      <c r="AA48" s="6">
        <f t="shared" si="15"/>
        <v>-0.13235400000000072</v>
      </c>
    </row>
    <row r="49" spans="1:27" ht="12.75">
      <c r="A49" s="7" t="s">
        <v>53</v>
      </c>
      <c r="B49" t="s">
        <v>59</v>
      </c>
      <c r="C49" s="7" t="s">
        <v>66</v>
      </c>
      <c r="D49" s="7" t="s">
        <v>41</v>
      </c>
      <c r="E49" s="8">
        <v>2008</v>
      </c>
      <c r="F49" s="9">
        <v>2</v>
      </c>
      <c r="G49" s="20"/>
      <c r="H49" s="94">
        <f t="shared" si="20"/>
        <v>3.7209302325581395</v>
      </c>
      <c r="I49" s="91"/>
      <c r="J49" s="14">
        <v>2150</v>
      </c>
      <c r="K49" s="126">
        <f>(100-26)/1000</f>
        <v>0.074</v>
      </c>
      <c r="L49" s="2">
        <f t="shared" si="9"/>
        <v>318.2</v>
      </c>
      <c r="M49" s="3">
        <v>0.1</v>
      </c>
      <c r="N49" s="2">
        <f t="shared" si="18"/>
        <v>286.38</v>
      </c>
      <c r="P49" s="12">
        <v>0.0179</v>
      </c>
      <c r="Q49" s="6">
        <f t="shared" si="19"/>
        <v>5.126201999999999</v>
      </c>
      <c r="R49" s="223">
        <f t="shared" si="21"/>
        <v>286.38</v>
      </c>
      <c r="S49" s="209">
        <f t="shared" si="22"/>
        <v>5.212116</v>
      </c>
      <c r="T49" s="2">
        <f t="shared" si="7"/>
        <v>572.76</v>
      </c>
      <c r="U49" s="120">
        <f t="shared" si="12"/>
        <v>10.338318</v>
      </c>
      <c r="V49" s="120"/>
      <c r="W49" s="140">
        <v>286.38</v>
      </c>
      <c r="X49" s="133">
        <v>5.212116</v>
      </c>
      <c r="Y49" s="134">
        <f t="shared" si="13"/>
        <v>-0.08591400000000071</v>
      </c>
      <c r="AA49" s="6">
        <f t="shared" si="15"/>
        <v>-0.08591400000000048</v>
      </c>
    </row>
    <row r="50" spans="1:27" ht="12.75">
      <c r="A50" s="7" t="s">
        <v>53</v>
      </c>
      <c r="B50" t="s">
        <v>59</v>
      </c>
      <c r="C50" s="7" t="s">
        <v>67</v>
      </c>
      <c r="D50" s="7" t="s">
        <v>41</v>
      </c>
      <c r="E50" s="8">
        <v>2008</v>
      </c>
      <c r="F50" s="9">
        <v>1</v>
      </c>
      <c r="G50" s="20"/>
      <c r="H50" s="94">
        <f t="shared" si="20"/>
        <v>3.7209302325581395</v>
      </c>
      <c r="I50" s="91"/>
      <c r="J50" s="14">
        <v>2150</v>
      </c>
      <c r="K50" s="126">
        <f>(60-17)/1000</f>
        <v>0.043</v>
      </c>
      <c r="L50" s="2">
        <f t="shared" si="9"/>
        <v>92.44999999999999</v>
      </c>
      <c r="M50" s="3">
        <v>0.1</v>
      </c>
      <c r="N50" s="2">
        <f t="shared" si="18"/>
        <v>83.205</v>
      </c>
      <c r="P50" s="12">
        <v>0.0179</v>
      </c>
      <c r="Q50" s="6">
        <f t="shared" si="19"/>
        <v>1.4893695</v>
      </c>
      <c r="R50" s="223">
        <f t="shared" si="21"/>
        <v>83.205</v>
      </c>
      <c r="S50" s="209">
        <f t="shared" si="22"/>
        <v>1.514331</v>
      </c>
      <c r="T50" s="2">
        <f t="shared" si="7"/>
        <v>166.41</v>
      </c>
      <c r="U50" s="120">
        <f t="shared" si="12"/>
        <v>3.0037005</v>
      </c>
      <c r="V50" s="120"/>
      <c r="W50" s="140">
        <v>83.205</v>
      </c>
      <c r="X50" s="133">
        <v>1.514331</v>
      </c>
      <c r="Y50" s="134">
        <f t="shared" si="13"/>
        <v>-0.02496150000000008</v>
      </c>
      <c r="AA50" s="6">
        <f t="shared" si="15"/>
        <v>-0.024961500000000136</v>
      </c>
    </row>
    <row r="51" spans="1:27" ht="12.75">
      <c r="A51" s="7" t="s">
        <v>53</v>
      </c>
      <c r="B51" t="s">
        <v>59</v>
      </c>
      <c r="C51" s="7" t="s">
        <v>58</v>
      </c>
      <c r="D51" s="7" t="s">
        <v>41</v>
      </c>
      <c r="E51" s="8">
        <v>2008</v>
      </c>
      <c r="F51" s="9">
        <v>4</v>
      </c>
      <c r="G51" s="20"/>
      <c r="H51" s="32">
        <v>10</v>
      </c>
      <c r="I51" s="91"/>
      <c r="J51" s="14">
        <v>8760</v>
      </c>
      <c r="K51" s="126">
        <f>(22-5)/1000</f>
        <v>0.017</v>
      </c>
      <c r="L51" s="2">
        <f t="shared" si="9"/>
        <v>595.6800000000001</v>
      </c>
      <c r="M51" s="3">
        <v>0.1</v>
      </c>
      <c r="N51" s="2">
        <f t="shared" si="18"/>
        <v>536.1120000000001</v>
      </c>
      <c r="P51" s="12">
        <v>0.0179</v>
      </c>
      <c r="Q51" s="6">
        <f t="shared" si="19"/>
        <v>9.5964048</v>
      </c>
      <c r="R51" s="223">
        <f t="shared" si="21"/>
        <v>536.1120000000001</v>
      </c>
      <c r="S51" s="209">
        <f t="shared" si="22"/>
        <v>9.757238400000002</v>
      </c>
      <c r="T51" s="2">
        <f t="shared" si="7"/>
        <v>1072.2240000000002</v>
      </c>
      <c r="U51" s="120">
        <f t="shared" si="12"/>
        <v>19.3536432</v>
      </c>
      <c r="V51" s="120"/>
      <c r="W51" s="140">
        <v>536.4</v>
      </c>
      <c r="X51" s="133">
        <v>9.76248</v>
      </c>
      <c r="Y51" s="134">
        <f t="shared" si="13"/>
        <v>-0.16607519999999987</v>
      </c>
      <c r="AA51" s="6">
        <f t="shared" si="15"/>
        <v>-0.16092000000000087</v>
      </c>
    </row>
    <row r="52" spans="1:27" ht="12.75">
      <c r="A52" s="7" t="s">
        <v>53</v>
      </c>
      <c r="B52" t="s">
        <v>59</v>
      </c>
      <c r="C52" s="7" t="s">
        <v>69</v>
      </c>
      <c r="D52" s="7" t="s">
        <v>41</v>
      </c>
      <c r="E52" s="8">
        <v>2008</v>
      </c>
      <c r="F52" s="9">
        <v>6</v>
      </c>
      <c r="G52" s="20"/>
      <c r="H52" s="94">
        <f t="shared" si="20"/>
        <v>3.7209302325581395</v>
      </c>
      <c r="I52" s="91"/>
      <c r="J52" s="14">
        <v>2150</v>
      </c>
      <c r="K52" s="126">
        <f>(40-7)/1000</f>
        <v>0.033</v>
      </c>
      <c r="L52" s="2">
        <f t="shared" si="9"/>
        <v>425.70000000000005</v>
      </c>
      <c r="M52" s="3">
        <v>0.1</v>
      </c>
      <c r="N52" s="2">
        <f t="shared" si="18"/>
        <v>383.13000000000005</v>
      </c>
      <c r="P52" s="12">
        <v>0.0179</v>
      </c>
      <c r="Q52" s="6">
        <f t="shared" si="19"/>
        <v>6.858027000000001</v>
      </c>
      <c r="R52" s="223">
        <f t="shared" si="21"/>
        <v>383.13000000000005</v>
      </c>
      <c r="S52" s="209">
        <f t="shared" si="22"/>
        <v>6.972966000000001</v>
      </c>
      <c r="T52" s="2">
        <f t="shared" si="7"/>
        <v>766.2600000000001</v>
      </c>
      <c r="U52" s="120">
        <f t="shared" si="12"/>
        <v>13.830993000000003</v>
      </c>
      <c r="V52" s="120"/>
      <c r="W52" s="140">
        <v>383.13000000000005</v>
      </c>
      <c r="X52" s="133">
        <v>6.972966000000001</v>
      </c>
      <c r="Y52" s="134">
        <f t="shared" si="13"/>
        <v>-0.11493900000000057</v>
      </c>
      <c r="AA52" s="6">
        <f t="shared" si="15"/>
        <v>-0.11493900000000065</v>
      </c>
    </row>
    <row r="53" spans="1:27" ht="12.75">
      <c r="A53" s="7" t="s">
        <v>53</v>
      </c>
      <c r="B53" t="s">
        <v>59</v>
      </c>
      <c r="C53" s="7" t="s">
        <v>70</v>
      </c>
      <c r="D53" s="7" t="s">
        <v>41</v>
      </c>
      <c r="E53" s="8">
        <v>2008</v>
      </c>
      <c r="F53" s="9">
        <v>3</v>
      </c>
      <c r="G53" s="20"/>
      <c r="H53" s="94">
        <f>20000/J53</f>
        <v>8.620689655172415</v>
      </c>
      <c r="I53" s="91"/>
      <c r="J53" s="14">
        <v>2320</v>
      </c>
      <c r="K53" s="126">
        <f>(88-58)/1000</f>
        <v>0.03</v>
      </c>
      <c r="L53" s="2">
        <f t="shared" si="9"/>
        <v>208.79999999999998</v>
      </c>
      <c r="M53" s="3">
        <v>0.1</v>
      </c>
      <c r="N53" s="2">
        <f t="shared" si="18"/>
        <v>187.92</v>
      </c>
      <c r="P53" s="12">
        <v>0.0179</v>
      </c>
      <c r="Q53" s="6">
        <f t="shared" si="19"/>
        <v>3.3637679999999994</v>
      </c>
      <c r="R53" s="223">
        <f t="shared" si="21"/>
        <v>187.92</v>
      </c>
      <c r="S53" s="209">
        <f t="shared" si="22"/>
        <v>3.420144</v>
      </c>
      <c r="T53" s="2">
        <f t="shared" si="7"/>
        <v>375.84</v>
      </c>
      <c r="U53" s="120">
        <f t="shared" si="12"/>
        <v>6.783911999999999</v>
      </c>
      <c r="V53" s="120"/>
      <c r="W53" s="140">
        <v>174.15</v>
      </c>
      <c r="X53" s="133">
        <v>3.1695300000000004</v>
      </c>
      <c r="Y53" s="134">
        <f t="shared" si="13"/>
        <v>0.19423799999999902</v>
      </c>
      <c r="AA53" s="6">
        <f t="shared" si="15"/>
        <v>-0.05224500000000029</v>
      </c>
    </row>
    <row r="54" spans="1:27" ht="12.75">
      <c r="A54" s="7" t="s">
        <v>53</v>
      </c>
      <c r="B54" t="s">
        <v>80</v>
      </c>
      <c r="C54" s="7" t="s">
        <v>81</v>
      </c>
      <c r="D54" s="7" t="s">
        <v>41</v>
      </c>
      <c r="E54" s="8">
        <v>2008</v>
      </c>
      <c r="F54" s="9">
        <v>2</v>
      </c>
      <c r="G54" s="20"/>
      <c r="H54" s="32">
        <v>16</v>
      </c>
      <c r="I54" s="91"/>
      <c r="J54" s="14">
        <v>2594</v>
      </c>
      <c r="K54" s="126">
        <f>(51-30)/1000</f>
        <v>0.021</v>
      </c>
      <c r="L54" s="2">
        <f aca="true" t="shared" si="23" ref="L54:L66">IF(K54&lt;&gt;"",J54*K54*F54,I54*F54)</f>
        <v>108.94800000000001</v>
      </c>
      <c r="M54" s="3">
        <v>0.1</v>
      </c>
      <c r="N54" s="2">
        <f t="shared" si="18"/>
        <v>98.0532</v>
      </c>
      <c r="P54" s="12">
        <v>0.0179</v>
      </c>
      <c r="Q54" s="6">
        <f t="shared" si="19"/>
        <v>1.75515228</v>
      </c>
      <c r="R54" s="223">
        <f t="shared" si="21"/>
        <v>98.0532</v>
      </c>
      <c r="S54" s="209">
        <f t="shared" si="22"/>
        <v>1.7845682400000002</v>
      </c>
      <c r="T54" s="2">
        <f t="shared" si="7"/>
        <v>196.1064</v>
      </c>
      <c r="U54" s="120">
        <f aca="true" t="shared" si="24" ref="U54:U85">Q54+S54</f>
        <v>3.5397205200000004</v>
      </c>
      <c r="V54" s="120"/>
      <c r="W54" s="140">
        <v>151.20000000000002</v>
      </c>
      <c r="X54" s="133">
        <v>2.7518400000000005</v>
      </c>
      <c r="Y54" s="134">
        <f t="shared" si="13"/>
        <v>-0.9966877200000006</v>
      </c>
      <c r="AA54" s="6">
        <f t="shared" si="15"/>
        <v>-0.045360000000000254</v>
      </c>
    </row>
    <row r="55" spans="1:27" ht="12.75">
      <c r="A55" s="7" t="s">
        <v>53</v>
      </c>
      <c r="B55" t="s">
        <v>80</v>
      </c>
      <c r="C55" s="7" t="s">
        <v>78</v>
      </c>
      <c r="D55" s="7" t="s">
        <v>41</v>
      </c>
      <c r="E55" s="8">
        <v>2008</v>
      </c>
      <c r="F55" s="9">
        <v>34</v>
      </c>
      <c r="G55" s="20"/>
      <c r="H55" s="32">
        <v>16</v>
      </c>
      <c r="I55" s="91"/>
      <c r="J55" s="14">
        <v>2594</v>
      </c>
      <c r="K55" s="126">
        <f>(88-58)/1000</f>
        <v>0.03</v>
      </c>
      <c r="L55" s="2">
        <f t="shared" si="23"/>
        <v>2645.8799999999997</v>
      </c>
      <c r="M55" s="3">
        <v>0.1</v>
      </c>
      <c r="N55" s="2">
        <f t="shared" si="18"/>
        <v>2381.292</v>
      </c>
      <c r="P55" s="12">
        <v>0.0179</v>
      </c>
      <c r="Q55" s="6">
        <f t="shared" si="19"/>
        <v>42.6251268</v>
      </c>
      <c r="R55" s="223">
        <f t="shared" si="21"/>
        <v>2381.292</v>
      </c>
      <c r="S55" s="209">
        <f t="shared" si="22"/>
        <v>43.3395144</v>
      </c>
      <c r="T55" s="2">
        <f t="shared" si="7"/>
        <v>4762.584</v>
      </c>
      <c r="U55" s="120">
        <f t="shared" si="24"/>
        <v>85.96464119999999</v>
      </c>
      <c r="V55" s="120"/>
      <c r="W55" s="140">
        <v>3672</v>
      </c>
      <c r="X55" s="133">
        <v>66.8304</v>
      </c>
      <c r="Y55" s="134">
        <f t="shared" si="13"/>
        <v>-24.2052732</v>
      </c>
      <c r="AA55" s="6">
        <f t="shared" si="15"/>
        <v>-1.1016000000000061</v>
      </c>
    </row>
    <row r="56" spans="1:27" ht="12.75">
      <c r="A56" s="7" t="s">
        <v>53</v>
      </c>
      <c r="B56" t="s">
        <v>80</v>
      </c>
      <c r="C56" s="7" t="s">
        <v>82</v>
      </c>
      <c r="D56" s="7" t="s">
        <v>41</v>
      </c>
      <c r="E56" s="8">
        <v>2008</v>
      </c>
      <c r="F56" s="9">
        <v>1</v>
      </c>
      <c r="G56" s="20"/>
      <c r="H56" s="32">
        <v>16</v>
      </c>
      <c r="I56" s="91"/>
      <c r="J56" s="14">
        <v>2594</v>
      </c>
      <c r="K56" s="126">
        <f>(149-85)/1000</f>
        <v>0.064</v>
      </c>
      <c r="L56" s="2">
        <f t="shared" si="23"/>
        <v>166.016</v>
      </c>
      <c r="M56" s="3">
        <v>0.1</v>
      </c>
      <c r="N56" s="2">
        <f t="shared" si="18"/>
        <v>149.4144</v>
      </c>
      <c r="P56" s="12">
        <v>0.0179</v>
      </c>
      <c r="Q56" s="6">
        <f t="shared" si="19"/>
        <v>2.67451776</v>
      </c>
      <c r="R56" s="223">
        <f t="shared" si="21"/>
        <v>149.4144</v>
      </c>
      <c r="S56" s="209">
        <f t="shared" si="22"/>
        <v>2.71934208</v>
      </c>
      <c r="T56" s="2">
        <f t="shared" si="7"/>
        <v>298.8288</v>
      </c>
      <c r="U56" s="120">
        <f t="shared" si="24"/>
        <v>5.39385984</v>
      </c>
      <c r="V56" s="120"/>
      <c r="W56" s="140">
        <v>230.4</v>
      </c>
      <c r="X56" s="133">
        <v>4.193280000000001</v>
      </c>
      <c r="Y56" s="134">
        <f t="shared" si="13"/>
        <v>-1.5187622400000005</v>
      </c>
      <c r="AA56" s="6">
        <f t="shared" si="15"/>
        <v>-0.06912000000000039</v>
      </c>
    </row>
    <row r="57" spans="1:27" ht="12.75">
      <c r="A57" s="7" t="s">
        <v>53</v>
      </c>
      <c r="B57" t="s">
        <v>80</v>
      </c>
      <c r="C57" s="7" t="s">
        <v>79</v>
      </c>
      <c r="D57" s="7" t="s">
        <v>41</v>
      </c>
      <c r="E57" s="8">
        <v>2008</v>
      </c>
      <c r="F57" s="9">
        <v>61</v>
      </c>
      <c r="G57" s="20"/>
      <c r="H57" s="32">
        <v>16</v>
      </c>
      <c r="I57" s="91"/>
      <c r="J57" s="14">
        <v>2594</v>
      </c>
      <c r="K57" s="126">
        <f>(175-112)/1000</f>
        <v>0.063</v>
      </c>
      <c r="L57" s="2">
        <f t="shared" si="23"/>
        <v>9968.742</v>
      </c>
      <c r="M57" s="3">
        <v>0.1</v>
      </c>
      <c r="N57" s="2">
        <f t="shared" si="18"/>
        <v>8971.8678</v>
      </c>
      <c r="P57" s="12">
        <v>0.0179</v>
      </c>
      <c r="Q57" s="6">
        <f t="shared" si="19"/>
        <v>160.59643362</v>
      </c>
      <c r="R57" s="223">
        <f t="shared" si="21"/>
        <v>8971.8678</v>
      </c>
      <c r="S57" s="209">
        <f t="shared" si="22"/>
        <v>163.28799396</v>
      </c>
      <c r="T57" s="2">
        <f t="shared" si="7"/>
        <v>17943.7356</v>
      </c>
      <c r="U57" s="120">
        <f t="shared" si="24"/>
        <v>323.88442757999997</v>
      </c>
      <c r="V57" s="120"/>
      <c r="W57" s="140">
        <v>13834.800000000001</v>
      </c>
      <c r="X57" s="133">
        <v>251.79336000000004</v>
      </c>
      <c r="Y57" s="134">
        <f t="shared" si="13"/>
        <v>-91.19692638000004</v>
      </c>
      <c r="AA57" s="6">
        <f t="shared" si="15"/>
        <v>-4.150440000000023</v>
      </c>
    </row>
    <row r="58" spans="1:27" ht="12.75">
      <c r="A58" s="7" t="s">
        <v>53</v>
      </c>
      <c r="B58" t="s">
        <v>71</v>
      </c>
      <c r="C58" s="7" t="s">
        <v>48</v>
      </c>
      <c r="D58" s="7" t="s">
        <v>41</v>
      </c>
      <c r="E58" s="8">
        <v>2008</v>
      </c>
      <c r="F58" s="9">
        <v>156</v>
      </c>
      <c r="G58" s="20"/>
      <c r="H58" s="94">
        <f>((10000+6000)/2)/J58</f>
        <v>2.149959688255845</v>
      </c>
      <c r="I58" s="91"/>
      <c r="J58" s="14">
        <v>3721</v>
      </c>
      <c r="K58" s="126">
        <f>(100-23)/1000</f>
        <v>0.077</v>
      </c>
      <c r="L58" s="2">
        <f t="shared" si="23"/>
        <v>44696.652</v>
      </c>
      <c r="M58" s="3">
        <v>0.1</v>
      </c>
      <c r="N58" s="2">
        <f t="shared" si="18"/>
        <v>40226.986800000006</v>
      </c>
      <c r="P58" s="12">
        <v>0.0179</v>
      </c>
      <c r="Q58" s="6">
        <f t="shared" si="19"/>
        <v>720.0630637200001</v>
      </c>
      <c r="R58" s="223">
        <f t="shared" si="21"/>
        <v>40226.986800000006</v>
      </c>
      <c r="S58" s="209">
        <f t="shared" si="22"/>
        <v>732.1311597600002</v>
      </c>
      <c r="T58" s="2">
        <f t="shared" si="7"/>
        <v>80453.97360000001</v>
      </c>
      <c r="U58" s="120">
        <f t="shared" si="24"/>
        <v>1452.1942234800003</v>
      </c>
      <c r="V58" s="120"/>
      <c r="W58" s="140">
        <v>48108.06</v>
      </c>
      <c r="X58" s="133">
        <v>875.566692</v>
      </c>
      <c r="Y58" s="134">
        <f t="shared" si="13"/>
        <v>-155.50362827999993</v>
      </c>
      <c r="AA58" s="6">
        <f t="shared" si="15"/>
        <v>-14.432418000000078</v>
      </c>
    </row>
    <row r="59" spans="1:27" s="7" customFormat="1" ht="12.75">
      <c r="A59" s="7" t="s">
        <v>53</v>
      </c>
      <c r="B59" s="7" t="s">
        <v>44</v>
      </c>
      <c r="C59" s="7" t="s">
        <v>193</v>
      </c>
      <c r="D59" s="31" t="s">
        <v>166</v>
      </c>
      <c r="E59" s="32">
        <v>2009</v>
      </c>
      <c r="F59" s="127">
        <v>6</v>
      </c>
      <c r="G59" s="20"/>
      <c r="H59" s="94">
        <f aca="true" t="shared" si="25" ref="H59:H78">20000/J59</f>
        <v>6.148170919151553</v>
      </c>
      <c r="I59" s="91"/>
      <c r="J59" s="14">
        <f>3253</f>
        <v>3253</v>
      </c>
      <c r="K59" s="179">
        <v>0.045</v>
      </c>
      <c r="L59" s="180">
        <f t="shared" si="23"/>
        <v>878.31</v>
      </c>
      <c r="M59" s="181">
        <v>0.1</v>
      </c>
      <c r="N59" s="180">
        <f aca="true" t="shared" si="26" ref="N59:N66">+L59*(1-M59)</f>
        <v>790.4789999999999</v>
      </c>
      <c r="P59" s="182">
        <v>0.0179</v>
      </c>
      <c r="Q59" s="183">
        <f aca="true" t="shared" si="27" ref="Q59:Q66">+N59*P59</f>
        <v>14.149574099999999</v>
      </c>
      <c r="R59" s="227"/>
      <c r="S59" s="226"/>
      <c r="T59" s="2">
        <f t="shared" si="7"/>
        <v>790.4789999999999</v>
      </c>
      <c r="U59" s="120">
        <f t="shared" si="24"/>
        <v>14.149574099999999</v>
      </c>
      <c r="V59" s="120"/>
      <c r="W59" s="142"/>
      <c r="X59" s="184"/>
      <c r="Y59" s="185"/>
      <c r="Z59" s="183"/>
      <c r="AA59" s="183"/>
    </row>
    <row r="60" spans="1:27" s="7" customFormat="1" ht="12.75">
      <c r="A60" s="7" t="s">
        <v>53</v>
      </c>
      <c r="B60" s="7" t="s">
        <v>44</v>
      </c>
      <c r="C60" s="7" t="s">
        <v>194</v>
      </c>
      <c r="D60" s="31" t="s">
        <v>166</v>
      </c>
      <c r="E60" s="32">
        <v>2009</v>
      </c>
      <c r="F60" s="127">
        <v>11</v>
      </c>
      <c r="G60" s="20"/>
      <c r="H60" s="94">
        <f t="shared" si="25"/>
        <v>6.148170919151553</v>
      </c>
      <c r="I60" s="91"/>
      <c r="J60" s="14">
        <f>3253</f>
        <v>3253</v>
      </c>
      <c r="K60" s="179">
        <v>0.049</v>
      </c>
      <c r="L60" s="180">
        <f t="shared" si="23"/>
        <v>1753.3670000000002</v>
      </c>
      <c r="M60" s="181">
        <v>0.1</v>
      </c>
      <c r="N60" s="180">
        <f t="shared" si="26"/>
        <v>1578.0303000000001</v>
      </c>
      <c r="P60" s="182">
        <v>0.0179</v>
      </c>
      <c r="Q60" s="183">
        <f t="shared" si="27"/>
        <v>28.24674237</v>
      </c>
      <c r="R60" s="227"/>
      <c r="S60" s="226"/>
      <c r="T60" s="2">
        <f t="shared" si="7"/>
        <v>1578.0303000000001</v>
      </c>
      <c r="U60" s="120">
        <f t="shared" si="24"/>
        <v>28.24674237</v>
      </c>
      <c r="V60" s="120"/>
      <c r="W60" s="142"/>
      <c r="X60" s="184"/>
      <c r="Y60" s="185"/>
      <c r="Z60" s="183"/>
      <c r="AA60" s="183"/>
    </row>
    <row r="61" spans="1:27" s="7" customFormat="1" ht="12.75">
      <c r="A61" s="7" t="s">
        <v>53</v>
      </c>
      <c r="B61" s="7" t="s">
        <v>44</v>
      </c>
      <c r="C61" s="7" t="s">
        <v>195</v>
      </c>
      <c r="D61" s="31" t="s">
        <v>166</v>
      </c>
      <c r="E61" s="32">
        <v>2009</v>
      </c>
      <c r="F61" s="127">
        <v>58</v>
      </c>
      <c r="G61" s="20"/>
      <c r="H61" s="94">
        <f t="shared" si="25"/>
        <v>6.148170919151553</v>
      </c>
      <c r="I61" s="91"/>
      <c r="J61" s="14">
        <f>3253</f>
        <v>3253</v>
      </c>
      <c r="K61" s="179">
        <v>0.071</v>
      </c>
      <c r="L61" s="180">
        <f t="shared" si="23"/>
        <v>13395.853999999998</v>
      </c>
      <c r="M61" s="181">
        <v>0.1</v>
      </c>
      <c r="N61" s="180">
        <f t="shared" si="26"/>
        <v>12056.268599999998</v>
      </c>
      <c r="P61" s="182">
        <v>0.0179</v>
      </c>
      <c r="Q61" s="183">
        <f t="shared" si="27"/>
        <v>215.80720793999996</v>
      </c>
      <c r="R61" s="227"/>
      <c r="S61" s="226"/>
      <c r="T61" s="2">
        <f t="shared" si="7"/>
        <v>12056.268599999998</v>
      </c>
      <c r="U61" s="120">
        <f t="shared" si="24"/>
        <v>215.80720793999996</v>
      </c>
      <c r="V61" s="120"/>
      <c r="W61" s="142"/>
      <c r="X61" s="184"/>
      <c r="Y61" s="185"/>
      <c r="Z61" s="183"/>
      <c r="AA61" s="183"/>
    </row>
    <row r="62" spans="1:27" s="7" customFormat="1" ht="12.75">
      <c r="A62" s="7" t="s">
        <v>53</v>
      </c>
      <c r="B62" s="7" t="s">
        <v>44</v>
      </c>
      <c r="C62" s="7" t="s">
        <v>196</v>
      </c>
      <c r="D62" s="31" t="s">
        <v>166</v>
      </c>
      <c r="E62" s="32">
        <v>2009</v>
      </c>
      <c r="F62" s="127">
        <v>655</v>
      </c>
      <c r="G62" s="20"/>
      <c r="H62" s="94">
        <f t="shared" si="25"/>
        <v>6.148170919151553</v>
      </c>
      <c r="I62" s="91"/>
      <c r="J62" s="14">
        <f>3253</f>
        <v>3253</v>
      </c>
      <c r="K62" s="179">
        <v>0.06</v>
      </c>
      <c r="L62" s="180">
        <f t="shared" si="23"/>
        <v>127842.90000000001</v>
      </c>
      <c r="M62" s="181">
        <v>0.1</v>
      </c>
      <c r="N62" s="180">
        <f t="shared" si="26"/>
        <v>115058.61000000002</v>
      </c>
      <c r="P62" s="182">
        <v>0.0179</v>
      </c>
      <c r="Q62" s="183">
        <f t="shared" si="27"/>
        <v>2059.5491190000002</v>
      </c>
      <c r="R62" s="227"/>
      <c r="S62" s="226"/>
      <c r="T62" s="2">
        <f t="shared" si="7"/>
        <v>115058.61000000002</v>
      </c>
      <c r="U62" s="120">
        <f t="shared" si="24"/>
        <v>2059.5491190000002</v>
      </c>
      <c r="V62" s="120"/>
      <c r="W62" s="142"/>
      <c r="X62" s="184"/>
      <c r="Y62" s="185"/>
      <c r="Z62" s="183"/>
      <c r="AA62" s="183"/>
    </row>
    <row r="63" spans="1:27" s="7" customFormat="1" ht="12.75">
      <c r="A63" s="7" t="s">
        <v>53</v>
      </c>
      <c r="B63" s="7" t="s">
        <v>44</v>
      </c>
      <c r="C63" s="7" t="s">
        <v>197</v>
      </c>
      <c r="D63" s="31" t="s">
        <v>166</v>
      </c>
      <c r="E63" s="32">
        <v>2009</v>
      </c>
      <c r="F63" s="127">
        <v>1</v>
      </c>
      <c r="G63" s="20"/>
      <c r="H63" s="94">
        <f t="shared" si="25"/>
        <v>6.148170919151553</v>
      </c>
      <c r="I63" s="91"/>
      <c r="J63" s="14">
        <f>3253</f>
        <v>3253</v>
      </c>
      <c r="K63" s="179">
        <v>0.14</v>
      </c>
      <c r="L63" s="180">
        <f t="shared" si="23"/>
        <v>455.42</v>
      </c>
      <c r="M63" s="181">
        <v>0.1</v>
      </c>
      <c r="N63" s="180">
        <f t="shared" si="26"/>
        <v>409.87800000000004</v>
      </c>
      <c r="P63" s="182">
        <v>0.0179</v>
      </c>
      <c r="Q63" s="183">
        <f t="shared" si="27"/>
        <v>7.3368162</v>
      </c>
      <c r="R63" s="227"/>
      <c r="S63" s="226"/>
      <c r="T63" s="2">
        <f t="shared" si="7"/>
        <v>409.87800000000004</v>
      </c>
      <c r="U63" s="120">
        <f t="shared" si="24"/>
        <v>7.3368162</v>
      </c>
      <c r="V63" s="120"/>
      <c r="W63" s="142"/>
      <c r="X63" s="184"/>
      <c r="Y63" s="185"/>
      <c r="Z63" s="183"/>
      <c r="AA63" s="183"/>
    </row>
    <row r="64" spans="1:27" s="7" customFormat="1" ht="12.75">
      <c r="A64" s="7" t="s">
        <v>53</v>
      </c>
      <c r="B64" s="7" t="s">
        <v>44</v>
      </c>
      <c r="C64" s="7" t="s">
        <v>198</v>
      </c>
      <c r="D64" s="31" t="s">
        <v>166</v>
      </c>
      <c r="E64" s="32">
        <v>2009</v>
      </c>
      <c r="F64" s="127">
        <v>529</v>
      </c>
      <c r="G64" s="20"/>
      <c r="H64" s="94">
        <f t="shared" si="25"/>
        <v>6.148170919151553</v>
      </c>
      <c r="I64" s="91"/>
      <c r="J64" s="14">
        <f>3253</f>
        <v>3253</v>
      </c>
      <c r="K64" s="179">
        <v>0.03</v>
      </c>
      <c r="L64" s="180">
        <f t="shared" si="23"/>
        <v>51625.11</v>
      </c>
      <c r="M64" s="181">
        <v>0.1</v>
      </c>
      <c r="N64" s="180">
        <f t="shared" si="26"/>
        <v>46462.599</v>
      </c>
      <c r="P64" s="182">
        <v>0.0179</v>
      </c>
      <c r="Q64" s="183">
        <f t="shared" si="27"/>
        <v>831.6805221</v>
      </c>
      <c r="R64" s="227"/>
      <c r="S64" s="226"/>
      <c r="T64" s="2">
        <f t="shared" si="7"/>
        <v>46462.599</v>
      </c>
      <c r="U64" s="120">
        <f t="shared" si="24"/>
        <v>831.6805221</v>
      </c>
      <c r="V64" s="120"/>
      <c r="W64" s="142"/>
      <c r="X64" s="184"/>
      <c r="Y64" s="185"/>
      <c r="Z64" s="183"/>
      <c r="AA64" s="183"/>
    </row>
    <row r="65" spans="1:27" s="7" customFormat="1" ht="12.75">
      <c r="A65" s="7" t="s">
        <v>53</v>
      </c>
      <c r="B65" s="7" t="s">
        <v>44</v>
      </c>
      <c r="C65" s="7" t="s">
        <v>199</v>
      </c>
      <c r="D65" s="31" t="s">
        <v>166</v>
      </c>
      <c r="E65" s="32">
        <v>2009</v>
      </c>
      <c r="F65" s="127">
        <v>8</v>
      </c>
      <c r="G65" s="20"/>
      <c r="H65" s="94">
        <f t="shared" si="25"/>
        <v>6.148170919151553</v>
      </c>
      <c r="I65" s="91"/>
      <c r="J65" s="14">
        <f>3253</f>
        <v>3253</v>
      </c>
      <c r="K65" s="179">
        <v>0.14</v>
      </c>
      <c r="L65" s="180">
        <f t="shared" si="23"/>
        <v>3643.36</v>
      </c>
      <c r="M65" s="181">
        <v>0.1</v>
      </c>
      <c r="N65" s="180">
        <f t="shared" si="26"/>
        <v>3279.0240000000003</v>
      </c>
      <c r="P65" s="182">
        <v>0.0179</v>
      </c>
      <c r="Q65" s="183">
        <f t="shared" si="27"/>
        <v>58.6945296</v>
      </c>
      <c r="R65" s="227"/>
      <c r="S65" s="226"/>
      <c r="T65" s="2">
        <f t="shared" si="7"/>
        <v>3279.0240000000003</v>
      </c>
      <c r="U65" s="120">
        <f t="shared" si="24"/>
        <v>58.6945296</v>
      </c>
      <c r="V65" s="120"/>
      <c r="W65" s="142"/>
      <c r="X65" s="184"/>
      <c r="Y65" s="185"/>
      <c r="Z65" s="183"/>
      <c r="AA65" s="183"/>
    </row>
    <row r="66" spans="1:27" s="7" customFormat="1" ht="12.75">
      <c r="A66" s="7" t="s">
        <v>53</v>
      </c>
      <c r="B66" s="7" t="s">
        <v>44</v>
      </c>
      <c r="C66" s="7" t="s">
        <v>200</v>
      </c>
      <c r="D66" s="31" t="s">
        <v>166</v>
      </c>
      <c r="E66" s="32">
        <v>2009</v>
      </c>
      <c r="F66" s="127">
        <v>7</v>
      </c>
      <c r="G66" s="20"/>
      <c r="H66" s="94">
        <f t="shared" si="25"/>
        <v>6.148170919151553</v>
      </c>
      <c r="I66" s="91"/>
      <c r="J66" s="14">
        <f>3253</f>
        <v>3253</v>
      </c>
      <c r="K66" s="179">
        <v>0.025</v>
      </c>
      <c r="L66" s="180">
        <f t="shared" si="23"/>
        <v>569.275</v>
      </c>
      <c r="M66" s="181">
        <v>0.1</v>
      </c>
      <c r="N66" s="180">
        <f t="shared" si="26"/>
        <v>512.3475</v>
      </c>
      <c r="P66" s="182">
        <v>0.0179</v>
      </c>
      <c r="Q66" s="183">
        <f t="shared" si="27"/>
        <v>9.17102025</v>
      </c>
      <c r="R66" s="227"/>
      <c r="S66" s="226"/>
      <c r="T66" s="2">
        <f t="shared" si="7"/>
        <v>512.3475</v>
      </c>
      <c r="U66" s="120">
        <f t="shared" si="24"/>
        <v>9.17102025</v>
      </c>
      <c r="V66" s="120"/>
      <c r="W66" s="142"/>
      <c r="X66" s="184"/>
      <c r="Y66" s="185"/>
      <c r="Z66" s="183"/>
      <c r="AA66" s="183"/>
    </row>
    <row r="67" spans="1:27" s="7" customFormat="1" ht="12.75">
      <c r="A67" s="7" t="s">
        <v>53</v>
      </c>
      <c r="B67" s="7" t="s">
        <v>44</v>
      </c>
      <c r="C67" s="7" t="s">
        <v>201</v>
      </c>
      <c r="D67" s="31" t="s">
        <v>166</v>
      </c>
      <c r="E67" s="32">
        <v>2009</v>
      </c>
      <c r="F67" s="127">
        <v>255</v>
      </c>
      <c r="G67" s="20"/>
      <c r="H67" s="94">
        <f t="shared" si="25"/>
        <v>6.148170919151553</v>
      </c>
      <c r="I67" s="91"/>
      <c r="J67" s="14">
        <f>3253</f>
        <v>3253</v>
      </c>
      <c r="K67" s="179">
        <v>0.038</v>
      </c>
      <c r="L67" s="180">
        <f aca="true" t="shared" si="28" ref="L67:L97">IF(K67&lt;&gt;"",J67*K67*F67,I67*F67)</f>
        <v>31521.569999999996</v>
      </c>
      <c r="M67" s="181">
        <v>0.1</v>
      </c>
      <c r="N67" s="180">
        <f aca="true" t="shared" si="29" ref="N67:N97">+L67*(1-M67)</f>
        <v>28369.412999999997</v>
      </c>
      <c r="P67" s="182">
        <v>0.0179</v>
      </c>
      <c r="Q67" s="183">
        <f aca="true" t="shared" si="30" ref="Q67:Q97">+N67*P67</f>
        <v>507.8124926999999</v>
      </c>
      <c r="R67" s="227"/>
      <c r="S67" s="226"/>
      <c r="T67" s="2">
        <f t="shared" si="7"/>
        <v>28369.412999999997</v>
      </c>
      <c r="U67" s="120">
        <f t="shared" si="24"/>
        <v>507.8124926999999</v>
      </c>
      <c r="V67" s="120"/>
      <c r="W67" s="142"/>
      <c r="X67" s="184"/>
      <c r="Y67" s="185"/>
      <c r="Z67" s="183"/>
      <c r="AA67" s="183"/>
    </row>
    <row r="68" spans="1:27" s="7" customFormat="1" ht="12.75">
      <c r="A68" s="7" t="s">
        <v>53</v>
      </c>
      <c r="B68" s="7" t="s">
        <v>44</v>
      </c>
      <c r="C68" s="7" t="s">
        <v>202</v>
      </c>
      <c r="D68" s="31" t="s">
        <v>166</v>
      </c>
      <c r="E68" s="32">
        <v>2009</v>
      </c>
      <c r="F68" s="127">
        <v>493</v>
      </c>
      <c r="G68" s="20"/>
      <c r="H68" s="94">
        <f t="shared" si="25"/>
        <v>6.148170919151553</v>
      </c>
      <c r="I68" s="91"/>
      <c r="J68" s="14">
        <f>3253</f>
        <v>3253</v>
      </c>
      <c r="K68" s="179">
        <v>0.074</v>
      </c>
      <c r="L68" s="180">
        <f t="shared" si="28"/>
        <v>118675.946</v>
      </c>
      <c r="M68" s="181">
        <v>0.1</v>
      </c>
      <c r="N68" s="180">
        <f t="shared" si="29"/>
        <v>106808.3514</v>
      </c>
      <c r="P68" s="182">
        <v>0.0179</v>
      </c>
      <c r="Q68" s="183">
        <f t="shared" si="30"/>
        <v>1911.8694900599999</v>
      </c>
      <c r="R68" s="227"/>
      <c r="S68" s="226"/>
      <c r="T68" s="2">
        <f aca="true" t="shared" si="31" ref="T68:T131">N68+R68</f>
        <v>106808.3514</v>
      </c>
      <c r="U68" s="120">
        <f t="shared" si="24"/>
        <v>1911.8694900599999</v>
      </c>
      <c r="V68" s="120"/>
      <c r="W68" s="142"/>
      <c r="X68" s="184"/>
      <c r="Y68" s="185"/>
      <c r="Z68" s="183"/>
      <c r="AA68" s="183"/>
    </row>
    <row r="69" spans="1:27" s="7" customFormat="1" ht="12.75">
      <c r="A69" s="7" t="s">
        <v>53</v>
      </c>
      <c r="B69" s="7" t="s">
        <v>44</v>
      </c>
      <c r="C69" s="7" t="s">
        <v>203</v>
      </c>
      <c r="D69" s="31" t="s">
        <v>166</v>
      </c>
      <c r="E69" s="32">
        <v>2009</v>
      </c>
      <c r="F69" s="127">
        <v>274</v>
      </c>
      <c r="G69" s="20"/>
      <c r="H69" s="94">
        <f t="shared" si="25"/>
        <v>6.148170919151553</v>
      </c>
      <c r="I69" s="91"/>
      <c r="J69" s="14">
        <f>3253</f>
        <v>3253</v>
      </c>
      <c r="K69" s="179">
        <v>0.021</v>
      </c>
      <c r="L69" s="180">
        <f t="shared" si="28"/>
        <v>18717.762000000002</v>
      </c>
      <c r="M69" s="181">
        <v>0.1</v>
      </c>
      <c r="N69" s="180">
        <f t="shared" si="29"/>
        <v>16845.985800000002</v>
      </c>
      <c r="P69" s="182">
        <v>0.0179</v>
      </c>
      <c r="Q69" s="183">
        <f t="shared" si="30"/>
        <v>301.54314582</v>
      </c>
      <c r="R69" s="227"/>
      <c r="S69" s="226"/>
      <c r="T69" s="2">
        <f t="shared" si="31"/>
        <v>16845.985800000002</v>
      </c>
      <c r="U69" s="120">
        <f t="shared" si="24"/>
        <v>301.54314582</v>
      </c>
      <c r="V69" s="120"/>
      <c r="W69" s="142"/>
      <c r="X69" s="184"/>
      <c r="Y69" s="185"/>
      <c r="Z69" s="183"/>
      <c r="AA69" s="183"/>
    </row>
    <row r="70" spans="1:27" s="7" customFormat="1" ht="12.75">
      <c r="A70" s="7" t="s">
        <v>53</v>
      </c>
      <c r="B70" s="7" t="s">
        <v>44</v>
      </c>
      <c r="C70" s="7" t="s">
        <v>204</v>
      </c>
      <c r="D70" s="31" t="s">
        <v>166</v>
      </c>
      <c r="E70" s="32">
        <v>2009</v>
      </c>
      <c r="F70" s="127">
        <v>1746</v>
      </c>
      <c r="G70" s="20"/>
      <c r="H70" s="94">
        <f t="shared" si="25"/>
        <v>6.148170919151553</v>
      </c>
      <c r="I70" s="91"/>
      <c r="J70" s="14">
        <f>3253</f>
        <v>3253</v>
      </c>
      <c r="K70" s="179">
        <v>0.031</v>
      </c>
      <c r="L70" s="180">
        <f t="shared" si="28"/>
        <v>176071.878</v>
      </c>
      <c r="M70" s="181">
        <v>0.1</v>
      </c>
      <c r="N70" s="180">
        <f t="shared" si="29"/>
        <v>158464.6902</v>
      </c>
      <c r="P70" s="182">
        <v>0.0179</v>
      </c>
      <c r="Q70" s="183">
        <f t="shared" si="30"/>
        <v>2836.51795458</v>
      </c>
      <c r="R70" s="227"/>
      <c r="S70" s="226"/>
      <c r="T70" s="2">
        <f t="shared" si="31"/>
        <v>158464.6902</v>
      </c>
      <c r="U70" s="120">
        <f t="shared" si="24"/>
        <v>2836.51795458</v>
      </c>
      <c r="V70" s="120"/>
      <c r="W70" s="142"/>
      <c r="X70" s="184"/>
      <c r="Y70" s="185"/>
      <c r="Z70" s="183"/>
      <c r="AA70" s="183"/>
    </row>
    <row r="71" spans="1:27" s="7" customFormat="1" ht="12.75">
      <c r="A71" s="7" t="s">
        <v>53</v>
      </c>
      <c r="B71" s="7" t="s">
        <v>44</v>
      </c>
      <c r="C71" s="7" t="s">
        <v>205</v>
      </c>
      <c r="D71" s="31" t="s">
        <v>166</v>
      </c>
      <c r="E71" s="32">
        <v>2009</v>
      </c>
      <c r="F71" s="127">
        <v>40</v>
      </c>
      <c r="G71" s="20"/>
      <c r="H71" s="94">
        <f t="shared" si="25"/>
        <v>6.148170919151553</v>
      </c>
      <c r="I71" s="91"/>
      <c r="J71" s="14">
        <f>3253</f>
        <v>3253</v>
      </c>
      <c r="K71" s="179">
        <v>0.078</v>
      </c>
      <c r="L71" s="180">
        <f t="shared" si="28"/>
        <v>10149.36</v>
      </c>
      <c r="M71" s="181">
        <v>0.1</v>
      </c>
      <c r="N71" s="180">
        <f t="shared" si="29"/>
        <v>9134.424</v>
      </c>
      <c r="P71" s="182">
        <v>0.0179</v>
      </c>
      <c r="Q71" s="183">
        <f t="shared" si="30"/>
        <v>163.5061896</v>
      </c>
      <c r="R71" s="227"/>
      <c r="S71" s="226"/>
      <c r="T71" s="2">
        <f t="shared" si="31"/>
        <v>9134.424</v>
      </c>
      <c r="U71" s="120">
        <f t="shared" si="24"/>
        <v>163.5061896</v>
      </c>
      <c r="V71" s="120"/>
      <c r="W71" s="142"/>
      <c r="X71" s="184"/>
      <c r="Y71" s="185"/>
      <c r="Z71" s="183"/>
      <c r="AA71" s="183"/>
    </row>
    <row r="72" spans="1:27" s="7" customFormat="1" ht="12.75">
      <c r="A72" s="7" t="s">
        <v>53</v>
      </c>
      <c r="B72" s="7" t="s">
        <v>44</v>
      </c>
      <c r="C72" s="7" t="s">
        <v>206</v>
      </c>
      <c r="D72" s="31" t="s">
        <v>166</v>
      </c>
      <c r="E72" s="32">
        <v>2009</v>
      </c>
      <c r="F72" s="127">
        <v>3366</v>
      </c>
      <c r="G72" s="20"/>
      <c r="H72" s="94">
        <f>20000/J72</f>
        <v>6.148170919151553</v>
      </c>
      <c r="I72" s="91"/>
      <c r="J72" s="14">
        <f>3253</f>
        <v>3253</v>
      </c>
      <c r="K72" s="179">
        <v>0.048</v>
      </c>
      <c r="L72" s="180">
        <f t="shared" si="28"/>
        <v>525580.704</v>
      </c>
      <c r="M72" s="181">
        <v>0.1</v>
      </c>
      <c r="N72" s="180">
        <f t="shared" si="29"/>
        <v>473022.63360000006</v>
      </c>
      <c r="P72" s="182">
        <v>0.0179</v>
      </c>
      <c r="Q72" s="183">
        <f t="shared" si="30"/>
        <v>8467.10514144</v>
      </c>
      <c r="R72" s="227"/>
      <c r="S72" s="226"/>
      <c r="T72" s="2">
        <f t="shared" si="31"/>
        <v>473022.63360000006</v>
      </c>
      <c r="U72" s="120">
        <f t="shared" si="24"/>
        <v>8467.10514144</v>
      </c>
      <c r="V72" s="120"/>
      <c r="W72" s="142"/>
      <c r="X72" s="184"/>
      <c r="Y72" s="185"/>
      <c r="Z72" s="183"/>
      <c r="AA72" s="183"/>
    </row>
    <row r="73" spans="1:27" s="7" customFormat="1" ht="12.75">
      <c r="A73" s="7" t="s">
        <v>53</v>
      </c>
      <c r="B73" s="7" t="s">
        <v>44</v>
      </c>
      <c r="C73" s="7" t="s">
        <v>207</v>
      </c>
      <c r="D73" s="31" t="s">
        <v>166</v>
      </c>
      <c r="E73" s="32">
        <v>2009</v>
      </c>
      <c r="F73" s="127">
        <v>8</v>
      </c>
      <c r="G73" s="20"/>
      <c r="H73" s="94">
        <f t="shared" si="25"/>
        <v>6.148170919151553</v>
      </c>
      <c r="I73" s="91"/>
      <c r="J73" s="14">
        <f>3253</f>
        <v>3253</v>
      </c>
      <c r="K73" s="179">
        <v>0.033</v>
      </c>
      <c r="L73" s="180">
        <f t="shared" si="28"/>
        <v>858.792</v>
      </c>
      <c r="M73" s="181">
        <v>0.1</v>
      </c>
      <c r="N73" s="180">
        <f t="shared" si="29"/>
        <v>772.9128000000001</v>
      </c>
      <c r="P73" s="182">
        <v>0.0179</v>
      </c>
      <c r="Q73" s="183">
        <f t="shared" si="30"/>
        <v>13.835139120000001</v>
      </c>
      <c r="R73" s="227"/>
      <c r="S73" s="226"/>
      <c r="T73" s="2">
        <f t="shared" si="31"/>
        <v>772.9128000000001</v>
      </c>
      <c r="U73" s="120">
        <f t="shared" si="24"/>
        <v>13.835139120000001</v>
      </c>
      <c r="V73" s="120"/>
      <c r="W73" s="142"/>
      <c r="X73" s="184"/>
      <c r="Y73" s="185"/>
      <c r="Z73" s="183"/>
      <c r="AA73" s="183"/>
    </row>
    <row r="74" spans="1:27" s="7" customFormat="1" ht="12.75">
      <c r="A74" s="7" t="s">
        <v>53</v>
      </c>
      <c r="B74" s="7" t="s">
        <v>44</v>
      </c>
      <c r="C74" s="7" t="s">
        <v>208</v>
      </c>
      <c r="D74" s="31" t="s">
        <v>166</v>
      </c>
      <c r="E74" s="32">
        <v>2009</v>
      </c>
      <c r="F74" s="127">
        <v>19</v>
      </c>
      <c r="G74" s="20"/>
      <c r="H74" s="94">
        <f t="shared" si="25"/>
        <v>6.148170919151553</v>
      </c>
      <c r="I74" s="91"/>
      <c r="J74" s="14">
        <f>3253</f>
        <v>3253</v>
      </c>
      <c r="K74" s="179">
        <v>0.033</v>
      </c>
      <c r="L74" s="180">
        <f t="shared" si="28"/>
        <v>2039.631</v>
      </c>
      <c r="M74" s="181">
        <v>0.1</v>
      </c>
      <c r="N74" s="180">
        <f t="shared" si="29"/>
        <v>1835.6679000000001</v>
      </c>
      <c r="P74" s="182">
        <v>0.0179</v>
      </c>
      <c r="Q74" s="183">
        <f t="shared" si="30"/>
        <v>32.85845541</v>
      </c>
      <c r="R74" s="227"/>
      <c r="S74" s="226"/>
      <c r="T74" s="2">
        <f t="shared" si="31"/>
        <v>1835.6679000000001</v>
      </c>
      <c r="U74" s="120">
        <f t="shared" si="24"/>
        <v>32.85845541</v>
      </c>
      <c r="V74" s="120"/>
      <c r="W74" s="142"/>
      <c r="X74" s="184"/>
      <c r="Y74" s="185"/>
      <c r="Z74" s="183"/>
      <c r="AA74" s="183"/>
    </row>
    <row r="75" spans="1:27" s="7" customFormat="1" ht="12.75">
      <c r="A75" s="7" t="s">
        <v>53</v>
      </c>
      <c r="B75" s="7" t="s">
        <v>44</v>
      </c>
      <c r="C75" s="7" t="s">
        <v>209</v>
      </c>
      <c r="D75" s="31" t="s">
        <v>166</v>
      </c>
      <c r="E75" s="32">
        <v>2009</v>
      </c>
      <c r="F75" s="127">
        <v>4</v>
      </c>
      <c r="G75" s="20"/>
      <c r="H75" s="94">
        <f t="shared" si="25"/>
        <v>5.374899220639613</v>
      </c>
      <c r="I75" s="91"/>
      <c r="J75" s="14">
        <v>3721</v>
      </c>
      <c r="K75" s="179">
        <v>0.025</v>
      </c>
      <c r="L75" s="180">
        <f t="shared" si="28"/>
        <v>372.1</v>
      </c>
      <c r="M75" s="181">
        <v>0.1</v>
      </c>
      <c r="N75" s="180">
        <f t="shared" si="29"/>
        <v>334.89000000000004</v>
      </c>
      <c r="P75" s="182">
        <v>0.0179</v>
      </c>
      <c r="Q75" s="183">
        <f t="shared" si="30"/>
        <v>5.994531</v>
      </c>
      <c r="R75" s="227"/>
      <c r="S75" s="226"/>
      <c r="T75" s="2">
        <f t="shared" si="31"/>
        <v>334.89000000000004</v>
      </c>
      <c r="U75" s="120">
        <f t="shared" si="24"/>
        <v>5.994531</v>
      </c>
      <c r="V75" s="120"/>
      <c r="W75" s="142"/>
      <c r="X75" s="184"/>
      <c r="Y75" s="185"/>
      <c r="Z75" s="183"/>
      <c r="AA75" s="183"/>
    </row>
    <row r="76" spans="1:27" s="7" customFormat="1" ht="12.75">
      <c r="A76" s="7" t="s">
        <v>53</v>
      </c>
      <c r="B76" s="7" t="s">
        <v>44</v>
      </c>
      <c r="C76" s="7" t="s">
        <v>210</v>
      </c>
      <c r="D76" s="31" t="s">
        <v>166</v>
      </c>
      <c r="E76" s="32">
        <v>2009</v>
      </c>
      <c r="F76" s="127">
        <v>32</v>
      </c>
      <c r="G76" s="20"/>
      <c r="H76" s="94">
        <f t="shared" si="25"/>
        <v>5.374899220639613</v>
      </c>
      <c r="I76" s="91"/>
      <c r="J76" s="14">
        <v>3721</v>
      </c>
      <c r="K76" s="179">
        <v>0.04</v>
      </c>
      <c r="L76" s="180">
        <f t="shared" si="28"/>
        <v>4762.88</v>
      </c>
      <c r="M76" s="181">
        <v>0.1</v>
      </c>
      <c r="N76" s="180">
        <f t="shared" si="29"/>
        <v>4286.592000000001</v>
      </c>
      <c r="P76" s="182">
        <v>0.0179</v>
      </c>
      <c r="Q76" s="183">
        <f t="shared" si="30"/>
        <v>76.72999680000001</v>
      </c>
      <c r="R76" s="227"/>
      <c r="S76" s="226"/>
      <c r="T76" s="2">
        <f t="shared" si="31"/>
        <v>4286.592000000001</v>
      </c>
      <c r="U76" s="120">
        <f t="shared" si="24"/>
        <v>76.72999680000001</v>
      </c>
      <c r="V76" s="120"/>
      <c r="W76" s="142"/>
      <c r="X76" s="184"/>
      <c r="Y76" s="185"/>
      <c r="Z76" s="183"/>
      <c r="AA76" s="183"/>
    </row>
    <row r="77" spans="1:27" s="7" customFormat="1" ht="12.75">
      <c r="A77" s="7" t="s">
        <v>53</v>
      </c>
      <c r="B77" s="7" t="s">
        <v>44</v>
      </c>
      <c r="C77" s="7" t="s">
        <v>211</v>
      </c>
      <c r="D77" s="31" t="s">
        <v>166</v>
      </c>
      <c r="E77" s="32">
        <v>2009</v>
      </c>
      <c r="F77" s="127">
        <v>203</v>
      </c>
      <c r="G77" s="20"/>
      <c r="H77" s="94">
        <f t="shared" si="25"/>
        <v>6.148170919151553</v>
      </c>
      <c r="I77" s="91"/>
      <c r="J77" s="14">
        <f>3253</f>
        <v>3253</v>
      </c>
      <c r="K77" s="179">
        <v>0.027</v>
      </c>
      <c r="L77" s="180">
        <f t="shared" si="28"/>
        <v>17829.693</v>
      </c>
      <c r="M77" s="181">
        <v>0.1</v>
      </c>
      <c r="N77" s="180">
        <f t="shared" si="29"/>
        <v>16046.7237</v>
      </c>
      <c r="P77" s="182">
        <v>0.0179</v>
      </c>
      <c r="Q77" s="183">
        <f t="shared" si="30"/>
        <v>287.23635423</v>
      </c>
      <c r="R77" s="227"/>
      <c r="S77" s="226"/>
      <c r="T77" s="2">
        <f t="shared" si="31"/>
        <v>16046.7237</v>
      </c>
      <c r="U77" s="120">
        <f t="shared" si="24"/>
        <v>287.23635423</v>
      </c>
      <c r="V77" s="120"/>
      <c r="W77" s="142"/>
      <c r="X77" s="184"/>
      <c r="Y77" s="185"/>
      <c r="Z77" s="183"/>
      <c r="AA77" s="183"/>
    </row>
    <row r="78" spans="1:27" s="7" customFormat="1" ht="12.75">
      <c r="A78" s="7" t="s">
        <v>53</v>
      </c>
      <c r="B78" s="7" t="s">
        <v>44</v>
      </c>
      <c r="C78" s="7" t="s">
        <v>212</v>
      </c>
      <c r="D78" s="31" t="s">
        <v>166</v>
      </c>
      <c r="E78" s="32">
        <v>2009</v>
      </c>
      <c r="F78" s="127">
        <v>2</v>
      </c>
      <c r="G78" s="20"/>
      <c r="H78" s="94">
        <f t="shared" si="25"/>
        <v>6.148170919151553</v>
      </c>
      <c r="I78" s="91"/>
      <c r="J78" s="14">
        <f>3253</f>
        <v>3253</v>
      </c>
      <c r="K78" s="179">
        <v>0.058</v>
      </c>
      <c r="L78" s="180">
        <f t="shared" si="28"/>
        <v>377.348</v>
      </c>
      <c r="M78" s="181">
        <v>0.1</v>
      </c>
      <c r="N78" s="180">
        <f t="shared" si="29"/>
        <v>339.6132</v>
      </c>
      <c r="P78" s="182">
        <v>0.0179</v>
      </c>
      <c r="Q78" s="183">
        <f t="shared" si="30"/>
        <v>6.07907628</v>
      </c>
      <c r="R78" s="227"/>
      <c r="S78" s="226"/>
      <c r="T78" s="2">
        <f t="shared" si="31"/>
        <v>339.6132</v>
      </c>
      <c r="U78" s="120">
        <f t="shared" si="24"/>
        <v>6.07907628</v>
      </c>
      <c r="V78" s="120"/>
      <c r="W78" s="142"/>
      <c r="X78" s="184"/>
      <c r="Y78" s="185"/>
      <c r="Z78" s="183"/>
      <c r="AA78" s="183"/>
    </row>
    <row r="79" spans="1:27" s="7" customFormat="1" ht="12.75">
      <c r="A79" s="7" t="s">
        <v>53</v>
      </c>
      <c r="B79" s="7" t="s">
        <v>44</v>
      </c>
      <c r="C79" s="7" t="s">
        <v>213</v>
      </c>
      <c r="D79" s="31" t="s">
        <v>166</v>
      </c>
      <c r="E79" s="32">
        <v>2009</v>
      </c>
      <c r="F79" s="127">
        <v>164</v>
      </c>
      <c r="G79" s="20"/>
      <c r="H79" s="94">
        <v>10</v>
      </c>
      <c r="I79" s="91"/>
      <c r="J79" s="14">
        <v>8760</v>
      </c>
      <c r="K79" s="179">
        <v>0.027</v>
      </c>
      <c r="L79" s="180">
        <f t="shared" si="28"/>
        <v>38789.28</v>
      </c>
      <c r="M79" s="181">
        <v>0.1</v>
      </c>
      <c r="N79" s="180">
        <f t="shared" si="29"/>
        <v>34910.352</v>
      </c>
      <c r="P79" s="182">
        <v>0.0179</v>
      </c>
      <c r="Q79" s="183">
        <f t="shared" si="30"/>
        <v>624.8953008</v>
      </c>
      <c r="R79" s="227"/>
      <c r="S79" s="226"/>
      <c r="T79" s="2">
        <f t="shared" si="31"/>
        <v>34910.352</v>
      </c>
      <c r="U79" s="120">
        <f t="shared" si="24"/>
        <v>624.8953008</v>
      </c>
      <c r="V79" s="120"/>
      <c r="W79" s="142"/>
      <c r="X79" s="184"/>
      <c r="Y79" s="185"/>
      <c r="Z79" s="183"/>
      <c r="AA79" s="183"/>
    </row>
    <row r="80" spans="1:27" s="7" customFormat="1" ht="12.75">
      <c r="A80" s="7" t="s">
        <v>53</v>
      </c>
      <c r="B80" s="7" t="s">
        <v>44</v>
      </c>
      <c r="C80" s="7" t="s">
        <v>214</v>
      </c>
      <c r="D80" s="31" t="s">
        <v>166</v>
      </c>
      <c r="E80" s="32">
        <v>2009</v>
      </c>
      <c r="F80" s="127">
        <v>35</v>
      </c>
      <c r="G80" s="20"/>
      <c r="H80" s="94">
        <v>10</v>
      </c>
      <c r="I80" s="91"/>
      <c r="J80" s="14">
        <v>8760</v>
      </c>
      <c r="K80" s="179">
        <v>0.027</v>
      </c>
      <c r="L80" s="180">
        <f t="shared" si="28"/>
        <v>8278.2</v>
      </c>
      <c r="M80" s="181">
        <v>0.1</v>
      </c>
      <c r="N80" s="180">
        <f t="shared" si="29"/>
        <v>7450.380000000001</v>
      </c>
      <c r="P80" s="182">
        <v>0.0179</v>
      </c>
      <c r="Q80" s="183">
        <f t="shared" si="30"/>
        <v>133.361802</v>
      </c>
      <c r="R80" s="227"/>
      <c r="S80" s="226"/>
      <c r="T80" s="2">
        <f t="shared" si="31"/>
        <v>7450.380000000001</v>
      </c>
      <c r="U80" s="120">
        <f t="shared" si="24"/>
        <v>133.361802</v>
      </c>
      <c r="V80" s="120"/>
      <c r="W80" s="142"/>
      <c r="X80" s="184"/>
      <c r="Y80" s="185"/>
      <c r="Z80" s="183"/>
      <c r="AA80" s="183"/>
    </row>
    <row r="81" spans="1:27" s="7" customFormat="1" ht="12.75">
      <c r="A81" s="7" t="s">
        <v>53</v>
      </c>
      <c r="B81" s="7" t="s">
        <v>44</v>
      </c>
      <c r="C81" s="7" t="s">
        <v>215</v>
      </c>
      <c r="D81" s="31" t="s">
        <v>166</v>
      </c>
      <c r="E81" s="32">
        <v>2009</v>
      </c>
      <c r="F81" s="127">
        <v>6</v>
      </c>
      <c r="G81" s="20"/>
      <c r="H81" s="94">
        <f aca="true" t="shared" si="32" ref="H81:H86">(6000+10000)/2/J81</f>
        <v>2.149959688255845</v>
      </c>
      <c r="I81" s="91"/>
      <c r="J81" s="14">
        <v>3721</v>
      </c>
      <c r="K81" s="179">
        <v>0.029</v>
      </c>
      <c r="L81" s="180">
        <f t="shared" si="28"/>
        <v>647.4540000000001</v>
      </c>
      <c r="M81" s="181">
        <v>0.1</v>
      </c>
      <c r="N81" s="180">
        <f t="shared" si="29"/>
        <v>582.7086</v>
      </c>
      <c r="P81" s="182">
        <v>0.0179</v>
      </c>
      <c r="Q81" s="183">
        <f t="shared" si="30"/>
        <v>10.43048394</v>
      </c>
      <c r="R81" s="227"/>
      <c r="S81" s="226"/>
      <c r="T81" s="2">
        <f t="shared" si="31"/>
        <v>582.7086</v>
      </c>
      <c r="U81" s="120">
        <f t="shared" si="24"/>
        <v>10.43048394</v>
      </c>
      <c r="V81" s="120"/>
      <c r="W81" s="142"/>
      <c r="X81" s="184"/>
      <c r="Y81" s="185"/>
      <c r="Z81" s="183"/>
      <c r="AA81" s="183"/>
    </row>
    <row r="82" spans="1:27" s="7" customFormat="1" ht="12.75">
      <c r="A82" s="7" t="s">
        <v>53</v>
      </c>
      <c r="B82" s="7" t="s">
        <v>44</v>
      </c>
      <c r="C82" s="7" t="s">
        <v>216</v>
      </c>
      <c r="D82" s="31" t="s">
        <v>166</v>
      </c>
      <c r="E82" s="32">
        <v>2009</v>
      </c>
      <c r="F82" s="127">
        <v>2066</v>
      </c>
      <c r="G82" s="20"/>
      <c r="H82" s="94">
        <f t="shared" si="32"/>
        <v>2.149959688255845</v>
      </c>
      <c r="I82" s="91"/>
      <c r="J82" s="14">
        <v>3721</v>
      </c>
      <c r="K82" s="179">
        <v>0.047</v>
      </c>
      <c r="L82" s="180">
        <f t="shared" si="28"/>
        <v>361316.542</v>
      </c>
      <c r="M82" s="181">
        <v>0.1</v>
      </c>
      <c r="N82" s="180">
        <f t="shared" si="29"/>
        <v>325184.8878</v>
      </c>
      <c r="P82" s="182">
        <v>0.0179</v>
      </c>
      <c r="Q82" s="183">
        <f t="shared" si="30"/>
        <v>5820.80949162</v>
      </c>
      <c r="R82" s="227"/>
      <c r="S82" s="226"/>
      <c r="T82" s="2">
        <f t="shared" si="31"/>
        <v>325184.8878</v>
      </c>
      <c r="U82" s="120">
        <f t="shared" si="24"/>
        <v>5820.80949162</v>
      </c>
      <c r="V82" s="120"/>
      <c r="W82" s="142"/>
      <c r="X82" s="184"/>
      <c r="Y82" s="185"/>
      <c r="Z82" s="183"/>
      <c r="AA82" s="183"/>
    </row>
    <row r="83" spans="1:27" s="7" customFormat="1" ht="12.75">
      <c r="A83" s="7" t="s">
        <v>53</v>
      </c>
      <c r="B83" s="7" t="s">
        <v>44</v>
      </c>
      <c r="C83" s="7" t="s">
        <v>217</v>
      </c>
      <c r="D83" s="31" t="s">
        <v>166</v>
      </c>
      <c r="E83" s="32">
        <v>2009</v>
      </c>
      <c r="F83" s="127">
        <v>50</v>
      </c>
      <c r="G83" s="20"/>
      <c r="H83" s="94">
        <f t="shared" si="32"/>
        <v>2.149959688255845</v>
      </c>
      <c r="I83" s="91"/>
      <c r="J83" s="14">
        <v>3721</v>
      </c>
      <c r="K83" s="179">
        <v>0.077</v>
      </c>
      <c r="L83" s="180">
        <f t="shared" si="28"/>
        <v>14325.85</v>
      </c>
      <c r="M83" s="181">
        <v>0.1</v>
      </c>
      <c r="N83" s="180">
        <f t="shared" si="29"/>
        <v>12893.265000000001</v>
      </c>
      <c r="P83" s="182">
        <v>0.0179</v>
      </c>
      <c r="Q83" s="183">
        <f t="shared" si="30"/>
        <v>230.7894435</v>
      </c>
      <c r="R83" s="223"/>
      <c r="S83" s="226"/>
      <c r="T83" s="2">
        <f t="shared" si="31"/>
        <v>12893.265000000001</v>
      </c>
      <c r="U83" s="120">
        <f t="shared" si="24"/>
        <v>230.7894435</v>
      </c>
      <c r="V83" s="120"/>
      <c r="W83" s="142"/>
      <c r="X83" s="184"/>
      <c r="Y83" s="185"/>
      <c r="Z83" s="183"/>
      <c r="AA83" s="183"/>
    </row>
    <row r="84" spans="1:27" s="7" customFormat="1" ht="12.75">
      <c r="A84" s="7" t="s">
        <v>53</v>
      </c>
      <c r="B84" s="7" t="s">
        <v>44</v>
      </c>
      <c r="C84" s="7" t="s">
        <v>218</v>
      </c>
      <c r="D84" s="31" t="s">
        <v>166</v>
      </c>
      <c r="E84" s="32">
        <v>2009</v>
      </c>
      <c r="F84" s="127">
        <v>6</v>
      </c>
      <c r="G84" s="20"/>
      <c r="H84" s="94">
        <f t="shared" si="32"/>
        <v>2.149959688255845</v>
      </c>
      <c r="I84" s="91"/>
      <c r="J84" s="14">
        <v>3721</v>
      </c>
      <c r="K84" s="179">
        <v>0.12</v>
      </c>
      <c r="L84" s="180">
        <f t="shared" si="28"/>
        <v>2679.12</v>
      </c>
      <c r="M84" s="181">
        <v>0.1</v>
      </c>
      <c r="N84" s="180">
        <f t="shared" si="29"/>
        <v>2411.208</v>
      </c>
      <c r="P84" s="182">
        <v>0.0179</v>
      </c>
      <c r="Q84" s="183">
        <f t="shared" si="30"/>
        <v>43.160623199999996</v>
      </c>
      <c r="R84" s="223"/>
      <c r="S84" s="226"/>
      <c r="T84" s="2">
        <f t="shared" si="31"/>
        <v>2411.208</v>
      </c>
      <c r="U84" s="120">
        <f t="shared" si="24"/>
        <v>43.160623199999996</v>
      </c>
      <c r="V84" s="120"/>
      <c r="W84" s="142"/>
      <c r="X84" s="184"/>
      <c r="Y84" s="185"/>
      <c r="Z84" s="183"/>
      <c r="AA84" s="183"/>
    </row>
    <row r="85" spans="1:27" s="7" customFormat="1" ht="12.75">
      <c r="A85" s="7" t="s">
        <v>53</v>
      </c>
      <c r="B85" s="7" t="s">
        <v>44</v>
      </c>
      <c r="C85" s="7" t="s">
        <v>219</v>
      </c>
      <c r="D85" s="31" t="s">
        <v>166</v>
      </c>
      <c r="E85" s="32">
        <v>2009</v>
      </c>
      <c r="F85" s="127">
        <v>1</v>
      </c>
      <c r="G85" s="20"/>
      <c r="H85" s="94">
        <f t="shared" si="32"/>
        <v>2.149959688255845</v>
      </c>
      <c r="I85" s="91"/>
      <c r="J85" s="14">
        <v>3721</v>
      </c>
      <c r="K85" s="179">
        <v>0.029</v>
      </c>
      <c r="L85" s="180">
        <f t="shared" si="28"/>
        <v>107.909</v>
      </c>
      <c r="M85" s="181">
        <v>0.1</v>
      </c>
      <c r="N85" s="180">
        <f t="shared" si="29"/>
        <v>97.11810000000001</v>
      </c>
      <c r="P85" s="182">
        <v>0.0179</v>
      </c>
      <c r="Q85" s="183">
        <f t="shared" si="30"/>
        <v>1.7384139900000002</v>
      </c>
      <c r="R85" s="223"/>
      <c r="S85" s="226"/>
      <c r="T85" s="2">
        <f t="shared" si="31"/>
        <v>97.11810000000001</v>
      </c>
      <c r="U85" s="120">
        <f t="shared" si="24"/>
        <v>1.7384139900000002</v>
      </c>
      <c r="V85" s="120"/>
      <c r="W85" s="142"/>
      <c r="X85" s="184"/>
      <c r="Y85" s="185"/>
      <c r="Z85" s="183"/>
      <c r="AA85" s="183"/>
    </row>
    <row r="86" spans="1:27" s="7" customFormat="1" ht="12.75">
      <c r="A86" s="7" t="s">
        <v>53</v>
      </c>
      <c r="B86" s="7" t="s">
        <v>44</v>
      </c>
      <c r="C86" s="7" t="s">
        <v>220</v>
      </c>
      <c r="D86" s="31" t="s">
        <v>166</v>
      </c>
      <c r="E86" s="32">
        <v>2009</v>
      </c>
      <c r="F86" s="127">
        <v>4</v>
      </c>
      <c r="G86" s="20"/>
      <c r="H86" s="94">
        <f t="shared" si="32"/>
        <v>2.149959688255845</v>
      </c>
      <c r="I86" s="91"/>
      <c r="J86" s="14">
        <v>3721</v>
      </c>
      <c r="K86" s="179">
        <v>0.047</v>
      </c>
      <c r="L86" s="180">
        <f t="shared" si="28"/>
        <v>699.548</v>
      </c>
      <c r="M86" s="181">
        <v>0.1</v>
      </c>
      <c r="N86" s="180">
        <f t="shared" si="29"/>
        <v>629.5932</v>
      </c>
      <c r="P86" s="182">
        <v>0.0179</v>
      </c>
      <c r="Q86" s="183">
        <f t="shared" si="30"/>
        <v>11.26971828</v>
      </c>
      <c r="R86" s="223"/>
      <c r="S86" s="226"/>
      <c r="T86" s="2">
        <f t="shared" si="31"/>
        <v>629.5932</v>
      </c>
      <c r="U86" s="120">
        <f aca="true" t="shared" si="33" ref="U86:U113">Q86+S86</f>
        <v>11.26971828</v>
      </c>
      <c r="V86" s="120"/>
      <c r="W86" s="142"/>
      <c r="X86" s="184"/>
      <c r="Y86" s="185"/>
      <c r="Z86" s="183"/>
      <c r="AA86" s="183"/>
    </row>
    <row r="87" spans="1:27" s="7" customFormat="1" ht="12.75">
      <c r="A87" s="7" t="s">
        <v>53</v>
      </c>
      <c r="B87" s="7" t="s">
        <v>44</v>
      </c>
      <c r="C87" s="7" t="s">
        <v>221</v>
      </c>
      <c r="D87" s="31" t="s">
        <v>166</v>
      </c>
      <c r="E87" s="32">
        <v>2009</v>
      </c>
      <c r="F87" s="127">
        <v>41</v>
      </c>
      <c r="G87" s="20"/>
      <c r="H87" s="32">
        <v>10</v>
      </c>
      <c r="I87" s="91"/>
      <c r="J87" s="14">
        <v>985.5</v>
      </c>
      <c r="K87" s="179">
        <v>0.055</v>
      </c>
      <c r="L87" s="180">
        <f t="shared" si="28"/>
        <v>2222.3025000000002</v>
      </c>
      <c r="M87" s="181">
        <v>0.1</v>
      </c>
      <c r="N87" s="180">
        <f t="shared" si="29"/>
        <v>2000.0722500000002</v>
      </c>
      <c r="P87" s="182">
        <v>0.0179</v>
      </c>
      <c r="Q87" s="183">
        <f t="shared" si="30"/>
        <v>35.801293275</v>
      </c>
      <c r="R87" s="223"/>
      <c r="S87" s="226"/>
      <c r="T87" s="2">
        <f t="shared" si="31"/>
        <v>2000.0722500000002</v>
      </c>
      <c r="U87" s="120">
        <f t="shared" si="33"/>
        <v>35.801293275</v>
      </c>
      <c r="V87" s="120"/>
      <c r="W87" s="142"/>
      <c r="X87" s="184"/>
      <c r="Y87" s="185"/>
      <c r="Z87" s="183"/>
      <c r="AA87" s="183"/>
    </row>
    <row r="88" spans="1:27" s="7" customFormat="1" ht="12.75">
      <c r="A88" s="7" t="s">
        <v>53</v>
      </c>
      <c r="B88" s="7" t="s">
        <v>44</v>
      </c>
      <c r="C88" s="7" t="s">
        <v>222</v>
      </c>
      <c r="D88" s="31" t="s">
        <v>166</v>
      </c>
      <c r="E88" s="32">
        <v>2009</v>
      </c>
      <c r="F88" s="127">
        <v>4</v>
      </c>
      <c r="G88" s="20"/>
      <c r="H88" s="32">
        <v>10</v>
      </c>
      <c r="I88" s="91"/>
      <c r="J88" s="14">
        <v>985.5</v>
      </c>
      <c r="K88" s="179">
        <v>0.101</v>
      </c>
      <c r="L88" s="180">
        <f t="shared" si="28"/>
        <v>398.14200000000005</v>
      </c>
      <c r="M88" s="181">
        <v>0.1</v>
      </c>
      <c r="N88" s="180">
        <f t="shared" si="29"/>
        <v>358.3278000000001</v>
      </c>
      <c r="P88" s="182">
        <v>0.0179</v>
      </c>
      <c r="Q88" s="183">
        <f t="shared" si="30"/>
        <v>6.414067620000001</v>
      </c>
      <c r="R88" s="223"/>
      <c r="S88" s="226"/>
      <c r="T88" s="2">
        <f t="shared" si="31"/>
        <v>358.3278000000001</v>
      </c>
      <c r="U88" s="120">
        <f t="shared" si="33"/>
        <v>6.414067620000001</v>
      </c>
      <c r="V88" s="120"/>
      <c r="W88" s="142"/>
      <c r="X88" s="184"/>
      <c r="Y88" s="185"/>
      <c r="Z88" s="183"/>
      <c r="AA88" s="183"/>
    </row>
    <row r="89" spans="1:27" s="7" customFormat="1" ht="12.75">
      <c r="A89" s="7" t="s">
        <v>53</v>
      </c>
      <c r="B89" s="7" t="s">
        <v>44</v>
      </c>
      <c r="C89" s="7" t="s">
        <v>223</v>
      </c>
      <c r="D89" s="31" t="s">
        <v>166</v>
      </c>
      <c r="E89" s="32">
        <v>2009</v>
      </c>
      <c r="F89" s="127">
        <v>175</v>
      </c>
      <c r="G89" s="20"/>
      <c r="H89" s="94">
        <f>8000/J89</f>
        <v>2.149959688255845</v>
      </c>
      <c r="I89" s="91"/>
      <c r="J89" s="14">
        <v>3721</v>
      </c>
      <c r="K89" s="179">
        <v>0.047</v>
      </c>
      <c r="L89" s="180">
        <f t="shared" si="28"/>
        <v>30605.225</v>
      </c>
      <c r="M89" s="181">
        <v>0.1</v>
      </c>
      <c r="N89" s="180">
        <f t="shared" si="29"/>
        <v>27544.7025</v>
      </c>
      <c r="P89" s="182">
        <v>0.0179</v>
      </c>
      <c r="Q89" s="183">
        <f t="shared" si="30"/>
        <v>493.05017475</v>
      </c>
      <c r="R89" s="223"/>
      <c r="S89" s="226"/>
      <c r="T89" s="2">
        <f t="shared" si="31"/>
        <v>27544.7025</v>
      </c>
      <c r="U89" s="120">
        <f t="shared" si="33"/>
        <v>493.05017475</v>
      </c>
      <c r="V89" s="120"/>
      <c r="W89" s="142"/>
      <c r="X89" s="184"/>
      <c r="Y89" s="185"/>
      <c r="Z89" s="183"/>
      <c r="AA89" s="183"/>
    </row>
    <row r="90" spans="1:27" s="7" customFormat="1" ht="12.75">
      <c r="A90" s="7" t="s">
        <v>53</v>
      </c>
      <c r="B90" s="7" t="s">
        <v>44</v>
      </c>
      <c r="C90" s="7" t="s">
        <v>224</v>
      </c>
      <c r="D90" s="31" t="s">
        <v>166</v>
      </c>
      <c r="E90" s="32">
        <v>2009</v>
      </c>
      <c r="F90" s="127">
        <v>91</v>
      </c>
      <c r="G90" s="20"/>
      <c r="H90" s="94">
        <f aca="true" t="shared" si="34" ref="H90:H97">8000/J90</f>
        <v>2.149959688255845</v>
      </c>
      <c r="I90" s="91"/>
      <c r="J90" s="14">
        <v>3721</v>
      </c>
      <c r="K90" s="179">
        <v>0.057</v>
      </c>
      <c r="L90" s="180">
        <f t="shared" si="28"/>
        <v>19300.827</v>
      </c>
      <c r="M90" s="181">
        <v>0.1</v>
      </c>
      <c r="N90" s="180">
        <f t="shared" si="29"/>
        <v>17370.744300000002</v>
      </c>
      <c r="P90" s="182">
        <v>0.0179</v>
      </c>
      <c r="Q90" s="183">
        <f t="shared" si="30"/>
        <v>310.93632297000005</v>
      </c>
      <c r="R90" s="223"/>
      <c r="S90" s="226"/>
      <c r="T90" s="2">
        <f t="shared" si="31"/>
        <v>17370.744300000002</v>
      </c>
      <c r="U90" s="120">
        <f t="shared" si="33"/>
        <v>310.93632297000005</v>
      </c>
      <c r="V90" s="120"/>
      <c r="W90" s="142"/>
      <c r="X90" s="184"/>
      <c r="Y90" s="185"/>
      <c r="Z90" s="183"/>
      <c r="AA90" s="183"/>
    </row>
    <row r="91" spans="1:27" s="7" customFormat="1" ht="12.75">
      <c r="A91" s="7" t="s">
        <v>53</v>
      </c>
      <c r="B91" s="7" t="s">
        <v>44</v>
      </c>
      <c r="C91" s="7" t="s">
        <v>225</v>
      </c>
      <c r="D91" s="31" t="s">
        <v>166</v>
      </c>
      <c r="E91" s="32">
        <v>2009</v>
      </c>
      <c r="F91" s="127">
        <v>168</v>
      </c>
      <c r="G91" s="20"/>
      <c r="H91" s="94">
        <f t="shared" si="34"/>
        <v>2.149959688255845</v>
      </c>
      <c r="I91" s="91"/>
      <c r="J91" s="14">
        <v>3721</v>
      </c>
      <c r="K91" s="179">
        <v>0.074</v>
      </c>
      <c r="L91" s="180">
        <f t="shared" si="28"/>
        <v>46259.471999999994</v>
      </c>
      <c r="M91" s="181">
        <v>0.1</v>
      </c>
      <c r="N91" s="180">
        <f t="shared" si="29"/>
        <v>41633.5248</v>
      </c>
      <c r="P91" s="182">
        <v>0.0179</v>
      </c>
      <c r="Q91" s="183">
        <f t="shared" si="30"/>
        <v>745.2400939199999</v>
      </c>
      <c r="R91" s="223"/>
      <c r="S91" s="226"/>
      <c r="T91" s="2">
        <f t="shared" si="31"/>
        <v>41633.5248</v>
      </c>
      <c r="U91" s="120">
        <f t="shared" si="33"/>
        <v>745.2400939199999</v>
      </c>
      <c r="V91" s="120"/>
      <c r="W91" s="142"/>
      <c r="X91" s="184"/>
      <c r="Y91" s="185"/>
      <c r="Z91" s="183"/>
      <c r="AA91" s="183"/>
    </row>
    <row r="92" spans="1:27" s="7" customFormat="1" ht="12.75">
      <c r="A92" s="7" t="s">
        <v>53</v>
      </c>
      <c r="B92" s="7" t="s">
        <v>44</v>
      </c>
      <c r="C92" s="7" t="s">
        <v>226</v>
      </c>
      <c r="D92" s="31" t="s">
        <v>166</v>
      </c>
      <c r="E92" s="32">
        <v>2009</v>
      </c>
      <c r="F92" s="127">
        <v>169</v>
      </c>
      <c r="G92" s="20"/>
      <c r="H92" s="94">
        <f t="shared" si="34"/>
        <v>2.149959688255845</v>
      </c>
      <c r="I92" s="91"/>
      <c r="J92" s="14">
        <v>3721</v>
      </c>
      <c r="K92" s="179">
        <v>0.047</v>
      </c>
      <c r="L92" s="180">
        <f t="shared" si="28"/>
        <v>29555.903</v>
      </c>
      <c r="M92" s="181">
        <v>0.1</v>
      </c>
      <c r="N92" s="180">
        <f t="shared" si="29"/>
        <v>26600.3127</v>
      </c>
      <c r="P92" s="182">
        <v>0.0179</v>
      </c>
      <c r="Q92" s="183">
        <f t="shared" si="30"/>
        <v>476.14559732999993</v>
      </c>
      <c r="R92" s="223"/>
      <c r="S92" s="226"/>
      <c r="T92" s="2">
        <f t="shared" si="31"/>
        <v>26600.3127</v>
      </c>
      <c r="U92" s="120">
        <f t="shared" si="33"/>
        <v>476.14559732999993</v>
      </c>
      <c r="V92" s="120"/>
      <c r="W92" s="142"/>
      <c r="X92" s="184"/>
      <c r="Y92" s="185"/>
      <c r="Z92" s="183"/>
      <c r="AA92" s="183"/>
    </row>
    <row r="93" spans="1:27" s="7" customFormat="1" ht="12.75">
      <c r="A93" s="7" t="s">
        <v>53</v>
      </c>
      <c r="B93" s="7" t="s">
        <v>44</v>
      </c>
      <c r="C93" s="7" t="s">
        <v>227</v>
      </c>
      <c r="D93" s="31" t="s">
        <v>166</v>
      </c>
      <c r="E93" s="32">
        <v>2009</v>
      </c>
      <c r="F93" s="127">
        <v>103</v>
      </c>
      <c r="G93" s="20"/>
      <c r="H93" s="94">
        <f t="shared" si="34"/>
        <v>2.149959688255845</v>
      </c>
      <c r="I93" s="91"/>
      <c r="J93" s="14">
        <v>3721</v>
      </c>
      <c r="K93" s="179">
        <v>0.057</v>
      </c>
      <c r="L93" s="180">
        <f t="shared" si="28"/>
        <v>21845.991</v>
      </c>
      <c r="M93" s="181">
        <v>0.1</v>
      </c>
      <c r="N93" s="180">
        <f t="shared" si="29"/>
        <v>19661.391900000002</v>
      </c>
      <c r="P93" s="182">
        <v>0.0179</v>
      </c>
      <c r="Q93" s="183">
        <f t="shared" si="30"/>
        <v>351.93891501</v>
      </c>
      <c r="R93" s="223"/>
      <c r="S93" s="226"/>
      <c r="T93" s="2">
        <f t="shared" si="31"/>
        <v>19661.391900000002</v>
      </c>
      <c r="U93" s="120">
        <f t="shared" si="33"/>
        <v>351.93891501</v>
      </c>
      <c r="V93" s="120"/>
      <c r="W93" s="142"/>
      <c r="X93" s="184"/>
      <c r="Y93" s="185"/>
      <c r="Z93" s="183"/>
      <c r="AA93" s="183"/>
    </row>
    <row r="94" spans="1:27" s="7" customFormat="1" ht="12.75">
      <c r="A94" s="7" t="s">
        <v>53</v>
      </c>
      <c r="B94" s="7" t="s">
        <v>44</v>
      </c>
      <c r="C94" s="7" t="s">
        <v>228</v>
      </c>
      <c r="D94" s="31" t="s">
        <v>166</v>
      </c>
      <c r="E94" s="32">
        <v>2009</v>
      </c>
      <c r="F94" s="127">
        <v>5</v>
      </c>
      <c r="G94" s="20"/>
      <c r="H94" s="94">
        <f t="shared" si="34"/>
        <v>2.149959688255845</v>
      </c>
      <c r="I94" s="91"/>
      <c r="J94" s="14">
        <v>3721</v>
      </c>
      <c r="K94" s="179">
        <v>0.025</v>
      </c>
      <c r="L94" s="180">
        <f t="shared" si="28"/>
        <v>465.125</v>
      </c>
      <c r="M94" s="181">
        <v>0.1</v>
      </c>
      <c r="N94" s="180">
        <f t="shared" si="29"/>
        <v>418.6125</v>
      </c>
      <c r="P94" s="182">
        <v>0.0179</v>
      </c>
      <c r="Q94" s="183">
        <f t="shared" si="30"/>
        <v>7.49316375</v>
      </c>
      <c r="R94" s="223"/>
      <c r="S94" s="226"/>
      <c r="T94" s="2">
        <f t="shared" si="31"/>
        <v>418.6125</v>
      </c>
      <c r="U94" s="120">
        <f t="shared" si="33"/>
        <v>7.49316375</v>
      </c>
      <c r="V94" s="120"/>
      <c r="W94" s="142"/>
      <c r="X94" s="184"/>
      <c r="Y94" s="185"/>
      <c r="Z94" s="183"/>
      <c r="AA94" s="183"/>
    </row>
    <row r="95" spans="1:27" s="7" customFormat="1" ht="12.75">
      <c r="A95" s="7" t="s">
        <v>53</v>
      </c>
      <c r="B95" s="7" t="s">
        <v>44</v>
      </c>
      <c r="C95" s="7" t="s">
        <v>229</v>
      </c>
      <c r="D95" s="31" t="s">
        <v>166</v>
      </c>
      <c r="E95" s="32">
        <v>2009</v>
      </c>
      <c r="F95" s="127">
        <v>23</v>
      </c>
      <c r="G95" s="20"/>
      <c r="H95" s="94">
        <f t="shared" si="34"/>
        <v>2.149959688255845</v>
      </c>
      <c r="I95" s="91"/>
      <c r="J95" s="14">
        <v>3721</v>
      </c>
      <c r="K95" s="179">
        <v>0.0645</v>
      </c>
      <c r="L95" s="180">
        <f t="shared" si="28"/>
        <v>5520.1035</v>
      </c>
      <c r="M95" s="181">
        <v>0.1</v>
      </c>
      <c r="N95" s="180">
        <f t="shared" si="29"/>
        <v>4968.093150000001</v>
      </c>
      <c r="P95" s="182">
        <v>0.0179</v>
      </c>
      <c r="Q95" s="183">
        <f t="shared" si="30"/>
        <v>88.928867385</v>
      </c>
      <c r="R95" s="223"/>
      <c r="S95" s="226"/>
      <c r="T95" s="2">
        <f t="shared" si="31"/>
        <v>4968.093150000001</v>
      </c>
      <c r="U95" s="120">
        <f t="shared" si="33"/>
        <v>88.928867385</v>
      </c>
      <c r="V95" s="120"/>
      <c r="W95" s="142"/>
      <c r="X95" s="184"/>
      <c r="Y95" s="185"/>
      <c r="Z95" s="183"/>
      <c r="AA95" s="183"/>
    </row>
    <row r="96" spans="1:27" s="7" customFormat="1" ht="12.75">
      <c r="A96" s="7" t="s">
        <v>53</v>
      </c>
      <c r="B96" s="7" t="s">
        <v>44</v>
      </c>
      <c r="C96" s="7" t="s">
        <v>230</v>
      </c>
      <c r="D96" s="31" t="s">
        <v>166</v>
      </c>
      <c r="E96" s="32">
        <v>2009</v>
      </c>
      <c r="F96" s="127">
        <v>1</v>
      </c>
      <c r="G96" s="20"/>
      <c r="H96" s="94">
        <f t="shared" si="34"/>
        <v>2.149959688255845</v>
      </c>
      <c r="I96" s="91"/>
      <c r="J96" s="14">
        <v>3721</v>
      </c>
      <c r="K96" s="179">
        <v>0.074</v>
      </c>
      <c r="L96" s="180">
        <f t="shared" si="28"/>
        <v>275.354</v>
      </c>
      <c r="M96" s="181">
        <v>0.1</v>
      </c>
      <c r="N96" s="180">
        <f t="shared" si="29"/>
        <v>247.8186</v>
      </c>
      <c r="P96" s="182">
        <v>0.0179</v>
      </c>
      <c r="Q96" s="183">
        <f t="shared" si="30"/>
        <v>4.43595294</v>
      </c>
      <c r="R96" s="223"/>
      <c r="S96" s="226"/>
      <c r="T96" s="2">
        <f t="shared" si="31"/>
        <v>247.8186</v>
      </c>
      <c r="U96" s="120">
        <f t="shared" si="33"/>
        <v>4.43595294</v>
      </c>
      <c r="V96" s="120"/>
      <c r="W96" s="142"/>
      <c r="X96" s="184"/>
      <c r="Y96" s="185"/>
      <c r="Z96" s="183"/>
      <c r="AA96" s="183"/>
    </row>
    <row r="97" spans="1:27" s="7" customFormat="1" ht="12.75">
      <c r="A97" s="7" t="s">
        <v>53</v>
      </c>
      <c r="B97" s="7" t="s">
        <v>44</v>
      </c>
      <c r="C97" s="7" t="s">
        <v>231</v>
      </c>
      <c r="D97" s="31" t="s">
        <v>166</v>
      </c>
      <c r="E97" s="32">
        <v>2009</v>
      </c>
      <c r="F97" s="127">
        <v>70</v>
      </c>
      <c r="G97" s="20"/>
      <c r="H97" s="94">
        <f t="shared" si="34"/>
        <v>2.149959688255845</v>
      </c>
      <c r="I97" s="91"/>
      <c r="J97" s="14">
        <v>3721</v>
      </c>
      <c r="K97" s="179">
        <v>0.0295</v>
      </c>
      <c r="L97" s="180">
        <f t="shared" si="28"/>
        <v>7683.865</v>
      </c>
      <c r="M97" s="181">
        <v>0.1</v>
      </c>
      <c r="N97" s="180">
        <f t="shared" si="29"/>
        <v>6915.4785</v>
      </c>
      <c r="P97" s="182">
        <v>0.0179</v>
      </c>
      <c r="Q97" s="183">
        <f t="shared" si="30"/>
        <v>123.78706515</v>
      </c>
      <c r="R97" s="223"/>
      <c r="S97" s="226"/>
      <c r="T97" s="2">
        <f t="shared" si="31"/>
        <v>6915.4785</v>
      </c>
      <c r="U97" s="120">
        <f t="shared" si="33"/>
        <v>123.78706515</v>
      </c>
      <c r="V97" s="120"/>
      <c r="W97" s="142"/>
      <c r="X97" s="184"/>
      <c r="Y97" s="185"/>
      <c r="Z97" s="183"/>
      <c r="AA97" s="183"/>
    </row>
    <row r="98" spans="1:25" ht="12.75">
      <c r="A98" s="7" t="s">
        <v>53</v>
      </c>
      <c r="B98" t="s">
        <v>142</v>
      </c>
      <c r="C98" s="7" t="s">
        <v>128</v>
      </c>
      <c r="D98" s="7" t="s">
        <v>122</v>
      </c>
      <c r="E98" s="8">
        <v>2009</v>
      </c>
      <c r="F98" s="9">
        <v>7</v>
      </c>
      <c r="G98" s="20"/>
      <c r="H98" s="94">
        <f>20000/J98</f>
        <v>6.148170919151553</v>
      </c>
      <c r="I98" s="91"/>
      <c r="J98" s="14">
        <v>3253</v>
      </c>
      <c r="K98" s="126">
        <f>(51-28)/1000</f>
        <v>0.023</v>
      </c>
      <c r="L98" s="2">
        <f>IF(K98&lt;&gt;"",J98*K98*F98,I98*F98)</f>
        <v>523.7330000000001</v>
      </c>
      <c r="M98" s="3">
        <v>0.1</v>
      </c>
      <c r="N98" s="2">
        <f aca="true" t="shared" si="35" ref="N98:N105">+L98*(1-M98)</f>
        <v>471.3597000000001</v>
      </c>
      <c r="P98" s="12">
        <v>0.0179</v>
      </c>
      <c r="Q98" s="6">
        <f aca="true" t="shared" si="36" ref="Q98:Q105">+N98*P98</f>
        <v>8.437338630000001</v>
      </c>
      <c r="S98" s="209"/>
      <c r="T98" s="2">
        <f t="shared" si="31"/>
        <v>471.3597000000001</v>
      </c>
      <c r="U98" s="120">
        <f t="shared" si="33"/>
        <v>8.437338630000001</v>
      </c>
      <c r="V98" s="120"/>
      <c r="Y98" s="134"/>
    </row>
    <row r="99" spans="1:25" ht="12.75">
      <c r="A99" s="7" t="s">
        <v>53</v>
      </c>
      <c r="B99" t="s">
        <v>142</v>
      </c>
      <c r="C99" s="7" t="s">
        <v>129</v>
      </c>
      <c r="D99" s="7" t="s">
        <v>122</v>
      </c>
      <c r="E99" s="8">
        <v>2009</v>
      </c>
      <c r="F99" s="9">
        <v>3</v>
      </c>
      <c r="G99" s="20"/>
      <c r="H99" s="94">
        <f>20000/J99</f>
        <v>6.148170919151553</v>
      </c>
      <c r="I99" s="91"/>
      <c r="J99" s="14">
        <v>3253</v>
      </c>
      <c r="K99" s="126">
        <f>(88-55)/1000</f>
        <v>0.033</v>
      </c>
      <c r="L99" s="2">
        <f>IF(K99&lt;&gt;"",J99*K99*F99,I99*F99)</f>
        <v>322.047</v>
      </c>
      <c r="M99" s="3">
        <v>0.1</v>
      </c>
      <c r="N99" s="2">
        <f t="shared" si="35"/>
        <v>289.8423</v>
      </c>
      <c r="P99" s="12">
        <v>0.0179</v>
      </c>
      <c r="Q99" s="6">
        <f t="shared" si="36"/>
        <v>5.18817717</v>
      </c>
      <c r="S99" s="209"/>
      <c r="T99" s="2">
        <f t="shared" si="31"/>
        <v>289.8423</v>
      </c>
      <c r="U99" s="120">
        <f t="shared" si="33"/>
        <v>5.18817717</v>
      </c>
      <c r="V99" s="120"/>
      <c r="Y99" s="134"/>
    </row>
    <row r="100" spans="1:25" ht="12.75">
      <c r="A100" s="7" t="s">
        <v>53</v>
      </c>
      <c r="B100" t="s">
        <v>142</v>
      </c>
      <c r="C100" s="7" t="s">
        <v>130</v>
      </c>
      <c r="D100" s="7" t="s">
        <v>122</v>
      </c>
      <c r="E100" s="8">
        <v>2009</v>
      </c>
      <c r="F100" s="9">
        <v>26</v>
      </c>
      <c r="G100" s="20"/>
      <c r="H100" s="94">
        <f>20000/J100</f>
        <v>6.148170919151553</v>
      </c>
      <c r="I100" s="91"/>
      <c r="J100" s="14">
        <v>3253</v>
      </c>
      <c r="K100" s="126">
        <f>(149-85)/1000</f>
        <v>0.064</v>
      </c>
      <c r="L100" s="2">
        <f>IF(K100&lt;&gt;"",J100*K100*F100,I100*F100)</f>
        <v>5412.992</v>
      </c>
      <c r="M100" s="3">
        <v>0.1</v>
      </c>
      <c r="N100" s="2">
        <f t="shared" si="35"/>
        <v>4871.692800000001</v>
      </c>
      <c r="P100" s="12">
        <v>0.0179</v>
      </c>
      <c r="Q100" s="6">
        <f t="shared" si="36"/>
        <v>87.20330112</v>
      </c>
      <c r="S100" s="209"/>
      <c r="T100" s="2">
        <f t="shared" si="31"/>
        <v>4871.692800000001</v>
      </c>
      <c r="U100" s="120">
        <f t="shared" si="33"/>
        <v>87.20330112</v>
      </c>
      <c r="V100" s="120"/>
      <c r="Y100" s="134"/>
    </row>
    <row r="101" spans="1:25" ht="12.75">
      <c r="A101" s="7" t="s">
        <v>53</v>
      </c>
      <c r="B101" t="s">
        <v>142</v>
      </c>
      <c r="C101" s="7" t="s">
        <v>56</v>
      </c>
      <c r="D101" s="7" t="s">
        <v>122</v>
      </c>
      <c r="E101" s="8">
        <v>2009</v>
      </c>
      <c r="F101" s="9">
        <v>8</v>
      </c>
      <c r="G101" s="20"/>
      <c r="H101" s="94"/>
      <c r="I101" s="91"/>
      <c r="J101" s="14">
        <f>4450*0.4</f>
        <v>1780</v>
      </c>
      <c r="K101" s="126">
        <f>(300)/1000</f>
        <v>0.3</v>
      </c>
      <c r="L101" s="2">
        <f>IF(K101&lt;&gt;"",J101*K101*F101,I101*F101)</f>
        <v>4272</v>
      </c>
      <c r="M101" s="3">
        <v>0.1</v>
      </c>
      <c r="N101" s="2">
        <f t="shared" si="35"/>
        <v>3844.8</v>
      </c>
      <c r="P101" s="12">
        <v>0.0179</v>
      </c>
      <c r="Q101" s="6">
        <f t="shared" si="36"/>
        <v>68.82192</v>
      </c>
      <c r="S101" s="209"/>
      <c r="T101" s="2">
        <f t="shared" si="31"/>
        <v>3844.8</v>
      </c>
      <c r="U101" s="120">
        <f t="shared" si="33"/>
        <v>68.82192</v>
      </c>
      <c r="V101" s="120"/>
      <c r="Y101" s="134"/>
    </row>
    <row r="102" spans="1:25" ht="12.75">
      <c r="A102" s="7" t="s">
        <v>53</v>
      </c>
      <c r="B102" t="s">
        <v>140</v>
      </c>
      <c r="C102" s="7" t="s">
        <v>172</v>
      </c>
      <c r="D102" s="7" t="s">
        <v>122</v>
      </c>
      <c r="E102" s="8">
        <v>2009</v>
      </c>
      <c r="F102" s="127">
        <v>46</v>
      </c>
      <c r="G102" s="20"/>
      <c r="H102" s="94">
        <f>20000/J102</f>
        <v>5.832604257801108</v>
      </c>
      <c r="I102" s="119"/>
      <c r="J102" s="14">
        <v>3429</v>
      </c>
      <c r="K102" s="126">
        <f>(51-28)/1000</f>
        <v>0.023</v>
      </c>
      <c r="L102" s="2">
        <f>IF(K102&lt;&gt;"",J102*K102*F102,I102*F102)</f>
        <v>3627.882</v>
      </c>
      <c r="M102" s="3">
        <v>0.1</v>
      </c>
      <c r="N102" s="2">
        <f t="shared" si="35"/>
        <v>3265.0938</v>
      </c>
      <c r="P102" s="12">
        <v>0.0179</v>
      </c>
      <c r="Q102" s="6">
        <f t="shared" si="36"/>
        <v>58.44517902</v>
      </c>
      <c r="S102" s="209"/>
      <c r="T102" s="2">
        <f t="shared" si="31"/>
        <v>3265.0938</v>
      </c>
      <c r="U102" s="120">
        <f t="shared" si="33"/>
        <v>58.44517902</v>
      </c>
      <c r="V102" s="120"/>
      <c r="Y102" s="134"/>
    </row>
    <row r="103" spans="1:25" ht="12.75">
      <c r="A103" s="7" t="s">
        <v>53</v>
      </c>
      <c r="B103" t="s">
        <v>140</v>
      </c>
      <c r="C103" s="7" t="s">
        <v>173</v>
      </c>
      <c r="D103" s="7" t="s">
        <v>122</v>
      </c>
      <c r="E103" s="8">
        <v>2009</v>
      </c>
      <c r="F103" s="127">
        <v>4</v>
      </c>
      <c r="G103" s="20"/>
      <c r="H103" s="94">
        <f>20000/J103</f>
        <v>5.832604257801108</v>
      </c>
      <c r="I103" s="119"/>
      <c r="J103" s="14">
        <v>3429</v>
      </c>
      <c r="K103" s="126">
        <f>(88-55)/1000</f>
        <v>0.033</v>
      </c>
      <c r="L103" s="2">
        <f aca="true" t="shared" si="37" ref="L103:L146">IF(K103&lt;&gt;"",J103*K103*F103,I103*F103)</f>
        <v>452.62800000000004</v>
      </c>
      <c r="M103" s="3">
        <v>0.1</v>
      </c>
      <c r="N103" s="2">
        <f t="shared" si="35"/>
        <v>407.3652000000001</v>
      </c>
      <c r="P103" s="12">
        <v>0.0179</v>
      </c>
      <c r="Q103" s="6">
        <f t="shared" si="36"/>
        <v>7.291837080000001</v>
      </c>
      <c r="S103" s="209"/>
      <c r="T103" s="2">
        <f t="shared" si="31"/>
        <v>407.3652000000001</v>
      </c>
      <c r="U103" s="120">
        <f t="shared" si="33"/>
        <v>7.291837080000001</v>
      </c>
      <c r="V103" s="120"/>
      <c r="Y103" s="134"/>
    </row>
    <row r="104" spans="1:25" ht="12.75">
      <c r="A104" s="7" t="s">
        <v>53</v>
      </c>
      <c r="B104" t="s">
        <v>140</v>
      </c>
      <c r="C104" s="7" t="s">
        <v>174</v>
      </c>
      <c r="D104" s="7" t="s">
        <v>122</v>
      </c>
      <c r="E104" s="8">
        <v>2009</v>
      </c>
      <c r="F104" s="127">
        <v>3</v>
      </c>
      <c r="G104" s="20"/>
      <c r="H104" s="94">
        <f>20000/J104</f>
        <v>5.832604257801108</v>
      </c>
      <c r="I104" s="119"/>
      <c r="J104" s="14">
        <v>3429</v>
      </c>
      <c r="K104" s="126">
        <f>(149-85)/1000</f>
        <v>0.064</v>
      </c>
      <c r="L104" s="2">
        <f t="shared" si="37"/>
        <v>658.368</v>
      </c>
      <c r="M104" s="3">
        <v>0.1</v>
      </c>
      <c r="N104" s="2">
        <f t="shared" si="35"/>
        <v>592.5312</v>
      </c>
      <c r="P104" s="12">
        <v>0.0179</v>
      </c>
      <c r="Q104" s="6">
        <f t="shared" si="36"/>
        <v>10.60630848</v>
      </c>
      <c r="S104" s="209"/>
      <c r="T104" s="2">
        <f t="shared" si="31"/>
        <v>592.5312</v>
      </c>
      <c r="U104" s="120">
        <f t="shared" si="33"/>
        <v>10.60630848</v>
      </c>
      <c r="V104" s="120"/>
      <c r="Y104" s="134"/>
    </row>
    <row r="105" spans="1:25" ht="12.75">
      <c r="A105" s="7" t="s">
        <v>53</v>
      </c>
      <c r="B105" t="s">
        <v>140</v>
      </c>
      <c r="C105" s="7" t="s">
        <v>175</v>
      </c>
      <c r="D105" s="7" t="s">
        <v>122</v>
      </c>
      <c r="E105" s="8">
        <v>2009</v>
      </c>
      <c r="F105" s="127">
        <v>60</v>
      </c>
      <c r="G105" s="20"/>
      <c r="H105" s="94">
        <f>20000/J105</f>
        <v>5.832604257801108</v>
      </c>
      <c r="I105" s="119"/>
      <c r="J105" s="14">
        <v>3429</v>
      </c>
      <c r="K105" s="126">
        <f>(149-85)/1000</f>
        <v>0.064</v>
      </c>
      <c r="L105" s="2">
        <f t="shared" si="37"/>
        <v>13167.36</v>
      </c>
      <c r="M105" s="3">
        <v>0.1</v>
      </c>
      <c r="N105" s="2">
        <f t="shared" si="35"/>
        <v>11850.624000000002</v>
      </c>
      <c r="P105" s="12">
        <v>0.0179</v>
      </c>
      <c r="Q105" s="6">
        <f t="shared" si="36"/>
        <v>212.12616960000003</v>
      </c>
      <c r="S105" s="209"/>
      <c r="T105" s="2">
        <f t="shared" si="31"/>
        <v>11850.624000000002</v>
      </c>
      <c r="U105" s="120">
        <f t="shared" si="33"/>
        <v>212.12616960000003</v>
      </c>
      <c r="V105" s="120"/>
      <c r="Y105" s="134"/>
    </row>
    <row r="106" spans="1:25" ht="12.75">
      <c r="A106" s="7" t="s">
        <v>53</v>
      </c>
      <c r="B106" t="s">
        <v>145</v>
      </c>
      <c r="C106" s="7" t="s">
        <v>58</v>
      </c>
      <c r="D106" s="7" t="s">
        <v>122</v>
      </c>
      <c r="E106" s="8">
        <v>2009</v>
      </c>
      <c r="F106" s="9">
        <v>6</v>
      </c>
      <c r="G106" s="20"/>
      <c r="H106" s="94">
        <v>10</v>
      </c>
      <c r="I106" s="119"/>
      <c r="J106" s="14">
        <v>8760</v>
      </c>
      <c r="K106" s="119">
        <f>(22-5)/1000</f>
        <v>0.017</v>
      </c>
      <c r="L106" s="2">
        <f t="shared" si="37"/>
        <v>893.5200000000001</v>
      </c>
      <c r="M106" s="3">
        <v>0.1</v>
      </c>
      <c r="N106" s="2">
        <f aca="true" t="shared" si="38" ref="N106:N113">+L106*(1-M106)</f>
        <v>804.1680000000001</v>
      </c>
      <c r="P106" s="12">
        <v>0.0179</v>
      </c>
      <c r="Q106" s="6">
        <f aca="true" t="shared" si="39" ref="Q106:Q113">+N106*P106</f>
        <v>14.394607200000001</v>
      </c>
      <c r="S106" s="209"/>
      <c r="T106" s="2">
        <f t="shared" si="31"/>
        <v>804.1680000000001</v>
      </c>
      <c r="U106" s="120">
        <f t="shared" si="33"/>
        <v>14.394607200000001</v>
      </c>
      <c r="V106" s="120"/>
      <c r="Y106" s="134"/>
    </row>
    <row r="107" spans="1:25" ht="12.75">
      <c r="A107" s="7" t="s">
        <v>53</v>
      </c>
      <c r="B107" t="s">
        <v>145</v>
      </c>
      <c r="C107" s="7" t="s">
        <v>127</v>
      </c>
      <c r="D107" s="7" t="s">
        <v>122</v>
      </c>
      <c r="E107" s="8">
        <v>2009</v>
      </c>
      <c r="F107" s="9">
        <v>140</v>
      </c>
      <c r="G107" s="20"/>
      <c r="H107" s="94">
        <f>((10000+6000)/2)/J107</f>
        <v>2.098085496984002</v>
      </c>
      <c r="I107" s="119"/>
      <c r="J107" s="14">
        <v>3813</v>
      </c>
      <c r="K107" s="126">
        <f>(40-13)/1000</f>
        <v>0.027</v>
      </c>
      <c r="L107" s="2">
        <f t="shared" si="37"/>
        <v>14413.14</v>
      </c>
      <c r="M107" s="3">
        <v>0.1</v>
      </c>
      <c r="N107" s="2">
        <f t="shared" si="38"/>
        <v>12971.826</v>
      </c>
      <c r="P107" s="12">
        <v>0.0179</v>
      </c>
      <c r="Q107" s="6">
        <f t="shared" si="39"/>
        <v>232.19568539999997</v>
      </c>
      <c r="S107" s="209"/>
      <c r="T107" s="2">
        <f t="shared" si="31"/>
        <v>12971.826</v>
      </c>
      <c r="U107" s="120">
        <f t="shared" si="33"/>
        <v>232.19568539999997</v>
      </c>
      <c r="V107" s="120"/>
      <c r="Y107" s="134"/>
    </row>
    <row r="108" spans="1:25" ht="12.75">
      <c r="A108" s="7" t="s">
        <v>53</v>
      </c>
      <c r="B108" t="s">
        <v>145</v>
      </c>
      <c r="C108" s="7" t="s">
        <v>146</v>
      </c>
      <c r="D108" s="7" t="s">
        <v>122</v>
      </c>
      <c r="E108" s="8">
        <v>2009</v>
      </c>
      <c r="F108" s="9">
        <v>2</v>
      </c>
      <c r="G108" s="20"/>
      <c r="H108" s="94">
        <f>8000/J108</f>
        <v>2.098085496984002</v>
      </c>
      <c r="I108" s="119"/>
      <c r="J108" s="14">
        <v>3813</v>
      </c>
      <c r="K108" s="126">
        <f>(40-13)/1000</f>
        <v>0.027</v>
      </c>
      <c r="L108" s="2">
        <f t="shared" si="37"/>
        <v>205.902</v>
      </c>
      <c r="M108" s="3">
        <v>0.1</v>
      </c>
      <c r="N108" s="2">
        <f t="shared" si="38"/>
        <v>185.3118</v>
      </c>
      <c r="P108" s="12">
        <v>0.0179</v>
      </c>
      <c r="Q108" s="6">
        <f t="shared" si="39"/>
        <v>3.31708122</v>
      </c>
      <c r="S108" s="209"/>
      <c r="T108" s="2">
        <f t="shared" si="31"/>
        <v>185.3118</v>
      </c>
      <c r="U108" s="120">
        <f t="shared" si="33"/>
        <v>3.31708122</v>
      </c>
      <c r="V108" s="120"/>
      <c r="Y108" s="134"/>
    </row>
    <row r="109" spans="1:25" ht="12.75">
      <c r="A109" s="7" t="s">
        <v>53</v>
      </c>
      <c r="B109" t="s">
        <v>145</v>
      </c>
      <c r="C109" s="7" t="s">
        <v>128</v>
      </c>
      <c r="D109" s="7" t="s">
        <v>122</v>
      </c>
      <c r="E109" s="8">
        <v>2009</v>
      </c>
      <c r="F109" s="9">
        <v>28</v>
      </c>
      <c r="G109" s="20"/>
      <c r="H109" s="94">
        <f>20000/J109</f>
        <v>5.832604257801108</v>
      </c>
      <c r="I109" s="91"/>
      <c r="J109" s="14">
        <v>3429</v>
      </c>
      <c r="K109" s="126">
        <f>(51-28)/1000</f>
        <v>0.023</v>
      </c>
      <c r="L109" s="2">
        <f t="shared" si="37"/>
        <v>2208.2760000000003</v>
      </c>
      <c r="M109" s="3">
        <v>0.1</v>
      </c>
      <c r="N109" s="2">
        <f t="shared" si="38"/>
        <v>1987.4484000000002</v>
      </c>
      <c r="P109" s="12">
        <v>0.0179</v>
      </c>
      <c r="Q109" s="6">
        <f t="shared" si="39"/>
        <v>35.575326360000005</v>
      </c>
      <c r="S109" s="209"/>
      <c r="T109" s="2">
        <f t="shared" si="31"/>
        <v>1987.4484000000002</v>
      </c>
      <c r="U109" s="120">
        <f t="shared" si="33"/>
        <v>35.575326360000005</v>
      </c>
      <c r="V109" s="120"/>
      <c r="Y109" s="134"/>
    </row>
    <row r="110" spans="1:25" ht="12.75">
      <c r="A110" s="7" t="s">
        <v>53</v>
      </c>
      <c r="B110" t="s">
        <v>145</v>
      </c>
      <c r="C110" s="7" t="s">
        <v>129</v>
      </c>
      <c r="D110" s="7" t="s">
        <v>122</v>
      </c>
      <c r="E110" s="8">
        <v>2009</v>
      </c>
      <c r="F110" s="9">
        <v>20</v>
      </c>
      <c r="G110" s="20"/>
      <c r="H110" s="94">
        <f>20000/J110</f>
        <v>5.832604257801108</v>
      </c>
      <c r="I110" s="91"/>
      <c r="J110" s="14">
        <v>3429</v>
      </c>
      <c r="K110" s="126">
        <f>(81-55)/1000</f>
        <v>0.026</v>
      </c>
      <c r="L110" s="2">
        <f t="shared" si="37"/>
        <v>1783.08</v>
      </c>
      <c r="M110" s="3">
        <v>0.1</v>
      </c>
      <c r="N110" s="2">
        <f t="shared" si="38"/>
        <v>1604.772</v>
      </c>
      <c r="P110" s="12">
        <v>0.0179</v>
      </c>
      <c r="Q110" s="6">
        <f t="shared" si="39"/>
        <v>28.725418799999996</v>
      </c>
      <c r="S110" s="209"/>
      <c r="T110" s="2">
        <f t="shared" si="31"/>
        <v>1604.772</v>
      </c>
      <c r="U110" s="120">
        <f t="shared" si="33"/>
        <v>28.725418799999996</v>
      </c>
      <c r="V110" s="120"/>
      <c r="Y110" s="134"/>
    </row>
    <row r="111" spans="1:25" ht="12.75">
      <c r="A111" s="7" t="s">
        <v>53</v>
      </c>
      <c r="B111" t="s">
        <v>149</v>
      </c>
      <c r="C111" s="7" t="s">
        <v>58</v>
      </c>
      <c r="D111" s="7" t="s">
        <v>122</v>
      </c>
      <c r="E111" s="8">
        <v>2009</v>
      </c>
      <c r="F111" s="9">
        <v>34</v>
      </c>
      <c r="G111" s="20"/>
      <c r="H111" s="94">
        <v>10</v>
      </c>
      <c r="I111" s="14"/>
      <c r="J111" s="14">
        <v>8760</v>
      </c>
      <c r="K111" s="119">
        <f>(22-5)/1000</f>
        <v>0.017</v>
      </c>
      <c r="L111" s="2">
        <f t="shared" si="37"/>
        <v>5063.280000000001</v>
      </c>
      <c r="M111" s="3">
        <v>0.1</v>
      </c>
      <c r="N111" s="2">
        <f t="shared" si="38"/>
        <v>4556.952000000001</v>
      </c>
      <c r="P111" s="12">
        <v>0.0179</v>
      </c>
      <c r="Q111" s="6">
        <f t="shared" si="39"/>
        <v>81.56944080000002</v>
      </c>
      <c r="S111" s="209"/>
      <c r="T111" s="2">
        <f t="shared" si="31"/>
        <v>4556.952000000001</v>
      </c>
      <c r="U111" s="120">
        <f t="shared" si="33"/>
        <v>81.56944080000002</v>
      </c>
      <c r="V111" s="120"/>
      <c r="Y111" s="134"/>
    </row>
    <row r="112" spans="1:25" ht="12.75">
      <c r="A112" s="7" t="s">
        <v>53</v>
      </c>
      <c r="B112" t="s">
        <v>149</v>
      </c>
      <c r="C112" s="7" t="s">
        <v>128</v>
      </c>
      <c r="D112" s="7" t="s">
        <v>122</v>
      </c>
      <c r="E112" s="8">
        <v>2009</v>
      </c>
      <c r="F112" s="9">
        <v>203</v>
      </c>
      <c r="G112" s="20"/>
      <c r="H112" s="94">
        <f>20000/J112</f>
        <v>7.710100231303007</v>
      </c>
      <c r="I112" s="91"/>
      <c r="J112" s="14">
        <v>2594</v>
      </c>
      <c r="K112" s="126">
        <f>(51-28)/1000</f>
        <v>0.023</v>
      </c>
      <c r="L112" s="2">
        <f t="shared" si="37"/>
        <v>12111.386</v>
      </c>
      <c r="M112" s="3">
        <v>0.1</v>
      </c>
      <c r="N112" s="2">
        <f t="shared" si="38"/>
        <v>10900.2474</v>
      </c>
      <c r="P112" s="12">
        <v>0.0179</v>
      </c>
      <c r="Q112" s="6">
        <f t="shared" si="39"/>
        <v>195.11442846</v>
      </c>
      <c r="S112" s="209"/>
      <c r="T112" s="2">
        <f t="shared" si="31"/>
        <v>10900.2474</v>
      </c>
      <c r="U112" s="120">
        <f t="shared" si="33"/>
        <v>195.11442846</v>
      </c>
      <c r="V112" s="120"/>
      <c r="Y112" s="134"/>
    </row>
    <row r="113" spans="1:25" ht="12.75">
      <c r="A113" s="7" t="s">
        <v>53</v>
      </c>
      <c r="B113" t="s">
        <v>149</v>
      </c>
      <c r="C113" s="7" t="s">
        <v>129</v>
      </c>
      <c r="D113" s="7" t="s">
        <v>122</v>
      </c>
      <c r="E113" s="8">
        <v>2009</v>
      </c>
      <c r="F113" s="9">
        <v>35</v>
      </c>
      <c r="G113" s="20"/>
      <c r="H113" s="94">
        <f>20000/J113</f>
        <v>7.710100231303007</v>
      </c>
      <c r="I113" s="91"/>
      <c r="J113" s="14">
        <v>2594</v>
      </c>
      <c r="K113" s="126">
        <f>(81-55)/1000</f>
        <v>0.026</v>
      </c>
      <c r="L113" s="2">
        <f t="shared" si="37"/>
        <v>2360.54</v>
      </c>
      <c r="M113" s="3">
        <v>0.1</v>
      </c>
      <c r="N113" s="2">
        <f t="shared" si="38"/>
        <v>2124.486</v>
      </c>
      <c r="P113" s="12">
        <v>0.0179</v>
      </c>
      <c r="Q113" s="6">
        <f t="shared" si="39"/>
        <v>38.028299399999995</v>
      </c>
      <c r="S113" s="209"/>
      <c r="T113" s="2">
        <f t="shared" si="31"/>
        <v>2124.486</v>
      </c>
      <c r="U113" s="120">
        <f t="shared" si="33"/>
        <v>38.028299399999995</v>
      </c>
      <c r="V113" s="120"/>
      <c r="Y113" s="134"/>
    </row>
    <row r="114" spans="1:27" s="1" customFormat="1" ht="12.75">
      <c r="A114" s="19" t="s">
        <v>102</v>
      </c>
      <c r="C114" s="19"/>
      <c r="D114" s="19"/>
      <c r="E114" s="76"/>
      <c r="F114" s="56"/>
      <c r="G114" s="87"/>
      <c r="H114" s="76"/>
      <c r="I114" s="92"/>
      <c r="J114" s="77"/>
      <c r="K114" s="60"/>
      <c r="L114" s="60">
        <f>SUM(L22:L113)</f>
        <v>2269398.2929999996</v>
      </c>
      <c r="M114" s="75"/>
      <c r="N114" s="60">
        <f>SUM(N22:N113)</f>
        <v>2044093.4215000002</v>
      </c>
      <c r="P114" s="62"/>
      <c r="Q114" s="63">
        <f>SUM(Q22:Q113)</f>
        <v>36589.27224485</v>
      </c>
      <c r="R114" s="223">
        <f>SUM(R22:R113)</f>
        <v>61561.0062</v>
      </c>
      <c r="S114" s="209">
        <f>SUM(S22:S113)</f>
        <v>1120.4103128400002</v>
      </c>
      <c r="T114" s="60">
        <f>SUM(T22:T113)</f>
        <v>2105654.4277</v>
      </c>
      <c r="U114" s="63">
        <f>SUM(U22:U113)</f>
        <v>37709.68255769</v>
      </c>
      <c r="V114" s="146" t="s">
        <v>184</v>
      </c>
      <c r="W114" s="143"/>
      <c r="X114" s="135"/>
      <c r="Y114" s="134"/>
      <c r="Z114" s="63"/>
      <c r="AA114" s="63"/>
    </row>
    <row r="115" spans="1:27" ht="12.75">
      <c r="A115" s="7" t="s">
        <v>91</v>
      </c>
      <c r="B115" t="s">
        <v>72</v>
      </c>
      <c r="C115" s="7" t="s">
        <v>73</v>
      </c>
      <c r="D115" s="7" t="s">
        <v>41</v>
      </c>
      <c r="E115" s="8">
        <v>2008</v>
      </c>
      <c r="F115" s="9">
        <v>600</v>
      </c>
      <c r="G115" s="20"/>
      <c r="H115" s="94">
        <f>((10000+6000)/2)/J115</f>
        <v>2.5957170668397143</v>
      </c>
      <c r="I115" s="91"/>
      <c r="J115" s="14">
        <v>3082</v>
      </c>
      <c r="K115" s="126">
        <f>(40-15)/1000</f>
        <v>0.025</v>
      </c>
      <c r="L115" s="2">
        <f t="shared" si="37"/>
        <v>46230.00000000001</v>
      </c>
      <c r="M115" s="3">
        <v>0.1</v>
      </c>
      <c r="N115" s="2">
        <f aca="true" t="shared" si="40" ref="N115:N123">+L115*(1-M115)</f>
        <v>41607.00000000001</v>
      </c>
      <c r="P115" s="12">
        <v>2.8065</v>
      </c>
      <c r="Q115" s="39">
        <f>(N115/J115)*P115</f>
        <v>37.88775000000001</v>
      </c>
      <c r="T115" s="2">
        <f t="shared" si="31"/>
        <v>41607.00000000001</v>
      </c>
      <c r="U115" s="120">
        <f aca="true" t="shared" si="41" ref="U115:U146">Q115+S115</f>
        <v>37.88775000000001</v>
      </c>
      <c r="V115" s="116">
        <f aca="true" t="shared" si="42" ref="V115:V137">N115/J115</f>
        <v>13.500000000000002</v>
      </c>
      <c r="W115" s="138">
        <v>27.03375</v>
      </c>
      <c r="X115" s="136">
        <v>101.363045625</v>
      </c>
      <c r="Y115" s="134">
        <f aca="true" t="shared" si="43" ref="Y115:Y123">Q115-X115</f>
        <v>-63.47529562499999</v>
      </c>
      <c r="Z115" s="6">
        <f aca="true" t="shared" si="44" ref="Z115:Z123">(V115-W115)*P115</f>
        <v>-37.982469375</v>
      </c>
      <c r="AA115" s="6">
        <f aca="true" t="shared" si="45" ref="AA115:AA123">(P115-(X115/W115))*W115</f>
        <v>-25.49282624999999</v>
      </c>
    </row>
    <row r="116" spans="1:27" ht="12.75">
      <c r="A116" s="7" t="s">
        <v>91</v>
      </c>
      <c r="B116" t="s">
        <v>86</v>
      </c>
      <c r="C116" s="7" t="s">
        <v>47</v>
      </c>
      <c r="D116" s="7" t="s">
        <v>41</v>
      </c>
      <c r="E116" s="8">
        <v>2008</v>
      </c>
      <c r="F116" s="9">
        <v>8481</v>
      </c>
      <c r="G116" s="20"/>
      <c r="H116" s="94">
        <f>((10000+6000)/2)/J116</f>
        <v>2.5957170668397143</v>
      </c>
      <c r="I116" s="91"/>
      <c r="J116" s="14">
        <v>3082</v>
      </c>
      <c r="K116" s="126">
        <f>(40-13)/1000</f>
        <v>0.027</v>
      </c>
      <c r="L116" s="2">
        <f t="shared" si="37"/>
        <v>705737.934</v>
      </c>
      <c r="M116" s="3">
        <v>0.1</v>
      </c>
      <c r="N116" s="2">
        <f t="shared" si="40"/>
        <v>635164.1406</v>
      </c>
      <c r="P116" s="12">
        <v>2.8065</v>
      </c>
      <c r="Q116" s="39">
        <f aca="true" t="shared" si="46" ref="Q116:Q136">N116/J116*P116</f>
        <v>578.38681395</v>
      </c>
      <c r="T116" s="2">
        <f t="shared" si="31"/>
        <v>635164.1406</v>
      </c>
      <c r="U116" s="120">
        <f t="shared" si="41"/>
        <v>578.38681395</v>
      </c>
      <c r="V116" s="116">
        <f t="shared" si="42"/>
        <v>206.0883</v>
      </c>
      <c r="W116" s="138">
        <v>399.10525875</v>
      </c>
      <c r="X116" s="136">
        <v>1496.445167683125</v>
      </c>
      <c r="Y116" s="134">
        <f t="shared" si="43"/>
        <v>-918.0583537331249</v>
      </c>
      <c r="Z116" s="6">
        <f t="shared" si="44"/>
        <v>-541.702094731875</v>
      </c>
      <c r="AA116" s="6">
        <f t="shared" si="45"/>
        <v>-376.35625900124984</v>
      </c>
    </row>
    <row r="117" spans="1:27" ht="12.75">
      <c r="A117" s="7" t="s">
        <v>91</v>
      </c>
      <c r="B117" t="s">
        <v>76</v>
      </c>
      <c r="C117" s="7" t="s">
        <v>77</v>
      </c>
      <c r="D117" s="7" t="s">
        <v>41</v>
      </c>
      <c r="E117" s="8">
        <v>2008</v>
      </c>
      <c r="F117" s="9">
        <v>19</v>
      </c>
      <c r="G117" s="20"/>
      <c r="H117" s="94">
        <f>((10000+6000)/2)/J117</f>
        <v>2.5957170668397143</v>
      </c>
      <c r="I117" s="91"/>
      <c r="J117" s="14">
        <v>3082</v>
      </c>
      <c r="K117" s="126">
        <f>(150-30)/1000</f>
        <v>0.12</v>
      </c>
      <c r="L117" s="2">
        <f t="shared" si="37"/>
        <v>7026.959999999999</v>
      </c>
      <c r="M117" s="3">
        <v>0.1</v>
      </c>
      <c r="N117" s="2">
        <f t="shared" si="40"/>
        <v>6324.263999999999</v>
      </c>
      <c r="P117" s="12">
        <v>2.8065</v>
      </c>
      <c r="Q117" s="39">
        <f t="shared" si="46"/>
        <v>5.758938</v>
      </c>
      <c r="T117" s="2">
        <f t="shared" si="31"/>
        <v>6324.263999999999</v>
      </c>
      <c r="U117" s="120">
        <f t="shared" si="41"/>
        <v>5.758938</v>
      </c>
      <c r="V117" s="116">
        <f t="shared" si="42"/>
        <v>2.0519999999999996</v>
      </c>
      <c r="W117" s="138">
        <v>2.28285</v>
      </c>
      <c r="X117" s="136">
        <v>8.559546074999998</v>
      </c>
      <c r="Y117" s="134">
        <f t="shared" si="43"/>
        <v>-2.8006080749999986</v>
      </c>
      <c r="Z117" s="6">
        <f t="shared" si="44"/>
        <v>-0.6478805250000007</v>
      </c>
      <c r="AA117" s="6">
        <f t="shared" si="45"/>
        <v>-2.152727549999998</v>
      </c>
    </row>
    <row r="118" spans="1:27" ht="12.75">
      <c r="A118" s="7" t="s">
        <v>91</v>
      </c>
      <c r="B118" t="s">
        <v>76</v>
      </c>
      <c r="C118" s="7" t="s">
        <v>78</v>
      </c>
      <c r="D118" s="7" t="s">
        <v>41</v>
      </c>
      <c r="E118" s="8">
        <v>2008</v>
      </c>
      <c r="F118" s="9">
        <f>15</f>
        <v>15</v>
      </c>
      <c r="G118" s="20"/>
      <c r="H118" s="94">
        <f>20000/J118</f>
        <v>6.489292667099286</v>
      </c>
      <c r="I118" s="91"/>
      <c r="J118" s="14">
        <v>3082</v>
      </c>
      <c r="K118" s="126">
        <f>(81-58)/1000</f>
        <v>0.023</v>
      </c>
      <c r="L118" s="2">
        <f t="shared" si="37"/>
        <v>1063.29</v>
      </c>
      <c r="M118" s="3">
        <v>0.1</v>
      </c>
      <c r="N118" s="2">
        <f t="shared" si="40"/>
        <v>956.961</v>
      </c>
      <c r="P118" s="12">
        <v>2.8065</v>
      </c>
      <c r="Q118" s="39">
        <f t="shared" si="46"/>
        <v>0.8714182500000001</v>
      </c>
      <c r="T118" s="2">
        <f t="shared" si="31"/>
        <v>956.961</v>
      </c>
      <c r="U118" s="120">
        <f t="shared" si="41"/>
        <v>0.8714182500000001</v>
      </c>
      <c r="V118" s="116">
        <f t="shared" si="42"/>
        <v>0.3105</v>
      </c>
      <c r="W118" s="138">
        <v>0.27726923076923077</v>
      </c>
      <c r="X118" s="136">
        <v>1.0396209807692307</v>
      </c>
      <c r="Y118" s="134">
        <f t="shared" si="43"/>
        <v>-0.16820273076923065</v>
      </c>
      <c r="Z118" s="6">
        <f t="shared" si="44"/>
        <v>0.09326215384615386</v>
      </c>
      <c r="AA118" s="6">
        <f t="shared" si="45"/>
        <v>-0.26146488461538453</v>
      </c>
    </row>
    <row r="119" spans="1:27" ht="12.75">
      <c r="A119" s="7" t="s">
        <v>91</v>
      </c>
      <c r="B119" t="s">
        <v>76</v>
      </c>
      <c r="C119" s="7" t="s">
        <v>79</v>
      </c>
      <c r="D119" s="7" t="s">
        <v>41</v>
      </c>
      <c r="E119" s="8">
        <v>2008</v>
      </c>
      <c r="F119" s="9">
        <v>121</v>
      </c>
      <c r="G119" s="20"/>
      <c r="H119" s="94">
        <f>20000/J119</f>
        <v>6.489292667099286</v>
      </c>
      <c r="I119" s="91"/>
      <c r="J119" s="14">
        <v>3082</v>
      </c>
      <c r="K119" s="126">
        <f>(149-112)/1000</f>
        <v>0.037</v>
      </c>
      <c r="L119" s="2">
        <f t="shared" si="37"/>
        <v>13798.114</v>
      </c>
      <c r="M119" s="3">
        <v>0.1</v>
      </c>
      <c r="N119" s="2">
        <f t="shared" si="40"/>
        <v>12418.302599999999</v>
      </c>
      <c r="P119" s="12">
        <v>2.8065</v>
      </c>
      <c r="Q119" s="39">
        <f t="shared" si="46"/>
        <v>11.308230450000002</v>
      </c>
      <c r="T119" s="2">
        <f t="shared" si="31"/>
        <v>12418.302599999999</v>
      </c>
      <c r="U119" s="120">
        <f t="shared" si="41"/>
        <v>11.308230450000002</v>
      </c>
      <c r="V119" s="116">
        <f t="shared" si="42"/>
        <v>4.0293</v>
      </c>
      <c r="W119" s="138">
        <v>4.69694076923077</v>
      </c>
      <c r="X119" s="136">
        <v>17.611179414230772</v>
      </c>
      <c r="Y119" s="134">
        <f t="shared" si="43"/>
        <v>-6.302948964230771</v>
      </c>
      <c r="Z119" s="6">
        <f t="shared" si="44"/>
        <v>-1.8737338188461568</v>
      </c>
      <c r="AA119" s="6">
        <f t="shared" si="45"/>
        <v>-4.429215145384615</v>
      </c>
    </row>
    <row r="120" spans="1:27" ht="12.75">
      <c r="A120" s="7" t="s">
        <v>91</v>
      </c>
      <c r="B120" t="s">
        <v>83</v>
      </c>
      <c r="C120" s="7" t="s">
        <v>58</v>
      </c>
      <c r="D120" s="7" t="s">
        <v>41</v>
      </c>
      <c r="E120" s="8">
        <v>2008</v>
      </c>
      <c r="F120" s="9">
        <v>40</v>
      </c>
      <c r="G120" s="20"/>
      <c r="H120" s="32">
        <v>10</v>
      </c>
      <c r="I120" s="91"/>
      <c r="J120" s="23">
        <v>8760</v>
      </c>
      <c r="K120" s="119">
        <f>(22-5)/1000</f>
        <v>0.017</v>
      </c>
      <c r="L120" s="2">
        <f t="shared" si="37"/>
        <v>5956.800000000001</v>
      </c>
      <c r="M120" s="3">
        <v>0.1</v>
      </c>
      <c r="N120" s="2">
        <f t="shared" si="40"/>
        <v>5361.120000000001</v>
      </c>
      <c r="P120" s="12">
        <v>2.8065</v>
      </c>
      <c r="Q120" s="39">
        <f t="shared" si="46"/>
        <v>1.7175780000000005</v>
      </c>
      <c r="T120" s="2">
        <f t="shared" si="31"/>
        <v>5361.120000000001</v>
      </c>
      <c r="U120" s="120">
        <f t="shared" si="41"/>
        <v>1.7175780000000005</v>
      </c>
      <c r="V120" s="116">
        <f t="shared" si="42"/>
        <v>0.6120000000000001</v>
      </c>
      <c r="W120" s="138">
        <v>0.6123287671232877</v>
      </c>
      <c r="X120" s="136">
        <v>2.2959267123287668</v>
      </c>
      <c r="Y120" s="134">
        <f t="shared" si="43"/>
        <v>-0.5783487123287663</v>
      </c>
      <c r="Z120" s="6">
        <f t="shared" si="44"/>
        <v>-0.0009226849315065216</v>
      </c>
      <c r="AA120" s="6">
        <f t="shared" si="45"/>
        <v>-0.5774260273972598</v>
      </c>
    </row>
    <row r="121" spans="1:27" ht="12.75">
      <c r="A121" s="7" t="s">
        <v>91</v>
      </c>
      <c r="B121" t="s">
        <v>83</v>
      </c>
      <c r="C121" s="7" t="s">
        <v>84</v>
      </c>
      <c r="D121" s="7" t="s">
        <v>41</v>
      </c>
      <c r="E121" s="8">
        <v>2008</v>
      </c>
      <c r="F121" s="9">
        <v>42</v>
      </c>
      <c r="G121" s="20"/>
      <c r="H121" s="94">
        <f>((10000+6000)/2)/J121</f>
        <v>2.5957170668397143</v>
      </c>
      <c r="I121" s="91"/>
      <c r="J121" s="14">
        <v>3082</v>
      </c>
      <c r="K121" s="126">
        <f>(40-15)/1000</f>
        <v>0.025</v>
      </c>
      <c r="L121" s="2">
        <f t="shared" si="37"/>
        <v>3236.1000000000004</v>
      </c>
      <c r="M121" s="3">
        <v>0.1</v>
      </c>
      <c r="N121" s="2">
        <f t="shared" si="40"/>
        <v>2912.4900000000002</v>
      </c>
      <c r="P121" s="12">
        <v>2.8065</v>
      </c>
      <c r="Q121" s="39">
        <f t="shared" si="46"/>
        <v>2.6521425000000005</v>
      </c>
      <c r="T121" s="2">
        <f t="shared" si="31"/>
        <v>2912.4900000000002</v>
      </c>
      <c r="U121" s="120">
        <f t="shared" si="41"/>
        <v>2.6521425000000005</v>
      </c>
      <c r="V121" s="116">
        <f t="shared" si="42"/>
        <v>0.9450000000000001</v>
      </c>
      <c r="W121" s="138">
        <v>1.934415</v>
      </c>
      <c r="X121" s="136">
        <v>7.2530890425</v>
      </c>
      <c r="Y121" s="134">
        <f t="shared" si="43"/>
        <v>-4.600946542499999</v>
      </c>
      <c r="Z121" s="6">
        <f t="shared" si="44"/>
        <v>-2.7767931975</v>
      </c>
      <c r="AA121" s="6">
        <f t="shared" si="45"/>
        <v>-1.8241533449999991</v>
      </c>
    </row>
    <row r="122" spans="1:27" ht="12.75">
      <c r="A122" s="7" t="s">
        <v>91</v>
      </c>
      <c r="B122" t="s">
        <v>83</v>
      </c>
      <c r="C122" s="7" t="s">
        <v>78</v>
      </c>
      <c r="D122" s="7" t="s">
        <v>41</v>
      </c>
      <c r="E122" s="8">
        <v>2008</v>
      </c>
      <c r="F122" s="9">
        <v>70</v>
      </c>
      <c r="G122" s="20"/>
      <c r="H122" s="94">
        <f>20000/J122</f>
        <v>6.489292667099286</v>
      </c>
      <c r="I122" s="91"/>
      <c r="J122" s="14">
        <v>3082</v>
      </c>
      <c r="K122" s="126">
        <f>(81-58)/1000</f>
        <v>0.023</v>
      </c>
      <c r="L122" s="2">
        <f t="shared" si="37"/>
        <v>4962.0199999999995</v>
      </c>
      <c r="M122" s="3">
        <v>0.1</v>
      </c>
      <c r="N122" s="2">
        <f t="shared" si="40"/>
        <v>4465.817999999999</v>
      </c>
      <c r="P122" s="12">
        <v>2.8065</v>
      </c>
      <c r="Q122" s="39">
        <f t="shared" si="46"/>
        <v>4.0666185</v>
      </c>
      <c r="T122" s="2">
        <f t="shared" si="31"/>
        <v>4465.817999999999</v>
      </c>
      <c r="U122" s="120">
        <f t="shared" si="41"/>
        <v>4.0666185</v>
      </c>
      <c r="V122" s="116">
        <f t="shared" si="42"/>
        <v>1.4489999999999998</v>
      </c>
      <c r="W122" s="138">
        <v>1.293923076923077</v>
      </c>
      <c r="X122" s="136">
        <v>4.851564576923077</v>
      </c>
      <c r="Y122" s="134">
        <f t="shared" si="43"/>
        <v>-0.7849460769230774</v>
      </c>
      <c r="Z122" s="6">
        <f t="shared" si="44"/>
        <v>0.4352233846153841</v>
      </c>
      <c r="AA122" s="6">
        <f t="shared" si="45"/>
        <v>-1.220169461538461</v>
      </c>
    </row>
    <row r="123" spans="1:27" ht="12.75">
      <c r="A123" s="7" t="s">
        <v>91</v>
      </c>
      <c r="B123" t="s">
        <v>83</v>
      </c>
      <c r="C123" s="7" t="s">
        <v>79</v>
      </c>
      <c r="D123" s="7" t="s">
        <v>41</v>
      </c>
      <c r="E123" s="8">
        <v>2008</v>
      </c>
      <c r="F123" s="9">
        <f>231</f>
        <v>231</v>
      </c>
      <c r="G123" s="20"/>
      <c r="H123" s="94">
        <f>20000/J123</f>
        <v>6.489292667099286</v>
      </c>
      <c r="I123" s="91"/>
      <c r="J123" s="14">
        <v>3082</v>
      </c>
      <c r="K123" s="126">
        <f>(149-112)/1000</f>
        <v>0.037</v>
      </c>
      <c r="L123" s="2">
        <f t="shared" si="37"/>
        <v>26341.854</v>
      </c>
      <c r="M123" s="3">
        <v>0.1</v>
      </c>
      <c r="N123" s="2">
        <f t="shared" si="40"/>
        <v>23707.6686</v>
      </c>
      <c r="P123" s="12">
        <v>2.8065</v>
      </c>
      <c r="Q123" s="39">
        <f t="shared" si="46"/>
        <v>21.58843995</v>
      </c>
      <c r="T123" s="2">
        <f t="shared" si="31"/>
        <v>23707.6686</v>
      </c>
      <c r="U123" s="120">
        <f t="shared" si="41"/>
        <v>21.58843995</v>
      </c>
      <c r="V123" s="116">
        <f t="shared" si="42"/>
        <v>7.6923</v>
      </c>
      <c r="W123" s="138">
        <v>8.966886923076924</v>
      </c>
      <c r="X123" s="136">
        <v>33.62134251807692</v>
      </c>
      <c r="Y123" s="134">
        <f t="shared" si="43"/>
        <v>-12.03290256807692</v>
      </c>
      <c r="Z123" s="6">
        <f t="shared" si="44"/>
        <v>-3.577128199615386</v>
      </c>
      <c r="AA123" s="6">
        <f t="shared" si="45"/>
        <v>-8.455774368461531</v>
      </c>
    </row>
    <row r="124" spans="1:25" ht="12.75">
      <c r="A124" s="7" t="s">
        <v>91</v>
      </c>
      <c r="B124" t="s">
        <v>141</v>
      </c>
      <c r="C124" s="31" t="s">
        <v>131</v>
      </c>
      <c r="D124" s="7" t="s">
        <v>122</v>
      </c>
      <c r="E124" s="8">
        <v>2009</v>
      </c>
      <c r="F124" s="9">
        <f>2+8+5+20+2+6+1+2+8+1+3+2</f>
        <v>60</v>
      </c>
      <c r="G124" s="20"/>
      <c r="H124" s="94">
        <f>20000/J124</f>
        <v>5.4945054945054945</v>
      </c>
      <c r="I124" s="91"/>
      <c r="J124" s="14">
        <f>14*5*52</f>
        <v>3640</v>
      </c>
      <c r="K124" s="126">
        <f>0.186/2</f>
        <v>0.093</v>
      </c>
      <c r="L124" s="2">
        <f t="shared" si="37"/>
        <v>20311.199999999997</v>
      </c>
      <c r="M124" s="3">
        <v>0.1</v>
      </c>
      <c r="N124" s="2">
        <f aca="true" t="shared" si="47" ref="N124:N137">+L124*(1-M124)</f>
        <v>18280.079999999998</v>
      </c>
      <c r="P124" s="12">
        <v>2.8065</v>
      </c>
      <c r="Q124" s="39">
        <f t="shared" si="46"/>
        <v>14.094242999999999</v>
      </c>
      <c r="T124" s="2">
        <f t="shared" si="31"/>
        <v>18280.079999999998</v>
      </c>
      <c r="U124" s="120">
        <f t="shared" si="41"/>
        <v>14.094242999999999</v>
      </c>
      <c r="V124" s="116">
        <f t="shared" si="42"/>
        <v>5.021999999999999</v>
      </c>
      <c r="W124" s="138"/>
      <c r="Y124" s="134"/>
    </row>
    <row r="125" spans="1:25" ht="12.75">
      <c r="A125" s="7" t="s">
        <v>91</v>
      </c>
      <c r="B125" t="s">
        <v>141</v>
      </c>
      <c r="C125" s="31" t="s">
        <v>132</v>
      </c>
      <c r="D125" s="7" t="s">
        <v>122</v>
      </c>
      <c r="E125" s="8">
        <v>2009</v>
      </c>
      <c r="F125" s="9">
        <f>2+1+2+68</f>
        <v>73</v>
      </c>
      <c r="G125" s="20"/>
      <c r="H125" s="94"/>
      <c r="I125" s="119"/>
      <c r="J125" s="14">
        <f>14*5*52</f>
        <v>3640</v>
      </c>
      <c r="K125" s="119">
        <f>K103</f>
        <v>0.033</v>
      </c>
      <c r="L125" s="2">
        <f t="shared" si="37"/>
        <v>8768.76</v>
      </c>
      <c r="M125" s="3">
        <v>0.1</v>
      </c>
      <c r="N125" s="2">
        <f t="shared" si="47"/>
        <v>7891.884</v>
      </c>
      <c r="P125" s="12">
        <v>2.8065</v>
      </c>
      <c r="Q125" s="39">
        <f t="shared" si="46"/>
        <v>6.084772650000001</v>
      </c>
      <c r="T125" s="2">
        <f t="shared" si="31"/>
        <v>7891.884</v>
      </c>
      <c r="U125" s="120">
        <f t="shared" si="41"/>
        <v>6.084772650000001</v>
      </c>
      <c r="V125" s="116">
        <f t="shared" si="42"/>
        <v>2.1681</v>
      </c>
      <c r="W125" s="138"/>
      <c r="Y125" s="134"/>
    </row>
    <row r="126" spans="1:25" ht="12.75">
      <c r="A126" s="7" t="s">
        <v>91</v>
      </c>
      <c r="B126" t="s">
        <v>141</v>
      </c>
      <c r="C126" s="31" t="s">
        <v>136</v>
      </c>
      <c r="D126" s="7" t="s">
        <v>122</v>
      </c>
      <c r="E126" s="8">
        <v>2009</v>
      </c>
      <c r="F126" s="9">
        <f>4</f>
        <v>4</v>
      </c>
      <c r="G126" s="20"/>
      <c r="H126" s="94"/>
      <c r="I126" s="119"/>
      <c r="J126" s="14">
        <f>14*5*52</f>
        <v>3640</v>
      </c>
      <c r="K126" s="119">
        <f>0.144/4</f>
        <v>0.036</v>
      </c>
      <c r="L126" s="2">
        <f t="shared" si="37"/>
        <v>524.16</v>
      </c>
      <c r="M126" s="3">
        <v>0.1</v>
      </c>
      <c r="N126" s="2">
        <f t="shared" si="47"/>
        <v>471.74399999999997</v>
      </c>
      <c r="P126" s="12">
        <v>2.8065</v>
      </c>
      <c r="Q126" s="39">
        <f t="shared" si="46"/>
        <v>0.3637224</v>
      </c>
      <c r="T126" s="2">
        <f t="shared" si="31"/>
        <v>471.74399999999997</v>
      </c>
      <c r="U126" s="120">
        <f t="shared" si="41"/>
        <v>0.3637224</v>
      </c>
      <c r="V126" s="116">
        <f t="shared" si="42"/>
        <v>0.1296</v>
      </c>
      <c r="W126" s="138"/>
      <c r="Y126" s="134"/>
    </row>
    <row r="127" spans="1:25" ht="12.75">
      <c r="A127" s="7" t="s">
        <v>91</v>
      </c>
      <c r="B127" t="s">
        <v>141</v>
      </c>
      <c r="C127" s="31" t="s">
        <v>133</v>
      </c>
      <c r="D127" s="7" t="s">
        <v>122</v>
      </c>
      <c r="E127" s="8">
        <v>2009</v>
      </c>
      <c r="F127" s="9">
        <f>1+2+2+2+3+3+4+2+2+1</f>
        <v>22</v>
      </c>
      <c r="G127" s="20"/>
      <c r="H127" s="94"/>
      <c r="I127" s="119"/>
      <c r="J127" s="14">
        <f>14*5*52</f>
        <v>3640</v>
      </c>
      <c r="K127" s="119">
        <f>K104</f>
        <v>0.064</v>
      </c>
      <c r="L127" s="2">
        <f t="shared" si="37"/>
        <v>5125.12</v>
      </c>
      <c r="M127" s="3">
        <v>0.1</v>
      </c>
      <c r="N127" s="2">
        <f t="shared" si="47"/>
        <v>4612.608</v>
      </c>
      <c r="P127" s="12">
        <v>2.8065</v>
      </c>
      <c r="Q127" s="39">
        <f t="shared" si="46"/>
        <v>3.5563968000000004</v>
      </c>
      <c r="T127" s="2">
        <f t="shared" si="31"/>
        <v>4612.608</v>
      </c>
      <c r="U127" s="120">
        <f t="shared" si="41"/>
        <v>3.5563968000000004</v>
      </c>
      <c r="V127" s="116">
        <f t="shared" si="42"/>
        <v>1.2672</v>
      </c>
      <c r="W127" s="138"/>
      <c r="Y127" s="134"/>
    </row>
    <row r="128" spans="1:25" ht="12.75">
      <c r="A128" s="7" t="s">
        <v>91</v>
      </c>
      <c r="B128" t="s">
        <v>141</v>
      </c>
      <c r="C128" s="31" t="s">
        <v>134</v>
      </c>
      <c r="D128" s="7" t="s">
        <v>122</v>
      </c>
      <c r="E128" s="8">
        <v>2009</v>
      </c>
      <c r="F128" s="9">
        <f>6+2+2</f>
        <v>10</v>
      </c>
      <c r="G128" s="20"/>
      <c r="H128" s="94"/>
      <c r="I128" s="119"/>
      <c r="J128" s="10">
        <v>8760</v>
      </c>
      <c r="K128" s="131">
        <f>(22-5)/1000</f>
        <v>0.017</v>
      </c>
      <c r="L128" s="2">
        <f t="shared" si="37"/>
        <v>1489.2000000000003</v>
      </c>
      <c r="M128" s="3">
        <v>0.1</v>
      </c>
      <c r="N128" s="2">
        <f t="shared" si="47"/>
        <v>1340.2800000000002</v>
      </c>
      <c r="P128" s="12">
        <v>2.8065</v>
      </c>
      <c r="Q128" s="39">
        <f t="shared" si="46"/>
        <v>0.4293945000000001</v>
      </c>
      <c r="T128" s="2">
        <f t="shared" si="31"/>
        <v>1340.2800000000002</v>
      </c>
      <c r="U128" s="120">
        <f t="shared" si="41"/>
        <v>0.4293945000000001</v>
      </c>
      <c r="V128" s="116">
        <f t="shared" si="42"/>
        <v>0.15300000000000002</v>
      </c>
      <c r="W128" s="138"/>
      <c r="Y128" s="134"/>
    </row>
    <row r="129" spans="1:25" ht="12.75">
      <c r="A129" s="7" t="s">
        <v>91</v>
      </c>
      <c r="B129" t="s">
        <v>141</v>
      </c>
      <c r="C129" s="31" t="s">
        <v>137</v>
      </c>
      <c r="D129" s="7" t="s">
        <v>122</v>
      </c>
      <c r="E129" s="8">
        <v>2009</v>
      </c>
      <c r="F129" s="9">
        <f>2</f>
        <v>2</v>
      </c>
      <c r="G129" s="20"/>
      <c r="H129" s="94"/>
      <c r="I129" s="119"/>
      <c r="J129" s="14">
        <f>14*5*52</f>
        <v>3640</v>
      </c>
      <c r="K129" s="119">
        <f>0.072/2</f>
        <v>0.036</v>
      </c>
      <c r="L129" s="2">
        <f t="shared" si="37"/>
        <v>262.08</v>
      </c>
      <c r="M129" s="3">
        <v>0.1</v>
      </c>
      <c r="N129" s="2">
        <f t="shared" si="47"/>
        <v>235.87199999999999</v>
      </c>
      <c r="P129" s="12">
        <v>2.8065</v>
      </c>
      <c r="Q129" s="39">
        <f t="shared" si="46"/>
        <v>0.1818612</v>
      </c>
      <c r="T129" s="2">
        <f t="shared" si="31"/>
        <v>235.87199999999999</v>
      </c>
      <c r="U129" s="120">
        <f t="shared" si="41"/>
        <v>0.1818612</v>
      </c>
      <c r="V129" s="116">
        <f t="shared" si="42"/>
        <v>0.0648</v>
      </c>
      <c r="W129" s="138"/>
      <c r="Y129" s="134"/>
    </row>
    <row r="130" spans="1:25" ht="12.75">
      <c r="A130" s="7" t="s">
        <v>91</v>
      </c>
      <c r="B130" t="s">
        <v>141</v>
      </c>
      <c r="C130" s="31" t="s">
        <v>135</v>
      </c>
      <c r="D130" s="7" t="s">
        <v>122</v>
      </c>
      <c r="E130" s="8">
        <v>2009</v>
      </c>
      <c r="F130" s="9">
        <f>4+15+6+12</f>
        <v>37</v>
      </c>
      <c r="G130" s="20"/>
      <c r="H130" s="94"/>
      <c r="I130" s="119"/>
      <c r="J130" s="14">
        <f>14*5*52</f>
        <v>3640</v>
      </c>
      <c r="K130" s="119">
        <f>0.062/3</f>
        <v>0.020666666666666667</v>
      </c>
      <c r="L130" s="2">
        <f t="shared" si="37"/>
        <v>2783.3866666666663</v>
      </c>
      <c r="M130" s="3">
        <v>0.1</v>
      </c>
      <c r="N130" s="2">
        <f t="shared" si="47"/>
        <v>2505.048</v>
      </c>
      <c r="P130" s="12">
        <v>2.8065</v>
      </c>
      <c r="Q130" s="39">
        <f t="shared" si="46"/>
        <v>1.9314333</v>
      </c>
      <c r="T130" s="2">
        <f t="shared" si="31"/>
        <v>2505.048</v>
      </c>
      <c r="U130" s="120">
        <f t="shared" si="41"/>
        <v>1.9314333</v>
      </c>
      <c r="V130" s="116">
        <f t="shared" si="42"/>
        <v>0.6881999999999999</v>
      </c>
      <c r="W130" s="138"/>
      <c r="Y130" s="134"/>
    </row>
    <row r="131" spans="1:25" ht="12.75">
      <c r="A131" s="7" t="s">
        <v>91</v>
      </c>
      <c r="B131" t="s">
        <v>141</v>
      </c>
      <c r="C131" s="31" t="s">
        <v>138</v>
      </c>
      <c r="D131" s="7" t="s">
        <v>122</v>
      </c>
      <c r="E131" s="8">
        <v>2009</v>
      </c>
      <c r="F131" s="9">
        <v>3</v>
      </c>
      <c r="G131" s="20"/>
      <c r="H131" s="94"/>
      <c r="I131" s="119"/>
      <c r="J131" s="14">
        <f>14*5*52</f>
        <v>3640</v>
      </c>
      <c r="K131" s="119">
        <f>0.062/3</f>
        <v>0.020666666666666667</v>
      </c>
      <c r="L131" s="2">
        <f t="shared" si="37"/>
        <v>225.67999999999998</v>
      </c>
      <c r="M131" s="3">
        <v>0.1</v>
      </c>
      <c r="N131" s="2">
        <f t="shared" si="47"/>
        <v>203.112</v>
      </c>
      <c r="P131" s="12">
        <v>2.8065</v>
      </c>
      <c r="Q131" s="39">
        <f t="shared" si="46"/>
        <v>0.1566027</v>
      </c>
      <c r="T131" s="2">
        <f t="shared" si="31"/>
        <v>203.112</v>
      </c>
      <c r="U131" s="120">
        <f t="shared" si="41"/>
        <v>0.1566027</v>
      </c>
      <c r="V131" s="116">
        <f t="shared" si="42"/>
        <v>0.055799999999999995</v>
      </c>
      <c r="Y131" s="134"/>
    </row>
    <row r="132" spans="1:25" ht="12.75">
      <c r="A132" s="7" t="s">
        <v>91</v>
      </c>
      <c r="B132" t="s">
        <v>165</v>
      </c>
      <c r="C132" s="7" t="s">
        <v>126</v>
      </c>
      <c r="D132" s="7" t="s">
        <v>122</v>
      </c>
      <c r="E132" s="8">
        <v>2009</v>
      </c>
      <c r="F132" s="9">
        <v>16</v>
      </c>
      <c r="G132" s="20"/>
      <c r="H132" s="94">
        <f>20000/J132</f>
        <v>8.620689655172415</v>
      </c>
      <c r="I132" s="119"/>
      <c r="J132" s="14">
        <v>2320</v>
      </c>
      <c r="K132" s="119">
        <f>(149-112)/1000</f>
        <v>0.037</v>
      </c>
      <c r="L132" s="2">
        <f t="shared" si="37"/>
        <v>1373.4399999999998</v>
      </c>
      <c r="M132" s="3">
        <v>0.1</v>
      </c>
      <c r="N132" s="2">
        <f t="shared" si="47"/>
        <v>1236.0959999999998</v>
      </c>
      <c r="P132" s="12">
        <v>2.8065</v>
      </c>
      <c r="Q132" s="39">
        <f t="shared" si="46"/>
        <v>1.4953032</v>
      </c>
      <c r="T132" s="2">
        <f aca="true" t="shared" si="48" ref="T132:T146">N132+R132</f>
        <v>1236.0959999999998</v>
      </c>
      <c r="U132" s="120">
        <f t="shared" si="41"/>
        <v>1.4953032</v>
      </c>
      <c r="V132" s="116">
        <f t="shared" si="42"/>
        <v>0.5327999999999999</v>
      </c>
      <c r="Y132" s="134"/>
    </row>
    <row r="133" spans="1:25" ht="12.75">
      <c r="A133" s="7" t="s">
        <v>91</v>
      </c>
      <c r="B133" t="s">
        <v>143</v>
      </c>
      <c r="C133" s="7" t="s">
        <v>144</v>
      </c>
      <c r="D133" s="7" t="s">
        <v>122</v>
      </c>
      <c r="E133" s="8">
        <v>2009</v>
      </c>
      <c r="F133" s="9">
        <v>108</v>
      </c>
      <c r="G133" s="20"/>
      <c r="H133" s="94">
        <f>20000/J133</f>
        <v>6.148170919151553</v>
      </c>
      <c r="I133" s="119"/>
      <c r="J133" s="14">
        <v>3253</v>
      </c>
      <c r="K133" s="119">
        <f>(149-112)/1000</f>
        <v>0.037</v>
      </c>
      <c r="L133" s="2">
        <f>IF(K133&lt;&gt;"",J133*K133*F133,I133*F133)</f>
        <v>12998.988</v>
      </c>
      <c r="M133" s="3">
        <v>0.1</v>
      </c>
      <c r="N133" s="2">
        <f t="shared" si="47"/>
        <v>11699.0892</v>
      </c>
      <c r="P133" s="12">
        <v>2.8065</v>
      </c>
      <c r="Q133" s="39">
        <f t="shared" si="46"/>
        <v>10.0932966</v>
      </c>
      <c r="T133" s="2">
        <f t="shared" si="48"/>
        <v>11699.0892</v>
      </c>
      <c r="U133" s="120">
        <f t="shared" si="41"/>
        <v>10.0932966</v>
      </c>
      <c r="V133" s="116">
        <f t="shared" si="42"/>
        <v>3.5964</v>
      </c>
      <c r="Y133" s="134"/>
    </row>
    <row r="134" spans="1:25" ht="12.75">
      <c r="A134" s="7" t="s">
        <v>91</v>
      </c>
      <c r="B134" t="s">
        <v>139</v>
      </c>
      <c r="C134" s="7" t="s">
        <v>127</v>
      </c>
      <c r="D134" s="7" t="s">
        <v>122</v>
      </c>
      <c r="E134" s="8">
        <v>2009</v>
      </c>
      <c r="F134" s="9">
        <v>18</v>
      </c>
      <c r="G134" s="20"/>
      <c r="H134" s="94">
        <f>((10000+6000)/2)/J134</f>
        <v>3.7209302325581395</v>
      </c>
      <c r="I134" s="91"/>
      <c r="J134" s="14">
        <v>2150</v>
      </c>
      <c r="K134" s="126">
        <f>(40-15)/1000</f>
        <v>0.025</v>
      </c>
      <c r="L134" s="2">
        <f>IF(K134&lt;&gt;"",J134*K134*F134,I134*F134)</f>
        <v>967.5</v>
      </c>
      <c r="M134" s="3">
        <v>0.1</v>
      </c>
      <c r="N134" s="2">
        <f t="shared" si="47"/>
        <v>870.75</v>
      </c>
      <c r="P134" s="12">
        <v>2.8065</v>
      </c>
      <c r="Q134" s="39">
        <f t="shared" si="46"/>
        <v>1.1366325000000002</v>
      </c>
      <c r="T134" s="2">
        <f t="shared" si="48"/>
        <v>870.75</v>
      </c>
      <c r="U134" s="120">
        <f t="shared" si="41"/>
        <v>1.1366325000000002</v>
      </c>
      <c r="V134" s="116">
        <f t="shared" si="42"/>
        <v>0.405</v>
      </c>
      <c r="Y134" s="134"/>
    </row>
    <row r="135" spans="1:25" ht="12.75">
      <c r="A135" s="7" t="s">
        <v>91</v>
      </c>
      <c r="B135" t="s">
        <v>139</v>
      </c>
      <c r="C135" s="7" t="s">
        <v>125</v>
      </c>
      <c r="D135" s="7" t="s">
        <v>122</v>
      </c>
      <c r="E135" s="8">
        <v>2009</v>
      </c>
      <c r="F135" s="9">
        <v>1</v>
      </c>
      <c r="G135" s="20"/>
      <c r="H135" s="94">
        <f>20000/J135</f>
        <v>8.620689655172415</v>
      </c>
      <c r="I135" s="91"/>
      <c r="J135" s="14">
        <v>2320</v>
      </c>
      <c r="K135" s="126">
        <f>(51-28)/1000</f>
        <v>0.023</v>
      </c>
      <c r="L135" s="2">
        <f>IF(K135&lt;&gt;"",J135*K135*F135,I135*F135)</f>
        <v>53.36</v>
      </c>
      <c r="M135" s="3">
        <v>0.1</v>
      </c>
      <c r="N135" s="2">
        <f t="shared" si="47"/>
        <v>48.024</v>
      </c>
      <c r="P135" s="12">
        <v>2.8065</v>
      </c>
      <c r="Q135" s="39">
        <f t="shared" si="46"/>
        <v>0.05809455</v>
      </c>
      <c r="T135" s="2">
        <f t="shared" si="48"/>
        <v>48.024</v>
      </c>
      <c r="U135" s="120">
        <f t="shared" si="41"/>
        <v>0.05809455</v>
      </c>
      <c r="V135" s="116">
        <f t="shared" si="42"/>
        <v>0.0207</v>
      </c>
      <c r="Y135" s="134"/>
    </row>
    <row r="136" spans="1:25" ht="12.75">
      <c r="A136" s="7" t="s">
        <v>91</v>
      </c>
      <c r="B136" t="s">
        <v>139</v>
      </c>
      <c r="C136" s="7" t="s">
        <v>124</v>
      </c>
      <c r="D136" s="7" t="s">
        <v>122</v>
      </c>
      <c r="E136" s="8">
        <v>2009</v>
      </c>
      <c r="F136" s="9">
        <v>466</v>
      </c>
      <c r="G136" s="20"/>
      <c r="H136" s="94">
        <f>20000/J136</f>
        <v>8.620689655172415</v>
      </c>
      <c r="I136" s="91"/>
      <c r="J136" s="14">
        <v>2320</v>
      </c>
      <c r="K136" s="126">
        <f>(81-55)/1000</f>
        <v>0.026</v>
      </c>
      <c r="L136" s="2">
        <f>IF(K136&lt;&gt;"",J136*K136*F136,I136*F136)</f>
        <v>28109.12</v>
      </c>
      <c r="M136" s="3">
        <v>0.1</v>
      </c>
      <c r="N136" s="2">
        <f t="shared" si="47"/>
        <v>25298.208</v>
      </c>
      <c r="P136" s="12">
        <v>2.8065</v>
      </c>
      <c r="Q136" s="39">
        <f t="shared" si="46"/>
        <v>30.6031986</v>
      </c>
      <c r="T136" s="2">
        <f t="shared" si="48"/>
        <v>25298.208</v>
      </c>
      <c r="U136" s="120">
        <f t="shared" si="41"/>
        <v>30.6031986</v>
      </c>
      <c r="V136" s="116">
        <f t="shared" si="42"/>
        <v>10.904399999999999</v>
      </c>
      <c r="Y136" s="134"/>
    </row>
    <row r="137" spans="1:25" ht="12.75">
      <c r="A137" s="7" t="s">
        <v>91</v>
      </c>
      <c r="B137" t="s">
        <v>139</v>
      </c>
      <c r="C137" s="7" t="s">
        <v>126</v>
      </c>
      <c r="D137" s="7" t="s">
        <v>122</v>
      </c>
      <c r="E137" s="8">
        <v>2009</v>
      </c>
      <c r="F137" s="9">
        <v>2</v>
      </c>
      <c r="G137" s="20"/>
      <c r="H137" s="94">
        <f>20000/J137</f>
        <v>8.620689655172415</v>
      </c>
      <c r="I137" s="91"/>
      <c r="J137" s="14">
        <v>2320</v>
      </c>
      <c r="K137" s="126">
        <f>(149-112)/1000</f>
        <v>0.037</v>
      </c>
      <c r="L137" s="2">
        <f>IF(K137&lt;&gt;"",J137*K137*F137,I137*F137)</f>
        <v>171.67999999999998</v>
      </c>
      <c r="M137" s="3">
        <v>0.1</v>
      </c>
      <c r="N137" s="2">
        <f t="shared" si="47"/>
        <v>154.51199999999997</v>
      </c>
      <c r="P137" s="12">
        <v>2.8065</v>
      </c>
      <c r="Q137" s="39">
        <f>N137/J137*P137</f>
        <v>0.1869129</v>
      </c>
      <c r="T137" s="2">
        <f t="shared" si="48"/>
        <v>154.51199999999997</v>
      </c>
      <c r="U137" s="120">
        <f t="shared" si="41"/>
        <v>0.1869129</v>
      </c>
      <c r="V137" s="116">
        <f t="shared" si="42"/>
        <v>0.06659999999999999</v>
      </c>
      <c r="Y137" s="134"/>
    </row>
    <row r="138" spans="1:27" s="1" customFormat="1" ht="12.75">
      <c r="A138" s="19" t="s">
        <v>103</v>
      </c>
      <c r="C138" s="19"/>
      <c r="D138" s="19"/>
      <c r="E138" s="76"/>
      <c r="F138" s="56"/>
      <c r="G138" s="87"/>
      <c r="H138" s="76"/>
      <c r="I138" s="92"/>
      <c r="J138" s="77"/>
      <c r="K138" s="59"/>
      <c r="L138" s="60">
        <f>SUM(L115:L137)</f>
        <v>897516.7466666667</v>
      </c>
      <c r="M138" s="75"/>
      <c r="N138" s="60">
        <f>SUM(N115:N137)</f>
        <v>807765.0719999998</v>
      </c>
      <c r="P138" s="62"/>
      <c r="Q138" s="63">
        <f>SUM(Q115:Q137)</f>
        <v>734.6097944999999</v>
      </c>
      <c r="R138" s="223">
        <f>SUM(R115:R137)</f>
        <v>0</v>
      </c>
      <c r="S138" s="209">
        <f>SUM(S115:S137)</f>
        <v>0</v>
      </c>
      <c r="T138" s="60">
        <f>SUM(T115:T137)</f>
        <v>807765.0719999998</v>
      </c>
      <c r="U138" s="63">
        <f>SUM(U115:U137)</f>
        <v>734.6097944999999</v>
      </c>
      <c r="V138" s="146" t="s">
        <v>184</v>
      </c>
      <c r="W138" s="143"/>
      <c r="X138" s="135"/>
      <c r="Y138" s="134"/>
      <c r="Z138" s="63"/>
      <c r="AA138" s="63"/>
    </row>
    <row r="139" spans="1:27" ht="12.75">
      <c r="A139" s="7" t="s">
        <v>92</v>
      </c>
      <c r="B139" t="s">
        <v>74</v>
      </c>
      <c r="C139" s="7" t="s">
        <v>75</v>
      </c>
      <c r="D139" s="7" t="s">
        <v>41</v>
      </c>
      <c r="E139" s="8">
        <v>2008</v>
      </c>
      <c r="F139" s="9">
        <f>356+12</f>
        <v>368</v>
      </c>
      <c r="G139" s="37"/>
      <c r="H139" s="32">
        <v>16</v>
      </c>
      <c r="I139" s="91">
        <f>(450-187)*4450/1000</f>
        <v>1170.35</v>
      </c>
      <c r="J139" s="10">
        <v>4000</v>
      </c>
      <c r="K139" s="38">
        <f>I139/J139</f>
        <v>0.2925875</v>
      </c>
      <c r="L139" s="2">
        <f t="shared" si="37"/>
        <v>430688.8</v>
      </c>
      <c r="M139" s="3">
        <v>0.1</v>
      </c>
      <c r="N139" s="2">
        <f aca="true" t="shared" si="49" ref="N139:N144">+L139*(1-M139)</f>
        <v>387619.92</v>
      </c>
      <c r="P139" s="12">
        <v>2.8065</v>
      </c>
      <c r="Q139" s="39">
        <f aca="true" t="shared" si="50" ref="Q139:Q146">N139/J139*P139</f>
        <v>271.96382637</v>
      </c>
      <c r="T139" s="2">
        <f t="shared" si="48"/>
        <v>387619.92</v>
      </c>
      <c r="U139" s="120">
        <f t="shared" si="41"/>
        <v>271.96382637</v>
      </c>
      <c r="V139" s="116">
        <f aca="true" t="shared" si="51" ref="V139:V146">N139/J139</f>
        <v>96.90498</v>
      </c>
      <c r="W139" s="138">
        <v>96.90498</v>
      </c>
      <c r="X139" s="136">
        <v>363.34522251</v>
      </c>
      <c r="Y139" s="134">
        <f aca="true" t="shared" si="52" ref="Y139:Y144">Q139-X139</f>
        <v>-91.38139613999999</v>
      </c>
      <c r="Z139" s="6">
        <f aca="true" t="shared" si="53" ref="Z139:Z144">(V139-W139)*P139</f>
        <v>0</v>
      </c>
      <c r="AA139" s="6">
        <f aca="true" t="shared" si="54" ref="AA139:AA144">(P139-(X139/W139))*W139</f>
        <v>-91.38139613999996</v>
      </c>
    </row>
    <row r="140" spans="1:27" ht="12.75">
      <c r="A140" s="7" t="s">
        <v>92</v>
      </c>
      <c r="B140" t="s">
        <v>85</v>
      </c>
      <c r="C140" t="s">
        <v>54</v>
      </c>
      <c r="D140" t="s">
        <v>41</v>
      </c>
      <c r="E140" s="4">
        <v>2008</v>
      </c>
      <c r="F140" s="9">
        <v>260</v>
      </c>
      <c r="G140" s="15"/>
      <c r="H140" s="32">
        <v>24</v>
      </c>
      <c r="I140" s="91">
        <f>(51-28)*4000/1000</f>
        <v>92</v>
      </c>
      <c r="J140" s="10">
        <v>6500</v>
      </c>
      <c r="K140" s="38">
        <f>I140/J140</f>
        <v>0.014153846153846154</v>
      </c>
      <c r="L140" s="2">
        <f t="shared" si="37"/>
        <v>23920</v>
      </c>
      <c r="M140" s="11">
        <v>0.1</v>
      </c>
      <c r="N140" s="2">
        <f t="shared" si="49"/>
        <v>21528</v>
      </c>
      <c r="P140" s="12">
        <v>2.8065</v>
      </c>
      <c r="Q140" s="39">
        <f t="shared" si="50"/>
        <v>9.295128</v>
      </c>
      <c r="T140" s="2">
        <f t="shared" si="48"/>
        <v>21528</v>
      </c>
      <c r="U140" s="120">
        <f t="shared" si="41"/>
        <v>9.295128</v>
      </c>
      <c r="V140" s="116">
        <f t="shared" si="51"/>
        <v>3.312</v>
      </c>
      <c r="W140" s="138">
        <v>3.312</v>
      </c>
      <c r="X140" s="136">
        <v>12.418344</v>
      </c>
      <c r="Y140" s="134">
        <f t="shared" si="52"/>
        <v>-3.1232159999999993</v>
      </c>
      <c r="Z140" s="6">
        <f t="shared" si="53"/>
        <v>0</v>
      </c>
      <c r="AA140" s="6">
        <f t="shared" si="54"/>
        <v>-3.1232159999999984</v>
      </c>
    </row>
    <row r="141" spans="1:27" ht="12.75">
      <c r="A141" s="7" t="s">
        <v>92</v>
      </c>
      <c r="B141" t="s">
        <v>85</v>
      </c>
      <c r="C141" t="s">
        <v>55</v>
      </c>
      <c r="D141" t="s">
        <v>41</v>
      </c>
      <c r="E141" s="4">
        <v>2008</v>
      </c>
      <c r="F141" s="9">
        <v>76</v>
      </c>
      <c r="G141" s="15"/>
      <c r="H141" s="32">
        <v>24</v>
      </c>
      <c r="I141" s="91">
        <f>(88-55)*4000/1000</f>
        <v>132</v>
      </c>
      <c r="J141" s="10">
        <v>6500</v>
      </c>
      <c r="K141" s="38">
        <f>I141/J141</f>
        <v>0.020307692307692308</v>
      </c>
      <c r="L141" s="2">
        <f t="shared" si="37"/>
        <v>10032</v>
      </c>
      <c r="M141" s="11">
        <v>0.1</v>
      </c>
      <c r="N141" s="2">
        <f t="shared" si="49"/>
        <v>9028.800000000001</v>
      </c>
      <c r="P141" s="12">
        <v>2.8065</v>
      </c>
      <c r="Q141" s="39">
        <f t="shared" si="50"/>
        <v>3.8983580307692316</v>
      </c>
      <c r="T141" s="2">
        <f t="shared" si="48"/>
        <v>9028.800000000001</v>
      </c>
      <c r="U141" s="120">
        <f t="shared" si="41"/>
        <v>3.8983580307692316</v>
      </c>
      <c r="V141" s="116">
        <f t="shared" si="51"/>
        <v>1.389046153846154</v>
      </c>
      <c r="W141" s="138">
        <v>1.389046153846154</v>
      </c>
      <c r="X141" s="136">
        <v>5.208228553846154</v>
      </c>
      <c r="Y141" s="134">
        <f t="shared" si="52"/>
        <v>-1.3098705230769223</v>
      </c>
      <c r="Z141" s="6">
        <f t="shared" si="53"/>
        <v>0</v>
      </c>
      <c r="AA141" s="6">
        <f t="shared" si="54"/>
        <v>-1.309870523076922</v>
      </c>
    </row>
    <row r="142" spans="1:27" ht="12.75">
      <c r="A142" s="7" t="s">
        <v>92</v>
      </c>
      <c r="B142" t="s">
        <v>85</v>
      </c>
      <c r="C142" t="s">
        <v>56</v>
      </c>
      <c r="D142" t="s">
        <v>41</v>
      </c>
      <c r="E142" s="4">
        <v>2008</v>
      </c>
      <c r="F142" s="9">
        <v>11</v>
      </c>
      <c r="G142" s="15"/>
      <c r="H142" s="24">
        <v>8</v>
      </c>
      <c r="I142" s="91">
        <v>459</v>
      </c>
      <c r="J142" s="10">
        <f>5100*0.3</f>
        <v>1530</v>
      </c>
      <c r="K142" s="38">
        <f>I142/J142</f>
        <v>0.3</v>
      </c>
      <c r="L142" s="2">
        <f t="shared" si="37"/>
        <v>5049</v>
      </c>
      <c r="M142" s="11">
        <v>0.1</v>
      </c>
      <c r="N142" s="2">
        <f t="shared" si="49"/>
        <v>4544.1</v>
      </c>
      <c r="P142" s="12">
        <v>2.8065</v>
      </c>
      <c r="Q142" s="39">
        <f t="shared" si="50"/>
        <v>8.335305000000002</v>
      </c>
      <c r="T142" s="2">
        <f t="shared" si="48"/>
        <v>4544.1</v>
      </c>
      <c r="U142" s="120">
        <f t="shared" si="41"/>
        <v>8.335305000000002</v>
      </c>
      <c r="V142" s="116">
        <f t="shared" si="51"/>
        <v>2.97</v>
      </c>
      <c r="W142" s="138">
        <v>2.97</v>
      </c>
      <c r="X142" s="136">
        <v>11.136015</v>
      </c>
      <c r="Y142" s="134">
        <f t="shared" si="52"/>
        <v>-2.8007099999999987</v>
      </c>
      <c r="Z142" s="6">
        <f t="shared" si="53"/>
        <v>0</v>
      </c>
      <c r="AA142" s="6">
        <f t="shared" si="54"/>
        <v>-2.800709999999999</v>
      </c>
    </row>
    <row r="143" spans="1:27" ht="12.75">
      <c r="A143" s="7" t="s">
        <v>92</v>
      </c>
      <c r="B143" t="s">
        <v>85</v>
      </c>
      <c r="C143" t="s">
        <v>57</v>
      </c>
      <c r="D143" t="s">
        <v>41</v>
      </c>
      <c r="E143" s="4">
        <v>2008</v>
      </c>
      <c r="F143" s="9">
        <v>3</v>
      </c>
      <c r="G143" s="15"/>
      <c r="H143" s="24">
        <v>8</v>
      </c>
      <c r="I143" s="91">
        <v>459</v>
      </c>
      <c r="J143" s="10">
        <f>5100*0.3</f>
        <v>1530</v>
      </c>
      <c r="K143" s="38">
        <f>I143/J143</f>
        <v>0.3</v>
      </c>
      <c r="L143" s="2">
        <f t="shared" si="37"/>
        <v>1377</v>
      </c>
      <c r="M143" s="11">
        <v>0.1</v>
      </c>
      <c r="N143" s="2">
        <f t="shared" si="49"/>
        <v>1239.3</v>
      </c>
      <c r="P143" s="12">
        <v>2.8065</v>
      </c>
      <c r="Q143" s="39">
        <f t="shared" si="50"/>
        <v>2.273265</v>
      </c>
      <c r="T143" s="2">
        <f t="shared" si="48"/>
        <v>1239.3</v>
      </c>
      <c r="U143" s="120">
        <f t="shared" si="41"/>
        <v>2.273265</v>
      </c>
      <c r="V143" s="116">
        <f t="shared" si="51"/>
        <v>0.8099999999999999</v>
      </c>
      <c r="W143" s="138">
        <v>0.8099999999999999</v>
      </c>
      <c r="X143" s="136">
        <v>3.0370949999999994</v>
      </c>
      <c r="Y143" s="134">
        <f t="shared" si="52"/>
        <v>-0.7638299999999996</v>
      </c>
      <c r="Z143" s="6">
        <f t="shared" si="53"/>
        <v>0</v>
      </c>
      <c r="AA143" s="6">
        <f t="shared" si="54"/>
        <v>-0.7638299999999992</v>
      </c>
    </row>
    <row r="144" spans="1:27" ht="12.75">
      <c r="A144" s="7" t="s">
        <v>92</v>
      </c>
      <c r="B144" t="s">
        <v>85</v>
      </c>
      <c r="C144" t="s">
        <v>58</v>
      </c>
      <c r="D144" t="s">
        <v>41</v>
      </c>
      <c r="E144" s="4">
        <v>2008</v>
      </c>
      <c r="F144" s="9">
        <v>37</v>
      </c>
      <c r="G144" s="15"/>
      <c r="H144" s="32">
        <v>10</v>
      </c>
      <c r="I144" s="91"/>
      <c r="J144" s="10">
        <v>8760</v>
      </c>
      <c r="K144" s="38">
        <f>(22-5)/1000</f>
        <v>0.017</v>
      </c>
      <c r="L144" s="2">
        <f t="shared" si="37"/>
        <v>5510.040000000001</v>
      </c>
      <c r="M144" s="11">
        <v>0.1</v>
      </c>
      <c r="N144" s="2">
        <f t="shared" si="49"/>
        <v>4959.036000000001</v>
      </c>
      <c r="P144" s="12">
        <v>2.8065</v>
      </c>
      <c r="Q144" s="39">
        <f t="shared" si="50"/>
        <v>1.5887596500000005</v>
      </c>
      <c r="T144" s="2">
        <f t="shared" si="48"/>
        <v>4959.036000000001</v>
      </c>
      <c r="U144" s="120">
        <f t="shared" si="41"/>
        <v>1.5887596500000005</v>
      </c>
      <c r="V144" s="116">
        <f t="shared" si="51"/>
        <v>0.5661000000000002</v>
      </c>
      <c r="W144" s="138">
        <v>0.5664041095890411</v>
      </c>
      <c r="X144" s="136">
        <v>2.1237322089041095</v>
      </c>
      <c r="Y144" s="134">
        <f t="shared" si="52"/>
        <v>-0.534972558904109</v>
      </c>
      <c r="Z144" s="6">
        <f t="shared" si="53"/>
        <v>-0.0008534835616433533</v>
      </c>
      <c r="AA144" s="6">
        <f t="shared" si="54"/>
        <v>-0.5341190753424655</v>
      </c>
    </row>
    <row r="145" spans="1:25" ht="12.75">
      <c r="A145" s="7" t="s">
        <v>92</v>
      </c>
      <c r="B145" t="s">
        <v>147</v>
      </c>
      <c r="C145" s="7" t="s">
        <v>148</v>
      </c>
      <c r="D145" s="7" t="s">
        <v>122</v>
      </c>
      <c r="E145" s="8">
        <v>2009</v>
      </c>
      <c r="F145" s="9">
        <v>41</v>
      </c>
      <c r="G145" s="20"/>
      <c r="H145" s="94">
        <f>20000/J145</f>
        <v>6.389776357827476</v>
      </c>
      <c r="I145" s="91"/>
      <c r="J145" s="14">
        <v>3130</v>
      </c>
      <c r="K145" s="119">
        <f>(507-351)/1000</f>
        <v>0.156</v>
      </c>
      <c r="L145" s="2">
        <f t="shared" si="37"/>
        <v>20019.48</v>
      </c>
      <c r="M145" s="3">
        <v>0.1</v>
      </c>
      <c r="N145" s="2">
        <f>+L145*(1-M145)</f>
        <v>18017.532</v>
      </c>
      <c r="P145" s="12">
        <v>2.8065</v>
      </c>
      <c r="Q145" s="39">
        <f t="shared" si="50"/>
        <v>16.155336600000002</v>
      </c>
      <c r="T145" s="2">
        <f t="shared" si="48"/>
        <v>18017.532</v>
      </c>
      <c r="U145" s="120">
        <f t="shared" si="41"/>
        <v>16.155336600000002</v>
      </c>
      <c r="V145" s="116">
        <f t="shared" si="51"/>
        <v>5.7564</v>
      </c>
      <c r="Y145" s="134"/>
    </row>
    <row r="146" spans="1:25" ht="12.75">
      <c r="A146" s="7" t="s">
        <v>92</v>
      </c>
      <c r="B146" t="s">
        <v>165</v>
      </c>
      <c r="C146" s="7" t="s">
        <v>126</v>
      </c>
      <c r="D146" s="7" t="s">
        <v>122</v>
      </c>
      <c r="E146" s="8">
        <v>2009</v>
      </c>
      <c r="F146" s="9">
        <v>32</v>
      </c>
      <c r="G146" s="20"/>
      <c r="H146" s="94"/>
      <c r="I146" s="119"/>
      <c r="J146" s="14">
        <v>3130</v>
      </c>
      <c r="K146" s="119">
        <f>(149-112)/1000</f>
        <v>0.037</v>
      </c>
      <c r="L146" s="2">
        <f t="shared" si="37"/>
        <v>3705.9199999999996</v>
      </c>
      <c r="M146" s="3">
        <v>0.1</v>
      </c>
      <c r="N146" s="2">
        <f>+L146*(1-M146)</f>
        <v>3335.3279999999995</v>
      </c>
      <c r="P146" s="12">
        <v>2.8065</v>
      </c>
      <c r="Q146" s="39">
        <f t="shared" si="50"/>
        <v>2.9906064</v>
      </c>
      <c r="T146" s="2">
        <f t="shared" si="48"/>
        <v>3335.3279999999995</v>
      </c>
      <c r="U146" s="120">
        <f t="shared" si="41"/>
        <v>2.9906064</v>
      </c>
      <c r="V146" s="116">
        <f t="shared" si="51"/>
        <v>1.0655999999999999</v>
      </c>
      <c r="Y146" s="134"/>
    </row>
    <row r="147" spans="1:27" s="1" customFormat="1" ht="12.75">
      <c r="A147" s="19" t="s">
        <v>104</v>
      </c>
      <c r="E147" s="55"/>
      <c r="F147" s="56"/>
      <c r="G147" s="57"/>
      <c r="H147" s="55"/>
      <c r="I147" s="92"/>
      <c r="J147" s="58"/>
      <c r="K147" s="59"/>
      <c r="L147" s="60">
        <f>SUM(L139:L146)</f>
        <v>500302.23999999993</v>
      </c>
      <c r="M147" s="61"/>
      <c r="N147" s="60">
        <f>SUM(N139:N146)</f>
        <v>450272.01599999995</v>
      </c>
      <c r="P147" s="62"/>
      <c r="Q147" s="63">
        <f>SUM(Q139:Q146)</f>
        <v>316.5005850507692</v>
      </c>
      <c r="R147" s="223">
        <f>SUM(R139:R146)</f>
        <v>0</v>
      </c>
      <c r="S147" s="209">
        <f>SUM(S139:S146)</f>
        <v>0</v>
      </c>
      <c r="T147" s="60">
        <f>SUM(T139:T146)</f>
        <v>450272.01599999995</v>
      </c>
      <c r="U147" s="63">
        <f>SUM(U139:U146)</f>
        <v>316.5005850507692</v>
      </c>
      <c r="V147" s="63"/>
      <c r="W147" s="143"/>
      <c r="X147" s="135"/>
      <c r="Y147" s="135"/>
      <c r="Z147" s="63"/>
      <c r="AA147" s="63"/>
    </row>
    <row r="148" spans="1:27" s="65" customFormat="1" ht="13.5" thickBot="1">
      <c r="A148" s="64" t="s">
        <v>95</v>
      </c>
      <c r="E148" s="66"/>
      <c r="F148" s="67"/>
      <c r="G148" s="68"/>
      <c r="H148" s="66"/>
      <c r="I148" s="93"/>
      <c r="J148" s="69"/>
      <c r="K148" s="70"/>
      <c r="L148" s="71">
        <f>SUM(L3:L147)/2</f>
        <v>6948332.289666664</v>
      </c>
      <c r="M148" s="72"/>
      <c r="N148" s="71">
        <f>SUM(N3:N147)/2</f>
        <v>6043640.048499999</v>
      </c>
      <c r="P148" s="73"/>
      <c r="Q148" s="74">
        <f>SUM(Q3:Q147)/2</f>
        <v>79961.33004970076</v>
      </c>
      <c r="R148" s="260">
        <f>SUM(R3:R147)/2</f>
        <v>61561.0062</v>
      </c>
      <c r="S148" s="266">
        <f>SUM(S3:S147)/2</f>
        <v>1120.4103128400002</v>
      </c>
      <c r="T148" s="71">
        <f>SUM(T3:T147)/2</f>
        <v>6105201.054699999</v>
      </c>
      <c r="U148" s="74">
        <f>SUM(U3:U147)/2</f>
        <v>81081.74036254076</v>
      </c>
      <c r="V148" s="74"/>
      <c r="W148" s="144">
        <f>SUM(W2:W147)</f>
        <v>2736234.0410527815</v>
      </c>
      <c r="X148" s="137">
        <f>SUM(X2:X147)</f>
        <v>40862.41140240069</v>
      </c>
      <c r="Y148" s="137">
        <f>SUM(Y2:Y147)</f>
        <v>3687.8859154300594</v>
      </c>
      <c r="Z148" s="137">
        <f>SUM(Z2:Z147)</f>
        <v>-2721.0790664778683</v>
      </c>
      <c r="AA148" s="137">
        <f>SUM(AA2:AA147)</f>
        <v>6611.925399227926</v>
      </c>
    </row>
    <row r="149" spans="17:28" ht="13.5" thickTop="1">
      <c r="Q149" s="6"/>
      <c r="V149" s="120">
        <f>U148-S148-Q148</f>
        <v>0</v>
      </c>
      <c r="X149" s="138"/>
      <c r="Y149" s="134"/>
      <c r="AB149" s="120">
        <f>U148-S148-Q148</f>
        <v>0</v>
      </c>
    </row>
    <row r="150" spans="1:24" ht="12.75">
      <c r="A150" s="210" t="s">
        <v>262</v>
      </c>
      <c r="X150" s="138"/>
    </row>
    <row r="151" spans="1:24" ht="12.75">
      <c r="A151" s="210" t="s">
        <v>260</v>
      </c>
      <c r="X151" s="138"/>
    </row>
    <row r="152" spans="3:24" ht="12.75">
      <c r="C152" s="210"/>
      <c r="X152" s="138"/>
    </row>
    <row r="153" ht="12.75" hidden="1" outlineLevel="1">
      <c r="C153" s="210"/>
    </row>
    <row r="154" ht="12.75" hidden="1" outlineLevel="1"/>
    <row r="155" ht="12.75" hidden="1" outlineLevel="1">
      <c r="Q155" s="95"/>
    </row>
    <row r="156" spans="17:21" ht="12.75" hidden="1" outlineLevel="1">
      <c r="Q156" s="122"/>
      <c r="T156" s="122"/>
      <c r="U156" s="122" t="s">
        <v>154</v>
      </c>
    </row>
    <row r="157" spans="17:21" ht="12.75" hidden="1" outlineLevel="1">
      <c r="Q157" s="84"/>
      <c r="T157" s="228" t="s">
        <v>150</v>
      </c>
      <c r="U157" s="229">
        <v>43486.13083990069</v>
      </c>
    </row>
    <row r="158" spans="17:21" ht="12.75" hidden="1" outlineLevel="1">
      <c r="Q158" s="84"/>
      <c r="T158" s="228"/>
      <c r="U158" s="229"/>
    </row>
    <row r="159" spans="17:21" ht="12.75" hidden="1" outlineLevel="1">
      <c r="Q159" s="178"/>
      <c r="T159" s="228" t="s">
        <v>152</v>
      </c>
      <c r="U159" s="230">
        <f>-'removed 2009 (past useful life)'!R6</f>
        <v>-2625.0811375000003</v>
      </c>
    </row>
    <row r="160" spans="17:24" ht="12.75" hidden="1" outlineLevel="1">
      <c r="Q160" s="178"/>
      <c r="T160" s="228" t="s">
        <v>264</v>
      </c>
      <c r="U160" s="230">
        <f>S148</f>
        <v>1120.4103128400002</v>
      </c>
      <c r="V160" s="128"/>
      <c r="X160" s="134"/>
    </row>
    <row r="161" spans="17:24" ht="12.75" hidden="1" outlineLevel="1">
      <c r="Q161" s="178"/>
      <c r="T161" s="228" t="s">
        <v>188</v>
      </c>
      <c r="U161" s="230">
        <f>Z148</f>
        <v>-2721.0790664778683</v>
      </c>
      <c r="X161" s="134"/>
    </row>
    <row r="162" spans="17:24" ht="12.75" hidden="1" outlineLevel="1">
      <c r="Q162" s="178"/>
      <c r="T162" s="228" t="s">
        <v>189</v>
      </c>
      <c r="U162" s="230">
        <f>AA148+173</f>
        <v>6784.925399227926</v>
      </c>
      <c r="V162" s="222" t="s">
        <v>177</v>
      </c>
      <c r="X162" s="134"/>
    </row>
    <row r="163" spans="17:21" ht="12.75" hidden="1" outlineLevel="1">
      <c r="Q163" s="178"/>
      <c r="T163" s="228" t="s">
        <v>168</v>
      </c>
      <c r="U163" s="230">
        <f>SUMIF(E3:E18,"2009",Q3:Q18)</f>
        <v>6878.1241152</v>
      </c>
    </row>
    <row r="164" spans="17:21" ht="12.75" hidden="1" outlineLevel="1">
      <c r="Q164" s="178"/>
      <c r="T164" s="228" t="s">
        <v>169</v>
      </c>
      <c r="U164" s="230">
        <f>SUMIF(E22:E113,"2009",Q22:Q113)</f>
        <v>28443.390808770007</v>
      </c>
    </row>
    <row r="165" spans="17:28" ht="12.75" hidden="1" outlineLevel="1">
      <c r="Q165" s="178"/>
      <c r="T165" s="228" t="s">
        <v>170</v>
      </c>
      <c r="U165" s="230">
        <f>SUMIF(E139:E146,"2009",Q139:Q146)+SUMIF(E115:E137,"2009",Q115:Q137)</f>
        <v>89.5178079</v>
      </c>
      <c r="V165" s="84"/>
      <c r="AB165" s="232">
        <f>SUM(U159:U165)</f>
        <v>37970.20823996007</v>
      </c>
    </row>
    <row r="166" spans="17:22" ht="12.75" hidden="1" outlineLevel="1">
      <c r="Q166" s="178"/>
      <c r="T166" s="228"/>
      <c r="U166" s="230"/>
      <c r="V166" s="84"/>
    </row>
    <row r="167" spans="20:21" ht="13.5" hidden="1" outlineLevel="1" thickBot="1">
      <c r="T167" s="228" t="s">
        <v>151</v>
      </c>
      <c r="U167" s="231">
        <f>SUM(U157:U165)</f>
        <v>81456.33907986076</v>
      </c>
    </row>
    <row r="168" spans="17:21" ht="13.5" hidden="1" outlineLevel="1" thickTop="1">
      <c r="Q168" s="140"/>
      <c r="T168" s="140"/>
      <c r="U168" s="140">
        <f>U148-U167</f>
        <v>-374.5987173199974</v>
      </c>
    </row>
    <row r="169" ht="12.75" collapsed="1">
      <c r="Q169" s="120"/>
    </row>
    <row r="170" ht="12.75">
      <c r="Q170" s="120"/>
    </row>
  </sheetData>
  <sheetProtection/>
  <printOptions/>
  <pageMargins left="0.27" right="0.2" top="0.44" bottom="0.5" header="0.26" footer="0.24"/>
  <pageSetup fitToHeight="0" fitToWidth="1" horizontalDpi="600" verticalDpi="600" orientation="landscape" r:id="rId3"/>
  <headerFooter alignWithMargins="0">
    <oddFooter>&amp;L&amp;Z&amp;F  &amp;A</oddFooter>
  </headerFooter>
  <legacyDrawing r:id="rId2"/>
</worksheet>
</file>

<file path=xl/worksheets/sheet7.xml><?xml version="1.0" encoding="utf-8"?>
<worksheet xmlns="http://schemas.openxmlformats.org/spreadsheetml/2006/main" xmlns:r="http://schemas.openxmlformats.org/officeDocument/2006/relationships">
  <sheetPr>
    <tabColor rgb="FFFFFF00"/>
  </sheetPr>
  <dimension ref="A1:G26"/>
  <sheetViews>
    <sheetView tabSelected="1" zoomScale="90" zoomScaleNormal="90" zoomScalePageLayoutView="0" workbookViewId="0" topLeftCell="A1">
      <selection activeCell="C42" sqref="C42"/>
    </sheetView>
  </sheetViews>
  <sheetFormatPr defaultColWidth="9.140625" defaultRowHeight="12.75"/>
  <cols>
    <col min="1" max="1" width="25.57421875" style="46" customWidth="1"/>
    <col min="2" max="2" width="14.57421875" style="46" customWidth="1"/>
    <col min="3" max="5" width="14.57421875" style="46" bestFit="1" customWidth="1"/>
    <col min="6" max="6" width="11.28125" style="46" customWidth="1"/>
    <col min="7" max="7" width="14.421875" style="46" bestFit="1" customWidth="1"/>
    <col min="8" max="16384" width="9.140625" style="46" customWidth="1"/>
  </cols>
  <sheetData>
    <row r="1" spans="2:5" ht="12.75">
      <c r="B1"/>
      <c r="C1"/>
      <c r="D1"/>
      <c r="E1"/>
    </row>
    <row r="2" ht="12.75">
      <c r="A2" s="83"/>
    </row>
    <row r="3" spans="1:7" ht="25.5">
      <c r="A3" s="211" t="s">
        <v>266</v>
      </c>
      <c r="B3" s="43" t="s">
        <v>98</v>
      </c>
      <c r="C3" s="44"/>
      <c r="D3" s="44"/>
      <c r="E3" s="44"/>
      <c r="F3" s="45"/>
      <c r="G3"/>
    </row>
    <row r="4" spans="1:7" ht="12.75">
      <c r="A4" s="47" t="s">
        <v>6</v>
      </c>
      <c r="B4" s="48">
        <v>2006</v>
      </c>
      <c r="C4" s="49">
        <v>2007</v>
      </c>
      <c r="D4" s="49">
        <v>2008</v>
      </c>
      <c r="E4" s="49">
        <v>2009</v>
      </c>
      <c r="F4" s="50" t="s">
        <v>95</v>
      </c>
      <c r="G4"/>
    </row>
    <row r="5" spans="1:7" ht="12.75">
      <c r="A5" s="48" t="s">
        <v>15</v>
      </c>
      <c r="B5" s="167">
        <v>617016.18</v>
      </c>
      <c r="C5" s="168"/>
      <c r="D5" s="168">
        <v>824951.5830000001</v>
      </c>
      <c r="E5" s="168">
        <v>541584.576</v>
      </c>
      <c r="F5" s="169">
        <v>1983552.3390000002</v>
      </c>
      <c r="G5"/>
    </row>
    <row r="6" spans="1:7" ht="12.75">
      <c r="A6" s="51" t="s">
        <v>53</v>
      </c>
      <c r="B6" s="170"/>
      <c r="C6" s="171"/>
      <c r="D6" s="171">
        <v>516638.18140000006</v>
      </c>
      <c r="E6" s="171">
        <v>1589016.2463000002</v>
      </c>
      <c r="F6" s="172">
        <v>2105654.4277000003</v>
      </c>
      <c r="G6"/>
    </row>
    <row r="7" spans="1:7" ht="12.75">
      <c r="A7" s="51" t="s">
        <v>91</v>
      </c>
      <c r="B7" s="170"/>
      <c r="C7" s="171"/>
      <c r="D7" s="171">
        <v>732917.7648</v>
      </c>
      <c r="E7" s="171">
        <v>74847.3072</v>
      </c>
      <c r="F7" s="172">
        <v>807765.072</v>
      </c>
      <c r="G7"/>
    </row>
    <row r="8" spans="1:7" ht="12.75">
      <c r="A8" s="51" t="s">
        <v>92</v>
      </c>
      <c r="B8" s="170"/>
      <c r="C8" s="171"/>
      <c r="D8" s="171">
        <v>428919.15599999996</v>
      </c>
      <c r="E8" s="171">
        <v>21352.86</v>
      </c>
      <c r="F8" s="172">
        <v>450272.01599999995</v>
      </c>
      <c r="G8"/>
    </row>
    <row r="9" spans="1:7" ht="12.75">
      <c r="A9" s="51" t="s">
        <v>32</v>
      </c>
      <c r="B9" s="170"/>
      <c r="C9" s="171">
        <v>757957.2</v>
      </c>
      <c r="D9" s="171"/>
      <c r="E9" s="171"/>
      <c r="F9" s="172">
        <v>757957.2</v>
      </c>
      <c r="G9"/>
    </row>
    <row r="10" spans="1:7" ht="12.75">
      <c r="A10" s="52" t="s">
        <v>95</v>
      </c>
      <c r="B10" s="173">
        <v>617016.18</v>
      </c>
      <c r="C10" s="174">
        <v>757957.2</v>
      </c>
      <c r="D10" s="174">
        <v>2503426.6852</v>
      </c>
      <c r="E10" s="174">
        <v>2226800.9895</v>
      </c>
      <c r="F10" s="175">
        <v>6105201.0547</v>
      </c>
      <c r="G10" s="150">
        <f>GETPIVOTDATA("Total Net KWh Saved (After FR)",$A$3)-'LRAM Detail'!T148</f>
        <v>0</v>
      </c>
    </row>
    <row r="11" spans="1:7" ht="12.75">
      <c r="A11" s="147"/>
      <c r="B11" s="177"/>
      <c r="C11" s="177"/>
      <c r="D11" s="177"/>
      <c r="E11" s="177"/>
      <c r="F11" s="177"/>
      <c r="G11" s="150"/>
    </row>
    <row r="12" spans="1:7" ht="12.75">
      <c r="A12" s="147"/>
      <c r="B12" s="177"/>
      <c r="C12" s="177"/>
      <c r="D12" s="177"/>
      <c r="E12" s="177"/>
      <c r="F12" s="177"/>
      <c r="G12" s="150"/>
    </row>
    <row r="13" spans="1:7" ht="12.75">
      <c r="A13" s="147"/>
      <c r="B13" s="177"/>
      <c r="C13" s="177"/>
      <c r="D13" s="177"/>
      <c r="E13" s="177"/>
      <c r="F13" s="177"/>
      <c r="G13" s="150"/>
    </row>
    <row r="14" spans="1:7" ht="12.75">
      <c r="A14"/>
      <c r="B14"/>
      <c r="C14"/>
      <c r="D14"/>
      <c r="E14"/>
      <c r="F14"/>
      <c r="G14" s="150"/>
    </row>
    <row r="15" spans="1:7" ht="12.75">
      <c r="A15" s="83"/>
      <c r="B15"/>
      <c r="C15"/>
      <c r="D15"/>
      <c r="E15"/>
      <c r="F15"/>
      <c r="G15" s="150"/>
    </row>
    <row r="16" spans="1:7" ht="12.75">
      <c r="A16"/>
      <c r="B16"/>
      <c r="C16"/>
      <c r="D16"/>
      <c r="E16"/>
      <c r="F16"/>
      <c r="G16" s="150"/>
    </row>
    <row r="17" spans="1:7" ht="25.5">
      <c r="A17" s="211" t="s">
        <v>263</v>
      </c>
      <c r="B17" s="43" t="s">
        <v>98</v>
      </c>
      <c r="C17" s="44"/>
      <c r="D17" s="44"/>
      <c r="E17" s="44"/>
      <c r="F17" s="45"/>
      <c r="G17" s="176"/>
    </row>
    <row r="18" spans="1:7" ht="12.75">
      <c r="A18" s="47" t="s">
        <v>6</v>
      </c>
      <c r="B18" s="48">
        <v>2006</v>
      </c>
      <c r="C18" s="49">
        <v>2007</v>
      </c>
      <c r="D18" s="49">
        <v>2008</v>
      </c>
      <c r="E18" s="49">
        <v>2009</v>
      </c>
      <c r="F18" s="50" t="s">
        <v>95</v>
      </c>
      <c r="G18" s="176"/>
    </row>
    <row r="19" spans="1:7" ht="12.75">
      <c r="A19" s="48" t="s">
        <v>15</v>
      </c>
      <c r="B19" s="213">
        <v>7836.1054859999995</v>
      </c>
      <c r="C19" s="214"/>
      <c r="D19" s="214">
        <v>10476.8851041</v>
      </c>
      <c r="E19" s="214">
        <v>6878.1241152</v>
      </c>
      <c r="F19" s="215">
        <v>25191.1147053</v>
      </c>
      <c r="G19" s="176"/>
    </row>
    <row r="20" spans="1:7" ht="12.75">
      <c r="A20" s="51" t="s">
        <v>53</v>
      </c>
      <c r="B20" s="216"/>
      <c r="C20" s="217"/>
      <c r="D20" s="217">
        <v>9266.29174892</v>
      </c>
      <c r="E20" s="217">
        <v>28443.390808770007</v>
      </c>
      <c r="F20" s="218">
        <v>37709.68255769001</v>
      </c>
      <c r="G20" s="176"/>
    </row>
    <row r="21" spans="1:7" ht="12.75">
      <c r="A21" s="51" t="s">
        <v>91</v>
      </c>
      <c r="B21" s="216"/>
      <c r="C21" s="217"/>
      <c r="D21" s="217">
        <v>664.2379295999999</v>
      </c>
      <c r="E21" s="217">
        <v>70.37186489999999</v>
      </c>
      <c r="F21" s="218">
        <v>734.6097944999999</v>
      </c>
      <c r="G21" s="176"/>
    </row>
    <row r="22" spans="1:7" ht="12.75">
      <c r="A22" s="51" t="s">
        <v>92</v>
      </c>
      <c r="B22" s="216"/>
      <c r="C22" s="217"/>
      <c r="D22" s="217">
        <v>297.35464205076926</v>
      </c>
      <c r="E22" s="217">
        <v>19.145943000000003</v>
      </c>
      <c r="F22" s="218">
        <v>316.50058505076925</v>
      </c>
      <c r="G22" s="176"/>
    </row>
    <row r="23" spans="1:7" ht="12.75">
      <c r="A23" s="51" t="s">
        <v>32</v>
      </c>
      <c r="B23" s="216"/>
      <c r="C23" s="217">
        <v>17129.83272</v>
      </c>
      <c r="D23" s="217"/>
      <c r="E23" s="217"/>
      <c r="F23" s="218">
        <v>17129.83272</v>
      </c>
      <c r="G23" s="176"/>
    </row>
    <row r="24" spans="1:7" ht="12.75">
      <c r="A24" s="52" t="s">
        <v>95</v>
      </c>
      <c r="B24" s="219">
        <v>7836.1054859999995</v>
      </c>
      <c r="C24" s="220">
        <v>17129.83272</v>
      </c>
      <c r="D24" s="220">
        <v>20704.76942467077</v>
      </c>
      <c r="E24" s="220">
        <v>35411.032731870015</v>
      </c>
      <c r="F24" s="221">
        <v>81081.74036254076</v>
      </c>
      <c r="G24" s="176">
        <f>GETPIVOTDATA("Total LRAM",$A$17)-'LRAM Detail'!U148</f>
        <v>0</v>
      </c>
    </row>
    <row r="25" spans="1:6" ht="12.75">
      <c r="A25" s="147"/>
      <c r="B25" s="148"/>
      <c r="C25" s="148"/>
      <c r="D25" s="148"/>
      <c r="E25" s="148"/>
      <c r="F25" s="148"/>
    </row>
    <row r="26" spans="1:6" ht="12.75">
      <c r="A26" s="147"/>
      <c r="B26" s="148"/>
      <c r="C26" s="148"/>
      <c r="D26" s="148"/>
      <c r="E26" s="148"/>
      <c r="F26" s="148"/>
    </row>
  </sheetData>
  <sheetProtection/>
  <printOptions/>
  <pageMargins left="0.7" right="0.7" top="0.75" bottom="0.75" header="0.3" footer="0.3"/>
  <pageSetup horizontalDpi="600" verticalDpi="600" orientation="landscape" r:id="rId1"/>
  <headerFooter>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Oshawa PUC Networks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mchase</dc:creator>
  <cp:keywords/>
  <dc:description/>
  <cp:lastModifiedBy> S Jackson</cp:lastModifiedBy>
  <cp:lastPrinted>2010-10-13T21:38:00Z</cp:lastPrinted>
  <dcterms:created xsi:type="dcterms:W3CDTF">2008-10-17T17:52:30Z</dcterms:created>
  <dcterms:modified xsi:type="dcterms:W3CDTF">2010-10-14T20:56:51Z</dcterms:modified>
  <cp:category/>
  <cp:version/>
  <cp:contentType/>
  <cp:contentStatus/>
</cp:coreProperties>
</file>