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App. 2-B FA Continuity 2007" sheetId="1" r:id="rId1"/>
    <sheet name="App. 2-B FA Continuity 2008" sheetId="2" r:id="rId2"/>
    <sheet name="App 2-B FA Continuity 2009" sheetId="3" r:id="rId3"/>
    <sheet name="App 2-BFA Continuity 2010" sheetId="4" r:id="rId4"/>
    <sheet name="App. 2-B FA Continuity 2011" sheetId="5" r:id="rId5"/>
    <sheet name="App. 2-K Redacted" sheetId="6" r:id="rId6"/>
    <sheet name="App.2-M Depreciation Expense 07" sheetId="7" r:id="rId7"/>
    <sheet name="App.2-M Depreciation Expense 08" sheetId="8" r:id="rId8"/>
    <sheet name="App.2-M Depreciation Expense 09" sheetId="9" r:id="rId9"/>
    <sheet name="App.2-M Depreciation Expense 10" sheetId="10" r:id="rId10"/>
    <sheet name="App.2-M Depreciation Expense 11" sheetId="11" r:id="rId11"/>
    <sheet name="App.2-M(a) - Reconcile Deprec" sheetId="12" r:id="rId12"/>
    <sheet name="App.2-M(b) - Summary Deprec" sheetId="13" r:id="rId13"/>
    <sheet name="App.2-N Capitalization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fn.BAHTTEXT" hidden="1">#NAME?</definedName>
    <definedName name="DaysInPreviousYear">'[3]Distribution Revenue by Source'!$B$22</definedName>
    <definedName name="DaysInYear">'[3]Distribution Revenue by Source'!$B$21</definedName>
    <definedName name="MofF">#REF!</definedName>
    <definedName name="_xlnm.Print_Area" localSheetId="2">'App 2-B FA Continuity 2009'!$A$1:$N$55</definedName>
    <definedName name="_xlnm.Print_Area" localSheetId="3">'App 2-BFA Continuity 2010'!$A$1:$N$55</definedName>
    <definedName name="_xlnm.Print_Area" localSheetId="0">'App. 2-B FA Continuity 2007'!$A$1:$N$54</definedName>
    <definedName name="_xlnm.Print_Area" localSheetId="1">'App. 2-B FA Continuity 2008'!$A$1:$N$55</definedName>
    <definedName name="_xlnm.Print_Area" localSheetId="4">'App. 2-B FA Continuity 2011'!$A$1:$N$59</definedName>
    <definedName name="_xlnm.Print_Area" localSheetId="6">'App.2-M Depreciation Expense 07'!$A$1:$M$73</definedName>
    <definedName name="_xlnm.Print_Area" localSheetId="7">'App.2-M Depreciation Expense 08'!$A$1:$M$73</definedName>
    <definedName name="_xlnm.Print_Area" localSheetId="8">'App.2-M Depreciation Expense 09'!$A$1:$M$73</definedName>
    <definedName name="_xlnm.Print_Area" localSheetId="9">'App.2-M Depreciation Expense 10'!$A$1:$M$73</definedName>
    <definedName name="_xlnm.Print_Area" localSheetId="10">'App.2-M Depreciation Expense 11'!$A$1:$M$72</definedName>
    <definedName name="_xlnm.Print_Area" localSheetId="11">'App.2-M(a) - Reconcile Deprec'!$A$11:$S$66</definedName>
    <definedName name="_xlnm.Print_Area" localSheetId="12">'App.2-M(b) - Summary Deprec'!$B$11:$I$60</definedName>
    <definedName name="Ratebase">'[3]Distribution Revenue by Source'!$C$25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<sst xmlns="http://schemas.openxmlformats.org/spreadsheetml/2006/main" count="1166" uniqueCount="299">
  <si>
    <t>CCA Class</t>
  </si>
  <si>
    <t>OEB</t>
  </si>
  <si>
    <t>Description</t>
  </si>
  <si>
    <t>Opening Balance</t>
  </si>
  <si>
    <t>Additions</t>
  </si>
  <si>
    <t>Disposals</t>
  </si>
  <si>
    <t>Closing Balance</t>
  </si>
  <si>
    <t>Cost</t>
  </si>
  <si>
    <t>Accumulated Depreciation</t>
  </si>
  <si>
    <t>N/A</t>
  </si>
  <si>
    <t>Land</t>
  </si>
  <si>
    <t>Buildings</t>
  </si>
  <si>
    <t>Transformer Station Equipment &gt;50 kV</t>
  </si>
  <si>
    <t>Substation Equipment</t>
  </si>
  <si>
    <t>Storage Battery Equipment</t>
  </si>
  <si>
    <t>Poles, Towers &amp; Fixtures</t>
  </si>
  <si>
    <t>UG Conduit</t>
  </si>
  <si>
    <t>UG Conductors &amp; Devices</t>
  </si>
  <si>
    <t>OH Conductors &amp; Devices</t>
  </si>
  <si>
    <t>Line Transformers</t>
  </si>
  <si>
    <t>Services (OH &amp; UG)</t>
  </si>
  <si>
    <t>Meters</t>
  </si>
  <si>
    <t>Smart Meters</t>
  </si>
  <si>
    <t>Smart Meters/Communication Systems</t>
  </si>
  <si>
    <t>CEC</t>
  </si>
  <si>
    <t>Land Rights</t>
  </si>
  <si>
    <t>Buildings &amp; Fixtures</t>
  </si>
  <si>
    <t>Office Furniture &amp; Equipment 10yr</t>
  </si>
  <si>
    <t>Office Furniture &amp; Equipment 5yr</t>
  </si>
  <si>
    <t>Computer - Hardware</t>
  </si>
  <si>
    <t>Computer - Hardware post Mar 22/04</t>
  </si>
  <si>
    <t>Computer - Hardware post Mar 19/07</t>
  </si>
  <si>
    <t>Computer Software</t>
  </si>
  <si>
    <t>Transportation Equipment</t>
  </si>
  <si>
    <t>Stores Equipment</t>
  </si>
  <si>
    <t>Tools, Shop &amp; Garage Equipment</t>
  </si>
  <si>
    <t>Measurement &amp; Testing Equipment</t>
  </si>
  <si>
    <t>Power operated Equipment</t>
  </si>
  <si>
    <t>Communications Equipment</t>
  </si>
  <si>
    <t>Water Heater Rental Units</t>
  </si>
  <si>
    <t>Load Management Controls Utility Premises</t>
  </si>
  <si>
    <t>Miscellaneous Fixed Assets</t>
  </si>
  <si>
    <t>Contributions &amp; Grants</t>
  </si>
  <si>
    <t>Total</t>
  </si>
  <si>
    <t>Transportation</t>
  </si>
  <si>
    <t>Net Depreciation</t>
  </si>
  <si>
    <t>Depreciation Rate</t>
  </si>
  <si>
    <t>Leasehold Improvements</t>
  </si>
  <si>
    <t>Load Management Controls</t>
  </si>
  <si>
    <t>Net Book Value</t>
  </si>
  <si>
    <t>File Number:</t>
  </si>
  <si>
    <t>Exhibit:</t>
  </si>
  <si>
    <t>Tab:</t>
  </si>
  <si>
    <t>Schedule:</t>
  </si>
  <si>
    <t>Page:</t>
  </si>
  <si>
    <t>Date:</t>
  </si>
  <si>
    <t>xx</t>
  </si>
  <si>
    <t>Capitalization/Cost of Capital</t>
  </si>
  <si>
    <t>Line No.</t>
  </si>
  <si>
    <t>Particulars</t>
  </si>
  <si>
    <t>Capitalization Ratio</t>
  </si>
  <si>
    <t>Cost Rate</t>
  </si>
  <si>
    <t>Return</t>
  </si>
  <si>
    <t>Application</t>
  </si>
  <si>
    <t>(%)</t>
  </si>
  <si>
    <t>($)</t>
  </si>
  <si>
    <t>Debt</t>
  </si>
  <si>
    <t xml:space="preserve">  Long-term Debt</t>
  </si>
  <si>
    <t xml:space="preserve">  Short-term Debt</t>
  </si>
  <si>
    <t>(1)</t>
  </si>
  <si>
    <t>Total Debt</t>
  </si>
  <si>
    <t>Equity</t>
  </si>
  <si>
    <t xml:space="preserve">  Common Equity</t>
  </si>
  <si>
    <t xml:space="preserve">  Preferred Shares</t>
  </si>
  <si>
    <t>Total Equity</t>
  </si>
  <si>
    <t>Notes</t>
  </si>
  <si>
    <t>4.0% unless an applicant utility has proposed or been approved for a different amount.</t>
  </si>
  <si>
    <t>Account</t>
  </si>
  <si>
    <t>(a)</t>
  </si>
  <si>
    <t>(b)</t>
  </si>
  <si>
    <t>Net for Depreciation</t>
  </si>
  <si>
    <t>(d)</t>
  </si>
  <si>
    <t>Total for Depreciation</t>
  </si>
  <si>
    <t>Years</t>
  </si>
  <si>
    <t>(f)</t>
  </si>
  <si>
    <t>(g) = 1 / (f)</t>
  </si>
  <si>
    <t>Depreciation Expense</t>
  </si>
  <si>
    <t>(h) = (e) / (f)</t>
  </si>
  <si>
    <r>
      <t xml:space="preserve">Less Fully Depreciated </t>
    </r>
    <r>
      <rPr>
        <b/>
        <vertAlign val="superscript"/>
        <sz val="10"/>
        <rFont val="Arial"/>
        <family val="2"/>
      </rPr>
      <t>(1)</t>
    </r>
  </si>
  <si>
    <t>(2)</t>
  </si>
  <si>
    <t>(c) = (a) - (b)</t>
  </si>
  <si>
    <r>
      <t xml:space="preserve">(e)=(c)         + 0.5 x (d) </t>
    </r>
    <r>
      <rPr>
        <b/>
        <vertAlign val="superscript"/>
        <sz val="10"/>
        <rFont val="Arial"/>
        <family val="2"/>
      </rPr>
      <t>(2)</t>
    </r>
  </si>
  <si>
    <t>Notes:</t>
  </si>
  <si>
    <t>Rate</t>
  </si>
  <si>
    <t>EB-2010-0139</t>
  </si>
  <si>
    <t>Land &amp; Land Rights</t>
  </si>
  <si>
    <t>Miscellaneous Equipment</t>
  </si>
  <si>
    <t>System Supervisory Equipment</t>
  </si>
  <si>
    <t>Property Under Capital Lease</t>
  </si>
  <si>
    <t>Work-In-Process</t>
  </si>
  <si>
    <t>Transportation Equipment - pooled</t>
  </si>
  <si>
    <t>1930-1</t>
  </si>
  <si>
    <t>1930-2</t>
  </si>
  <si>
    <t>1930-3</t>
  </si>
  <si>
    <t>1930-4</t>
  </si>
  <si>
    <t>Transportation Equipment - Passenger Cars</t>
  </si>
  <si>
    <t>Transportation Equipment - Light Trucks/Vans</t>
  </si>
  <si>
    <t>Transportation Equipment - Heavy Trucks</t>
  </si>
  <si>
    <t>Transportation Equipment - Trailers/Other</t>
  </si>
  <si>
    <t>Actual Depreciation Expense</t>
  </si>
  <si>
    <t>per FA Cont Schedule</t>
  </si>
  <si>
    <t>Equipment Under Capital Lease</t>
  </si>
  <si>
    <t>Work-In-Progress</t>
  </si>
  <si>
    <t>Transportation Equipment - Pool</t>
  </si>
  <si>
    <t>Property Under Capital Leases</t>
  </si>
  <si>
    <t>Work In Progress</t>
  </si>
  <si>
    <t>Continuity Schedules</t>
  </si>
  <si>
    <t>Depreciation Expense Per Amortiz'n</t>
  </si>
  <si>
    <t xml:space="preserve">Computer Software </t>
  </si>
  <si>
    <t>Transportation Equipment - Pooled</t>
  </si>
  <si>
    <t>Amounts per Rev Req FA Continuity Schedule</t>
  </si>
  <si>
    <t>Note</t>
  </si>
  <si>
    <t>Variance</t>
  </si>
  <si>
    <t>Change in # Years from 35 to 30 years after Jan 1, 2006 - cumulative effect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</si>
  <si>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</si>
  <si>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</si>
  <si>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</si>
  <si>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</si>
  <si>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</si>
  <si>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</si>
  <si>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</si>
  <si>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</si>
  <si>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</si>
  <si>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Timing difference (NPDI amortizes starting when vehicle is in service - depends on date of purchase)</t>
  </si>
  <si>
    <t>7</t>
  </si>
  <si>
    <t>8</t>
  </si>
  <si>
    <t>9</t>
  </si>
  <si>
    <t>10</t>
  </si>
  <si>
    <t>11</t>
  </si>
  <si>
    <t>$54,974 in iXp pre-conversion costs (training, programming, support, etc) not amortized until iXp up and running (expect 2011)</t>
  </si>
  <si>
    <t>Total additions to "fleet pool" for 2002 to 2005 were $1,000,501.73, however, 2006 continuity schedule states closing balance was $1,300,157 and carries forward to current year</t>
  </si>
  <si>
    <t>6</t>
  </si>
  <si>
    <t>In 2008 purchased used equipment with remaining useful life of 8 years (not depreciated over 10 years like the rest of the misc. equipment)</t>
  </si>
  <si>
    <t>These were "soft costs" that were written off completely in 2007</t>
  </si>
  <si>
    <t>In 2008 purchased used camera with remaining useful life of 7 years (not depreciated over 10 years like the rest of the misc. equipment)</t>
  </si>
  <si>
    <t>Check: 1/2 Yr</t>
  </si>
  <si>
    <t>Adjusted</t>
  </si>
  <si>
    <t>USoA Acct #</t>
  </si>
  <si>
    <t>Account Description</t>
  </si>
  <si>
    <t>2007 Amort'zn</t>
  </si>
  <si>
    <t>2008 Amort'zn</t>
  </si>
  <si>
    <t>2009 Amort'zn</t>
  </si>
  <si>
    <t>on Add'ns</t>
  </si>
  <si>
    <t>Transmission Equipment</t>
  </si>
  <si>
    <t>Distribution Plant - Land</t>
  </si>
  <si>
    <t>Distribution Plant - Land Rights</t>
  </si>
  <si>
    <t>Substation Buildings &amp; Fixtures</t>
  </si>
  <si>
    <t>Transformer Station Equipment</t>
  </si>
  <si>
    <t>NB1</t>
  </si>
  <si>
    <t>NB2</t>
  </si>
  <si>
    <t>NB5</t>
  </si>
  <si>
    <t>O/H Poles, Towers &amp; Fixtures</t>
  </si>
  <si>
    <t>O/H Conductors &amp; Devices</t>
  </si>
  <si>
    <t>U/G Conduit</t>
  </si>
  <si>
    <t>U/G Conductors &amp; Devices</t>
  </si>
  <si>
    <t>1850-1</t>
  </si>
  <si>
    <t>O/H (Polemount) Transformers</t>
  </si>
  <si>
    <t>1850-2</t>
  </si>
  <si>
    <t>U/G (Padmount) Transformers</t>
  </si>
  <si>
    <t>Services</t>
  </si>
  <si>
    <t>General Plant - Land</t>
  </si>
  <si>
    <t>1908-1</t>
  </si>
  <si>
    <t>General Plant - Buildings &amp; Fixtures (office)</t>
  </si>
  <si>
    <t>1908-2</t>
  </si>
  <si>
    <t>General Plant - Buildings &amp; Fixtures (Pond St)</t>
  </si>
  <si>
    <t>Office Furniture &amp; Equipment</t>
  </si>
  <si>
    <t>Computer Hardware</t>
  </si>
  <si>
    <t>Transportation Equipment - Pre-2004</t>
  </si>
  <si>
    <t>NB3</t>
  </si>
  <si>
    <t>Passenger Vehicles</t>
  </si>
  <si>
    <t>Light Trucks &amp; Vans</t>
  </si>
  <si>
    <t>Work Platforms (Heavy Trucks)</t>
  </si>
  <si>
    <t>Trailers &amp; Other Transportation Equipment</t>
  </si>
  <si>
    <t>Truck Tools &amp; Garage Equipment</t>
  </si>
  <si>
    <t>1940-1</t>
  </si>
  <si>
    <t>Recloser Shop Tools &amp; Equipment</t>
  </si>
  <si>
    <t>Miscellaneous General Equipment</t>
  </si>
  <si>
    <t>1960-2</t>
  </si>
  <si>
    <t>Misc. Equipment - C&amp;DM</t>
  </si>
  <si>
    <t>NB4</t>
  </si>
  <si>
    <t>Load Control Equipment</t>
  </si>
  <si>
    <t>SCADA Equipment</t>
  </si>
  <si>
    <t>SCADA Computer Hardware &amp; Software</t>
  </si>
  <si>
    <t>NB6</t>
  </si>
  <si>
    <t>Amortizion</t>
  </si>
  <si>
    <t>(Audited F/S)</t>
  </si>
  <si>
    <t>Rate App</t>
  </si>
  <si>
    <t>SUBTOTAL AMORTIZATION EXPENSE</t>
  </si>
  <si>
    <t>Reconciliation of Annual Depreciation from Rate Application to Audited Financial Statements</t>
  </si>
  <si>
    <t>(NPDI sub-acct)</t>
  </si>
  <si>
    <t>Other</t>
  </si>
  <si>
    <t>Adjustments</t>
  </si>
  <si>
    <t>Miscellaneous difference</t>
  </si>
  <si>
    <t>Amortized 100% of costs to expense</t>
  </si>
  <si>
    <t>Formula error in amortization schedule when 2009 amortization was calculated - now fixed</t>
  </si>
  <si>
    <t>Buildings and Fixtures</t>
  </si>
  <si>
    <t>Transformer Station Equipment - Normally Primary above 50 kV</t>
  </si>
  <si>
    <t>Distribution Station Equipment - Normally Primary below 50 kV</t>
  </si>
  <si>
    <t>Poles, Towers and Fixtures</t>
  </si>
  <si>
    <t>Overhead Conductors and Devices</t>
  </si>
  <si>
    <t>Underground Conduit</t>
  </si>
  <si>
    <t>Underground Conductors and Devices</t>
  </si>
  <si>
    <t>Other Installations on Customer's Premises</t>
  </si>
  <si>
    <t>Office Furniture and Equipment</t>
  </si>
  <si>
    <t>Computer Equipment - Hardware</t>
  </si>
  <si>
    <t>Tools, Shop and Garage Equipment</t>
  </si>
  <si>
    <t>Measurement and Testing Equipment</t>
  </si>
  <si>
    <t>Power Operated Equipment</t>
  </si>
  <si>
    <t>Communication Equipment</t>
  </si>
  <si>
    <t xml:space="preserve">Load Management Controls - Customer Premises </t>
  </si>
  <si>
    <t>Load Management Controls - Utility Premises</t>
  </si>
  <si>
    <t>Sentinel Lighting Rentals</t>
  </si>
  <si>
    <t>Other Tangible Property</t>
  </si>
  <si>
    <t>Contributions and Grants</t>
  </si>
  <si>
    <t>Property under Capital Lease</t>
  </si>
  <si>
    <t>Amortization</t>
  </si>
  <si>
    <t>Expense</t>
  </si>
  <si>
    <t>Less: Amortization Expense Charged to Other Accounts</t>
  </si>
  <si>
    <t>NET AMORTIZATION EXPENSE</t>
  </si>
  <si>
    <t>Amortization Expense Summary</t>
  </si>
  <si>
    <t>LESS: AMORTIZATION EXPENSE ALLOCATED TO OTHER ACCOUNTS</t>
  </si>
  <si>
    <t>AMORTIZATION EXPENSE SUMMARY</t>
  </si>
  <si>
    <t>Depreciation and Amortization Expense - 2011</t>
  </si>
  <si>
    <t>Depreciation and Amortization Expense - 2007</t>
  </si>
  <si>
    <t>Depreciation and Amortization Expense - 2008</t>
  </si>
  <si>
    <t>Depreciation and Amortization Expense - 2009</t>
  </si>
  <si>
    <t>Depreciation and Amortization Expense - 2010</t>
  </si>
  <si>
    <t>LESS: Amortization Expense Reallocated to Other Accounts</t>
  </si>
  <si>
    <t>AMORTIZATION EXPENSE - RECONCILED</t>
  </si>
  <si>
    <t xml:space="preserve">In 2001, (4) utilities amalgamated to create NPDI.  NBV was used as the starting Fixed Asset value on that date and amortized over estimated remaining life of 23 years instead of 25. </t>
  </si>
  <si>
    <t xml:space="preserve">In 2001, (4) utilities amalgamated to create NPDI.  NBV was used as the starting Fixed Asset value on that date and amortized over estimated remaining life of 22 years instead of 25. </t>
  </si>
  <si>
    <t xml:space="preserve">In 2001, (4) utilities amalgamated to create NPDI.  NBV was used as the starting Fixed Asset value on that date and amortized over estimated remaining life of 10.25 years instead of 25. </t>
  </si>
  <si>
    <t xml:space="preserve">In 2001, (4) utilities amalgamated to create NPDI.  NBV was used as the starting Fixed Asset value on that date and amortized over estimated remaining life of 14.25 years instead of 25. </t>
  </si>
  <si>
    <t>As of Jan 1, 2002, buildings were to be amortized over 50 years (prior to that it was 60 years). Office building built 1982 - cumulative effect</t>
  </si>
  <si>
    <t>NPDI continued to amortize based on life of 35 years after OEB changed life of substation equipment to 30 years</t>
  </si>
  <si>
    <t>Fixed Asset Continuity Schedule (Distribution &amp; Operations)</t>
  </si>
  <si>
    <t>As at December 31, 2007</t>
  </si>
  <si>
    <t>Balance</t>
  </si>
  <si>
    <t>Total before Work in Process</t>
  </si>
  <si>
    <t>Total after Work in Process</t>
  </si>
  <si>
    <t>Less:  Fully Allocated Depreciation</t>
  </si>
  <si>
    <t>Stores &amp; Garage Tools</t>
  </si>
  <si>
    <t>Computer HW&amp;SW</t>
  </si>
  <si>
    <t>Source of Info:</t>
  </si>
  <si>
    <t>MU - 2007 Fixed Assets Schedule</t>
  </si>
  <si>
    <t>2007- OEB Mapping</t>
  </si>
  <si>
    <t>As at December 31, 2008</t>
  </si>
  <si>
    <t>WIP</t>
  </si>
  <si>
    <t>Work in Process</t>
  </si>
  <si>
    <t>1935/40</t>
  </si>
  <si>
    <t>Stores, Tools &amp; Garage Equipment</t>
  </si>
  <si>
    <t>1920/25</t>
  </si>
  <si>
    <t>Computer Hardware/Software</t>
  </si>
  <si>
    <t>As at December 31, 2009</t>
  </si>
  <si>
    <t>Computer HW &amp; SW</t>
  </si>
  <si>
    <t>As at December 31, 2010</t>
  </si>
  <si>
    <t>Comp HW&amp;SW</t>
  </si>
  <si>
    <t>As at December 31, 2011</t>
  </si>
  <si>
    <t>Comp HW &amp; SW</t>
  </si>
  <si>
    <t>Computer Software (NB2)</t>
  </si>
  <si>
    <r>
      <t xml:space="preserve">Meters </t>
    </r>
    <r>
      <rPr>
        <b/>
        <sz val="9"/>
        <rFont val="Arial"/>
        <family val="2"/>
      </rPr>
      <t>(NB1)</t>
    </r>
  </si>
  <si>
    <t>Smart Meter capital gross amount added to opening balance of Meters, January 1, 2011</t>
  </si>
  <si>
    <t>Smart Meter computer software amount (gross) added to opening balance of Computer Software, January 1, 2011</t>
  </si>
  <si>
    <t>12 / 50</t>
  </si>
  <si>
    <t>45/12/50</t>
  </si>
  <si>
    <t>12/50</t>
  </si>
  <si>
    <r>
      <t xml:space="preserve">Transformer Station Equipment - </t>
    </r>
    <r>
      <rPr>
        <sz val="8"/>
        <rFont val="Arial"/>
        <family val="2"/>
      </rPr>
      <t>Normally Primary above 50 kV</t>
    </r>
  </si>
  <si>
    <r>
      <t xml:space="preserve">Distribution Station Equipment - </t>
    </r>
    <r>
      <rPr>
        <sz val="8"/>
        <rFont val="Arial"/>
        <family val="2"/>
      </rPr>
      <t>Normally Primary below 50 kV</t>
    </r>
  </si>
  <si>
    <t>Depreciation</t>
  </si>
  <si>
    <t>4% / 6.7%</t>
  </si>
  <si>
    <r>
      <t xml:space="preserve">Smart Meters * </t>
    </r>
    <r>
      <rPr>
        <i/>
        <sz val="9"/>
        <rFont val="Arial"/>
        <family val="2"/>
      </rPr>
      <t>adjusted opening bal for 2011</t>
    </r>
  </si>
  <si>
    <t>1.6% / 2%</t>
  </si>
  <si>
    <t>various</t>
  </si>
  <si>
    <t>$54,974 in iXp pre-conversion costs (training, programming, support, etc) not amortized until iXp up and running (expect 2011) = $54,974 / 5 *0.5 = $5,497 (remaining difference $332.56 immaterial)</t>
  </si>
  <si>
    <t>NB7</t>
  </si>
  <si>
    <t>2007 ACTUAL</t>
  </si>
  <si>
    <t>2008 BOARD APPROVED</t>
  </si>
  <si>
    <t>2008 ACTUAL</t>
  </si>
  <si>
    <t>2009 ACTUAL</t>
  </si>
  <si>
    <t>2010 BRIDGE YEAR</t>
  </si>
  <si>
    <t>2011 TEST YEAR</t>
  </si>
  <si>
    <t>October 28, 2010</t>
  </si>
  <si>
    <t>3 of 10</t>
  </si>
  <si>
    <t>9 of 10</t>
  </si>
  <si>
    <t>5 of 10</t>
  </si>
  <si>
    <t>7 of 10</t>
  </si>
  <si>
    <t>10 of 10</t>
  </si>
  <si>
    <t>4 of 10, 6 of 10, 8 of 10</t>
  </si>
  <si>
    <t>1 of 10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</si>
</sst>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(#\)"/>
    <numFmt numFmtId="169" formatCode="&quot;$&quot;#,##0_);[Red]\(&quot;$&quot;#,##0\);&quot;$&quot;\ \-"/>
    <numFmt numFmtId="170" formatCode="0.0%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_-* #,##0.0_-;\-* #,##0.0_-;_-* &quot;-&quot;??_-;_-@_-"/>
    <numFmt numFmtId="174" formatCode="_-* #,##0_-;\-* #,##0_-;_-* &quot;-&quot;??_-;_-@_-"/>
    <numFmt numFmtId="175" formatCode="_-&quot;$&quot;* #,##0.0000_-;\-&quot;$&quot;* #,##0.0000_-;_-&quot;$&quot;* &quot;-&quot;??_-;_-@_-"/>
    <numFmt numFmtId="176" formatCode="_-&quot;$&quot;* #,##0.0000000_-;\-&quot;$&quot;* #,##0.0000000_-;_-&quot;$&quot;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\(#\)\l"/>
    <numFmt numFmtId="187" formatCode="0.000%"/>
    <numFmt numFmtId="188" formatCode="0.0000%"/>
    <numFmt numFmtId="189" formatCode="_-&quot;$&quot;* #,##0.000_-;\-&quot;$&quot;* #,##0.000_-;_-&quot;$&quot;* &quot;-&quot;??_-;_-@_-"/>
    <numFmt numFmtId="190" formatCode="_-&quot;$&quot;* #,##0.00000_-;\-&quot;$&quot;* #,##0.00000_-;_-&quot;$&quot;* &quot;-&quot;??_-;_-@_-"/>
    <numFmt numFmtId="191" formatCode="_-&quot;$&quot;* #,##0.000000_-;\-&quot;$&quot;* #,##0.000000_-;_-&quot;$&quot;* &quot;-&quot;??_-;_-@_-"/>
    <numFmt numFmtId="192" formatCode="[$-1009]mmmm\ d\,\ yyyy"/>
    <numFmt numFmtId="193" formatCode="[$-F800]dddd\,\ mmmm\ dd\,\ yyyy"/>
    <numFmt numFmtId="194" formatCode="_-* #,##0.0_-;\-* #,##0.0_-;_-* &quot;-&quot;?_-;_-@_-"/>
    <numFmt numFmtId="195" formatCode="#,##0;[Red]\(#,##0\)"/>
    <numFmt numFmtId="196" formatCode="_(* #,##0_);_(* \(#,##0\);_(* &quot;-&quot;??_);_(@_)"/>
    <numFmt numFmtId="197" formatCode="_-* #,##0.000000000_-;\-* #,##0.000000000_-;_-* &quot;-&quot;?????????_-;_-@_-"/>
    <numFmt numFmtId="198" formatCode="_(* #,##0.\);_(* \(#,##0.\);_(* &quot;-&quot;??_);_(@_)"/>
    <numFmt numFmtId="199" formatCode="_(* #,##0\);_(* \(#,##0\);_(* &quot;-&quot;??_);_(@_)"/>
    <numFmt numFmtId="200" formatCode="#,##0.00;[Red]\(#,##0.00\)"/>
    <numFmt numFmtId="201" formatCode="[$-409]h:mm:ss\ AM/PM"/>
    <numFmt numFmtId="202" formatCode="#,##0_);\(#,##0\)"/>
    <numFmt numFmtId="203" formatCode="_(&quot;$&quot;* #,##0.0_);_(&quot;$&quot;* \(#,##0.0\);_(&quot;$&quot;* &quot;-&quot;??_);_(@_)"/>
    <numFmt numFmtId="204" formatCode="_(&quot;$&quot;* #,##0_);_(&quot;$&quot;* \(#,##0\);_(&quot;$&quot;* &quot;-&quot;??_);_(@_)"/>
    <numFmt numFmtId="205" formatCode="&quot;$&quot;#,##0"/>
    <numFmt numFmtId="206" formatCode="&quot;$&quot;#,##0.00;[Red]&quot;$&quot;#,##0.00"/>
    <numFmt numFmtId="207" formatCode="#,##0;\(#,##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 quotePrefix="1">
      <alignment horizontal="right"/>
      <protection/>
    </xf>
    <xf numFmtId="0" fontId="0" fillId="0" borderId="0" xfId="0" applyBorder="1" applyAlignment="1" applyProtection="1" quotePrefix="1">
      <alignment/>
      <protection/>
    </xf>
    <xf numFmtId="0" fontId="6" fillId="0" borderId="12" xfId="0" applyFont="1" applyBorder="1" applyAlignment="1" applyProtection="1">
      <alignment/>
      <protection/>
    </xf>
    <xf numFmtId="168" fontId="0" fillId="4" borderId="0" xfId="0" applyNumberFormat="1" applyFill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170" fontId="0" fillId="0" borderId="13" xfId="0" applyNumberFormat="1" applyBorder="1" applyAlignment="1" applyProtection="1">
      <alignment/>
      <protection/>
    </xf>
    <xf numFmtId="9" fontId="0" fillId="0" borderId="13" xfId="0" applyNumberFormat="1" applyBorder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10" fontId="0" fillId="4" borderId="0" xfId="68" applyNumberFormat="1" applyFont="1" applyFill="1" applyBorder="1" applyAlignment="1" applyProtection="1">
      <alignment/>
      <protection/>
    </xf>
    <xf numFmtId="169" fontId="0" fillId="0" borderId="0" xfId="48" applyNumberFormat="1" applyFont="1" applyBorder="1" applyAlignment="1" applyProtection="1">
      <alignment/>
      <protection/>
    </xf>
    <xf numFmtId="10" fontId="0" fillId="4" borderId="12" xfId="68" applyNumberFormat="1" applyFont="1" applyFill="1" applyBorder="1" applyAlignment="1" applyProtection="1">
      <alignment/>
      <protection/>
    </xf>
    <xf numFmtId="169" fontId="0" fillId="0" borderId="12" xfId="48" applyNumberFormat="1" applyFont="1" applyBorder="1" applyAlignment="1" applyProtection="1">
      <alignment/>
      <protection/>
    </xf>
    <xf numFmtId="170" fontId="0" fillId="0" borderId="14" xfId="68" applyNumberFormat="1" applyFont="1" applyBorder="1" applyAlignment="1" applyProtection="1">
      <alignment/>
      <protection/>
    </xf>
    <xf numFmtId="169" fontId="0" fillId="0" borderId="14" xfId="48" applyNumberFormat="1" applyFont="1" applyBorder="1" applyAlignment="1" applyProtection="1">
      <alignment/>
      <protection/>
    </xf>
    <xf numFmtId="10" fontId="0" fillId="0" borderId="14" xfId="68" applyNumberFormat="1" applyFont="1" applyBorder="1" applyAlignment="1" applyProtection="1">
      <alignment/>
      <protection/>
    </xf>
    <xf numFmtId="170" fontId="0" fillId="0" borderId="0" xfId="68" applyNumberFormat="1" applyFont="1" applyBorder="1" applyAlignment="1" applyProtection="1">
      <alignment/>
      <protection/>
    </xf>
    <xf numFmtId="10" fontId="0" fillId="0" borderId="0" xfId="68" applyNumberFormat="1" applyFont="1" applyBorder="1" applyAlignment="1" applyProtection="1">
      <alignment/>
      <protection/>
    </xf>
    <xf numFmtId="10" fontId="0" fillId="4" borderId="0" xfId="68" applyNumberFormat="1" applyFont="1" applyFill="1" applyBorder="1" applyAlignment="1" applyProtection="1">
      <alignment/>
      <protection/>
    </xf>
    <xf numFmtId="169" fontId="0" fillId="0" borderId="0" xfId="48" applyNumberFormat="1" applyFont="1" applyBorder="1" applyAlignment="1" applyProtection="1">
      <alignment/>
      <protection/>
    </xf>
    <xf numFmtId="10" fontId="0" fillId="4" borderId="12" xfId="68" applyNumberFormat="1" applyFont="1" applyFill="1" applyBorder="1" applyAlignment="1" applyProtection="1">
      <alignment/>
      <protection/>
    </xf>
    <xf numFmtId="169" fontId="0" fillId="0" borderId="12" xfId="48" applyNumberFormat="1" applyFont="1" applyBorder="1" applyAlignment="1" applyProtection="1">
      <alignment/>
      <protection/>
    </xf>
    <xf numFmtId="169" fontId="0" fillId="4" borderId="13" xfId="48" applyNumberFormat="1" applyFont="1" applyFill="1" applyBorder="1" applyAlignment="1" applyProtection="1">
      <alignment/>
      <protection/>
    </xf>
    <xf numFmtId="10" fontId="0" fillId="0" borderId="13" xfId="68" applyNumberFormat="1" applyFont="1" applyBorder="1" applyAlignment="1" applyProtection="1">
      <alignment/>
      <protection/>
    </xf>
    <xf numFmtId="169" fontId="0" fillId="0" borderId="13" xfId="48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 quotePrefix="1">
      <alignment vertical="top"/>
    </xf>
    <xf numFmtId="0" fontId="4" fillId="0" borderId="15" xfId="0" applyFont="1" applyBorder="1" applyAlignment="1" quotePrefix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 wrapText="1"/>
    </xf>
    <xf numFmtId="170" fontId="0" fillId="0" borderId="14" xfId="68" applyNumberFormat="1" applyFont="1" applyFill="1" applyBorder="1" applyAlignment="1" applyProtection="1">
      <alignment/>
      <protection/>
    </xf>
    <xf numFmtId="170" fontId="0" fillId="0" borderId="0" xfId="68" applyNumberFormat="1" applyFont="1" applyFill="1" applyBorder="1" applyAlignment="1" applyProtection="1">
      <alignment/>
      <protection/>
    </xf>
    <xf numFmtId="10" fontId="0" fillId="0" borderId="0" xfId="68" applyNumberFormat="1" applyFont="1" applyFill="1" applyBorder="1" applyAlignment="1" applyProtection="1">
      <alignment/>
      <protection/>
    </xf>
    <xf numFmtId="10" fontId="0" fillId="0" borderId="0" xfId="68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>
      <alignment/>
    </xf>
    <xf numFmtId="0" fontId="4" fillId="0" borderId="20" xfId="0" applyFont="1" applyBorder="1" applyAlignment="1" applyProtection="1">
      <alignment/>
      <protection/>
    </xf>
    <xf numFmtId="0" fontId="0" fillId="0" borderId="21" xfId="0" applyBorder="1" applyAlignment="1">
      <alignment/>
    </xf>
    <xf numFmtId="168" fontId="0" fillId="4" borderId="0" xfId="0" applyNumberFormat="1" applyFill="1" applyBorder="1" applyAlignment="1" applyProtection="1">
      <alignment/>
      <protection locked="0"/>
    </xf>
    <xf numFmtId="168" fontId="0" fillId="0" borderId="0" xfId="0" applyNumberFormat="1" applyFill="1" applyBorder="1" applyAlignment="1" applyProtection="1">
      <alignment/>
      <protection locked="0"/>
    </xf>
    <xf numFmtId="168" fontId="0" fillId="0" borderId="0" xfId="0" applyNumberFormat="1" applyFill="1" applyBorder="1" applyAlignment="1" applyProtection="1" quotePrefix="1">
      <alignment/>
      <protection locked="0"/>
    </xf>
    <xf numFmtId="0" fontId="4" fillId="0" borderId="2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23" xfId="0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 horizontal="center"/>
      <protection/>
    </xf>
    <xf numFmtId="174" fontId="4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left"/>
    </xf>
    <xf numFmtId="15" fontId="0" fillId="0" borderId="0" xfId="0" applyNumberFormat="1" applyAlignment="1" quotePrefix="1">
      <alignment horizontal="left"/>
    </xf>
    <xf numFmtId="174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70" fontId="0" fillId="0" borderId="10" xfId="68" applyNumberFormat="1" applyFont="1" applyBorder="1" applyAlignment="1">
      <alignment horizontal="center"/>
    </xf>
    <xf numFmtId="174" fontId="0" fillId="0" borderId="0" xfId="42" applyNumberFormat="1" applyFont="1" applyAlignment="1">
      <alignment/>
    </xf>
    <xf numFmtId="174" fontId="0" fillId="0" borderId="0" xfId="0" applyNumberFormat="1" applyAlignment="1">
      <alignment/>
    </xf>
    <xf numFmtId="0" fontId="39" fillId="0" borderId="16" xfId="0" applyFont="1" applyBorder="1" applyAlignment="1">
      <alignment/>
    </xf>
    <xf numFmtId="0" fontId="29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174" fontId="0" fillId="0" borderId="16" xfId="42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174" fontId="4" fillId="0" borderId="24" xfId="42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9" fontId="4" fillId="0" borderId="24" xfId="68" applyFont="1" applyBorder="1" applyAlignment="1">
      <alignment/>
    </xf>
    <xf numFmtId="170" fontId="0" fillId="0" borderId="16" xfId="68" applyNumberFormat="1" applyFont="1" applyBorder="1" applyAlignment="1">
      <alignment horizontal="center"/>
    </xf>
    <xf numFmtId="0" fontId="0" fillId="0" borderId="26" xfId="42" applyNumberFormat="1" applyFont="1" applyBorder="1" applyAlignment="1">
      <alignment/>
    </xf>
    <xf numFmtId="174" fontId="0" fillId="0" borderId="26" xfId="42" applyNumberFormat="1" applyFont="1" applyBorder="1" applyAlignment="1">
      <alignment/>
    </xf>
    <xf numFmtId="174" fontId="0" fillId="0" borderId="17" xfId="42" applyNumberFormat="1" applyFont="1" applyBorder="1" applyAlignment="1">
      <alignment/>
    </xf>
    <xf numFmtId="174" fontId="4" fillId="0" borderId="27" xfId="42" applyNumberFormat="1" applyFont="1" applyBorder="1" applyAlignment="1">
      <alignment/>
    </xf>
    <xf numFmtId="174" fontId="4" fillId="0" borderId="16" xfId="42" applyNumberFormat="1" applyFont="1" applyBorder="1" applyAlignment="1">
      <alignment horizontal="center" wrapText="1"/>
    </xf>
    <xf numFmtId="174" fontId="4" fillId="0" borderId="15" xfId="42" applyNumberFormat="1" applyFont="1" applyBorder="1" applyAlignment="1">
      <alignment horizontal="center" wrapText="1"/>
    </xf>
    <xf numFmtId="174" fontId="4" fillId="0" borderId="25" xfId="42" applyNumberFormat="1" applyFont="1" applyBorder="1" applyAlignment="1">
      <alignment/>
    </xf>
    <xf numFmtId="195" fontId="4" fillId="0" borderId="10" xfId="0" applyNumberFormat="1" applyFont="1" applyBorder="1" applyAlignment="1">
      <alignment horizontal="right"/>
    </xf>
    <xf numFmtId="174" fontId="0" fillId="0" borderId="0" xfId="42" applyNumberFormat="1" applyFont="1" applyAlignment="1">
      <alignment/>
    </xf>
    <xf numFmtId="0" fontId="0" fillId="0" borderId="16" xfId="0" applyBorder="1" applyAlignment="1">
      <alignment/>
    </xf>
    <xf numFmtId="43" fontId="0" fillId="0" borderId="0" xfId="0" applyNumberFormat="1" applyAlignment="1">
      <alignment/>
    </xf>
    <xf numFmtId="170" fontId="4" fillId="0" borderId="24" xfId="68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 quotePrefix="1">
      <alignment horizontal="center"/>
    </xf>
    <xf numFmtId="0" fontId="4" fillId="0" borderId="16" xfId="0" applyFont="1" applyBorder="1" applyAlignment="1">
      <alignment horizontal="center" wrapText="1"/>
    </xf>
    <xf numFmtId="0" fontId="30" fillId="0" borderId="0" xfId="0" applyFont="1" applyAlignment="1">
      <alignment/>
    </xf>
    <xf numFmtId="174" fontId="4" fillId="0" borderId="25" xfId="42" applyNumberFormat="1" applyFont="1" applyBorder="1" applyAlignment="1">
      <alignment horizontal="center"/>
    </xf>
    <xf numFmtId="174" fontId="4" fillId="0" borderId="0" xfId="42" applyNumberFormat="1" applyFont="1" applyBorder="1" applyAlignment="1">
      <alignment/>
    </xf>
    <xf numFmtId="195" fontId="4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174" fontId="0" fillId="0" borderId="10" xfId="42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174" fontId="4" fillId="0" borderId="28" xfId="42" applyNumberFormat="1" applyFont="1" applyBorder="1" applyAlignment="1">
      <alignment/>
    </xf>
    <xf numFmtId="49" fontId="4" fillId="0" borderId="10" xfId="42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174" fontId="28" fillId="0" borderId="0" xfId="42" applyNumberFormat="1" applyFont="1" applyAlignment="1">
      <alignment/>
    </xf>
    <xf numFmtId="0" fontId="28" fillId="0" borderId="0" xfId="0" applyFont="1" applyAlignment="1">
      <alignment horizontal="left"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174" fontId="0" fillId="0" borderId="10" xfId="42" applyNumberFormat="1" applyFont="1" applyFill="1" applyBorder="1" applyAlignment="1">
      <alignment/>
    </xf>
    <xf numFmtId="183" fontId="0" fillId="0" borderId="0" xfId="0" applyNumberForma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24" borderId="16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24" borderId="15" xfId="0" applyFont="1" applyFill="1" applyBorder="1" applyAlignment="1">
      <alignment horizontal="left"/>
    </xf>
    <xf numFmtId="0" fontId="4" fillId="24" borderId="15" xfId="0" applyFont="1" applyFill="1" applyBorder="1" applyAlignment="1">
      <alignment/>
    </xf>
    <xf numFmtId="0" fontId="4" fillId="0" borderId="26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6" fillId="0" borderId="0" xfId="0" applyFont="1" applyAlignment="1">
      <alignment horizontal="centerContinuous"/>
    </xf>
    <xf numFmtId="0" fontId="37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44" fontId="0" fillId="0" borderId="0" xfId="48" applyFont="1" applyAlignment="1">
      <alignment/>
    </xf>
    <xf numFmtId="44" fontId="31" fillId="0" borderId="0" xfId="48" applyFont="1" applyBorder="1" applyAlignment="1">
      <alignment/>
    </xf>
    <xf numFmtId="0" fontId="4" fillId="0" borderId="0" xfId="0" applyFont="1" applyAlignment="1">
      <alignment horizontal="center"/>
    </xf>
    <xf numFmtId="196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99" fontId="0" fillId="0" borderId="10" xfId="42" applyNumberFormat="1" applyFont="1" applyBorder="1" applyAlignment="1">
      <alignment/>
    </xf>
    <xf numFmtId="0" fontId="7" fillId="0" borderId="0" xfId="0" applyFont="1" applyAlignment="1">
      <alignment/>
    </xf>
    <xf numFmtId="196" fontId="0" fillId="0" borderId="10" xfId="42" applyNumberFormat="1" applyFont="1" applyBorder="1" applyAlignment="1">
      <alignment/>
    </xf>
    <xf numFmtId="196" fontId="0" fillId="0" borderId="16" xfId="42" applyNumberFormat="1" applyFont="1" applyBorder="1" applyAlignment="1">
      <alignment/>
    </xf>
    <xf numFmtId="196" fontId="4" fillId="0" borderId="30" xfId="42" applyNumberFormat="1" applyFont="1" applyBorder="1" applyAlignment="1">
      <alignment/>
    </xf>
    <xf numFmtId="0" fontId="8" fillId="25" borderId="0" xfId="0" applyFont="1" applyFill="1" applyAlignment="1">
      <alignment horizontal="centerContinuous"/>
    </xf>
    <xf numFmtId="0" fontId="27" fillId="25" borderId="0" xfId="0" applyFont="1" applyFill="1" applyAlignment="1">
      <alignment horizontal="centerContinuous"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0" fontId="0" fillId="25" borderId="11" xfId="0" applyFill="1" applyBorder="1" applyAlignment="1">
      <alignment horizontal="center"/>
    </xf>
    <xf numFmtId="196" fontId="0" fillId="25" borderId="0" xfId="0" applyNumberFormat="1" applyFill="1" applyAlignment="1">
      <alignment/>
    </xf>
    <xf numFmtId="196" fontId="0" fillId="25" borderId="0" xfId="0" applyNumberFormat="1" applyFill="1" applyBorder="1" applyAlignment="1">
      <alignment/>
    </xf>
    <xf numFmtId="196" fontId="4" fillId="25" borderId="26" xfId="0" applyNumberFormat="1" applyFont="1" applyFill="1" applyBorder="1" applyAlignment="1">
      <alignment/>
    </xf>
    <xf numFmtId="196" fontId="4" fillId="25" borderId="29" xfId="0" applyNumberFormat="1" applyFont="1" applyFill="1" applyBorder="1" applyAlignment="1">
      <alignment/>
    </xf>
    <xf numFmtId="196" fontId="0" fillId="25" borderId="0" xfId="0" applyNumberFormat="1" applyFill="1" applyBorder="1" applyAlignment="1">
      <alignment horizontal="center"/>
    </xf>
    <xf numFmtId="196" fontId="4" fillId="25" borderId="0" xfId="0" applyNumberFormat="1" applyFont="1" applyFill="1" applyBorder="1" applyAlignment="1">
      <alignment/>
    </xf>
    <xf numFmtId="196" fontId="0" fillId="25" borderId="0" xfId="0" applyNumberFormat="1" applyFont="1" applyFill="1" applyAlignment="1">
      <alignment/>
    </xf>
    <xf numFmtId="0" fontId="0" fillId="25" borderId="0" xfId="0" applyFill="1" applyBorder="1" applyAlignment="1">
      <alignment horizontal="center"/>
    </xf>
    <xf numFmtId="0" fontId="4" fillId="25" borderId="26" xfId="0" applyFont="1" applyFill="1" applyBorder="1" applyAlignment="1">
      <alignment horizontal="left"/>
    </xf>
    <xf numFmtId="0" fontId="4" fillId="25" borderId="29" xfId="0" applyFont="1" applyFill="1" applyBorder="1" applyAlignment="1">
      <alignment/>
    </xf>
    <xf numFmtId="0" fontId="0" fillId="4" borderId="10" xfId="0" applyFill="1" applyBorder="1" applyAlignment="1">
      <alignment horizontal="center"/>
    </xf>
    <xf numFmtId="196" fontId="0" fillId="0" borderId="10" xfId="0" applyNumberFormat="1" applyFont="1" applyBorder="1" applyAlignment="1">
      <alignment/>
    </xf>
    <xf numFmtId="0" fontId="0" fillId="4" borderId="16" xfId="0" applyFill="1" applyBorder="1" applyAlignment="1">
      <alignment horizontal="center"/>
    </xf>
    <xf numFmtId="0" fontId="0" fillId="0" borderId="0" xfId="65">
      <alignment/>
      <protection/>
    </xf>
    <xf numFmtId="196" fontId="4" fillId="0" borderId="0" xfId="65" applyNumberFormat="1" applyFont="1" applyAlignment="1">
      <alignment/>
      <protection/>
    </xf>
    <xf numFmtId="196" fontId="4" fillId="0" borderId="0" xfId="65" applyNumberFormat="1" applyFont="1" applyBorder="1" applyAlignment="1">
      <alignment horizontal="right"/>
      <protection/>
    </xf>
    <xf numFmtId="196" fontId="0" fillId="0" borderId="0" xfId="65" applyNumberFormat="1" applyFont="1" applyBorder="1">
      <alignment/>
      <protection/>
    </xf>
    <xf numFmtId="196" fontId="4" fillId="0" borderId="0" xfId="65" applyNumberFormat="1" applyFont="1" applyBorder="1">
      <alignment/>
      <protection/>
    </xf>
    <xf numFmtId="196" fontId="0" fillId="0" borderId="0" xfId="65" applyNumberFormat="1" applyFont="1">
      <alignment/>
      <protection/>
    </xf>
    <xf numFmtId="196" fontId="32" fillId="0" borderId="0" xfId="65" applyNumberFormat="1" applyFont="1" applyFill="1" applyBorder="1" applyAlignment="1">
      <alignment horizontal="center"/>
      <protection/>
    </xf>
    <xf numFmtId="0" fontId="0" fillId="0" borderId="0" xfId="65" applyAlignment="1">
      <alignment horizontal="center"/>
      <protection/>
    </xf>
    <xf numFmtId="196" fontId="0" fillId="0" borderId="0" xfId="65" applyNumberFormat="1" applyFont="1" applyAlignment="1">
      <alignment horizontal="center"/>
      <protection/>
    </xf>
    <xf numFmtId="196" fontId="4" fillId="0" borderId="0" xfId="65" applyNumberFormat="1" applyFont="1">
      <alignment/>
      <protection/>
    </xf>
    <xf numFmtId="195" fontId="0" fillId="0" borderId="0" xfId="65" applyNumberFormat="1" applyFont="1" applyBorder="1" applyAlignment="1">
      <alignment horizontal="right"/>
      <protection/>
    </xf>
    <xf numFmtId="0" fontId="0" fillId="4" borderId="10" xfId="65" applyFill="1" applyBorder="1" applyAlignment="1">
      <alignment horizontal="center"/>
      <protection/>
    </xf>
    <xf numFmtId="0" fontId="0" fillId="0" borderId="10" xfId="65" applyFont="1" applyBorder="1" applyAlignment="1">
      <alignment horizontal="center"/>
      <protection/>
    </xf>
    <xf numFmtId="196" fontId="0" fillId="0" borderId="10" xfId="65" applyNumberFormat="1" applyFont="1" applyBorder="1">
      <alignment/>
      <protection/>
    </xf>
    <xf numFmtId="195" fontId="0" fillId="22" borderId="10" xfId="65" applyNumberFormat="1" applyFont="1" applyFill="1" applyBorder="1" applyAlignment="1">
      <alignment horizontal="right"/>
      <protection/>
    </xf>
    <xf numFmtId="195" fontId="0" fillId="0" borderId="10" xfId="65" applyNumberFormat="1" applyFont="1" applyBorder="1" applyAlignment="1">
      <alignment horizontal="right"/>
      <protection/>
    </xf>
    <xf numFmtId="0" fontId="4" fillId="0" borderId="0" xfId="65" applyFont="1" applyAlignment="1" quotePrefix="1">
      <alignment horizontal="left"/>
      <protection/>
    </xf>
    <xf numFmtId="2" fontId="0" fillId="0" borderId="0" xfId="65" applyNumberFormat="1">
      <alignment/>
      <protection/>
    </xf>
    <xf numFmtId="196" fontId="0" fillId="0" borderId="10" xfId="65" applyNumberFormat="1" applyFont="1" applyBorder="1" applyAlignment="1">
      <alignment horizontal="center"/>
      <protection/>
    </xf>
    <xf numFmtId="196" fontId="4" fillId="0" borderId="10" xfId="65" applyNumberFormat="1" applyFont="1" applyBorder="1" applyAlignment="1">
      <alignment horizontal="center"/>
      <protection/>
    </xf>
    <xf numFmtId="195" fontId="4" fillId="0" borderId="10" xfId="65" applyNumberFormat="1" applyFont="1" applyBorder="1" applyAlignment="1">
      <alignment horizontal="right"/>
      <protection/>
    </xf>
    <xf numFmtId="195" fontId="0" fillId="22" borderId="0" xfId="65" applyNumberFormat="1" applyFont="1" applyFill="1" applyBorder="1" applyAlignment="1">
      <alignment horizontal="right"/>
      <protection/>
    </xf>
    <xf numFmtId="195" fontId="0" fillId="0" borderId="14" xfId="65" applyNumberFormat="1" applyFont="1" applyBorder="1" applyAlignment="1">
      <alignment horizontal="right"/>
      <protection/>
    </xf>
    <xf numFmtId="196" fontId="0" fillId="0" borderId="0" xfId="65" applyNumberFormat="1" applyFont="1" applyBorder="1" applyAlignment="1">
      <alignment horizontal="right"/>
      <protection/>
    </xf>
    <xf numFmtId="0" fontId="0" fillId="0" borderId="31" xfId="65" applyBorder="1" applyAlignment="1">
      <alignment horizontal="center"/>
      <protection/>
    </xf>
    <xf numFmtId="196" fontId="0" fillId="0" borderId="32" xfId="65" applyNumberFormat="1" applyFont="1" applyBorder="1" applyAlignment="1">
      <alignment horizontal="center"/>
      <protection/>
    </xf>
    <xf numFmtId="196" fontId="0" fillId="0" borderId="32" xfId="65" applyNumberFormat="1" applyFont="1" applyBorder="1">
      <alignment/>
      <protection/>
    </xf>
    <xf numFmtId="196" fontId="4" fillId="0" borderId="32" xfId="65" applyNumberFormat="1" applyFont="1" applyBorder="1" applyAlignment="1">
      <alignment horizontal="right"/>
      <protection/>
    </xf>
    <xf numFmtId="196" fontId="4" fillId="0" borderId="32" xfId="65" applyNumberFormat="1" applyFont="1" applyBorder="1">
      <alignment/>
      <protection/>
    </xf>
    <xf numFmtId="196" fontId="0" fillId="0" borderId="33" xfId="65" applyNumberFormat="1" applyFont="1" applyBorder="1">
      <alignment/>
      <protection/>
    </xf>
    <xf numFmtId="0" fontId="0" fillId="0" borderId="0" xfId="65" applyAlignment="1" quotePrefix="1">
      <alignment horizontal="left"/>
      <protection/>
    </xf>
    <xf numFmtId="0" fontId="0" fillId="0" borderId="0" xfId="65" applyAlignment="1">
      <alignment horizontal="left"/>
      <protection/>
    </xf>
    <xf numFmtId="196" fontId="4" fillId="0" borderId="0" xfId="65" applyNumberFormat="1" applyFont="1" applyFill="1" applyBorder="1" applyAlignment="1">
      <alignment horizontal="right"/>
      <protection/>
    </xf>
    <xf numFmtId="0" fontId="0" fillId="0" borderId="0" xfId="65" applyAlignment="1">
      <alignment wrapText="1"/>
      <protection/>
    </xf>
    <xf numFmtId="0" fontId="0" fillId="0" borderId="10" xfId="65" applyFont="1" applyBorder="1" applyAlignment="1">
      <alignment horizontal="left"/>
      <protection/>
    </xf>
    <xf numFmtId="195" fontId="0" fillId="0" borderId="10" xfId="65" applyNumberFormat="1" applyFont="1" applyFill="1" applyBorder="1" applyAlignment="1">
      <alignment horizontal="right"/>
      <protection/>
    </xf>
    <xf numFmtId="0" fontId="0" fillId="0" borderId="10" xfId="65" applyFont="1" applyBorder="1" applyAlignment="1" quotePrefix="1">
      <alignment horizontal="left"/>
      <protection/>
    </xf>
    <xf numFmtId="195" fontId="4" fillId="0" borderId="10" xfId="65" applyNumberFormat="1" applyFont="1" applyFill="1" applyBorder="1" applyAlignment="1">
      <alignment horizontal="right"/>
      <protection/>
    </xf>
    <xf numFmtId="0" fontId="0" fillId="0" borderId="0" xfId="65" applyFill="1">
      <alignment/>
      <protection/>
    </xf>
    <xf numFmtId="196" fontId="0" fillId="0" borderId="0" xfId="65" applyNumberFormat="1" applyFont="1" applyFill="1" applyBorder="1" applyAlignment="1">
      <alignment horizontal="right"/>
      <protection/>
    </xf>
    <xf numFmtId="196" fontId="0" fillId="0" borderId="0" xfId="65" applyNumberFormat="1" applyFont="1" applyFill="1">
      <alignment/>
      <protection/>
    </xf>
    <xf numFmtId="195" fontId="0" fillId="0" borderId="10" xfId="65" applyNumberFormat="1" applyFont="1" applyBorder="1">
      <alignment/>
      <protection/>
    </xf>
    <xf numFmtId="195" fontId="0" fillId="0" borderId="10" xfId="65" applyNumberFormat="1" applyFont="1" applyBorder="1" applyAlignment="1">
      <alignment/>
      <protection/>
    </xf>
    <xf numFmtId="195" fontId="0" fillId="0" borderId="10" xfId="65" applyNumberFormat="1" applyFont="1" applyBorder="1" applyAlignment="1">
      <alignment horizontal="left"/>
      <protection/>
    </xf>
    <xf numFmtId="195" fontId="4" fillId="0" borderId="10" xfId="65" applyNumberFormat="1" applyFont="1" applyBorder="1" applyAlignment="1">
      <alignment horizontal="center"/>
      <protection/>
    </xf>
    <xf numFmtId="196" fontId="4" fillId="0" borderId="0" xfId="65" applyNumberFormat="1" applyFont="1" applyFill="1" applyBorder="1">
      <alignment/>
      <protection/>
    </xf>
    <xf numFmtId="195" fontId="0" fillId="22" borderId="10" xfId="65" applyNumberFormat="1" applyFont="1" applyFill="1" applyBorder="1" applyAlignment="1">
      <alignment horizontal="center"/>
      <protection/>
    </xf>
    <xf numFmtId="196" fontId="3" fillId="0" borderId="10" xfId="65" applyNumberFormat="1" applyFont="1" applyBorder="1">
      <alignment/>
      <protection/>
    </xf>
    <xf numFmtId="196" fontId="30" fillId="0" borderId="10" xfId="65" applyNumberFormat="1" applyFont="1" applyBorder="1">
      <alignment/>
      <protection/>
    </xf>
    <xf numFmtId="0" fontId="0" fillId="0" borderId="0" xfId="65" applyBorder="1" applyAlignment="1">
      <alignment wrapText="1"/>
      <protection/>
    </xf>
    <xf numFmtId="0" fontId="0" fillId="4" borderId="10" xfId="65" applyFill="1" applyBorder="1" applyAlignment="1" quotePrefix="1">
      <alignment horizontal="center"/>
      <protection/>
    </xf>
    <xf numFmtId="0" fontId="30" fillId="4" borderId="10" xfId="0" applyFont="1" applyFill="1" applyBorder="1" applyAlignment="1" quotePrefix="1">
      <alignment horizontal="center"/>
    </xf>
    <xf numFmtId="0" fontId="30" fillId="0" borderId="10" xfId="0" applyFont="1" applyBorder="1" applyAlignment="1">
      <alignment horizontal="center"/>
    </xf>
    <xf numFmtId="170" fontId="0" fillId="0" borderId="10" xfId="68" applyNumberFormat="1" applyFont="1" applyBorder="1" applyAlignment="1">
      <alignment horizontal="center"/>
    </xf>
    <xf numFmtId="170" fontId="4" fillId="0" borderId="10" xfId="68" applyNumberFormat="1" applyFont="1" applyBorder="1" applyAlignment="1">
      <alignment horizontal="center"/>
    </xf>
    <xf numFmtId="170" fontId="0" fillId="0" borderId="10" xfId="68" applyNumberFormat="1" applyFont="1" applyBorder="1" applyAlignment="1" quotePrefix="1">
      <alignment horizontal="center"/>
    </xf>
    <xf numFmtId="195" fontId="0" fillId="0" borderId="10" xfId="65" applyNumberFormat="1" applyFont="1" applyFill="1" applyBorder="1" applyAlignment="1">
      <alignment/>
      <protection/>
    </xf>
    <xf numFmtId="196" fontId="0" fillId="25" borderId="0" xfId="65" applyNumberFormat="1" applyFont="1" applyFill="1" applyAlignment="1">
      <alignment horizontal="center"/>
      <protection/>
    </xf>
    <xf numFmtId="196" fontId="0" fillId="25" borderId="0" xfId="65" applyNumberFormat="1" applyFont="1" applyFill="1">
      <alignment/>
      <protection/>
    </xf>
    <xf numFmtId="195" fontId="0" fillId="25" borderId="0" xfId="65" applyNumberFormat="1" applyFont="1" applyFill="1" applyBorder="1" applyAlignment="1">
      <alignment horizontal="right"/>
      <protection/>
    </xf>
    <xf numFmtId="195" fontId="0" fillId="25" borderId="0" xfId="65" applyNumberFormat="1" applyFont="1" applyFill="1" applyBorder="1">
      <alignment/>
      <protection/>
    </xf>
    <xf numFmtId="0" fontId="0" fillId="25" borderId="10" xfId="0" applyFont="1" applyFill="1" applyBorder="1" applyAlignment="1">
      <alignment horizontal="center"/>
    </xf>
    <xf numFmtId="196" fontId="0" fillId="25" borderId="10" xfId="0" applyNumberFormat="1" applyFont="1" applyFill="1" applyBorder="1" applyAlignment="1">
      <alignment/>
    </xf>
    <xf numFmtId="196" fontId="0" fillId="25" borderId="0" xfId="0" applyNumberFormat="1" applyFont="1" applyFill="1" applyBorder="1" applyAlignment="1">
      <alignment/>
    </xf>
    <xf numFmtId="0" fontId="30" fillId="25" borderId="10" xfId="0" applyFont="1" applyFill="1" applyBorder="1" applyAlignment="1">
      <alignment horizontal="center"/>
    </xf>
    <xf numFmtId="195" fontId="3" fillId="25" borderId="0" xfId="65" applyNumberFormat="1" applyFont="1" applyFill="1" applyBorder="1">
      <alignment/>
      <protection/>
    </xf>
    <xf numFmtId="195" fontId="0" fillId="25" borderId="0" xfId="65" applyNumberFormat="1" applyFill="1">
      <alignment/>
      <protection/>
    </xf>
    <xf numFmtId="0" fontId="0" fillId="25" borderId="0" xfId="65" applyFill="1">
      <alignment/>
      <protection/>
    </xf>
    <xf numFmtId="195" fontId="0" fillId="25" borderId="14" xfId="65" applyNumberFormat="1" applyFont="1" applyFill="1" applyBorder="1" applyAlignment="1">
      <alignment horizontal="right"/>
      <protection/>
    </xf>
    <xf numFmtId="0" fontId="0" fillId="25" borderId="0" xfId="65" applyFill="1" applyBorder="1" applyAlignment="1">
      <alignment horizontal="center"/>
      <protection/>
    </xf>
    <xf numFmtId="0" fontId="0" fillId="25" borderId="0" xfId="65" applyFill="1" applyAlignment="1">
      <alignment horizontal="center"/>
      <protection/>
    </xf>
    <xf numFmtId="196" fontId="4" fillId="25" borderId="0" xfId="65" applyNumberFormat="1" applyFont="1" applyFill="1">
      <alignment/>
      <protection/>
    </xf>
    <xf numFmtId="196" fontId="4" fillId="25" borderId="0" xfId="65" applyNumberFormat="1" applyFont="1" applyFill="1" applyBorder="1">
      <alignment/>
      <protection/>
    </xf>
    <xf numFmtId="196" fontId="0" fillId="25" borderId="0" xfId="65" applyNumberFormat="1" applyFont="1" applyFill="1" applyBorder="1">
      <alignment/>
      <protection/>
    </xf>
    <xf numFmtId="0" fontId="0" fillId="25" borderId="0" xfId="65" applyFill="1" applyAlignment="1">
      <alignment wrapText="1"/>
      <protection/>
    </xf>
    <xf numFmtId="200" fontId="0" fillId="25" borderId="0" xfId="65" applyNumberFormat="1" applyFill="1">
      <alignment/>
      <protection/>
    </xf>
    <xf numFmtId="2" fontId="0" fillId="25" borderId="0" xfId="65" applyNumberFormat="1" applyFill="1">
      <alignment/>
      <protection/>
    </xf>
    <xf numFmtId="195" fontId="3" fillId="25" borderId="0" xfId="65" applyNumberFormat="1" applyFont="1" applyFill="1" applyBorder="1" applyAlignment="1">
      <alignment horizontal="left"/>
      <protection/>
    </xf>
    <xf numFmtId="43" fontId="0" fillId="25" borderId="0" xfId="45" applyFont="1" applyFill="1" applyAlignment="1">
      <alignment/>
    </xf>
    <xf numFmtId="184" fontId="0" fillId="25" borderId="0" xfId="65" applyNumberFormat="1" applyFill="1">
      <alignment/>
      <protection/>
    </xf>
    <xf numFmtId="195" fontId="33" fillId="25" borderId="0" xfId="65" applyNumberFormat="1" applyFont="1" applyFill="1" applyBorder="1" applyAlignment="1">
      <alignment horizontal="center"/>
      <protection/>
    </xf>
    <xf numFmtId="196" fontId="0" fillId="25" borderId="0" xfId="65" applyNumberFormat="1" applyFont="1" applyFill="1" applyBorder="1" applyAlignment="1">
      <alignment horizontal="right"/>
      <protection/>
    </xf>
    <xf numFmtId="0" fontId="0" fillId="25" borderId="0" xfId="65" applyFill="1" applyBorder="1" applyAlignment="1">
      <alignment wrapText="1"/>
      <protection/>
    </xf>
    <xf numFmtId="43" fontId="0" fillId="25" borderId="0" xfId="45" applyFill="1" applyAlignment="1">
      <alignment/>
    </xf>
    <xf numFmtId="202" fontId="0" fillId="25" borderId="11" xfId="0" applyNumberFormat="1" applyFill="1" applyBorder="1" applyAlignment="1">
      <alignment/>
    </xf>
    <xf numFmtId="202" fontId="0" fillId="25" borderId="0" xfId="0" applyNumberFormat="1" applyFill="1" applyAlignment="1">
      <alignment/>
    </xf>
    <xf numFmtId="202" fontId="0" fillId="25" borderId="11" xfId="42" applyNumberFormat="1" applyFont="1" applyFill="1" applyBorder="1" applyAlignment="1">
      <alignment/>
    </xf>
    <xf numFmtId="202" fontId="0" fillId="25" borderId="0" xfId="42" applyNumberFormat="1" applyFont="1" applyFill="1" applyAlignment="1">
      <alignment/>
    </xf>
    <xf numFmtId="202" fontId="0" fillId="25" borderId="15" xfId="42" applyNumberFormat="1" applyFont="1" applyFill="1" applyBorder="1" applyAlignment="1">
      <alignment/>
    </xf>
    <xf numFmtId="202" fontId="0" fillId="25" borderId="12" xfId="42" applyNumberFormat="1" applyFont="1" applyFill="1" applyBorder="1" applyAlignment="1">
      <alignment/>
    </xf>
    <xf numFmtId="202" fontId="4" fillId="25" borderId="29" xfId="42" applyNumberFormat="1" applyFont="1" applyFill="1" applyBorder="1" applyAlignment="1">
      <alignment/>
    </xf>
    <xf numFmtId="202" fontId="4" fillId="25" borderId="10" xfId="42" applyNumberFormat="1" applyFont="1" applyFill="1" applyBorder="1" applyAlignment="1">
      <alignment/>
    </xf>
    <xf numFmtId="202" fontId="4" fillId="25" borderId="34" xfId="42" applyNumberFormat="1" applyFont="1" applyFill="1" applyBorder="1" applyAlignment="1">
      <alignment/>
    </xf>
    <xf numFmtId="202" fontId="4" fillId="25" borderId="29" xfId="0" applyNumberFormat="1" applyFont="1" applyFill="1" applyBorder="1" applyAlignment="1">
      <alignment/>
    </xf>
    <xf numFmtId="202" fontId="4" fillId="25" borderId="10" xfId="0" applyNumberFormat="1" applyFont="1" applyFill="1" applyBorder="1" applyAlignment="1">
      <alignment/>
    </xf>
    <xf numFmtId="202" fontId="4" fillId="25" borderId="34" xfId="0" applyNumberFormat="1" applyFont="1" applyFill="1" applyBorder="1" applyAlignment="1">
      <alignment/>
    </xf>
    <xf numFmtId="202" fontId="0" fillId="0" borderId="10" xfId="0" applyNumberFormat="1" applyBorder="1" applyAlignment="1">
      <alignment/>
    </xf>
    <xf numFmtId="202" fontId="4" fillId="24" borderId="10" xfId="0" applyNumberFormat="1" applyFont="1" applyFill="1" applyBorder="1" applyAlignment="1">
      <alignment/>
    </xf>
    <xf numFmtId="202" fontId="4" fillId="0" borderId="29" xfId="0" applyNumberFormat="1" applyFont="1" applyBorder="1" applyAlignment="1">
      <alignment/>
    </xf>
    <xf numFmtId="202" fontId="4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4" fillId="0" borderId="18" xfId="0" applyFont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4" fillId="26" borderId="16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wrapText="1"/>
    </xf>
    <xf numFmtId="0" fontId="0" fillId="26" borderId="16" xfId="0" applyFill="1" applyBorder="1" applyAlignment="1">
      <alignment/>
    </xf>
    <xf numFmtId="0" fontId="4" fillId="26" borderId="15" xfId="0" applyFont="1" applyFill="1" applyBorder="1" applyAlignment="1" quotePrefix="1">
      <alignment horizontal="center"/>
    </xf>
    <xf numFmtId="0" fontId="4" fillId="26" borderId="15" xfId="0" applyFont="1" applyFill="1" applyBorder="1" applyAlignment="1" quotePrefix="1">
      <alignment horizontal="center" wrapText="1"/>
    </xf>
    <xf numFmtId="0" fontId="4" fillId="26" borderId="15" xfId="0" applyFont="1" applyFill="1" applyBorder="1" applyAlignment="1">
      <alignment horizontal="center" wrapText="1"/>
    </xf>
    <xf numFmtId="0" fontId="4" fillId="26" borderId="15" xfId="0" applyFont="1" applyFill="1" applyBorder="1" applyAlignment="1">
      <alignment horizontal="center"/>
    </xf>
    <xf numFmtId="174" fontId="4" fillId="26" borderId="16" xfId="42" applyNumberFormat="1" applyFont="1" applyFill="1" applyBorder="1" applyAlignment="1">
      <alignment horizontal="center" wrapText="1"/>
    </xf>
    <xf numFmtId="0" fontId="40" fillId="26" borderId="16" xfId="0" applyFont="1" applyFill="1" applyBorder="1" applyAlignment="1">
      <alignment/>
    </xf>
    <xf numFmtId="174" fontId="4" fillId="26" borderId="15" xfId="42" applyNumberFormat="1" applyFont="1" applyFill="1" applyBorder="1" applyAlignment="1">
      <alignment horizontal="center" wrapText="1"/>
    </xf>
    <xf numFmtId="195" fontId="4" fillId="26" borderId="16" xfId="65" applyNumberFormat="1" applyFont="1" applyFill="1" applyBorder="1" applyAlignment="1">
      <alignment horizontal="center" wrapText="1"/>
      <protection/>
    </xf>
    <xf numFmtId="195" fontId="4" fillId="26" borderId="15" xfId="65" applyNumberFormat="1" applyFont="1" applyFill="1" applyBorder="1" applyAlignment="1">
      <alignment horizontal="center" wrapText="1"/>
      <protection/>
    </xf>
    <xf numFmtId="0" fontId="4" fillId="26" borderId="16" xfId="65" applyFont="1" applyFill="1" applyBorder="1" applyAlignment="1">
      <alignment horizontal="center" wrapText="1"/>
      <protection/>
    </xf>
    <xf numFmtId="0" fontId="4" fillId="26" borderId="15" xfId="65" applyFont="1" applyFill="1" applyBorder="1" applyAlignment="1">
      <alignment horizontal="center" wrapText="1"/>
      <protection/>
    </xf>
    <xf numFmtId="207" fontId="0" fillId="0" borderId="10" xfId="65" applyNumberFormat="1" applyFont="1" applyBorder="1" applyAlignment="1">
      <alignment/>
      <protection/>
    </xf>
    <xf numFmtId="207" fontId="0" fillId="22" borderId="10" xfId="65" applyNumberFormat="1" applyFont="1" applyFill="1" applyBorder="1" applyAlignment="1">
      <alignment horizontal="right"/>
      <protection/>
    </xf>
    <xf numFmtId="207" fontId="0" fillId="0" borderId="10" xfId="65" applyNumberFormat="1" applyFont="1" applyBorder="1" applyAlignment="1">
      <alignment horizontal="right"/>
      <protection/>
    </xf>
    <xf numFmtId="207" fontId="0" fillId="0" borderId="10" xfId="65" applyNumberFormat="1" applyFont="1" applyFill="1" applyBorder="1" applyAlignment="1">
      <alignment horizontal="right"/>
      <protection/>
    </xf>
    <xf numFmtId="0" fontId="0" fillId="0" borderId="0" xfId="65" applyFill="1" applyBorder="1">
      <alignment/>
      <protection/>
    </xf>
    <xf numFmtId="0" fontId="0" fillId="0" borderId="0" xfId="65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193" fontId="3" fillId="0" borderId="0" xfId="65" applyNumberFormat="1" applyFont="1" applyFill="1" applyBorder="1" applyAlignment="1">
      <alignment horizontal="left"/>
      <protection/>
    </xf>
    <xf numFmtId="0" fontId="0" fillId="0" borderId="0" xfId="65" applyFill="1" applyBorder="1" applyAlignment="1">
      <alignment vertical="center" wrapText="1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0" fontId="4" fillId="0" borderId="0" xfId="65" applyFont="1" applyFill="1" applyBorder="1">
      <alignment/>
      <protection/>
    </xf>
    <xf numFmtId="174" fontId="0" fillId="0" borderId="0" xfId="45" applyNumberFormat="1" applyFill="1" applyBorder="1" applyAlignment="1">
      <alignment/>
    </xf>
    <xf numFmtId="0" fontId="0" fillId="0" borderId="0" xfId="65" applyFont="1" applyFill="1" applyBorder="1">
      <alignment/>
      <protection/>
    </xf>
    <xf numFmtId="185" fontId="0" fillId="0" borderId="0" xfId="65" applyNumberFormat="1" applyFont="1" applyFill="1" applyBorder="1" applyAlignment="1">
      <alignment/>
      <protection/>
    </xf>
    <xf numFmtId="185" fontId="0" fillId="0" borderId="0" xfId="42" applyNumberFormat="1" applyFont="1" applyFill="1" applyBorder="1" applyAlignment="1">
      <alignment/>
    </xf>
    <xf numFmtId="185" fontId="0" fillId="0" borderId="0" xfId="65" applyNumberFormat="1" applyFill="1" applyBorder="1" applyAlignment="1">
      <alignment/>
      <protection/>
    </xf>
    <xf numFmtId="185" fontId="4" fillId="0" borderId="0" xfId="65" applyNumberFormat="1" applyFont="1" applyFill="1" applyBorder="1" applyAlignment="1">
      <alignment/>
      <protection/>
    </xf>
    <xf numFmtId="185" fontId="4" fillId="0" borderId="0" xfId="42" applyNumberFormat="1" applyFont="1" applyFill="1" applyBorder="1" applyAlignment="1">
      <alignment/>
    </xf>
    <xf numFmtId="185" fontId="0" fillId="0" borderId="0" xfId="45" applyNumberFormat="1" applyFill="1" applyBorder="1" applyAlignment="1">
      <alignment/>
    </xf>
    <xf numFmtId="172" fontId="0" fillId="0" borderId="0" xfId="50" applyNumberFormat="1" applyFill="1" applyBorder="1" applyAlignment="1">
      <alignment/>
    </xf>
    <xf numFmtId="205" fontId="0" fillId="0" borderId="0" xfId="65" applyNumberFormat="1" applyFont="1" applyFill="1" applyBorder="1">
      <alignment/>
      <protection/>
    </xf>
    <xf numFmtId="205" fontId="0" fillId="0" borderId="0" xfId="65" applyNumberFormat="1" applyFill="1" applyBorder="1">
      <alignment/>
      <protection/>
    </xf>
    <xf numFmtId="205" fontId="4" fillId="0" borderId="0" xfId="65" applyNumberFormat="1" applyFont="1" applyFill="1" applyBorder="1">
      <alignment/>
      <protection/>
    </xf>
    <xf numFmtId="172" fontId="4" fillId="0" borderId="0" xfId="50" applyNumberFormat="1" applyFont="1" applyFill="1" applyBorder="1" applyAlignment="1">
      <alignment/>
    </xf>
    <xf numFmtId="44" fontId="0" fillId="0" borderId="0" xfId="48" applyFont="1" applyFill="1" applyBorder="1" applyAlignment="1">
      <alignment/>
    </xf>
    <xf numFmtId="44" fontId="4" fillId="0" borderId="0" xfId="48" applyFont="1" applyFill="1" applyBorder="1" applyAlignment="1">
      <alignment/>
    </xf>
    <xf numFmtId="195" fontId="3" fillId="25" borderId="0" xfId="65" applyNumberFormat="1" applyFont="1" applyFill="1" applyBorder="1">
      <alignment/>
      <protection/>
    </xf>
    <xf numFmtId="195" fontId="0" fillId="25" borderId="0" xfId="65" applyNumberFormat="1" applyFont="1" applyFill="1" applyBorder="1">
      <alignment/>
      <protection/>
    </xf>
    <xf numFmtId="195" fontId="4" fillId="26" borderId="16" xfId="65" applyNumberFormat="1" applyFont="1" applyFill="1" applyBorder="1" applyAlignment="1">
      <alignment horizontal="center" wrapText="1"/>
      <protection/>
    </xf>
    <xf numFmtId="195" fontId="4" fillId="26" borderId="15" xfId="65" applyNumberFormat="1" applyFont="1" applyFill="1" applyBorder="1" applyAlignment="1">
      <alignment horizontal="center" wrapText="1"/>
      <protection/>
    </xf>
    <xf numFmtId="196" fontId="0" fillId="26" borderId="22" xfId="65" applyNumberFormat="1" applyFont="1" applyFill="1" applyBorder="1">
      <alignment/>
      <protection/>
    </xf>
    <xf numFmtId="196" fontId="0" fillId="26" borderId="12" xfId="65" applyNumberFormat="1" applyFont="1" applyFill="1" applyBorder="1">
      <alignment/>
      <protection/>
    </xf>
    <xf numFmtId="196" fontId="0" fillId="26" borderId="23" xfId="65" applyNumberFormat="1" applyFont="1" applyFill="1" applyBorder="1">
      <alignment/>
      <protection/>
    </xf>
    <xf numFmtId="0" fontId="4" fillId="26" borderId="16" xfId="65" applyFont="1" applyFill="1" applyBorder="1" applyAlignment="1">
      <alignment horizontal="center" wrapText="1"/>
      <protection/>
    </xf>
    <xf numFmtId="0" fontId="4" fillId="26" borderId="15" xfId="65" applyFont="1" applyFill="1" applyBorder="1" applyAlignment="1">
      <alignment horizontal="center" wrapText="1"/>
      <protection/>
    </xf>
    <xf numFmtId="195" fontId="0" fillId="0" borderId="0" xfId="65" applyNumberFormat="1" applyFont="1" applyBorder="1" applyAlignment="1">
      <alignment horizontal="right"/>
      <protection/>
    </xf>
    <xf numFmtId="195" fontId="0" fillId="0" borderId="13" xfId="65" applyNumberFormat="1" applyFont="1" applyBorder="1" applyAlignment="1">
      <alignment horizontal="right"/>
      <protection/>
    </xf>
    <xf numFmtId="0" fontId="32" fillId="8" borderId="0" xfId="65" applyFont="1" applyFill="1" applyAlignment="1">
      <alignment horizontal="left"/>
      <protection/>
    </xf>
    <xf numFmtId="196" fontId="4" fillId="0" borderId="0" xfId="65" applyNumberFormat="1" applyFont="1" applyAlignment="1">
      <alignment/>
      <protection/>
    </xf>
    <xf numFmtId="196" fontId="4" fillId="26" borderId="17" xfId="65" applyNumberFormat="1" applyFont="1" applyFill="1" applyBorder="1" applyAlignment="1">
      <alignment horizontal="center"/>
      <protection/>
    </xf>
    <xf numFmtId="196" fontId="4" fillId="26" borderId="18" xfId="65" applyNumberFormat="1" applyFont="1" applyFill="1" applyBorder="1" applyAlignment="1">
      <alignment horizontal="center"/>
      <protection/>
    </xf>
    <xf numFmtId="196" fontId="4" fillId="26" borderId="19" xfId="65" applyNumberFormat="1" applyFont="1" applyFill="1" applyBorder="1" applyAlignment="1">
      <alignment horizontal="center"/>
      <protection/>
    </xf>
    <xf numFmtId="195" fontId="0" fillId="0" borderId="11" xfId="65" applyNumberFormat="1" applyFont="1" applyBorder="1" applyAlignment="1">
      <alignment horizontal="center" wrapText="1"/>
      <protection/>
    </xf>
    <xf numFmtId="195" fontId="3" fillId="25" borderId="0" xfId="65" applyNumberFormat="1" applyFont="1" applyFill="1" applyBorder="1" applyAlignment="1">
      <alignment horizontal="left"/>
      <protection/>
    </xf>
    <xf numFmtId="0" fontId="8" fillId="0" borderId="0" xfId="65" applyFont="1" applyFill="1" applyBorder="1" applyAlignment="1">
      <alignment horizontal="center"/>
      <protection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4" fillId="26" borderId="16" xfId="0" applyFont="1" applyFill="1" applyBorder="1" applyAlignment="1">
      <alignment vertical="center"/>
    </xf>
    <xf numFmtId="0" fontId="4" fillId="26" borderId="15" xfId="0" applyFont="1" applyFill="1" applyBorder="1" applyAlignment="1">
      <alignment vertical="center"/>
    </xf>
    <xf numFmtId="0" fontId="4" fillId="26" borderId="16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26" borderId="11" xfId="0" applyFont="1" applyFill="1" applyBorder="1" applyAlignment="1">
      <alignment horizontal="center" vertical="center"/>
    </xf>
    <xf numFmtId="49" fontId="4" fillId="27" borderId="26" xfId="0" applyNumberFormat="1" applyFont="1" applyFill="1" applyBorder="1" applyAlignment="1" applyProtection="1">
      <alignment horizontal="center"/>
      <protection/>
    </xf>
    <xf numFmtId="49" fontId="4" fillId="27" borderId="34" xfId="0" applyNumberFormat="1" applyFont="1" applyFill="1" applyBorder="1" applyAlignment="1" applyProtection="1">
      <alignment horizontal="center"/>
      <protection/>
    </xf>
    <xf numFmtId="49" fontId="4" fillId="27" borderId="29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4" borderId="0" xfId="0" applyFill="1" applyAlignment="1" applyProtection="1">
      <alignment/>
      <protection locked="0"/>
    </xf>
    <xf numFmtId="0" fontId="5" fillId="20" borderId="0" xfId="0" applyFont="1" applyFill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wrapText="1"/>
      <protection/>
    </xf>
    <xf numFmtId="0" fontId="0" fillId="0" borderId="12" xfId="0" applyBorder="1" applyAlignment="1">
      <alignment wrapText="1"/>
    </xf>
    <xf numFmtId="0" fontId="4" fillId="0" borderId="12" xfId="0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 4" xfId="50"/>
    <cellStyle name="Currency0" xfId="51"/>
    <cellStyle name="Date" xfId="52"/>
    <cellStyle name="Explanatory Text" xfId="53"/>
    <cellStyle name="Fixed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%20Rate%20App\Norfolk%20Aug%2013\Revenue%20Requirement%20Model%20-%202011-%20Blan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1%20Rate%20App\Supporting%20Documents\Amortization%20Items\Amortization%20Schedules%20for%202011%20Rate%20App%20-%20Half%20Year%20Rul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aw\Local%20Settings\Temporary%20Internet%20Files\OLKBC\Exhibit%203%20Distribution%20Revenue%20Throughputs%20-%20Blan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1%20Rate%20App\Norfolk%20Aug%2013\Norfolk%20Revenue%20Requirement%20Model%20-%202011%20for%202008%20-%20Sept%2022%202010%20-%20Adjusted%20for%20Write-Off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1%20Rate%20App\Norfolk%20Sept%2022\Norfolk%20Revenue%20Requirement%20Model%20-%202011%20for%202008%20-%20Sept%2022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FA Continuity 2010"/>
      <sheetName val="FA Continuity 2011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2010 Balance Sheet"/>
      <sheetName val="2010 Income Statement"/>
      <sheetName val="2011 Balance Sheet"/>
      <sheetName val="2011 Income Statement"/>
      <sheetName val="Return on Capital"/>
      <sheetName val="Debt &amp; Capital Structure"/>
      <sheetName val="Tax rates"/>
      <sheetName val="CCA Continuity 2010"/>
      <sheetName val="CCA Continuity 2011"/>
      <sheetName val="Reserves Continuity"/>
      <sheetName val="Corporation Loss Continuity"/>
      <sheetName val="Tax Adjustments 2010"/>
      <sheetName val="Tax Adjustments 2011"/>
      <sheetName val="2011 Rev Deficiency"/>
      <sheetName val="Capital Tax &amp; Expense Schedules"/>
      <sheetName val="Revenue Requirement"/>
    </sheetNames>
    <sheetDataSet>
      <sheetData sheetId="1">
        <row r="10">
          <cell r="A10" t="str">
            <v>N/A</v>
          </cell>
          <cell r="B10">
            <v>1805</v>
          </cell>
          <cell r="C10" t="str">
            <v>Land</v>
          </cell>
        </row>
        <row r="11">
          <cell r="A11" t="str">
            <v>CEC</v>
          </cell>
          <cell r="B11">
            <v>1806</v>
          </cell>
          <cell r="C11" t="str">
            <v>Land Rights</v>
          </cell>
        </row>
        <row r="12">
          <cell r="A12">
            <v>1</v>
          </cell>
          <cell r="B12">
            <v>1808</v>
          </cell>
          <cell r="C12" t="str">
            <v>Buildings and Fixtures</v>
          </cell>
        </row>
        <row r="13">
          <cell r="B13">
            <v>1810</v>
          </cell>
          <cell r="C13" t="str">
            <v>Leasehold Improvements</v>
          </cell>
        </row>
        <row r="14">
          <cell r="B14">
            <v>1815</v>
          </cell>
          <cell r="C14" t="str">
            <v>Transformer Station Equipment - Normally Primary above 50 kV</v>
          </cell>
        </row>
        <row r="15">
          <cell r="B15">
            <v>1820</v>
          </cell>
          <cell r="C15" t="str">
            <v>Distribution Station Equipment - Normally Primary below 50 kV</v>
          </cell>
        </row>
        <row r="16">
          <cell r="B16">
            <v>1825</v>
          </cell>
          <cell r="C16" t="str">
            <v>Storage Battery Equipment</v>
          </cell>
        </row>
        <row r="17">
          <cell r="B17">
            <v>1830</v>
          </cell>
          <cell r="C17" t="str">
            <v>Poles, Towers and Fixtures</v>
          </cell>
        </row>
        <row r="18">
          <cell r="A18">
            <v>1</v>
          </cell>
          <cell r="B18">
            <v>1835</v>
          </cell>
          <cell r="C18" t="str">
            <v>Overhead Conductors and Devices</v>
          </cell>
        </row>
        <row r="19">
          <cell r="A19">
            <v>1</v>
          </cell>
          <cell r="B19">
            <v>1840</v>
          </cell>
          <cell r="C19" t="str">
            <v>Underground Conduit</v>
          </cell>
        </row>
        <row r="20">
          <cell r="A20">
            <v>1</v>
          </cell>
          <cell r="B20">
            <v>1845</v>
          </cell>
          <cell r="C20" t="str">
            <v>Underground Conductors and Devices</v>
          </cell>
        </row>
        <row r="21">
          <cell r="A21">
            <v>1</v>
          </cell>
          <cell r="B21">
            <v>1850</v>
          </cell>
          <cell r="C21" t="str">
            <v>Line Transformers</v>
          </cell>
        </row>
        <row r="22">
          <cell r="A22">
            <v>1</v>
          </cell>
          <cell r="B22">
            <v>1855</v>
          </cell>
          <cell r="C22" t="str">
            <v>Services</v>
          </cell>
        </row>
        <row r="23">
          <cell r="A23">
            <v>1</v>
          </cell>
          <cell r="B23">
            <v>1860</v>
          </cell>
          <cell r="C23" t="str">
            <v>Meters</v>
          </cell>
        </row>
        <row r="24">
          <cell r="B24">
            <v>1865</v>
          </cell>
          <cell r="C24" t="str">
            <v>Other Installations on Customer's Premises</v>
          </cell>
        </row>
        <row r="25">
          <cell r="A25" t="str">
            <v>N/A</v>
          </cell>
          <cell r="B25">
            <v>1905</v>
          </cell>
          <cell r="C25" t="str">
            <v>Land</v>
          </cell>
        </row>
        <row r="26">
          <cell r="A26" t="str">
            <v>CEC</v>
          </cell>
          <cell r="B26">
            <v>1906</v>
          </cell>
          <cell r="C26" t="str">
            <v>Land Rights</v>
          </cell>
        </row>
        <row r="27">
          <cell r="A27">
            <v>1</v>
          </cell>
          <cell r="B27">
            <v>1908</v>
          </cell>
          <cell r="C27" t="str">
            <v>Buildings and Fixtures</v>
          </cell>
        </row>
        <row r="28">
          <cell r="B28">
            <v>1910</v>
          </cell>
          <cell r="C28" t="str">
            <v>Leasehold Improvements</v>
          </cell>
        </row>
        <row r="29">
          <cell r="A29">
            <v>8</v>
          </cell>
          <cell r="B29">
            <v>1915</v>
          </cell>
          <cell r="C29" t="str">
            <v>Office Furniture and Equipment</v>
          </cell>
        </row>
        <row r="30">
          <cell r="A30">
            <v>45</v>
          </cell>
          <cell r="B30">
            <v>1920</v>
          </cell>
          <cell r="C30" t="str">
            <v>Computer Equipment - Hardware</v>
          </cell>
        </row>
        <row r="31">
          <cell r="B31">
            <v>1925</v>
          </cell>
          <cell r="C31" t="str">
            <v>Computer Software</v>
          </cell>
        </row>
        <row r="32">
          <cell r="A32">
            <v>10</v>
          </cell>
          <cell r="B32">
            <v>1930</v>
          </cell>
          <cell r="C32" t="str">
            <v>Transportation Equipment</v>
          </cell>
        </row>
        <row r="33">
          <cell r="A33">
            <v>10</v>
          </cell>
          <cell r="B33">
            <v>1935</v>
          </cell>
          <cell r="C33" t="str">
            <v>Stores Equipment</v>
          </cell>
        </row>
        <row r="34">
          <cell r="A34">
            <v>8</v>
          </cell>
          <cell r="B34">
            <v>1940</v>
          </cell>
          <cell r="C34" t="str">
            <v>Tools, Shop and Garage Equipment</v>
          </cell>
        </row>
        <row r="35">
          <cell r="B35">
            <v>1945</v>
          </cell>
          <cell r="C35" t="str">
            <v>Measurement and Testing Equipment</v>
          </cell>
        </row>
        <row r="36">
          <cell r="B36">
            <v>1950</v>
          </cell>
          <cell r="C36" t="str">
            <v>Power Operated Equipment</v>
          </cell>
        </row>
        <row r="37">
          <cell r="A37">
            <v>10</v>
          </cell>
          <cell r="B37">
            <v>1955</v>
          </cell>
          <cell r="C37" t="str">
            <v>Communication Equipment</v>
          </cell>
        </row>
        <row r="38">
          <cell r="B38">
            <v>1960</v>
          </cell>
          <cell r="C38" t="str">
            <v>Miscellaneous Equipment</v>
          </cell>
        </row>
        <row r="39">
          <cell r="B39">
            <v>1970</v>
          </cell>
          <cell r="C39" t="str">
            <v>Load Management Controls - Customer Premises </v>
          </cell>
        </row>
        <row r="40">
          <cell r="B40">
            <v>1975</v>
          </cell>
          <cell r="C40" t="str">
            <v>Load Management Controls - Utility Premises</v>
          </cell>
        </row>
        <row r="41">
          <cell r="B41">
            <v>1980</v>
          </cell>
          <cell r="C41" t="str">
            <v>System Supervisory Equipment</v>
          </cell>
        </row>
        <row r="42">
          <cell r="B42">
            <v>1985</v>
          </cell>
          <cell r="C42" t="str">
            <v>Sentinel Lighting Rentals</v>
          </cell>
        </row>
        <row r="43">
          <cell r="B43">
            <v>1990</v>
          </cell>
          <cell r="C43" t="str">
            <v>Other Tangible Property</v>
          </cell>
        </row>
        <row r="44">
          <cell r="B44">
            <v>1995</v>
          </cell>
          <cell r="C44" t="str">
            <v>Contributions and Grants</v>
          </cell>
        </row>
        <row r="45">
          <cell r="B45">
            <v>2005</v>
          </cell>
          <cell r="C45" t="str">
            <v>Property under Capital Lease</v>
          </cell>
        </row>
        <row r="48">
          <cell r="A48" t="str">
            <v>WIP</v>
          </cell>
          <cell r="C48" t="str">
            <v>Work in Process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30"/>
      <sheetName val="1805"/>
      <sheetName val="1806"/>
      <sheetName val="18082"/>
      <sheetName val="18150"/>
      <sheetName val="1820"/>
      <sheetName val="1830"/>
      <sheetName val="1835"/>
      <sheetName val="1840"/>
      <sheetName val="1845"/>
      <sheetName val="1850 OH"/>
      <sheetName val="1850 UG"/>
      <sheetName val="1855"/>
      <sheetName val="1860"/>
      <sheetName val="1860 Smart"/>
      <sheetName val="1905"/>
      <sheetName val="1908"/>
      <sheetName val="1908-2"/>
      <sheetName val="1910"/>
      <sheetName val="1915"/>
      <sheetName val="1920"/>
      <sheetName val="1925"/>
      <sheetName val="1925 Smart"/>
      <sheetName val="1930"/>
      <sheetName val="1930-1"/>
      <sheetName val="1930-2"/>
      <sheetName val="1930-3"/>
      <sheetName val="1930-4"/>
      <sheetName val="1935"/>
      <sheetName val="1940"/>
      <sheetName val="19401 -RECLOSER"/>
      <sheetName val="1945"/>
      <sheetName val="1955"/>
      <sheetName val="19600"/>
      <sheetName val="19602"/>
      <sheetName val="1970"/>
      <sheetName val="1980"/>
      <sheetName val="19810"/>
      <sheetName val="1995"/>
      <sheetName val="2005"/>
      <sheetName val="Summary Additions"/>
      <sheetName val="Summary Deprec'n"/>
      <sheetName val="2007A to 2011FTY"/>
      <sheetName val="Smart Meters"/>
      <sheetName val="NBV for Reconciliation to AFS"/>
    </sheetNames>
    <sheetDataSet>
      <sheetData sheetId="40">
        <row r="7">
          <cell r="G7">
            <v>6143.65</v>
          </cell>
          <cell r="I7">
            <v>0</v>
          </cell>
          <cell r="K7">
            <v>0</v>
          </cell>
        </row>
        <row r="8">
          <cell r="G8">
            <v>1873.45</v>
          </cell>
          <cell r="I8">
            <v>1000</v>
          </cell>
          <cell r="K8">
            <v>1000</v>
          </cell>
        </row>
        <row r="9">
          <cell r="G9">
            <v>90756.64</v>
          </cell>
          <cell r="I9">
            <v>0</v>
          </cell>
          <cell r="K9">
            <v>0</v>
          </cell>
        </row>
        <row r="10">
          <cell r="G10">
            <v>0</v>
          </cell>
          <cell r="I10">
            <v>225000</v>
          </cell>
          <cell r="K10">
            <v>100000</v>
          </cell>
        </row>
        <row r="11">
          <cell r="G11">
            <v>236273.7</v>
          </cell>
          <cell r="I11">
            <v>45000</v>
          </cell>
          <cell r="K11">
            <v>75000</v>
          </cell>
        </row>
        <row r="12">
          <cell r="G12">
            <v>1006528.47</v>
          </cell>
          <cell r="I12">
            <v>1162000</v>
          </cell>
          <cell r="K12">
            <v>1132000</v>
          </cell>
        </row>
        <row r="13">
          <cell r="G13">
            <v>732544.18</v>
          </cell>
          <cell r="I13">
            <v>1468000</v>
          </cell>
          <cell r="K13">
            <v>688000</v>
          </cell>
        </row>
        <row r="14">
          <cell r="G14">
            <v>312483.83</v>
          </cell>
          <cell r="I14">
            <v>120000</v>
          </cell>
          <cell r="K14">
            <v>220000</v>
          </cell>
        </row>
        <row r="15">
          <cell r="G15">
            <v>515163.25</v>
          </cell>
          <cell r="I15">
            <v>250000</v>
          </cell>
          <cell r="K15">
            <v>303000</v>
          </cell>
        </row>
        <row r="16">
          <cell r="G16">
            <v>329352.27</v>
          </cell>
          <cell r="I16">
            <v>300000</v>
          </cell>
          <cell r="K16">
            <v>465000</v>
          </cell>
        </row>
        <row r="17">
          <cell r="G17">
            <v>92023.01</v>
          </cell>
          <cell r="I17">
            <v>370000</v>
          </cell>
          <cell r="K17">
            <v>400000</v>
          </cell>
        </row>
        <row r="18">
          <cell r="G18">
            <v>277121.35</v>
          </cell>
          <cell r="I18">
            <v>264000</v>
          </cell>
          <cell r="K18">
            <v>266000</v>
          </cell>
        </row>
        <row r="19">
          <cell r="G19">
            <v>133635.55000000002</v>
          </cell>
          <cell r="I19">
            <v>98000</v>
          </cell>
          <cell r="K19">
            <v>50000</v>
          </cell>
        </row>
        <row r="20">
          <cell r="G20">
            <v>0</v>
          </cell>
          <cell r="I20">
            <v>0</v>
          </cell>
          <cell r="K20">
            <v>0</v>
          </cell>
        </row>
        <row r="21">
          <cell r="G21">
            <v>26160.5</v>
          </cell>
          <cell r="I21">
            <v>100000</v>
          </cell>
          <cell r="K21">
            <v>10000</v>
          </cell>
        </row>
        <row r="22">
          <cell r="G22">
            <v>0</v>
          </cell>
          <cell r="K22">
            <v>0</v>
          </cell>
        </row>
        <row r="23">
          <cell r="G23">
            <v>0</v>
          </cell>
          <cell r="I23">
            <v>0</v>
          </cell>
          <cell r="K23">
            <v>0</v>
          </cell>
        </row>
        <row r="24">
          <cell r="G24">
            <v>4074.53</v>
          </cell>
          <cell r="I24">
            <v>30000</v>
          </cell>
          <cell r="K24">
            <v>15000</v>
          </cell>
        </row>
        <row r="25">
          <cell r="G25">
            <v>23999.32</v>
          </cell>
          <cell r="I25">
            <v>40800</v>
          </cell>
          <cell r="K25">
            <v>114000</v>
          </cell>
        </row>
        <row r="26">
          <cell r="G26">
            <v>56033.86</v>
          </cell>
          <cell r="I26">
            <v>52500</v>
          </cell>
          <cell r="K26">
            <v>215000</v>
          </cell>
        </row>
        <row r="27">
          <cell r="G27">
            <v>0</v>
          </cell>
          <cell r="I27">
            <v>0</v>
          </cell>
          <cell r="K27">
            <v>0</v>
          </cell>
        </row>
        <row r="28">
          <cell r="G28">
            <v>0</v>
          </cell>
          <cell r="I28">
            <v>0</v>
          </cell>
          <cell r="K28">
            <v>0</v>
          </cell>
        </row>
        <row r="29">
          <cell r="G29">
            <v>0</v>
          </cell>
          <cell r="I29">
            <v>0</v>
          </cell>
          <cell r="K29">
            <v>30000</v>
          </cell>
        </row>
        <row r="30">
          <cell r="G30">
            <v>0</v>
          </cell>
          <cell r="I30">
            <v>0</v>
          </cell>
          <cell r="K30">
            <v>300000</v>
          </cell>
        </row>
        <row r="31">
          <cell r="G31">
            <v>0</v>
          </cell>
          <cell r="I31">
            <v>0</v>
          </cell>
          <cell r="K31">
            <v>70000</v>
          </cell>
        </row>
        <row r="32">
          <cell r="G32">
            <v>314.28</v>
          </cell>
          <cell r="I32">
            <v>1000</v>
          </cell>
          <cell r="K32">
            <v>1000</v>
          </cell>
        </row>
        <row r="33">
          <cell r="G33">
            <v>18145.61</v>
          </cell>
          <cell r="I33">
            <v>4000</v>
          </cell>
          <cell r="K33">
            <v>23000</v>
          </cell>
        </row>
        <row r="34">
          <cell r="G34">
            <v>0</v>
          </cell>
        </row>
        <row r="35">
          <cell r="G35">
            <v>16256.04</v>
          </cell>
          <cell r="I35">
            <v>5000</v>
          </cell>
          <cell r="K35">
            <v>6000</v>
          </cell>
        </row>
        <row r="36">
          <cell r="G36">
            <v>0</v>
          </cell>
          <cell r="I36">
            <v>10000</v>
          </cell>
          <cell r="K36">
            <v>8000</v>
          </cell>
        </row>
        <row r="37">
          <cell r="G37">
            <v>244273.4</v>
          </cell>
          <cell r="I37">
            <v>58000</v>
          </cell>
          <cell r="K37">
            <v>5000</v>
          </cell>
        </row>
        <row r="38">
          <cell r="G38">
            <v>0</v>
          </cell>
        </row>
        <row r="39">
          <cell r="G39">
            <v>0</v>
          </cell>
          <cell r="I39">
            <v>0</v>
          </cell>
          <cell r="K39">
            <v>0</v>
          </cell>
        </row>
        <row r="40">
          <cell r="G40">
            <v>1875.46</v>
          </cell>
          <cell r="I40">
            <v>575000</v>
          </cell>
          <cell r="K40">
            <v>225000</v>
          </cell>
        </row>
        <row r="41">
          <cell r="G41">
            <v>2698.31</v>
          </cell>
          <cell r="I41">
            <v>75000</v>
          </cell>
          <cell r="K41">
            <v>20000</v>
          </cell>
        </row>
        <row r="44">
          <cell r="G44">
            <v>-531414.03</v>
          </cell>
          <cell r="I44">
            <v>-1160000</v>
          </cell>
          <cell r="K44">
            <v>-510000</v>
          </cell>
        </row>
        <row r="46">
          <cell r="G46">
            <v>0</v>
          </cell>
        </row>
        <row r="48">
          <cell r="G48">
            <v>5472038.35</v>
          </cell>
        </row>
      </sheetData>
      <sheetData sheetId="41">
        <row r="7">
          <cell r="E7">
            <v>48.75</v>
          </cell>
          <cell r="G7">
            <v>97.5</v>
          </cell>
          <cell r="I7">
            <v>97.5</v>
          </cell>
          <cell r="K7">
            <v>97.5</v>
          </cell>
        </row>
        <row r="8">
          <cell r="E8">
            <v>0</v>
          </cell>
          <cell r="G8">
            <v>0</v>
          </cell>
          <cell r="I8">
            <v>0</v>
          </cell>
          <cell r="K8">
            <v>0</v>
          </cell>
        </row>
        <row r="9">
          <cell r="E9">
            <v>0</v>
          </cell>
          <cell r="G9">
            <v>0</v>
          </cell>
          <cell r="I9">
            <v>0</v>
          </cell>
          <cell r="K9">
            <v>0</v>
          </cell>
        </row>
        <row r="10">
          <cell r="E10">
            <v>29758.3135</v>
          </cell>
          <cell r="G10">
            <v>31406.7834</v>
          </cell>
          <cell r="I10">
            <v>32314.3498</v>
          </cell>
          <cell r="K10">
            <v>32314.3498</v>
          </cell>
        </row>
        <row r="11">
          <cell r="E11">
            <v>78706.74725</v>
          </cell>
          <cell r="G11">
            <v>80328.951</v>
          </cell>
          <cell r="I11">
            <v>151541.930375</v>
          </cell>
          <cell r="K11">
            <v>224004.90975</v>
          </cell>
        </row>
        <row r="12">
          <cell r="E12">
            <v>75819.06133333335</v>
          </cell>
          <cell r="G12">
            <v>82803.85733333335</v>
          </cell>
          <cell r="I12">
            <v>87491.75233333334</v>
          </cell>
          <cell r="K12">
            <v>89491.75233333334</v>
          </cell>
        </row>
        <row r="13">
          <cell r="E13">
            <v>774604.4532</v>
          </cell>
          <cell r="G13">
            <v>811227.0018000001</v>
          </cell>
          <cell r="I13">
            <v>854597.5712</v>
          </cell>
          <cell r="K13">
            <v>923117.5712</v>
          </cell>
        </row>
        <row r="14">
          <cell r="E14">
            <v>391989.3836</v>
          </cell>
          <cell r="G14">
            <v>423961.68799999997</v>
          </cell>
          <cell r="I14">
            <v>467972.57159999997</v>
          </cell>
          <cell r="K14">
            <v>511092.57159999997</v>
          </cell>
        </row>
        <row r="15">
          <cell r="E15">
            <v>122824.75619999999</v>
          </cell>
          <cell r="G15">
            <v>130160.6862</v>
          </cell>
          <cell r="I15">
            <v>138810.3628</v>
          </cell>
          <cell r="K15">
            <v>145610.3628</v>
          </cell>
        </row>
        <row r="16">
          <cell r="E16">
            <v>233104.16580000002</v>
          </cell>
          <cell r="G16">
            <v>246940.7758</v>
          </cell>
          <cell r="I16">
            <v>262244.0408</v>
          </cell>
          <cell r="K16">
            <v>273304.0408</v>
          </cell>
        </row>
        <row r="17">
          <cell r="E17">
            <v>401160.78</v>
          </cell>
          <cell r="G17">
            <v>412435.27780000004</v>
          </cell>
          <cell r="I17">
            <v>425022.32320000004</v>
          </cell>
          <cell r="K17">
            <v>217371.9432</v>
          </cell>
        </row>
        <row r="18">
          <cell r="E18">
            <v>94536.6526</v>
          </cell>
          <cell r="G18">
            <v>106511.0958</v>
          </cell>
          <cell r="I18">
            <v>115751.556</v>
          </cell>
          <cell r="K18">
            <v>131151.55599999998</v>
          </cell>
        </row>
        <row r="19">
          <cell r="E19">
            <v>83500.5566</v>
          </cell>
          <cell r="G19">
            <v>94749.88539999998</v>
          </cell>
          <cell r="I19">
            <v>105572.3124</v>
          </cell>
          <cell r="K19">
            <v>116172.3124</v>
          </cell>
        </row>
        <row r="20">
          <cell r="E20">
            <v>143953.80740000002</v>
          </cell>
          <cell r="G20">
            <v>150383.355</v>
          </cell>
          <cell r="I20">
            <v>155016.066</v>
          </cell>
          <cell r="K20">
            <v>316847.4446666667</v>
          </cell>
        </row>
        <row r="21">
          <cell r="E21">
            <v>0</v>
          </cell>
          <cell r="G21">
            <v>0</v>
          </cell>
          <cell r="I21">
            <v>0</v>
          </cell>
          <cell r="K21">
            <v>0</v>
          </cell>
        </row>
        <row r="22">
          <cell r="E22">
            <v>30812.718699999998</v>
          </cell>
          <cell r="G22">
            <v>31762.1894</v>
          </cell>
          <cell r="I22">
            <v>33023.7944</v>
          </cell>
          <cell r="K22">
            <v>34123.7944</v>
          </cell>
        </row>
        <row r="23">
          <cell r="E23">
            <v>275.48</v>
          </cell>
          <cell r="G23">
            <v>275.48</v>
          </cell>
          <cell r="I23">
            <v>275.48</v>
          </cell>
          <cell r="K23">
            <v>275.48</v>
          </cell>
        </row>
        <row r="24">
          <cell r="E24">
            <v>639.7</v>
          </cell>
          <cell r="G24">
            <v>639.7</v>
          </cell>
          <cell r="I24">
            <v>639.7</v>
          </cell>
          <cell r="K24">
            <v>639.7</v>
          </cell>
        </row>
        <row r="25">
          <cell r="E25">
            <v>13551.39</v>
          </cell>
          <cell r="G25">
            <v>14526.4755</v>
          </cell>
          <cell r="I25">
            <v>16230.231999999998</v>
          </cell>
          <cell r="K25">
            <v>16921.722</v>
          </cell>
        </row>
        <row r="26">
          <cell r="E26">
            <v>113092.742</v>
          </cell>
          <cell r="G26">
            <v>111420.394</v>
          </cell>
          <cell r="I26">
            <v>102969.906</v>
          </cell>
          <cell r="K26">
            <v>74303.30600000001</v>
          </cell>
        </row>
        <row r="27">
          <cell r="E27">
            <v>45213.362</v>
          </cell>
          <cell r="G27">
            <v>45906.375</v>
          </cell>
          <cell r="I27">
            <v>46232.888</v>
          </cell>
          <cell r="K27">
            <v>81209.133</v>
          </cell>
        </row>
        <row r="28">
          <cell r="E28">
            <v>87082.12999999999</v>
          </cell>
          <cell r="G28">
            <v>87082.12999999999</v>
          </cell>
          <cell r="I28">
            <v>100982.15999999999</v>
          </cell>
          <cell r="K28">
            <v>100050.17</v>
          </cell>
        </row>
        <row r="29">
          <cell r="E29">
            <v>4216.5275</v>
          </cell>
          <cell r="G29">
            <v>4216.5275</v>
          </cell>
          <cell r="I29">
            <v>1405.4874999999993</v>
          </cell>
          <cell r="K29">
            <v>0</v>
          </cell>
        </row>
        <row r="30">
          <cell r="E30">
            <v>31061.703999999998</v>
          </cell>
          <cell r="G30">
            <v>31061.703999999998</v>
          </cell>
          <cell r="I30">
            <v>31061.703999999998</v>
          </cell>
          <cell r="K30">
            <v>30424.469999999994</v>
          </cell>
        </row>
        <row r="31">
          <cell r="E31">
            <v>40931.42625</v>
          </cell>
          <cell r="G31">
            <v>40931.42625</v>
          </cell>
          <cell r="I31">
            <v>40931.42625</v>
          </cell>
          <cell r="K31">
            <v>59681.42625</v>
          </cell>
        </row>
        <row r="32">
          <cell r="E32">
            <v>2916.03</v>
          </cell>
          <cell r="G32">
            <v>3785.6275</v>
          </cell>
          <cell r="I32">
            <v>3785.6275</v>
          </cell>
          <cell r="K32">
            <v>8160.6275000000005</v>
          </cell>
        </row>
        <row r="33">
          <cell r="E33">
            <v>3822.6594999999993</v>
          </cell>
          <cell r="G33">
            <v>3904.6569999999992</v>
          </cell>
          <cell r="I33">
            <v>3970.370999999999</v>
          </cell>
          <cell r="K33">
            <v>4070.370999999999</v>
          </cell>
        </row>
        <row r="34">
          <cell r="E34">
            <v>24572.065000000002</v>
          </cell>
          <cell r="G34">
            <v>27120.1915</v>
          </cell>
          <cell r="I34">
            <v>28227.492000000002</v>
          </cell>
          <cell r="K34">
            <v>28672.082000000002</v>
          </cell>
        </row>
        <row r="35">
          <cell r="E35">
            <v>3050.34125</v>
          </cell>
          <cell r="G35">
            <v>3050.34125</v>
          </cell>
          <cell r="I35">
            <v>3050.34125</v>
          </cell>
          <cell r="K35">
            <v>3050.34125</v>
          </cell>
        </row>
        <row r="36">
          <cell r="E36">
            <v>15642.951500000001</v>
          </cell>
          <cell r="G36">
            <v>17084.529000000002</v>
          </cell>
          <cell r="I36">
            <v>18147.331000000002</v>
          </cell>
          <cell r="K36">
            <v>18697.351000000002</v>
          </cell>
        </row>
        <row r="37">
          <cell r="E37">
            <v>8697.818</v>
          </cell>
          <cell r="G37">
            <v>10690.618999999999</v>
          </cell>
          <cell r="I37">
            <v>11190.618999999999</v>
          </cell>
          <cell r="K37">
            <v>12090.618999999999</v>
          </cell>
        </row>
        <row r="38">
          <cell r="E38">
            <v>16212.272214285715</v>
          </cell>
          <cell r="G38">
            <v>29019.75571428571</v>
          </cell>
          <cell r="I38">
            <v>44133.42571428571</v>
          </cell>
          <cell r="K38">
            <v>47283.42571428571</v>
          </cell>
        </row>
        <row r="39">
          <cell r="E39">
            <v>4300.5</v>
          </cell>
          <cell r="G39">
            <v>0</v>
          </cell>
        </row>
        <row r="40">
          <cell r="E40">
            <v>0</v>
          </cell>
          <cell r="G40">
            <v>0</v>
          </cell>
          <cell r="I40">
            <v>0</v>
          </cell>
          <cell r="K40">
            <v>0</v>
          </cell>
        </row>
        <row r="41">
          <cell r="E41">
            <v>40805.394</v>
          </cell>
          <cell r="G41">
            <v>40867.90933333334</v>
          </cell>
          <cell r="I41">
            <v>60097.09133333333</v>
          </cell>
          <cell r="K41">
            <v>86763.758</v>
          </cell>
        </row>
        <row r="42">
          <cell r="E42">
            <v>995.4709999999999</v>
          </cell>
          <cell r="G42">
            <v>2260.7729999999997</v>
          </cell>
          <cell r="I42">
            <v>10030.604</v>
          </cell>
          <cell r="K42">
            <v>19530.604</v>
          </cell>
        </row>
        <row r="45">
          <cell r="E45">
            <v>-278275.05860000005</v>
          </cell>
          <cell r="G45">
            <v>-295532.55340000003</v>
          </cell>
          <cell r="I45">
            <v>-329360.83400000003</v>
          </cell>
          <cell r="K45">
            <v>-362760.83400000003</v>
          </cell>
        </row>
        <row r="47">
          <cell r="E47">
            <v>1003.86</v>
          </cell>
          <cell r="G47">
            <v>1003.86</v>
          </cell>
          <cell r="I47">
            <v>1003.86</v>
          </cell>
          <cell r="K47">
            <v>1003.86</v>
          </cell>
        </row>
      </sheetData>
      <sheetData sheetId="42">
        <row r="6">
          <cell r="C6">
            <v>380064</v>
          </cell>
          <cell r="D6">
            <v>0</v>
          </cell>
        </row>
        <row r="7">
          <cell r="C7">
            <v>4356.48</v>
          </cell>
        </row>
        <row r="8">
          <cell r="D8">
            <v>0</v>
          </cell>
        </row>
        <row r="13">
          <cell r="C13">
            <v>300911</v>
          </cell>
          <cell r="D13">
            <v>0</v>
          </cell>
        </row>
        <row r="14">
          <cell r="C14">
            <v>0</v>
          </cell>
        </row>
        <row r="15">
          <cell r="D15">
            <v>0</v>
          </cell>
        </row>
        <row r="20">
          <cell r="C20">
            <v>1450870</v>
          </cell>
          <cell r="D20">
            <v>-58035</v>
          </cell>
        </row>
        <row r="21">
          <cell r="C21">
            <v>0</v>
          </cell>
        </row>
        <row r="22">
          <cell r="D22">
            <v>-29017.41</v>
          </cell>
        </row>
        <row r="27">
          <cell r="C27">
            <v>2802994</v>
          </cell>
          <cell r="D27">
            <v>-139989</v>
          </cell>
        </row>
        <row r="28">
          <cell r="C28">
            <v>280388.54</v>
          </cell>
        </row>
        <row r="29">
          <cell r="D29">
            <v>-73579.68675000001</v>
          </cell>
        </row>
        <row r="34">
          <cell r="C34">
            <v>2388347</v>
          </cell>
          <cell r="D34">
            <v>-1404131</v>
          </cell>
        </row>
        <row r="35">
          <cell r="C35">
            <v>689166.31</v>
          </cell>
        </row>
        <row r="36">
          <cell r="D36">
            <v>-99660.15516666666</v>
          </cell>
        </row>
        <row r="41">
          <cell r="C41">
            <v>16915729</v>
          </cell>
          <cell r="D41">
            <v>-4030411</v>
          </cell>
        </row>
        <row r="42">
          <cell r="C42">
            <v>1264466.1</v>
          </cell>
        </row>
        <row r="43">
          <cell r="D43">
            <v>-732823.1520000001</v>
          </cell>
        </row>
        <row r="48">
          <cell r="C48">
            <v>8333597</v>
          </cell>
          <cell r="D48">
            <v>-1432413</v>
          </cell>
        </row>
        <row r="49">
          <cell r="C49">
            <v>1033102.07</v>
          </cell>
        </row>
        <row r="50">
          <cell r="D50">
            <v>-354005.9214</v>
          </cell>
        </row>
        <row r="55">
          <cell r="C55">
            <v>3266245</v>
          </cell>
          <cell r="D55">
            <v>-991737</v>
          </cell>
        </row>
        <row r="56">
          <cell r="C56">
            <v>212024.57</v>
          </cell>
        </row>
        <row r="57">
          <cell r="D57">
            <v>-117498.01139999999</v>
          </cell>
        </row>
        <row r="62">
          <cell r="C62">
            <v>6436211</v>
          </cell>
          <cell r="D62">
            <v>-2006189</v>
          </cell>
        </row>
        <row r="63">
          <cell r="C63">
            <v>507984.77</v>
          </cell>
        </row>
        <row r="64">
          <cell r="D64">
            <v>-219411.12540000002</v>
          </cell>
        </row>
        <row r="69">
          <cell r="C69">
            <v>9035687</v>
          </cell>
          <cell r="D69">
            <v>-4693576</v>
          </cell>
        </row>
        <row r="70">
          <cell r="C70">
            <v>1039782.9299999999</v>
          </cell>
        </row>
        <row r="71">
          <cell r="D71">
            <v>-460080.3386</v>
          </cell>
        </row>
        <row r="76">
          <cell r="C76">
            <v>1612317</v>
          </cell>
          <cell r="D76">
            <v>-165267</v>
          </cell>
        </row>
        <row r="77">
          <cell r="C77">
            <v>332524.37</v>
          </cell>
        </row>
        <row r="78">
          <cell r="D78">
            <v>-71143.16739999999</v>
          </cell>
        </row>
        <row r="83">
          <cell r="C83">
            <v>3547874</v>
          </cell>
          <cell r="D83">
            <v>-1788658</v>
          </cell>
        </row>
        <row r="84">
          <cell r="C84">
            <v>187555.52</v>
          </cell>
        </row>
        <row r="85">
          <cell r="D85">
            <v>-136445.8604</v>
          </cell>
        </row>
        <row r="86">
          <cell r="C86">
            <v>-31742</v>
          </cell>
        </row>
        <row r="90">
          <cell r="C90">
            <v>211830</v>
          </cell>
          <cell r="D90">
            <v>0</v>
          </cell>
        </row>
        <row r="91">
          <cell r="C91">
            <v>41037.6</v>
          </cell>
        </row>
        <row r="92">
          <cell r="D92">
            <v>0</v>
          </cell>
        </row>
        <row r="93">
          <cell r="C93">
            <v>-10000</v>
          </cell>
        </row>
        <row r="97">
          <cell r="C97">
            <v>1947788</v>
          </cell>
          <cell r="D97">
            <v>-717033</v>
          </cell>
        </row>
        <row r="98">
          <cell r="C98">
            <v>172902.65</v>
          </cell>
        </row>
        <row r="99">
          <cell r="D99">
            <v>-28671.3065</v>
          </cell>
        </row>
        <row r="104">
          <cell r="C104">
            <v>6177</v>
          </cell>
          <cell r="D104">
            <v>-1304</v>
          </cell>
        </row>
        <row r="105">
          <cell r="C105">
            <v>0</v>
          </cell>
        </row>
        <row r="106">
          <cell r="D106">
            <v>-639.7</v>
          </cell>
        </row>
        <row r="111">
          <cell r="C111">
            <v>111706</v>
          </cell>
          <cell r="D111">
            <v>-39621</v>
          </cell>
        </row>
        <row r="112">
          <cell r="C112">
            <v>15763.91</v>
          </cell>
        </row>
        <row r="113">
          <cell r="D113">
            <v>-11793.8555</v>
          </cell>
        </row>
        <row r="118">
          <cell r="C118">
            <v>608350</v>
          </cell>
          <cell r="D118">
            <v>-337687</v>
          </cell>
        </row>
        <row r="119">
          <cell r="C119">
            <v>69851.61</v>
          </cell>
        </row>
        <row r="120">
          <cell r="D120">
            <v>-93289.06099999999</v>
          </cell>
        </row>
        <row r="125">
          <cell r="C125">
            <v>198446</v>
          </cell>
          <cell r="D125">
            <v>-76936</v>
          </cell>
        </row>
        <row r="126">
          <cell r="C126">
            <v>55942.66</v>
          </cell>
        </row>
        <row r="127">
          <cell r="D127">
            <v>-45283.456000000006</v>
          </cell>
        </row>
        <row r="132">
          <cell r="C132">
            <v>1300157</v>
          </cell>
          <cell r="D132">
            <v>-389084</v>
          </cell>
        </row>
        <row r="133">
          <cell r="C133">
            <v>159090.11</v>
          </cell>
        </row>
        <row r="134">
          <cell r="D134">
            <v>-146766.8705</v>
          </cell>
        </row>
        <row r="139">
          <cell r="C139">
            <v>35068</v>
          </cell>
          <cell r="D139">
            <v>-9817</v>
          </cell>
        </row>
        <row r="140">
          <cell r="C140">
            <v>2495.7599999999948</v>
          </cell>
        </row>
        <row r="141">
          <cell r="D141">
            <v>-3631.5879999999993</v>
          </cell>
        </row>
        <row r="146">
          <cell r="C146">
            <v>212866</v>
          </cell>
          <cell r="D146">
            <v>-66877</v>
          </cell>
        </row>
        <row r="147">
          <cell r="C147">
            <v>16445.89</v>
          </cell>
        </row>
        <row r="148">
          <cell r="D148">
            <v>-22108.9245</v>
          </cell>
        </row>
        <row r="153">
          <cell r="C153">
            <v>145541</v>
          </cell>
          <cell r="D153">
            <v>-44810</v>
          </cell>
        </row>
        <row r="154">
          <cell r="C154">
            <v>4600.26</v>
          </cell>
        </row>
        <row r="155">
          <cell r="D155">
            <v>-14784.163000000002</v>
          </cell>
        </row>
        <row r="160">
          <cell r="C160">
            <v>54931</v>
          </cell>
          <cell r="D160">
            <v>-19826</v>
          </cell>
        </row>
        <row r="161">
          <cell r="C161">
            <v>12118.77</v>
          </cell>
        </row>
        <row r="162">
          <cell r="D162">
            <v>-6099.0785000000005</v>
          </cell>
        </row>
        <row r="167">
          <cell r="C167">
            <v>82327</v>
          </cell>
          <cell r="D167">
            <v>-15539</v>
          </cell>
        </row>
        <row r="168">
          <cell r="C168">
            <v>20946.73</v>
          </cell>
        </row>
        <row r="169">
          <cell r="D169">
            <v>-9065.031500000001</v>
          </cell>
        </row>
        <row r="174">
          <cell r="C174">
            <v>12276</v>
          </cell>
          <cell r="D174">
            <v>0</v>
          </cell>
        </row>
        <row r="175">
          <cell r="C175">
            <v>4288.26</v>
          </cell>
        </row>
        <row r="176">
          <cell r="D176">
            <v>-16564.66</v>
          </cell>
        </row>
        <row r="181">
          <cell r="C181">
            <v>612052</v>
          </cell>
          <cell r="D181">
            <v>-144168</v>
          </cell>
        </row>
        <row r="182">
          <cell r="C182">
            <v>29.31</v>
          </cell>
        </row>
        <row r="183">
          <cell r="D183">
            <v>-40804.417</v>
          </cell>
        </row>
        <row r="188">
          <cell r="C188">
            <v>-5796930</v>
          </cell>
          <cell r="D188">
            <v>783720</v>
          </cell>
        </row>
        <row r="189">
          <cell r="C189">
            <v>-994215.61</v>
          </cell>
        </row>
        <row r="190">
          <cell r="D190">
            <v>251761.53220000002</v>
          </cell>
        </row>
        <row r="195">
          <cell r="C195">
            <v>10039</v>
          </cell>
          <cell r="D195">
            <v>-2008</v>
          </cell>
        </row>
        <row r="196">
          <cell r="C196">
            <v>0</v>
          </cell>
        </row>
        <row r="197">
          <cell r="D197">
            <v>-1003.86</v>
          </cell>
        </row>
        <row r="202">
          <cell r="C202">
            <v>0</v>
          </cell>
          <cell r="D202">
            <v>0</v>
          </cell>
        </row>
        <row r="203">
          <cell r="C203">
            <v>311323.43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7"/>
      <sheetName val="FA Continuity 2008"/>
      <sheetName val="FA Continuity 2009"/>
      <sheetName val="FA Continuity 2010"/>
      <sheetName val="FA Continuity 2011"/>
      <sheetName val="Rate Base Summary"/>
      <sheetName val="Trial Balance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2010 Balance Sheet"/>
      <sheetName val="2010 Income Statement"/>
      <sheetName val="2011 Balance Sheet"/>
      <sheetName val="2011 Income Statement"/>
      <sheetName val="Return on Capital"/>
      <sheetName val="Debt &amp; Capital Structure"/>
      <sheetName val="Tax rates"/>
      <sheetName val="CCA Continuity 2010"/>
      <sheetName val="CCA Continuity 2011"/>
      <sheetName val="Reserves Continuity"/>
      <sheetName val="Corporation Loss Continuity"/>
      <sheetName val="Tax Adjustments 2010"/>
      <sheetName val="Tax Adjustments 2011"/>
      <sheetName val="2011 Rev Deficiency"/>
      <sheetName val="Capital Tax &amp; Expense Schedules"/>
      <sheetName val="Revenue Requirement"/>
      <sheetName val="Compatibility Repor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7"/>
      <sheetName val="FA Continuity 2008"/>
      <sheetName val="FA Continuity 2009"/>
      <sheetName val="FA Continuity 2010"/>
      <sheetName val="FA Continuity 2011"/>
      <sheetName val="Rate Base Summary"/>
      <sheetName val="Trial Balance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2010 Balance Sheet"/>
      <sheetName val="2010 Income Statement"/>
      <sheetName val="2011 Balance Sheet"/>
      <sheetName val="2011 Income Statement"/>
      <sheetName val="Return on Capital"/>
      <sheetName val="Debt &amp; Capital Structure"/>
      <sheetName val="Tax rates"/>
      <sheetName val="CCA Continuity 2010"/>
      <sheetName val="CCA Continuity 2011"/>
      <sheetName val="Reserves Continuity"/>
      <sheetName val="Corporation Loss Continuity"/>
      <sheetName val="Tax Adjustments 2010"/>
      <sheetName val="Tax Adjustments 2011"/>
      <sheetName val="2011 Rev Deficiency"/>
      <sheetName val="Capital Tax &amp; Expense Schedules"/>
      <sheetName val="Revenue Requirement"/>
      <sheetName val="Compatibility Report"/>
    </sheetNames>
    <sheetDataSet>
      <sheetData sheetId="1">
        <row r="10">
          <cell r="D10">
            <v>380064</v>
          </cell>
          <cell r="E10">
            <v>4356.48</v>
          </cell>
        </row>
        <row r="11">
          <cell r="D11">
            <v>300911</v>
          </cell>
          <cell r="E11">
            <v>0</v>
          </cell>
        </row>
        <row r="12">
          <cell r="D12">
            <v>1450870</v>
          </cell>
          <cell r="E12">
            <v>0</v>
          </cell>
        </row>
        <row r="13">
          <cell r="D13">
            <v>0</v>
          </cell>
          <cell r="E13">
            <v>0</v>
          </cell>
        </row>
        <row r="14">
          <cell r="D14">
            <v>2802994</v>
          </cell>
          <cell r="E14">
            <v>280388.54</v>
          </cell>
        </row>
        <row r="15">
          <cell r="D15">
            <v>2388347</v>
          </cell>
          <cell r="E15">
            <v>689166.31</v>
          </cell>
        </row>
        <row r="16">
          <cell r="D16">
            <v>0</v>
          </cell>
          <cell r="E16">
            <v>0</v>
          </cell>
        </row>
        <row r="17">
          <cell r="D17">
            <v>16915729</v>
          </cell>
          <cell r="E17">
            <v>1264466.1</v>
          </cell>
        </row>
        <row r="18">
          <cell r="D18">
            <v>8333597</v>
          </cell>
          <cell r="E18">
            <v>1033102.07</v>
          </cell>
        </row>
        <row r="19">
          <cell r="D19">
            <v>3266245</v>
          </cell>
          <cell r="E19">
            <v>212024.57</v>
          </cell>
        </row>
        <row r="20">
          <cell r="D20">
            <v>6436211</v>
          </cell>
          <cell r="E20">
            <v>507984.77</v>
          </cell>
        </row>
        <row r="21">
          <cell r="D21">
            <v>9035687</v>
          </cell>
          <cell r="E21">
            <v>1039782.9299999999</v>
          </cell>
        </row>
        <row r="22">
          <cell r="D22">
            <v>1612317</v>
          </cell>
          <cell r="E22">
            <v>332524.37</v>
          </cell>
        </row>
        <row r="23">
          <cell r="D23">
            <v>3516132</v>
          </cell>
          <cell r="E23">
            <v>187555.52</v>
          </cell>
        </row>
        <row r="25">
          <cell r="D25">
            <v>211830</v>
          </cell>
          <cell r="E25">
            <v>41037.6</v>
          </cell>
        </row>
        <row r="26">
          <cell r="D26">
            <v>0</v>
          </cell>
          <cell r="E26">
            <v>0</v>
          </cell>
        </row>
        <row r="27">
          <cell r="D27">
            <v>1947788</v>
          </cell>
          <cell r="E27">
            <v>172902.65</v>
          </cell>
        </row>
        <row r="28">
          <cell r="D28">
            <v>6177</v>
          </cell>
          <cell r="E28">
            <v>0</v>
          </cell>
        </row>
        <row r="29">
          <cell r="D29">
            <v>111706</v>
          </cell>
          <cell r="E29">
            <v>15763.91</v>
          </cell>
        </row>
        <row r="30">
          <cell r="D30">
            <v>608350</v>
          </cell>
          <cell r="E30">
            <v>69851.61</v>
          </cell>
        </row>
        <row r="31">
          <cell r="D31">
            <v>198446</v>
          </cell>
          <cell r="E31">
            <v>55942.66</v>
          </cell>
        </row>
        <row r="32">
          <cell r="D32">
            <v>1300157</v>
          </cell>
        </row>
        <row r="33">
          <cell r="D33">
            <v>35068</v>
          </cell>
          <cell r="E33">
            <v>2495.7599999999948</v>
          </cell>
        </row>
        <row r="34">
          <cell r="D34">
            <v>212866</v>
          </cell>
          <cell r="E34">
            <v>16445.89</v>
          </cell>
        </row>
        <row r="35">
          <cell r="D35">
            <v>145541</v>
          </cell>
          <cell r="E35">
            <v>4600.26</v>
          </cell>
        </row>
        <row r="36">
          <cell r="D36">
            <v>0</v>
          </cell>
          <cell r="E36">
            <v>0</v>
          </cell>
        </row>
        <row r="37">
          <cell r="D37">
            <v>54931</v>
          </cell>
          <cell r="E37">
            <v>12118.77</v>
          </cell>
        </row>
        <row r="38">
          <cell r="D38">
            <v>82327</v>
          </cell>
          <cell r="E38">
            <v>20946.73</v>
          </cell>
        </row>
        <row r="39">
          <cell r="D39">
            <v>12276</v>
          </cell>
          <cell r="E39">
            <v>4288.26</v>
          </cell>
        </row>
        <row r="40">
          <cell r="D40">
            <v>0</v>
          </cell>
        </row>
        <row r="41">
          <cell r="D41">
            <v>612052</v>
          </cell>
          <cell r="E41">
            <v>29.31</v>
          </cell>
        </row>
        <row r="42">
          <cell r="D42">
            <v>0</v>
          </cell>
        </row>
        <row r="44">
          <cell r="D44">
            <v>-5796930</v>
          </cell>
          <cell r="E44">
            <v>-994215.61</v>
          </cell>
        </row>
        <row r="45">
          <cell r="D45">
            <v>10039</v>
          </cell>
          <cell r="E45">
            <v>0</v>
          </cell>
        </row>
        <row r="48">
          <cell r="D48">
            <v>0</v>
          </cell>
          <cell r="E48">
            <v>311323.43</v>
          </cell>
        </row>
      </sheetData>
      <sheetData sheetId="3">
        <row r="49">
          <cell r="J49">
            <v>2782084.9690809525</v>
          </cell>
        </row>
      </sheetData>
      <sheetData sheetId="5">
        <row r="10">
          <cell r="D10">
            <v>391259.13</v>
          </cell>
        </row>
        <row r="11">
          <cell r="D11">
            <v>303784.45</v>
          </cell>
        </row>
        <row r="12">
          <cell r="D12">
            <v>1615716.99</v>
          </cell>
        </row>
        <row r="13">
          <cell r="D13">
            <v>0</v>
          </cell>
        </row>
        <row r="14">
          <cell r="D14">
            <v>8912635.12</v>
          </cell>
        </row>
        <row r="15">
          <cell r="D15">
            <v>4165927.64</v>
          </cell>
        </row>
        <row r="16">
          <cell r="D16">
            <v>0</v>
          </cell>
        </row>
        <row r="17">
          <cell r="D17">
            <v>21173322.53</v>
          </cell>
          <cell r="J17">
            <v>923117.5712</v>
          </cell>
        </row>
        <row r="18">
          <cell r="D18">
            <v>12433314.29</v>
          </cell>
          <cell r="J18">
            <v>511092.57159999997</v>
          </cell>
        </row>
        <row r="19">
          <cell r="D19">
            <v>3965066.07</v>
          </cell>
        </row>
        <row r="20">
          <cell r="D20">
            <v>7886026.27</v>
          </cell>
        </row>
        <row r="21">
          <cell r="D21">
            <v>11907916.979999999</v>
          </cell>
        </row>
        <row r="22">
          <cell r="D22">
            <v>2771307.81</v>
          </cell>
        </row>
        <row r="23">
          <cell r="D23">
            <v>6506235.58</v>
          </cell>
        </row>
        <row r="25">
          <cell r="D25">
            <v>243636.05000000002</v>
          </cell>
        </row>
        <row r="26">
          <cell r="D26">
            <v>0</v>
          </cell>
        </row>
        <row r="27">
          <cell r="D27">
            <v>2315637.7199999997</v>
          </cell>
        </row>
        <row r="28">
          <cell r="D28">
            <v>6177</v>
          </cell>
        </row>
        <row r="29">
          <cell r="D29">
            <v>176971.62</v>
          </cell>
        </row>
        <row r="31">
          <cell r="D31">
            <v>530040.94</v>
          </cell>
        </row>
        <row r="44">
          <cell r="D44">
            <v>-8814020.350000001</v>
          </cell>
          <cell r="J44">
            <v>-362760.83400000003</v>
          </cell>
        </row>
      </sheetData>
      <sheetData sheetId="7">
        <row r="1">
          <cell r="A1" t="str">
            <v>Norfolk Power Distribution Inc</v>
          </cell>
        </row>
        <row r="2">
          <cell r="A2" t="str">
            <v>2011 Cost of Service Application, License Number ED-2002-0521, File Number EB-2010-0139</v>
          </cell>
        </row>
        <row r="81">
          <cell r="A81">
            <v>1805</v>
          </cell>
          <cell r="B81" t="str">
            <v>Land</v>
          </cell>
        </row>
        <row r="82">
          <cell r="A82">
            <v>1806</v>
          </cell>
          <cell r="B82" t="str">
            <v>Land Rights</v>
          </cell>
        </row>
        <row r="83">
          <cell r="A83">
            <v>1808</v>
          </cell>
          <cell r="B83" t="str">
            <v>Buildings and Fixtures</v>
          </cell>
        </row>
        <row r="84">
          <cell r="A84">
            <v>1810</v>
          </cell>
          <cell r="B84" t="str">
            <v>Leasehold Improvements</v>
          </cell>
        </row>
        <row r="85">
          <cell r="A85">
            <v>1815</v>
          </cell>
          <cell r="B85" t="str">
            <v>Transformer Station Equipment - Normally Primary above 50 kV</v>
          </cell>
        </row>
        <row r="86">
          <cell r="A86">
            <v>1820</v>
          </cell>
          <cell r="B86" t="str">
            <v>Distribution Station Equipment - Normally Primary below 50 kV</v>
          </cell>
        </row>
        <row r="87">
          <cell r="A87">
            <v>1825</v>
          </cell>
          <cell r="B87" t="str">
            <v>Storage Battery Equipment</v>
          </cell>
        </row>
        <row r="88">
          <cell r="A88">
            <v>1830</v>
          </cell>
          <cell r="B88" t="str">
            <v>Poles, Towers and Fixtures</v>
          </cell>
        </row>
        <row r="89">
          <cell r="A89">
            <v>1835</v>
          </cell>
          <cell r="B89" t="str">
            <v>Overhead Conductors and Devices</v>
          </cell>
        </row>
        <row r="90">
          <cell r="A90">
            <v>1840</v>
          </cell>
          <cell r="B90" t="str">
            <v>Underground Conduit</v>
          </cell>
        </row>
        <row r="91">
          <cell r="A91">
            <v>1845</v>
          </cell>
          <cell r="B91" t="str">
            <v>Underground Conductors and Devices</v>
          </cell>
        </row>
        <row r="92">
          <cell r="A92">
            <v>1850</v>
          </cell>
          <cell r="B92" t="str">
            <v>Line Transformers</v>
          </cell>
        </row>
        <row r="93">
          <cell r="A93">
            <v>1855</v>
          </cell>
          <cell r="B93" t="str">
            <v>Services</v>
          </cell>
        </row>
        <row r="94">
          <cell r="A94">
            <v>1860</v>
          </cell>
          <cell r="B94" t="str">
            <v>Meters</v>
          </cell>
        </row>
        <row r="95">
          <cell r="A95">
            <v>1865</v>
          </cell>
          <cell r="B95" t="str">
            <v>Other Installations on Customer's Premises</v>
          </cell>
        </row>
        <row r="96">
          <cell r="A96">
            <v>1905</v>
          </cell>
          <cell r="B96" t="str">
            <v>Land</v>
          </cell>
        </row>
        <row r="97">
          <cell r="A97">
            <v>1906</v>
          </cell>
          <cell r="B97" t="str">
            <v>Land Rights</v>
          </cell>
        </row>
        <row r="98">
          <cell r="A98">
            <v>1908</v>
          </cell>
          <cell r="B98" t="str">
            <v>Buildings and Fixtures</v>
          </cell>
        </row>
        <row r="99">
          <cell r="A99">
            <v>1910</v>
          </cell>
          <cell r="B99" t="str">
            <v>Leasehold Improvements</v>
          </cell>
        </row>
        <row r="100">
          <cell r="A100">
            <v>1915</v>
          </cell>
          <cell r="B100" t="str">
            <v>Office Furniture and Equipment</v>
          </cell>
        </row>
        <row r="101">
          <cell r="A101">
            <v>1920</v>
          </cell>
          <cell r="B101" t="str">
            <v>Computer Equipment - Hardware</v>
          </cell>
        </row>
        <row r="102">
          <cell r="A102">
            <v>1925</v>
          </cell>
          <cell r="B102" t="str">
            <v>Computer Software</v>
          </cell>
        </row>
        <row r="103">
          <cell r="A103">
            <v>1930</v>
          </cell>
          <cell r="B103" t="str">
            <v>Transportation Equipment</v>
          </cell>
        </row>
        <row r="104">
          <cell r="A104">
            <v>1935</v>
          </cell>
          <cell r="B104" t="str">
            <v>Stores Equipment</v>
          </cell>
        </row>
        <row r="105">
          <cell r="A105">
            <v>1940</v>
          </cell>
          <cell r="B105" t="str">
            <v>Tools, Shop and Garage Equipment</v>
          </cell>
        </row>
        <row r="106">
          <cell r="A106">
            <v>1945</v>
          </cell>
          <cell r="B106" t="str">
            <v>Measurement and Testing Equipment</v>
          </cell>
        </row>
        <row r="107">
          <cell r="A107">
            <v>1950</v>
          </cell>
          <cell r="B107" t="str">
            <v>Power Operated Equipment</v>
          </cell>
        </row>
        <row r="108">
          <cell r="A108">
            <v>1955</v>
          </cell>
          <cell r="B108" t="str">
            <v>Communication Equipment</v>
          </cell>
        </row>
        <row r="109">
          <cell r="A109">
            <v>1960</v>
          </cell>
          <cell r="B109" t="str">
            <v>Miscellaneous Equipment</v>
          </cell>
        </row>
        <row r="110">
          <cell r="A110">
            <v>1970</v>
          </cell>
          <cell r="B110" t="str">
            <v>Load Management Controls - Customer Premises </v>
          </cell>
        </row>
        <row r="111">
          <cell r="A111">
            <v>1975</v>
          </cell>
          <cell r="B111" t="str">
            <v>Load Management Controls - Utility Premises</v>
          </cell>
        </row>
        <row r="112">
          <cell r="A112">
            <v>1980</v>
          </cell>
          <cell r="B112" t="str">
            <v>System Supervisory Equipment</v>
          </cell>
        </row>
        <row r="113">
          <cell r="A113">
            <v>1985</v>
          </cell>
          <cell r="B113" t="str">
            <v>Sentinel Lighting Rentals</v>
          </cell>
        </row>
        <row r="114">
          <cell r="A114">
            <v>1990</v>
          </cell>
          <cell r="B114" t="str">
            <v>Other Tangible Property</v>
          </cell>
        </row>
        <row r="115">
          <cell r="A115">
            <v>1995</v>
          </cell>
          <cell r="B115" t="str">
            <v>Contributions and Grants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pane ySplit="9" topLeftCell="A10" activePane="bottomLeft" state="frozen"/>
      <selection pane="topLeft" activeCell="A45" sqref="A45"/>
      <selection pane="bottomLeft" activeCell="A3" sqref="A3:C3"/>
    </sheetView>
  </sheetViews>
  <sheetFormatPr defaultColWidth="9.140625" defaultRowHeight="12.75"/>
  <cols>
    <col min="1" max="1" width="7.57421875" style="176" customWidth="1"/>
    <col min="2" max="2" width="7.57421875" style="177" customWidth="1"/>
    <col min="3" max="3" width="46.140625" style="174" customWidth="1"/>
    <col min="4" max="4" width="12.57421875" style="174" bestFit="1" customWidth="1"/>
    <col min="5" max="5" width="12.140625" style="174" customWidth="1"/>
    <col min="6" max="7" width="9.421875" style="174" bestFit="1" customWidth="1"/>
    <col min="8" max="8" width="15.8515625" style="174" bestFit="1" customWidth="1"/>
    <col min="9" max="9" width="0.9921875" style="174" customWidth="1"/>
    <col min="10" max="10" width="15.421875" style="174" customWidth="1"/>
    <col min="11" max="11" width="12.7109375" style="174" customWidth="1"/>
    <col min="12" max="12" width="9.421875" style="174" bestFit="1" customWidth="1"/>
    <col min="13" max="13" width="11.7109375" style="174" customWidth="1"/>
    <col min="14" max="14" width="12.421875" style="174" customWidth="1"/>
    <col min="15" max="16384" width="9.140625" style="169" customWidth="1"/>
  </cols>
  <sheetData>
    <row r="1" spans="1:14" ht="12.75">
      <c r="A1" s="329" t="str">
        <f>'[5]Trial Balance'!A1:J1</f>
        <v>Norfolk Power Distribution Inc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ht="12.75">
      <c r="A2" s="329" t="str">
        <f>'[5]Trial Balance'!A2:J2</f>
        <v>2011 Cost of Service Application, License Number ED-2002-0521, File Number EB-2010-0139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.75">
      <c r="A3" s="330"/>
      <c r="B3" s="330"/>
      <c r="C3" s="330"/>
      <c r="D3" s="170"/>
      <c r="E3" s="171"/>
      <c r="F3" s="171"/>
      <c r="G3" s="171"/>
      <c r="H3" s="171"/>
      <c r="I3" s="172"/>
      <c r="J3" s="173"/>
      <c r="K3" s="173"/>
      <c r="L3" s="173"/>
      <c r="M3" s="173"/>
      <c r="N3" s="173"/>
    </row>
    <row r="4" spans="1:14" ht="12.75">
      <c r="A4" s="330" t="s">
        <v>245</v>
      </c>
      <c r="B4" s="330"/>
      <c r="C4" s="330"/>
      <c r="D4" s="170"/>
      <c r="E4" s="171"/>
      <c r="F4" s="171"/>
      <c r="G4" s="171"/>
      <c r="I4" s="172"/>
      <c r="J4" s="173"/>
      <c r="K4" s="173"/>
      <c r="L4" s="173"/>
      <c r="M4" s="173"/>
      <c r="N4" s="173"/>
    </row>
    <row r="5" spans="1:14" ht="12.75">
      <c r="A5" s="330" t="s">
        <v>246</v>
      </c>
      <c r="B5" s="330"/>
      <c r="C5" s="330"/>
      <c r="D5" s="170"/>
      <c r="E5" s="175"/>
      <c r="F5" s="171"/>
      <c r="G5" s="171"/>
      <c r="I5" s="172"/>
      <c r="J5" s="173"/>
      <c r="K5" s="173"/>
      <c r="L5" s="173"/>
      <c r="M5" s="173"/>
      <c r="N5" s="173"/>
    </row>
    <row r="6" spans="1:14" ht="12.75">
      <c r="A6" s="239"/>
      <c r="B6" s="226"/>
      <c r="C6" s="227"/>
      <c r="D6" s="227"/>
      <c r="E6" s="331" t="s">
        <v>7</v>
      </c>
      <c r="F6" s="332"/>
      <c r="G6" s="332"/>
      <c r="H6" s="333"/>
      <c r="I6" s="172"/>
      <c r="J6" s="331" t="s">
        <v>8</v>
      </c>
      <c r="K6" s="332"/>
      <c r="L6" s="332"/>
      <c r="M6" s="333"/>
      <c r="N6" s="241"/>
    </row>
    <row r="7" spans="1:14" ht="12.75">
      <c r="A7" s="239"/>
      <c r="B7" s="226"/>
      <c r="C7" s="240"/>
      <c r="D7" s="240"/>
      <c r="E7" s="322"/>
      <c r="F7" s="323"/>
      <c r="G7" s="323"/>
      <c r="H7" s="324"/>
      <c r="I7" s="172"/>
      <c r="J7" s="322"/>
      <c r="K7" s="323"/>
      <c r="L7" s="323"/>
      <c r="M7" s="324"/>
      <c r="N7" s="241"/>
    </row>
    <row r="8" spans="1:14" ht="12.75" customHeight="1">
      <c r="A8" s="325" t="s">
        <v>0</v>
      </c>
      <c r="B8" s="325" t="s">
        <v>1</v>
      </c>
      <c r="C8" s="325" t="s">
        <v>2</v>
      </c>
      <c r="D8" s="290" t="s">
        <v>278</v>
      </c>
      <c r="E8" s="320" t="s">
        <v>3</v>
      </c>
      <c r="F8" s="320" t="s">
        <v>4</v>
      </c>
      <c r="G8" s="320" t="s">
        <v>5</v>
      </c>
      <c r="H8" s="320" t="s">
        <v>6</v>
      </c>
      <c r="I8" s="327"/>
      <c r="J8" s="320" t="s">
        <v>3</v>
      </c>
      <c r="K8" s="320" t="s">
        <v>4</v>
      </c>
      <c r="L8" s="320" t="s">
        <v>5</v>
      </c>
      <c r="M8" s="320" t="s">
        <v>6</v>
      </c>
      <c r="N8" s="320" t="s">
        <v>49</v>
      </c>
    </row>
    <row r="9" spans="1:14" ht="12.75">
      <c r="A9" s="326"/>
      <c r="B9" s="326"/>
      <c r="C9" s="326"/>
      <c r="D9" s="291" t="s">
        <v>93</v>
      </c>
      <c r="E9" s="321" t="s">
        <v>247</v>
      </c>
      <c r="F9" s="321" t="s">
        <v>4</v>
      </c>
      <c r="G9" s="321"/>
      <c r="H9" s="321"/>
      <c r="I9" s="327"/>
      <c r="J9" s="321" t="s">
        <v>247</v>
      </c>
      <c r="K9" s="321" t="s">
        <v>4</v>
      </c>
      <c r="L9" s="321"/>
      <c r="M9" s="321"/>
      <c r="N9" s="321"/>
    </row>
    <row r="10" spans="1:14" ht="12.75">
      <c r="A10" s="180" t="str">
        <f>+'[1]FA Continuity 2006'!A10</f>
        <v>N/A</v>
      </c>
      <c r="B10" s="181">
        <f>+'[1]FA Continuity 2006'!B10</f>
        <v>1805</v>
      </c>
      <c r="C10" s="182" t="str">
        <f>+'[1]FA Continuity 2006'!C10</f>
        <v>Land</v>
      </c>
      <c r="D10" s="222">
        <v>0</v>
      </c>
      <c r="E10" s="183">
        <f>'[2]2007A to 2011FTY'!$C$6</f>
        <v>380064</v>
      </c>
      <c r="F10" s="183">
        <f>'[2]2007A to 2011FTY'!$C$7</f>
        <v>4356.48</v>
      </c>
      <c r="G10" s="183"/>
      <c r="H10" s="184">
        <f aca="true" t="shared" si="0" ref="H10:H45">E10+F10-G10</f>
        <v>384420.48</v>
      </c>
      <c r="I10" s="327"/>
      <c r="J10" s="183">
        <f>'[2]2007A to 2011FTY'!$D$6</f>
        <v>0</v>
      </c>
      <c r="K10" s="183">
        <f>-'[2]2007A to 2011FTY'!$D$8</f>
        <v>0</v>
      </c>
      <c r="L10" s="183"/>
      <c r="M10" s="184">
        <f aca="true" t="shared" si="1" ref="M10:M45">J10+K10-L10</f>
        <v>0</v>
      </c>
      <c r="N10" s="184">
        <f aca="true" t="shared" si="2" ref="N10:N45">H10-M10</f>
        <v>384420.48</v>
      </c>
    </row>
    <row r="11" spans="1:14" ht="12.75">
      <c r="A11" s="180" t="str">
        <f>+'[1]FA Continuity 2006'!A11</f>
        <v>CEC</v>
      </c>
      <c r="B11" s="181">
        <f>+'[1]FA Continuity 2006'!B11</f>
        <v>1806</v>
      </c>
      <c r="C11" s="182" t="str">
        <f>+'[1]FA Continuity 2006'!C11</f>
        <v>Land Rights</v>
      </c>
      <c r="D11" s="222">
        <v>0</v>
      </c>
      <c r="E11" s="183">
        <f>'[2]2007A to 2011FTY'!$C$13</f>
        <v>300911</v>
      </c>
      <c r="F11" s="183">
        <f>'[2]2007A to 2011FTY'!$C$14</f>
        <v>0</v>
      </c>
      <c r="G11" s="183"/>
      <c r="H11" s="184">
        <f t="shared" si="0"/>
        <v>300911</v>
      </c>
      <c r="I11" s="327"/>
      <c r="J11" s="183">
        <f>'[2]2007A to 2011FTY'!$D$13</f>
        <v>0</v>
      </c>
      <c r="K11" s="183">
        <f>-'[2]2007A to 2011FTY'!$D$15</f>
        <v>0</v>
      </c>
      <c r="L11" s="183"/>
      <c r="M11" s="184">
        <f t="shared" si="1"/>
        <v>0</v>
      </c>
      <c r="N11" s="184">
        <f t="shared" si="2"/>
        <v>300911</v>
      </c>
    </row>
    <row r="12" spans="1:14" ht="12.75">
      <c r="A12" s="180">
        <f>+'[1]FA Continuity 2006'!A12</f>
        <v>1</v>
      </c>
      <c r="B12" s="181">
        <f>+'[1]FA Continuity 2006'!B12</f>
        <v>1808</v>
      </c>
      <c r="C12" s="182" t="str">
        <f>+'[1]FA Continuity 2006'!C12</f>
        <v>Buildings and Fixtures</v>
      </c>
      <c r="D12" s="222">
        <v>0.02</v>
      </c>
      <c r="E12" s="183">
        <f>'[2]2007A to 2011FTY'!$C$20</f>
        <v>1450870</v>
      </c>
      <c r="F12" s="183">
        <f>'[2]2007A to 2011FTY'!$C$21</f>
        <v>0</v>
      </c>
      <c r="G12" s="183"/>
      <c r="H12" s="184">
        <f t="shared" si="0"/>
        <v>1450870</v>
      </c>
      <c r="I12" s="327"/>
      <c r="J12" s="183">
        <f>-'[2]2007A to 2011FTY'!$D$20</f>
        <v>58035</v>
      </c>
      <c r="K12" s="183">
        <f>-'[2]2007A to 2011FTY'!$D$22</f>
        <v>29017.41</v>
      </c>
      <c r="L12" s="183"/>
      <c r="M12" s="184">
        <f t="shared" si="1"/>
        <v>87052.41</v>
      </c>
      <c r="N12" s="184">
        <f t="shared" si="2"/>
        <v>1363817.59</v>
      </c>
    </row>
    <row r="13" spans="1:14" ht="12.75">
      <c r="A13" s="180">
        <v>13</v>
      </c>
      <c r="B13" s="181">
        <f>+'[1]FA Continuity 2006'!B13</f>
        <v>1810</v>
      </c>
      <c r="C13" s="182" t="str">
        <f>+'[1]FA Continuity 2006'!C13</f>
        <v>Leasehold Improvements</v>
      </c>
      <c r="D13" s="222">
        <v>0</v>
      </c>
      <c r="E13" s="183">
        <v>0</v>
      </c>
      <c r="F13" s="183">
        <v>0</v>
      </c>
      <c r="G13" s="183"/>
      <c r="H13" s="184">
        <f t="shared" si="0"/>
        <v>0</v>
      </c>
      <c r="I13" s="327"/>
      <c r="J13" s="183">
        <v>0</v>
      </c>
      <c r="K13" s="183">
        <f>0</f>
        <v>0</v>
      </c>
      <c r="L13" s="183"/>
      <c r="M13" s="184">
        <f t="shared" si="1"/>
        <v>0</v>
      </c>
      <c r="N13" s="184">
        <f t="shared" si="2"/>
        <v>0</v>
      </c>
    </row>
    <row r="14" spans="1:14" ht="12.75">
      <c r="A14" s="180">
        <v>47</v>
      </c>
      <c r="B14" s="181">
        <f>+'[1]FA Continuity 2006'!B14</f>
        <v>1815</v>
      </c>
      <c r="C14" s="216" t="str">
        <f>+'[1]FA Continuity 2006'!C14</f>
        <v>Transformer Station Equipment - Normally Primary above 50 kV</v>
      </c>
      <c r="D14" s="222">
        <v>0.025</v>
      </c>
      <c r="E14" s="183">
        <f>'[2]2007A to 2011FTY'!$C$27</f>
        <v>2802994</v>
      </c>
      <c r="F14" s="183">
        <f>'[2]2007A to 2011FTY'!$C$28</f>
        <v>280388.54</v>
      </c>
      <c r="G14" s="183"/>
      <c r="H14" s="184">
        <f t="shared" si="0"/>
        <v>3083382.54</v>
      </c>
      <c r="I14" s="327"/>
      <c r="J14" s="183">
        <f>-'[2]2007A to 2011FTY'!$D$27</f>
        <v>139989</v>
      </c>
      <c r="K14" s="183">
        <f>-'[2]2007A to 2011FTY'!$D$29</f>
        <v>73579.68675000001</v>
      </c>
      <c r="L14" s="183"/>
      <c r="M14" s="184">
        <f t="shared" si="1"/>
        <v>213568.68675</v>
      </c>
      <c r="N14" s="184">
        <f t="shared" si="2"/>
        <v>2869813.85325</v>
      </c>
    </row>
    <row r="15" spans="1:14" ht="12.75">
      <c r="A15" s="180">
        <v>47</v>
      </c>
      <c r="B15" s="181">
        <f>+'[1]FA Continuity 2006'!B15</f>
        <v>1820</v>
      </c>
      <c r="C15" s="216" t="str">
        <f>+'[1]FA Continuity 2006'!C15</f>
        <v>Distribution Station Equipment - Normally Primary below 50 kV</v>
      </c>
      <c r="D15" s="222">
        <v>0.033</v>
      </c>
      <c r="E15" s="183">
        <f>'[2]2007A to 2011FTY'!$C$34</f>
        <v>2388347</v>
      </c>
      <c r="F15" s="183">
        <f>'[2]2007A to 2011FTY'!$C$35</f>
        <v>689166.31</v>
      </c>
      <c r="G15" s="183"/>
      <c r="H15" s="184">
        <f t="shared" si="0"/>
        <v>3077513.31</v>
      </c>
      <c r="I15" s="327"/>
      <c r="J15" s="183">
        <f>-'[2]2007A to 2011FTY'!$D$34</f>
        <v>1404131</v>
      </c>
      <c r="K15" s="183">
        <f>-'[2]2007A to 2011FTY'!$D$36</f>
        <v>99660.15516666666</v>
      </c>
      <c r="L15" s="183"/>
      <c r="M15" s="184">
        <f t="shared" si="1"/>
        <v>1503791.1551666667</v>
      </c>
      <c r="N15" s="184">
        <f t="shared" si="2"/>
        <v>1573722.1548333333</v>
      </c>
    </row>
    <row r="16" spans="1:14" ht="12.75">
      <c r="A16" s="180">
        <v>47</v>
      </c>
      <c r="B16" s="181">
        <f>+'[1]FA Continuity 2006'!B16</f>
        <v>1825</v>
      </c>
      <c r="C16" s="182" t="str">
        <f>+'[1]FA Continuity 2006'!C16</f>
        <v>Storage Battery Equipment</v>
      </c>
      <c r="D16" s="222">
        <v>0</v>
      </c>
      <c r="E16" s="183">
        <f>0</f>
        <v>0</v>
      </c>
      <c r="F16" s="183">
        <v>0</v>
      </c>
      <c r="G16" s="183"/>
      <c r="H16" s="184">
        <f t="shared" si="0"/>
        <v>0</v>
      </c>
      <c r="I16" s="327"/>
      <c r="J16" s="183">
        <v>0</v>
      </c>
      <c r="K16" s="183">
        <v>0</v>
      </c>
      <c r="L16" s="183"/>
      <c r="M16" s="184">
        <f t="shared" si="1"/>
        <v>0</v>
      </c>
      <c r="N16" s="184">
        <f t="shared" si="2"/>
        <v>0</v>
      </c>
    </row>
    <row r="17" spans="1:14" ht="12.75">
      <c r="A17" s="180">
        <v>47</v>
      </c>
      <c r="B17" s="181">
        <f>+'[1]FA Continuity 2006'!B17</f>
        <v>1830</v>
      </c>
      <c r="C17" s="182" t="str">
        <f>+'[1]FA Continuity 2006'!C17</f>
        <v>Poles, Towers and Fixtures</v>
      </c>
      <c r="D17" s="222">
        <v>0.04</v>
      </c>
      <c r="E17" s="183">
        <f>'[2]2007A to 2011FTY'!$C$41</f>
        <v>16915729</v>
      </c>
      <c r="F17" s="183">
        <f>'[2]2007A to 2011FTY'!$C$42</f>
        <v>1264466.1</v>
      </c>
      <c r="G17" s="183"/>
      <c r="H17" s="184">
        <f t="shared" si="0"/>
        <v>18180195.1</v>
      </c>
      <c r="I17" s="327"/>
      <c r="J17" s="183">
        <f>-'[2]2007A to 2011FTY'!$D$41</f>
        <v>4030411</v>
      </c>
      <c r="K17" s="183">
        <f>-'[2]2007A to 2011FTY'!$D$43</f>
        <v>732823.1520000001</v>
      </c>
      <c r="L17" s="183"/>
      <c r="M17" s="184">
        <f t="shared" si="1"/>
        <v>4763234.152</v>
      </c>
      <c r="N17" s="184">
        <f t="shared" si="2"/>
        <v>13416960.948000003</v>
      </c>
    </row>
    <row r="18" spans="1:14" ht="12.75">
      <c r="A18" s="180">
        <f>+'[1]FA Continuity 2006'!A18</f>
        <v>1</v>
      </c>
      <c r="B18" s="181">
        <f>+'[1]FA Continuity 2006'!B18</f>
        <v>1835</v>
      </c>
      <c r="C18" s="182" t="str">
        <f>+'[1]FA Continuity 2006'!C18</f>
        <v>Overhead Conductors and Devices</v>
      </c>
      <c r="D18" s="222">
        <v>0.04</v>
      </c>
      <c r="E18" s="183">
        <f>'[2]2007A to 2011FTY'!$C$48</f>
        <v>8333597</v>
      </c>
      <c r="F18" s="183">
        <f>'[2]2007A to 2011FTY'!$C$49</f>
        <v>1033102.07</v>
      </c>
      <c r="G18" s="183"/>
      <c r="H18" s="184">
        <f t="shared" si="0"/>
        <v>9366699.07</v>
      </c>
      <c r="I18" s="327"/>
      <c r="J18" s="183">
        <f>-'[2]2007A to 2011FTY'!$D$48</f>
        <v>1432413</v>
      </c>
      <c r="K18" s="183">
        <f>-'[2]2007A to 2011FTY'!$D$50</f>
        <v>354005.9214</v>
      </c>
      <c r="L18" s="183"/>
      <c r="M18" s="184">
        <f t="shared" si="1"/>
        <v>1786418.9213999999</v>
      </c>
      <c r="N18" s="184">
        <f t="shared" si="2"/>
        <v>7580280.148600001</v>
      </c>
    </row>
    <row r="19" spans="1:14" ht="12.75">
      <c r="A19" s="180">
        <f>+'[1]FA Continuity 2006'!A19</f>
        <v>1</v>
      </c>
      <c r="B19" s="181">
        <f>+'[1]FA Continuity 2006'!B19</f>
        <v>1840</v>
      </c>
      <c r="C19" s="182" t="str">
        <f>+'[1]FA Continuity 2006'!C19</f>
        <v>Underground Conduit</v>
      </c>
      <c r="D19" s="222">
        <v>0.04</v>
      </c>
      <c r="E19" s="183">
        <f>'[2]2007A to 2011FTY'!$C$55</f>
        <v>3266245</v>
      </c>
      <c r="F19" s="183">
        <f>'[2]2007A to 2011FTY'!$C$56</f>
        <v>212024.57</v>
      </c>
      <c r="G19" s="183"/>
      <c r="H19" s="184">
        <f t="shared" si="0"/>
        <v>3478269.57</v>
      </c>
      <c r="I19" s="327"/>
      <c r="J19" s="183">
        <f>-'[2]2007A to 2011FTY'!$D$55</f>
        <v>991737</v>
      </c>
      <c r="K19" s="183">
        <f>-'[2]2007A to 2011FTY'!$D$57</f>
        <v>117498.01139999999</v>
      </c>
      <c r="L19" s="183"/>
      <c r="M19" s="184">
        <f t="shared" si="1"/>
        <v>1109235.0114</v>
      </c>
      <c r="N19" s="184">
        <f t="shared" si="2"/>
        <v>2369034.5586</v>
      </c>
    </row>
    <row r="20" spans="1:14" ht="12.75">
      <c r="A20" s="180">
        <f>+'[1]FA Continuity 2006'!A20</f>
        <v>1</v>
      </c>
      <c r="B20" s="181">
        <f>+'[1]FA Continuity 2006'!B20</f>
        <v>1845</v>
      </c>
      <c r="C20" s="182" t="str">
        <f>+'[1]FA Continuity 2006'!C20</f>
        <v>Underground Conductors and Devices</v>
      </c>
      <c r="D20" s="222">
        <v>0.04</v>
      </c>
      <c r="E20" s="183">
        <f>'[2]2007A to 2011FTY'!$C$62</f>
        <v>6436211</v>
      </c>
      <c r="F20" s="183">
        <f>'[2]2007A to 2011FTY'!$C$63</f>
        <v>507984.77</v>
      </c>
      <c r="G20" s="183"/>
      <c r="H20" s="184">
        <f t="shared" si="0"/>
        <v>6944195.77</v>
      </c>
      <c r="I20" s="327"/>
      <c r="J20" s="183">
        <f>-'[2]2007A to 2011FTY'!$D$62</f>
        <v>2006189</v>
      </c>
      <c r="K20" s="183">
        <f>-'[2]2007A to 2011FTY'!$D$64</f>
        <v>219411.12540000002</v>
      </c>
      <c r="L20" s="183"/>
      <c r="M20" s="184">
        <f t="shared" si="1"/>
        <v>2225600.1254000003</v>
      </c>
      <c r="N20" s="184">
        <f t="shared" si="2"/>
        <v>4718595.644599999</v>
      </c>
    </row>
    <row r="21" spans="1:14" ht="12.75">
      <c r="A21" s="180">
        <f>+'[1]FA Continuity 2006'!A21</f>
        <v>1</v>
      </c>
      <c r="B21" s="181">
        <f>+'[1]FA Continuity 2006'!B21</f>
        <v>1850</v>
      </c>
      <c r="C21" s="182" t="str">
        <f>+'[1]FA Continuity 2006'!C21</f>
        <v>Line Transformers</v>
      </c>
      <c r="D21" s="222">
        <v>0.04</v>
      </c>
      <c r="E21" s="183">
        <f>'[2]2007A to 2011FTY'!$C$69</f>
        <v>9035687</v>
      </c>
      <c r="F21" s="183">
        <f>'[2]2007A to 2011FTY'!$C$70</f>
        <v>1039782.9299999999</v>
      </c>
      <c r="G21" s="183"/>
      <c r="H21" s="184">
        <f t="shared" si="0"/>
        <v>10075469.93</v>
      </c>
      <c r="I21" s="327"/>
      <c r="J21" s="183">
        <f>-'[2]2007A to 2011FTY'!$D$69</f>
        <v>4693576</v>
      </c>
      <c r="K21" s="183">
        <f>-'[2]2007A to 2011FTY'!$D$71</f>
        <v>460080.3386</v>
      </c>
      <c r="L21" s="183"/>
      <c r="M21" s="184">
        <f t="shared" si="1"/>
        <v>5153656.3386</v>
      </c>
      <c r="N21" s="184">
        <f t="shared" si="2"/>
        <v>4921813.591399999</v>
      </c>
    </row>
    <row r="22" spans="1:14" ht="12.75">
      <c r="A22" s="180">
        <f>+'[1]FA Continuity 2006'!A22</f>
        <v>1</v>
      </c>
      <c r="B22" s="181">
        <f>+'[1]FA Continuity 2006'!B22</f>
        <v>1855</v>
      </c>
      <c r="C22" s="182" t="str">
        <f>+'[1]FA Continuity 2006'!C22</f>
        <v>Services</v>
      </c>
      <c r="D22" s="222">
        <v>0.04</v>
      </c>
      <c r="E22" s="183">
        <f>'[2]2007A to 2011FTY'!$C$76</f>
        <v>1612317</v>
      </c>
      <c r="F22" s="183">
        <f>'[2]2007A to 2011FTY'!$C$77</f>
        <v>332524.37</v>
      </c>
      <c r="G22" s="183"/>
      <c r="H22" s="184">
        <f t="shared" si="0"/>
        <v>1944841.37</v>
      </c>
      <c r="I22" s="327"/>
      <c r="J22" s="183">
        <f>-'[2]2007A to 2011FTY'!$D$76</f>
        <v>165267</v>
      </c>
      <c r="K22" s="183">
        <f>-'[2]2007A to 2011FTY'!$D$78</f>
        <v>71143.16739999999</v>
      </c>
      <c r="L22" s="183"/>
      <c r="M22" s="184">
        <f t="shared" si="1"/>
        <v>236410.16739999998</v>
      </c>
      <c r="N22" s="184">
        <f t="shared" si="2"/>
        <v>1708431.2026000002</v>
      </c>
    </row>
    <row r="23" spans="1:14" ht="12.75">
      <c r="A23" s="180">
        <f>+'[1]FA Continuity 2006'!A23</f>
        <v>1</v>
      </c>
      <c r="B23" s="181">
        <f>+'[1]FA Continuity 2006'!B23</f>
        <v>1860</v>
      </c>
      <c r="C23" s="182" t="str">
        <f>+'[1]FA Continuity 2006'!C23</f>
        <v>Meters</v>
      </c>
      <c r="D23" s="224">
        <v>0.04</v>
      </c>
      <c r="E23" s="183">
        <f>'[2]2007A to 2011FTY'!$C$83+'[2]2007A to 2011FTY'!$C$86</f>
        <v>3516132</v>
      </c>
      <c r="F23" s="183">
        <f>'[2]2007A to 2011FTY'!$C$84</f>
        <v>187555.52</v>
      </c>
      <c r="G23" s="183"/>
      <c r="H23" s="184">
        <f t="shared" si="0"/>
        <v>3703687.52</v>
      </c>
      <c r="I23" s="327"/>
      <c r="J23" s="183">
        <f>-'[2]2007A to 2011FTY'!$D$83</f>
        <v>1788658</v>
      </c>
      <c r="K23" s="183">
        <f>-'[2]2007A to 2011FTY'!$D$85</f>
        <v>136445.8604</v>
      </c>
      <c r="L23" s="183"/>
      <c r="M23" s="184">
        <f t="shared" si="1"/>
        <v>1925103.8604000001</v>
      </c>
      <c r="N23" s="184">
        <f t="shared" si="2"/>
        <v>1778583.6596</v>
      </c>
    </row>
    <row r="24" spans="1:14" ht="12.75">
      <c r="A24" s="180" t="e">
        <f>+'[1]FA Continuity 2006'!A24</f>
        <v>#REF!</v>
      </c>
      <c r="B24" s="181">
        <f>+'[1]FA Continuity 2006'!B24</f>
        <v>1865</v>
      </c>
      <c r="C24" s="182" t="str">
        <f>+'[1]FA Continuity 2006'!C24</f>
        <v>Other Installations on Customer's Premises</v>
      </c>
      <c r="D24" s="222">
        <v>0</v>
      </c>
      <c r="E24" s="183">
        <v>0</v>
      </c>
      <c r="F24" s="183">
        <v>0</v>
      </c>
      <c r="G24" s="183"/>
      <c r="H24" s="184">
        <f t="shared" si="0"/>
        <v>0</v>
      </c>
      <c r="I24" s="327"/>
      <c r="J24" s="183">
        <v>0</v>
      </c>
      <c r="K24" s="183">
        <v>0</v>
      </c>
      <c r="L24" s="183"/>
      <c r="M24" s="184">
        <f t="shared" si="1"/>
        <v>0</v>
      </c>
      <c r="N24" s="184">
        <f t="shared" si="2"/>
        <v>0</v>
      </c>
    </row>
    <row r="25" spans="1:14" ht="12.75">
      <c r="A25" s="180" t="str">
        <f>+'[1]FA Continuity 2006'!A25</f>
        <v>N/A</v>
      </c>
      <c r="B25" s="181">
        <f>+'[1]FA Continuity 2006'!B25</f>
        <v>1905</v>
      </c>
      <c r="C25" s="182" t="str">
        <f>+'[1]FA Continuity 2006'!C25</f>
        <v>Land</v>
      </c>
      <c r="D25" s="222">
        <v>0</v>
      </c>
      <c r="E25" s="183">
        <f>'[2]2007A to 2011FTY'!$C$90</f>
        <v>211830</v>
      </c>
      <c r="F25" s="183">
        <f>'[2]2007A to 2011FTY'!$C$91</f>
        <v>41037.6</v>
      </c>
      <c r="G25" s="183">
        <f>-'[2]2007A to 2011FTY'!$C$93</f>
        <v>10000</v>
      </c>
      <c r="H25" s="184">
        <f t="shared" si="0"/>
        <v>242867.6</v>
      </c>
      <c r="I25" s="327"/>
      <c r="J25" s="183">
        <f>-'[2]2007A to 2011FTY'!$D$90</f>
        <v>0</v>
      </c>
      <c r="K25" s="183">
        <f>-'[2]2007A to 2011FTY'!$D$92</f>
        <v>0</v>
      </c>
      <c r="L25" s="183"/>
      <c r="M25" s="184">
        <f t="shared" si="1"/>
        <v>0</v>
      </c>
      <c r="N25" s="184">
        <f t="shared" si="2"/>
        <v>242867.6</v>
      </c>
    </row>
    <row r="26" spans="1:14" ht="12.75">
      <c r="A26" s="180" t="str">
        <f>+'[1]FA Continuity 2006'!A26</f>
        <v>CEC</v>
      </c>
      <c r="B26" s="181">
        <f>+'[1]FA Continuity 2006'!B26</f>
        <v>1906</v>
      </c>
      <c r="C26" s="182" t="str">
        <f>+'[1]FA Continuity 2006'!C26</f>
        <v>Land Rights</v>
      </c>
      <c r="D26" s="222">
        <v>0</v>
      </c>
      <c r="E26" s="183">
        <v>0</v>
      </c>
      <c r="F26" s="183">
        <v>0</v>
      </c>
      <c r="G26" s="183"/>
      <c r="H26" s="184">
        <f t="shared" si="0"/>
        <v>0</v>
      </c>
      <c r="I26" s="327"/>
      <c r="J26" s="183">
        <f>0</f>
        <v>0</v>
      </c>
      <c r="K26" s="183">
        <v>0</v>
      </c>
      <c r="L26" s="183"/>
      <c r="M26" s="184">
        <f t="shared" si="1"/>
        <v>0</v>
      </c>
      <c r="N26" s="184">
        <f t="shared" si="2"/>
        <v>0</v>
      </c>
    </row>
    <row r="27" spans="1:14" ht="12.75">
      <c r="A27" s="180">
        <f>+'[1]FA Continuity 2006'!A27</f>
        <v>1</v>
      </c>
      <c r="B27" s="181">
        <f>+'[1]FA Continuity 2006'!B27</f>
        <v>1908</v>
      </c>
      <c r="C27" s="182" t="str">
        <f>+'[1]FA Continuity 2006'!C27</f>
        <v>Buildings and Fixtures</v>
      </c>
      <c r="D27" s="224" t="s">
        <v>281</v>
      </c>
      <c r="E27" s="183">
        <f>'[2]2007A to 2011FTY'!$C$97</f>
        <v>1947788</v>
      </c>
      <c r="F27" s="183">
        <f>'[2]2007A to 2011FTY'!$C$98</f>
        <v>172902.65</v>
      </c>
      <c r="G27" s="183"/>
      <c r="H27" s="184">
        <f t="shared" si="0"/>
        <v>2120690.65</v>
      </c>
      <c r="I27" s="327"/>
      <c r="J27" s="183">
        <f>-'[2]2007A to 2011FTY'!$D$97</f>
        <v>717033</v>
      </c>
      <c r="K27" s="183">
        <f>-'[2]2007A to 2011FTY'!$D$99</f>
        <v>28671.3065</v>
      </c>
      <c r="L27" s="183"/>
      <c r="M27" s="184">
        <f t="shared" si="1"/>
        <v>745704.3065</v>
      </c>
      <c r="N27" s="184">
        <f t="shared" si="2"/>
        <v>1374986.3435</v>
      </c>
    </row>
    <row r="28" spans="1:14" ht="12.75">
      <c r="A28" s="180" t="e">
        <f>+'[1]FA Continuity 2006'!A28</f>
        <v>#REF!</v>
      </c>
      <c r="B28" s="181">
        <f>+'[1]FA Continuity 2006'!B28</f>
        <v>1910</v>
      </c>
      <c r="C28" s="182" t="str">
        <f>+'[1]FA Continuity 2006'!C28</f>
        <v>Leasehold Improvements</v>
      </c>
      <c r="D28" s="222">
        <v>0.1</v>
      </c>
      <c r="E28" s="183">
        <f>'[2]2007A to 2011FTY'!$C$104</f>
        <v>6177</v>
      </c>
      <c r="F28" s="183">
        <f>'[2]2007A to 2011FTY'!$C$105</f>
        <v>0</v>
      </c>
      <c r="G28" s="183"/>
      <c r="H28" s="184">
        <f t="shared" si="0"/>
        <v>6177</v>
      </c>
      <c r="I28" s="327"/>
      <c r="J28" s="183">
        <f>-'[2]2007A to 2011FTY'!$D$104</f>
        <v>1304</v>
      </c>
      <c r="K28" s="183">
        <f>-'[2]2007A to 2011FTY'!$D$106</f>
        <v>639.7</v>
      </c>
      <c r="L28" s="183"/>
      <c r="M28" s="184">
        <f t="shared" si="1"/>
        <v>1943.7</v>
      </c>
      <c r="N28" s="184">
        <f t="shared" si="2"/>
        <v>4233.3</v>
      </c>
    </row>
    <row r="29" spans="1:14" ht="12.75">
      <c r="A29" s="180">
        <f>+'[1]FA Continuity 2006'!A29</f>
        <v>8</v>
      </c>
      <c r="B29" s="181">
        <f>+'[1]FA Continuity 2006'!B29</f>
        <v>1915</v>
      </c>
      <c r="C29" s="182" t="str">
        <f>+'[1]FA Continuity 2006'!C29</f>
        <v>Office Furniture and Equipment</v>
      </c>
      <c r="D29" s="222">
        <v>0.1</v>
      </c>
      <c r="E29" s="183">
        <f>'[2]2007A to 2011FTY'!$C$111</f>
        <v>111706</v>
      </c>
      <c r="F29" s="183">
        <f>'[2]2007A to 2011FTY'!$C$112</f>
        <v>15763.91</v>
      </c>
      <c r="G29" s="183"/>
      <c r="H29" s="184">
        <f t="shared" si="0"/>
        <v>127469.91</v>
      </c>
      <c r="I29" s="327"/>
      <c r="J29" s="183">
        <f>-'[2]2007A to 2011FTY'!$D$111</f>
        <v>39621</v>
      </c>
      <c r="K29" s="183">
        <f>-'[2]2007A to 2011FTY'!$D$113</f>
        <v>11793.8555</v>
      </c>
      <c r="L29" s="183"/>
      <c r="M29" s="184">
        <f t="shared" si="1"/>
        <v>51414.8555</v>
      </c>
      <c r="N29" s="184">
        <f t="shared" si="2"/>
        <v>76055.0545</v>
      </c>
    </row>
    <row r="30" spans="1:14" ht="12.75">
      <c r="A30" s="180">
        <f>+'[1]FA Continuity 2006'!A30</f>
        <v>45</v>
      </c>
      <c r="B30" s="181">
        <f>+'[1]FA Continuity 2006'!B30</f>
        <v>1920</v>
      </c>
      <c r="C30" s="182" t="str">
        <f>+'[1]FA Continuity 2006'!C30</f>
        <v>Computer Equipment - Hardware</v>
      </c>
      <c r="D30" s="222">
        <v>0.2</v>
      </c>
      <c r="E30" s="183">
        <f>'[2]2007A to 2011FTY'!$C$118</f>
        <v>608350</v>
      </c>
      <c r="F30" s="183">
        <f>'[2]2007A to 2011FTY'!$C$119</f>
        <v>69851.61</v>
      </c>
      <c r="G30" s="183"/>
      <c r="H30" s="184">
        <f t="shared" si="0"/>
        <v>678201.61</v>
      </c>
      <c r="I30" s="327"/>
      <c r="J30" s="183">
        <f>-'[2]2007A to 2011FTY'!$D$118</f>
        <v>337687</v>
      </c>
      <c r="K30" s="183">
        <f>-'[2]2007A to 2011FTY'!$D$120</f>
        <v>93289.06099999999</v>
      </c>
      <c r="L30" s="183"/>
      <c r="M30" s="184">
        <f t="shared" si="1"/>
        <v>430976.061</v>
      </c>
      <c r="N30" s="184">
        <f t="shared" si="2"/>
        <v>247225.549</v>
      </c>
    </row>
    <row r="31" spans="1:15" ht="12.75">
      <c r="A31" s="219" t="s">
        <v>273</v>
      </c>
      <c r="B31" s="181">
        <f>+'[1]FA Continuity 2006'!B31</f>
        <v>1925</v>
      </c>
      <c r="C31" s="182" t="str">
        <f>+'[1]FA Continuity 2006'!C31</f>
        <v>Computer Software</v>
      </c>
      <c r="D31" s="222">
        <v>0.2</v>
      </c>
      <c r="E31" s="183">
        <f>'[2]2007A to 2011FTY'!$C$125</f>
        <v>198446</v>
      </c>
      <c r="F31" s="183">
        <f>'[2]2007A to 2011FTY'!$C$126</f>
        <v>55942.66</v>
      </c>
      <c r="G31" s="183"/>
      <c r="H31" s="184">
        <f t="shared" si="0"/>
        <v>254388.66</v>
      </c>
      <c r="I31" s="327"/>
      <c r="J31" s="183">
        <f>-'[2]2007A to 2011FTY'!$D$125</f>
        <v>76936</v>
      </c>
      <c r="K31" s="183">
        <f>-'[2]2007A to 2011FTY'!$D$127</f>
        <v>45283.456000000006</v>
      </c>
      <c r="L31" s="183"/>
      <c r="M31" s="184">
        <f t="shared" si="1"/>
        <v>122219.456</v>
      </c>
      <c r="N31" s="184">
        <f t="shared" si="2"/>
        <v>132169.204</v>
      </c>
      <c r="O31" s="185"/>
    </row>
    <row r="32" spans="1:14" ht="12.75">
      <c r="A32" s="180">
        <f>+'[1]FA Continuity 2006'!A32</f>
        <v>10</v>
      </c>
      <c r="B32" s="181">
        <f>+'[1]FA Continuity 2006'!B32</f>
        <v>1930</v>
      </c>
      <c r="C32" s="182" t="str">
        <f>+'[1]FA Continuity 2006'!C32</f>
        <v>Transportation Equipment</v>
      </c>
      <c r="D32" s="222" t="s">
        <v>282</v>
      </c>
      <c r="E32" s="183">
        <f>'[2]2007A to 2011FTY'!$C$132</f>
        <v>1300157</v>
      </c>
      <c r="F32" s="183">
        <f>'[2]2007A to 2011FTY'!$C$133</f>
        <v>159090.11</v>
      </c>
      <c r="G32" s="183"/>
      <c r="H32" s="184">
        <f t="shared" si="0"/>
        <v>1459247.1099999999</v>
      </c>
      <c r="I32" s="327"/>
      <c r="J32" s="183">
        <f>-'[2]2007A to 2011FTY'!$D$132</f>
        <v>389084</v>
      </c>
      <c r="K32" s="183">
        <f>-'[2]2007A to 2011FTY'!$D$134</f>
        <v>146766.8705</v>
      </c>
      <c r="L32" s="183"/>
      <c r="M32" s="184">
        <f t="shared" si="1"/>
        <v>535850.8705</v>
      </c>
      <c r="N32" s="184">
        <f t="shared" si="2"/>
        <v>923396.2394999999</v>
      </c>
    </row>
    <row r="33" spans="1:17" ht="12.75">
      <c r="A33" s="180">
        <f>+'[1]FA Continuity 2006'!A33</f>
        <v>10</v>
      </c>
      <c r="B33" s="181">
        <f>+'[1]FA Continuity 2006'!B33</f>
        <v>1935</v>
      </c>
      <c r="C33" s="182" t="str">
        <f>+'[1]FA Continuity 2006'!C33</f>
        <v>Stores Equipment</v>
      </c>
      <c r="D33" s="222">
        <v>0.1</v>
      </c>
      <c r="E33" s="183">
        <f>'[2]2007A to 2011FTY'!$C$139</f>
        <v>35068</v>
      </c>
      <c r="F33" s="183">
        <f>'[2]2007A to 2011FTY'!$C$140</f>
        <v>2495.7599999999948</v>
      </c>
      <c r="G33" s="183"/>
      <c r="H33" s="184">
        <f t="shared" si="0"/>
        <v>37563.759999999995</v>
      </c>
      <c r="I33" s="327"/>
      <c r="J33" s="183">
        <f>-'[2]2007A to 2011FTY'!$D$139</f>
        <v>9817</v>
      </c>
      <c r="K33" s="183">
        <f>-'[2]2007A to 2011FTY'!$D$141</f>
        <v>3631.5879999999993</v>
      </c>
      <c r="L33" s="183"/>
      <c r="M33" s="184">
        <f t="shared" si="1"/>
        <v>13448.588</v>
      </c>
      <c r="N33" s="184">
        <f t="shared" si="2"/>
        <v>24115.171999999995</v>
      </c>
      <c r="Q33" s="186"/>
    </row>
    <row r="34" spans="1:14" ht="12.75">
      <c r="A34" s="180">
        <f>+'[1]FA Continuity 2006'!A34</f>
        <v>8</v>
      </c>
      <c r="B34" s="181">
        <f>+'[1]FA Continuity 2006'!B34</f>
        <v>1940</v>
      </c>
      <c r="C34" s="182" t="str">
        <f>+'[1]FA Continuity 2006'!C34</f>
        <v>Tools, Shop and Garage Equipment</v>
      </c>
      <c r="D34" s="222">
        <v>0.1</v>
      </c>
      <c r="E34" s="183">
        <f>'[2]2007A to 2011FTY'!$C$146</f>
        <v>212866</v>
      </c>
      <c r="F34" s="183">
        <f>'[2]2007A to 2011FTY'!$C$147</f>
        <v>16445.89</v>
      </c>
      <c r="G34" s="183"/>
      <c r="H34" s="184">
        <f t="shared" si="0"/>
        <v>229311.89</v>
      </c>
      <c r="I34" s="327"/>
      <c r="J34" s="183">
        <f>-'[2]2007A to 2011FTY'!$D$146</f>
        <v>66877</v>
      </c>
      <c r="K34" s="183">
        <f>-'[2]2007A to 2011FTY'!$D$148</f>
        <v>22108.9245</v>
      </c>
      <c r="L34" s="183"/>
      <c r="M34" s="184">
        <f t="shared" si="1"/>
        <v>88985.9245</v>
      </c>
      <c r="N34" s="184">
        <f t="shared" si="2"/>
        <v>140325.96550000002</v>
      </c>
    </row>
    <row r="35" spans="1:14" ht="12.75">
      <c r="A35" s="180">
        <v>8</v>
      </c>
      <c r="B35" s="181">
        <f>+'[1]FA Continuity 2006'!B35</f>
        <v>1945</v>
      </c>
      <c r="C35" s="182" t="str">
        <f>+'[1]FA Continuity 2006'!C35</f>
        <v>Measurement and Testing Equipment</v>
      </c>
      <c r="D35" s="222">
        <v>0.1</v>
      </c>
      <c r="E35" s="183">
        <f>'[2]2007A to 2011FTY'!$C$153</f>
        <v>145541</v>
      </c>
      <c r="F35" s="183">
        <f>'[2]2007A to 2011FTY'!$C$154</f>
        <v>4600.26</v>
      </c>
      <c r="G35" s="183"/>
      <c r="H35" s="184">
        <f t="shared" si="0"/>
        <v>150141.26</v>
      </c>
      <c r="I35" s="327"/>
      <c r="J35" s="183">
        <f>-'[2]2007A to 2011FTY'!$D$153</f>
        <v>44810</v>
      </c>
      <c r="K35" s="183">
        <f>-'[2]2007A to 2011FTY'!$D$155</f>
        <v>14784.163000000002</v>
      </c>
      <c r="L35" s="183"/>
      <c r="M35" s="184">
        <f t="shared" si="1"/>
        <v>59594.163</v>
      </c>
      <c r="N35" s="184">
        <f t="shared" si="2"/>
        <v>90547.09700000001</v>
      </c>
    </row>
    <row r="36" spans="1:14" ht="12.75">
      <c r="A36" s="180">
        <v>8</v>
      </c>
      <c r="B36" s="181">
        <f>+'[1]FA Continuity 2006'!B36</f>
        <v>1950</v>
      </c>
      <c r="C36" s="182" t="str">
        <f>+'[1]FA Continuity 2006'!C36</f>
        <v>Power Operated Equipment</v>
      </c>
      <c r="D36" s="222">
        <v>0</v>
      </c>
      <c r="E36" s="183">
        <v>0</v>
      </c>
      <c r="F36" s="183">
        <v>0</v>
      </c>
      <c r="G36" s="183"/>
      <c r="H36" s="184">
        <f t="shared" si="0"/>
        <v>0</v>
      </c>
      <c r="I36" s="327"/>
      <c r="J36" s="183">
        <v>0</v>
      </c>
      <c r="K36" s="183">
        <f>0</f>
        <v>0</v>
      </c>
      <c r="L36" s="183"/>
      <c r="M36" s="184">
        <f t="shared" si="1"/>
        <v>0</v>
      </c>
      <c r="N36" s="184">
        <f t="shared" si="2"/>
        <v>0</v>
      </c>
    </row>
    <row r="37" spans="1:14" ht="12.75">
      <c r="A37" s="180">
        <f>+'[1]FA Continuity 2006'!A37</f>
        <v>10</v>
      </c>
      <c r="B37" s="181">
        <f>+'[1]FA Continuity 2006'!B37</f>
        <v>1955</v>
      </c>
      <c r="C37" s="182" t="str">
        <f>+'[1]FA Continuity 2006'!C37</f>
        <v>Communication Equipment</v>
      </c>
      <c r="D37" s="222">
        <v>0.1</v>
      </c>
      <c r="E37" s="183">
        <f>'[2]2007A to 2011FTY'!$C$160</f>
        <v>54931</v>
      </c>
      <c r="F37" s="183">
        <f>'[2]2007A to 2011FTY'!$C$161</f>
        <v>12118.77</v>
      </c>
      <c r="G37" s="183"/>
      <c r="H37" s="184">
        <f t="shared" si="0"/>
        <v>67049.77</v>
      </c>
      <c r="I37" s="327"/>
      <c r="J37" s="183">
        <f>-'[2]2007A to 2011FTY'!$D$160</f>
        <v>19826</v>
      </c>
      <c r="K37" s="183">
        <f>-'[2]2007A to 2011FTY'!$D$162</f>
        <v>6099.0785000000005</v>
      </c>
      <c r="L37" s="183"/>
      <c r="M37" s="184">
        <f t="shared" si="1"/>
        <v>25925.0785</v>
      </c>
      <c r="N37" s="184">
        <f t="shared" si="2"/>
        <v>41124.6915</v>
      </c>
    </row>
    <row r="38" spans="1:14" ht="12.75">
      <c r="A38" s="180">
        <v>8</v>
      </c>
      <c r="B38" s="181">
        <f>+'[1]FA Continuity 2006'!B38</f>
        <v>1960</v>
      </c>
      <c r="C38" s="182" t="str">
        <f>+'[1]FA Continuity 2006'!C38</f>
        <v>Miscellaneous Equipment</v>
      </c>
      <c r="D38" s="222">
        <v>0.1</v>
      </c>
      <c r="E38" s="183">
        <f>'[2]2007A to 2011FTY'!$C$167</f>
        <v>82327</v>
      </c>
      <c r="F38" s="183">
        <f>'[2]2007A to 2011FTY'!$C$168</f>
        <v>20946.73</v>
      </c>
      <c r="G38" s="183"/>
      <c r="H38" s="184">
        <f t="shared" si="0"/>
        <v>103273.73</v>
      </c>
      <c r="I38" s="327"/>
      <c r="J38" s="183">
        <f>-'[2]2007A to 2011FTY'!$D$167</f>
        <v>15539</v>
      </c>
      <c r="K38" s="183">
        <f>-'[2]2007A to 2011FTY'!$D$169</f>
        <v>9065.031500000001</v>
      </c>
      <c r="L38" s="183"/>
      <c r="M38" s="184">
        <f t="shared" si="1"/>
        <v>24604.0315</v>
      </c>
      <c r="N38" s="184">
        <f t="shared" si="2"/>
        <v>78669.6985</v>
      </c>
    </row>
    <row r="39" spans="1:14" ht="12.75">
      <c r="A39" s="180">
        <v>47</v>
      </c>
      <c r="B39" s="181">
        <f>+'[1]FA Continuity 2006'!B39</f>
        <v>1970</v>
      </c>
      <c r="C39" s="182" t="str">
        <f>+'[1]FA Continuity 2006'!C39</f>
        <v>Load Management Controls - Customer Premises </v>
      </c>
      <c r="D39" s="222">
        <v>0.1</v>
      </c>
      <c r="E39" s="183">
        <f>'[2]2007A to 2011FTY'!$C$174</f>
        <v>12276</v>
      </c>
      <c r="F39" s="183">
        <f>'[2]2007A to 2011FTY'!$C$175</f>
        <v>4288.26</v>
      </c>
      <c r="G39" s="183"/>
      <c r="H39" s="184">
        <f t="shared" si="0"/>
        <v>16564.260000000002</v>
      </c>
      <c r="I39" s="327"/>
      <c r="J39" s="183">
        <f>-'[2]2007A to 2011FTY'!$D$174</f>
        <v>0</v>
      </c>
      <c r="K39" s="183">
        <f>-'[2]2007A to 2011FTY'!$D$176</f>
        <v>16564.66</v>
      </c>
      <c r="L39" s="183"/>
      <c r="M39" s="184">
        <f t="shared" si="1"/>
        <v>16564.66</v>
      </c>
      <c r="N39" s="294">
        <f t="shared" si="2"/>
        <v>-0.3999999999978172</v>
      </c>
    </row>
    <row r="40" spans="1:14" ht="12.75">
      <c r="A40" s="180">
        <v>47</v>
      </c>
      <c r="B40" s="181">
        <f>+'[1]FA Continuity 2006'!B40</f>
        <v>1975</v>
      </c>
      <c r="C40" s="182" t="str">
        <f>+'[1]FA Continuity 2006'!C40</f>
        <v>Load Management Controls - Utility Premises</v>
      </c>
      <c r="D40" s="222">
        <v>0.1</v>
      </c>
      <c r="E40" s="183">
        <v>0</v>
      </c>
      <c r="F40" s="183">
        <v>0</v>
      </c>
      <c r="G40" s="183"/>
      <c r="H40" s="184">
        <f t="shared" si="0"/>
        <v>0</v>
      </c>
      <c r="I40" s="327"/>
      <c r="J40" s="183">
        <v>0</v>
      </c>
      <c r="K40" s="183">
        <v>0</v>
      </c>
      <c r="L40" s="183"/>
      <c r="M40" s="184">
        <f t="shared" si="1"/>
        <v>0</v>
      </c>
      <c r="N40" s="184">
        <f t="shared" si="2"/>
        <v>0</v>
      </c>
    </row>
    <row r="41" spans="1:14" ht="12.75">
      <c r="A41" s="180">
        <v>47</v>
      </c>
      <c r="B41" s="181">
        <f>+'[1]FA Continuity 2006'!B41</f>
        <v>1980</v>
      </c>
      <c r="C41" s="182" t="str">
        <f>+'[1]FA Continuity 2006'!C41</f>
        <v>System Supervisory Equipment</v>
      </c>
      <c r="D41" s="222">
        <v>0.067</v>
      </c>
      <c r="E41" s="183">
        <f>'[2]2007A to 2011FTY'!$C$181</f>
        <v>612052</v>
      </c>
      <c r="F41" s="183">
        <f>'[2]2007A to 2011FTY'!$C$182</f>
        <v>29.31</v>
      </c>
      <c r="G41" s="183"/>
      <c r="H41" s="184">
        <f t="shared" si="0"/>
        <v>612081.31</v>
      </c>
      <c r="I41" s="327"/>
      <c r="J41" s="183">
        <f>-'[2]2007A to 2011FTY'!$D$181</f>
        <v>144168</v>
      </c>
      <c r="K41" s="183">
        <f>-'[2]2007A to 2011FTY'!$D$183</f>
        <v>40804.417</v>
      </c>
      <c r="L41" s="183"/>
      <c r="M41" s="184">
        <f t="shared" si="1"/>
        <v>184972.41700000002</v>
      </c>
      <c r="N41" s="184">
        <f t="shared" si="2"/>
        <v>427108.89300000004</v>
      </c>
    </row>
    <row r="42" spans="1:14" ht="12.75">
      <c r="A42" s="180">
        <v>47</v>
      </c>
      <c r="B42" s="181">
        <f>+'[1]FA Continuity 2006'!B42</f>
        <v>1985</v>
      </c>
      <c r="C42" s="182" t="str">
        <f>+'[1]FA Continuity 2006'!C42</f>
        <v>Sentinel Lighting Rentals</v>
      </c>
      <c r="D42" s="222">
        <v>0</v>
      </c>
      <c r="E42" s="183">
        <v>0</v>
      </c>
      <c r="F42" s="183">
        <v>0</v>
      </c>
      <c r="G42" s="183"/>
      <c r="H42" s="184">
        <f t="shared" si="0"/>
        <v>0</v>
      </c>
      <c r="I42" s="327"/>
      <c r="J42" s="183">
        <v>0</v>
      </c>
      <c r="K42" s="183">
        <v>0</v>
      </c>
      <c r="L42" s="183"/>
      <c r="M42" s="184">
        <f t="shared" si="1"/>
        <v>0</v>
      </c>
      <c r="N42" s="184">
        <f t="shared" si="2"/>
        <v>0</v>
      </c>
    </row>
    <row r="43" spans="1:14" ht="12" customHeight="1">
      <c r="A43" s="180">
        <v>47</v>
      </c>
      <c r="B43" s="181">
        <f>+'[1]FA Continuity 2006'!B43</f>
        <v>1990</v>
      </c>
      <c r="C43" s="182" t="str">
        <f>+'[1]FA Continuity 2006'!C43</f>
        <v>Other Tangible Property</v>
      </c>
      <c r="D43" s="222">
        <v>0</v>
      </c>
      <c r="E43" s="183">
        <v>0</v>
      </c>
      <c r="F43" s="183">
        <v>0</v>
      </c>
      <c r="G43" s="183"/>
      <c r="H43" s="184">
        <f t="shared" si="0"/>
        <v>0</v>
      </c>
      <c r="I43" s="327"/>
      <c r="J43" s="183">
        <v>0</v>
      </c>
      <c r="K43" s="183">
        <v>0</v>
      </c>
      <c r="L43" s="183"/>
      <c r="M43" s="184">
        <f t="shared" si="1"/>
        <v>0</v>
      </c>
      <c r="N43" s="184">
        <f t="shared" si="2"/>
        <v>0</v>
      </c>
    </row>
    <row r="44" spans="1:14" ht="12.75">
      <c r="A44" s="180">
        <v>47</v>
      </c>
      <c r="B44" s="181">
        <f>+'[1]FA Continuity 2006'!B44</f>
        <v>1995</v>
      </c>
      <c r="C44" s="182" t="str">
        <f>+'[1]FA Continuity 2006'!C44</f>
        <v>Contributions and Grants</v>
      </c>
      <c r="D44" s="222">
        <v>0.04</v>
      </c>
      <c r="E44" s="293">
        <f>'[2]2007A to 2011FTY'!$C$188</f>
        <v>-5796930</v>
      </c>
      <c r="F44" s="293">
        <f>'[2]2007A to 2011FTY'!$C$189</f>
        <v>-994215.61</v>
      </c>
      <c r="G44" s="183"/>
      <c r="H44" s="294">
        <f t="shared" si="0"/>
        <v>-6791145.61</v>
      </c>
      <c r="I44" s="327"/>
      <c r="J44" s="293">
        <f>-'[2]2007A to 2011FTY'!$D$188</f>
        <v>-783720</v>
      </c>
      <c r="K44" s="293">
        <f>-'[2]2007A to 2011FTY'!$D$190</f>
        <v>-251761.53220000002</v>
      </c>
      <c r="L44" s="183"/>
      <c r="M44" s="294">
        <f t="shared" si="1"/>
        <v>-1035481.5322</v>
      </c>
      <c r="N44" s="294">
        <f t="shared" si="2"/>
        <v>-5755664.0778</v>
      </c>
    </row>
    <row r="45" spans="1:14" ht="12.75">
      <c r="A45" s="180">
        <v>8</v>
      </c>
      <c r="B45" s="181">
        <f>+'[1]FA Continuity 2006'!B45</f>
        <v>2005</v>
      </c>
      <c r="C45" s="182" t="str">
        <f>+'[1]FA Continuity 2006'!C45</f>
        <v>Property under Capital Lease</v>
      </c>
      <c r="D45" s="222">
        <v>0.1</v>
      </c>
      <c r="E45" s="183">
        <f>'[2]2007A to 2011FTY'!$C$195</f>
        <v>10039</v>
      </c>
      <c r="F45" s="183">
        <f>'[2]2007A to 2011FTY'!$C$196</f>
        <v>0</v>
      </c>
      <c r="G45" s="183"/>
      <c r="H45" s="184">
        <f t="shared" si="0"/>
        <v>10039</v>
      </c>
      <c r="I45" s="327"/>
      <c r="J45" s="183">
        <f>-'[2]2007A to 2011FTY'!$D$195</f>
        <v>2008</v>
      </c>
      <c r="K45" s="183">
        <f>-'[2]2007A to 2011FTY'!$D$197</f>
        <v>1003.86</v>
      </c>
      <c r="L45" s="183"/>
      <c r="M45" s="184">
        <f t="shared" si="1"/>
        <v>3011.86</v>
      </c>
      <c r="N45" s="184">
        <f t="shared" si="2"/>
        <v>7027.139999999999</v>
      </c>
    </row>
    <row r="46" spans="1:14" ht="12.75">
      <c r="A46" s="180"/>
      <c r="B46" s="187"/>
      <c r="C46" s="188" t="s">
        <v>248</v>
      </c>
      <c r="D46" s="223"/>
      <c r="E46" s="189">
        <f>SUM(E10:E45)</f>
        <v>56191728</v>
      </c>
      <c r="F46" s="189">
        <f>SUM(F10:F45)</f>
        <v>5132649.569999998</v>
      </c>
      <c r="G46" s="189">
        <f>SUM(G10:G45)</f>
        <v>10000</v>
      </c>
      <c r="H46" s="189">
        <f>SUM(H10:H45)</f>
        <v>61314377.57000001</v>
      </c>
      <c r="I46" s="327"/>
      <c r="J46" s="189">
        <f>SUM(J10:J45)</f>
        <v>17791396</v>
      </c>
      <c r="K46" s="189">
        <f>SUM(K10:K45)</f>
        <v>2482409.268316668</v>
      </c>
      <c r="L46" s="189">
        <f>SUM(L10:L45)</f>
        <v>0</v>
      </c>
      <c r="M46" s="189">
        <f>SUM(M10:M45)</f>
        <v>20273805.26831666</v>
      </c>
      <c r="N46" s="189">
        <f>SUM(N10:N45)</f>
        <v>41040572.301683344</v>
      </c>
    </row>
    <row r="47" spans="1:14" ht="12.75">
      <c r="A47" s="180"/>
      <c r="B47" s="187"/>
      <c r="C47" s="182"/>
      <c r="D47" s="222"/>
      <c r="E47" s="184"/>
      <c r="F47" s="184"/>
      <c r="G47" s="184"/>
      <c r="H47" s="184"/>
      <c r="I47" s="327"/>
      <c r="J47" s="184"/>
      <c r="K47" s="184"/>
      <c r="L47" s="184"/>
      <c r="M47" s="184"/>
      <c r="N47" s="184"/>
    </row>
    <row r="48" spans="1:14" ht="12.75">
      <c r="A48" s="180" t="str">
        <f>+'[1]FA Continuity 2006'!A48</f>
        <v>WIP</v>
      </c>
      <c r="B48" s="181" t="e">
        <f>+'[1]FA Continuity 2006'!B48</f>
        <v>#REF!</v>
      </c>
      <c r="C48" s="182" t="str">
        <f>+'[1]FA Continuity 2006'!C48</f>
        <v>Work in Process</v>
      </c>
      <c r="D48" s="222">
        <v>0</v>
      </c>
      <c r="E48" s="184">
        <f>'[2]2007A to 2011FTY'!$C$202</f>
        <v>0</v>
      </c>
      <c r="F48" s="183">
        <f>'[2]2007A to 2011FTY'!$C$203</f>
        <v>311323.43</v>
      </c>
      <c r="G48" s="183"/>
      <c r="H48" s="184">
        <f>E48+F48-G48</f>
        <v>311323.43</v>
      </c>
      <c r="I48" s="327"/>
      <c r="J48" s="183">
        <f>-'[2]2007A to 2011FTY'!$D$202</f>
        <v>0</v>
      </c>
      <c r="K48" s="183">
        <v>0</v>
      </c>
      <c r="L48" s="183">
        <v>0</v>
      </c>
      <c r="M48" s="184">
        <f>J48+K48-L48</f>
        <v>0</v>
      </c>
      <c r="N48" s="184">
        <f>H48-M48</f>
        <v>311323.43</v>
      </c>
    </row>
    <row r="49" spans="1:14" ht="13.5" thickBot="1">
      <c r="A49" s="180"/>
      <c r="B49" s="187"/>
      <c r="C49" s="188" t="s">
        <v>249</v>
      </c>
      <c r="D49" s="223"/>
      <c r="E49" s="189">
        <f>SUM(E46:E48)</f>
        <v>56191728</v>
      </c>
      <c r="F49" s="189">
        <f>SUM(F46:F48)</f>
        <v>5443972.999999998</v>
      </c>
      <c r="G49" s="189">
        <f>SUM(G46:G48)</f>
        <v>10000</v>
      </c>
      <c r="H49" s="189">
        <f>SUM(H46:H48)</f>
        <v>61625701.00000001</v>
      </c>
      <c r="I49" s="328"/>
      <c r="J49" s="189">
        <f>SUM(J46:J48)</f>
        <v>17791396</v>
      </c>
      <c r="K49" s="189">
        <f>SUM(K46:K48)</f>
        <v>2482409.268316668</v>
      </c>
      <c r="L49" s="189">
        <f>SUM(L46:L48)</f>
        <v>0</v>
      </c>
      <c r="M49" s="189">
        <f>SUM(M46:M48)</f>
        <v>20273805.26831666</v>
      </c>
      <c r="N49" s="189">
        <f>SUM(N46:N48)</f>
        <v>41351895.73168334</v>
      </c>
    </row>
    <row r="50" spans="1:14" ht="13.5" thickTop="1">
      <c r="A50" s="238"/>
      <c r="B50" s="226"/>
      <c r="C50" s="227"/>
      <c r="D50" s="227"/>
      <c r="E50" s="228"/>
      <c r="F50" s="228"/>
      <c r="G50" s="228"/>
      <c r="H50" s="228"/>
      <c r="I50" s="228"/>
      <c r="J50" s="229"/>
      <c r="K50" s="228"/>
      <c r="L50" s="228"/>
      <c r="M50" s="228"/>
      <c r="N50" s="228"/>
    </row>
    <row r="51" spans="1:14" ht="12.75">
      <c r="A51" s="226"/>
      <c r="B51" s="226"/>
      <c r="C51" s="227"/>
      <c r="D51" s="227"/>
      <c r="E51" s="228"/>
      <c r="F51" s="228"/>
      <c r="G51" s="228"/>
      <c r="H51" s="228"/>
      <c r="I51" s="319" t="s">
        <v>250</v>
      </c>
      <c r="J51" s="319"/>
      <c r="K51" s="319"/>
      <c r="L51" s="228"/>
      <c r="M51" s="228"/>
      <c r="N51" s="228"/>
    </row>
    <row r="52" spans="1:14" ht="12.75">
      <c r="A52" s="166">
        <v>10</v>
      </c>
      <c r="B52" s="230">
        <f>B33</f>
        <v>1935</v>
      </c>
      <c r="C52" s="231" t="s">
        <v>44</v>
      </c>
      <c r="D52" s="232"/>
      <c r="E52" s="228"/>
      <c r="F52" s="228"/>
      <c r="G52" s="228"/>
      <c r="H52" s="228"/>
      <c r="I52" s="318" t="s">
        <v>44</v>
      </c>
      <c r="J52" s="318"/>
      <c r="K52" s="228">
        <f>+K32</f>
        <v>146766.8705</v>
      </c>
      <c r="L52" s="228"/>
      <c r="M52" s="228"/>
      <c r="N52" s="228"/>
    </row>
    <row r="53" spans="1:14" ht="12.75">
      <c r="A53" s="166">
        <v>10</v>
      </c>
      <c r="B53" s="230">
        <f>B34</f>
        <v>1940</v>
      </c>
      <c r="C53" s="231" t="s">
        <v>34</v>
      </c>
      <c r="D53" s="232"/>
      <c r="E53" s="228"/>
      <c r="F53" s="228"/>
      <c r="G53" s="228"/>
      <c r="H53" s="228"/>
      <c r="I53" s="318" t="s">
        <v>251</v>
      </c>
      <c r="J53" s="318"/>
      <c r="K53" s="228">
        <f>+K33+K34+K45</f>
        <v>26744.3725</v>
      </c>
      <c r="L53" s="228"/>
      <c r="M53" s="228"/>
      <c r="N53" s="228"/>
    </row>
    <row r="54" spans="1:14" ht="12.75">
      <c r="A54" s="220" t="s">
        <v>274</v>
      </c>
      <c r="B54" s="233" t="s">
        <v>261</v>
      </c>
      <c r="C54" s="231" t="s">
        <v>262</v>
      </c>
      <c r="D54" s="232"/>
      <c r="E54" s="228"/>
      <c r="F54" s="228"/>
      <c r="G54" s="228"/>
      <c r="H54" s="228"/>
      <c r="I54" s="234" t="s">
        <v>252</v>
      </c>
      <c r="J54" s="227"/>
      <c r="K54" s="228">
        <f>K30+K31</f>
        <v>138572.517</v>
      </c>
      <c r="L54" s="228"/>
      <c r="M54" s="235"/>
      <c r="N54" s="228"/>
    </row>
    <row r="55" spans="1:14" ht="13.5" thickBot="1">
      <c r="A55" s="169"/>
      <c r="B55" s="236"/>
      <c r="C55" s="236"/>
      <c r="D55" s="236"/>
      <c r="E55" s="228"/>
      <c r="F55" s="236"/>
      <c r="G55" s="236"/>
      <c r="H55" s="236"/>
      <c r="I55" s="319" t="s">
        <v>45</v>
      </c>
      <c r="J55" s="319"/>
      <c r="K55" s="237">
        <f>K49-K52-K53-K54</f>
        <v>2170325.5083166678</v>
      </c>
      <c r="L55" s="236"/>
      <c r="M55" s="236"/>
      <c r="N55" s="236"/>
    </row>
    <row r="56" spans="1:14" ht="13.5" thickTop="1">
      <c r="A56" s="169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</row>
    <row r="57" spans="1:14" ht="12.75">
      <c r="A57" s="169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</row>
    <row r="58" spans="1:14" ht="12.75">
      <c r="A58" s="169"/>
      <c r="B58" s="236"/>
      <c r="C58" s="236"/>
      <c r="D58" s="236"/>
      <c r="E58" s="235">
        <f>E49-J49</f>
        <v>38400332</v>
      </c>
      <c r="F58" s="236"/>
      <c r="G58" s="236"/>
      <c r="H58" s="236"/>
      <c r="I58" s="236"/>
      <c r="J58" s="236"/>
      <c r="K58" s="236"/>
      <c r="L58" s="236"/>
      <c r="M58" s="236"/>
      <c r="N58" s="236"/>
    </row>
    <row r="59" spans="1:14" ht="12.75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</row>
    <row r="60" spans="1:14" ht="12.75">
      <c r="A60" s="169"/>
      <c r="B60" s="169"/>
      <c r="C60" s="169"/>
      <c r="D60" s="169"/>
      <c r="E60" s="192"/>
      <c r="F60" s="169"/>
      <c r="G60" s="169"/>
      <c r="H60" s="169"/>
      <c r="I60" s="169"/>
      <c r="J60" s="172"/>
      <c r="K60" s="169"/>
      <c r="L60" s="169"/>
      <c r="M60" s="169"/>
      <c r="N60" s="169"/>
    </row>
    <row r="61" spans="1:14" ht="12.75">
      <c r="A61" s="169"/>
      <c r="B61" s="169"/>
      <c r="C61" s="169"/>
      <c r="D61" s="169"/>
      <c r="E61" s="192"/>
      <c r="F61" s="169"/>
      <c r="G61" s="169"/>
      <c r="H61" s="169"/>
      <c r="I61" s="169"/>
      <c r="J61" s="172"/>
      <c r="K61" s="169"/>
      <c r="L61" s="169"/>
      <c r="M61" s="169"/>
      <c r="N61" s="169"/>
    </row>
    <row r="62" spans="1:14" ht="12.75">
      <c r="A62" s="169"/>
      <c r="B62" s="169"/>
      <c r="C62" s="169"/>
      <c r="D62" s="169"/>
      <c r="E62" s="171"/>
      <c r="F62" s="169"/>
      <c r="G62" s="169"/>
      <c r="H62" s="169"/>
      <c r="I62" s="169"/>
      <c r="J62" s="173"/>
      <c r="K62" s="169"/>
      <c r="L62" s="169"/>
      <c r="M62" s="169"/>
      <c r="N62" s="169"/>
    </row>
    <row r="63" spans="1:14" ht="12.75">
      <c r="A63" s="169"/>
      <c r="B63" s="169"/>
      <c r="C63" s="169"/>
      <c r="D63" s="169"/>
      <c r="E63" s="171"/>
      <c r="F63" s="169"/>
      <c r="G63" s="169"/>
      <c r="H63" s="169"/>
      <c r="I63" s="169"/>
      <c r="J63" s="173"/>
      <c r="K63" s="169"/>
      <c r="L63" s="169"/>
      <c r="M63" s="169"/>
      <c r="N63" s="169"/>
    </row>
    <row r="64" spans="1:14" ht="12.75">
      <c r="A64" s="169"/>
      <c r="B64" s="169"/>
      <c r="C64" s="169"/>
      <c r="D64" s="169"/>
      <c r="E64" s="171"/>
      <c r="F64" s="169"/>
      <c r="G64" s="169"/>
      <c r="H64" s="169"/>
      <c r="I64" s="169"/>
      <c r="J64" s="173"/>
      <c r="K64" s="169"/>
      <c r="L64" s="169"/>
      <c r="M64" s="169"/>
      <c r="N64" s="169"/>
    </row>
    <row r="65" spans="1:14" ht="13.5" thickBot="1">
      <c r="A65" s="193"/>
      <c r="B65" s="194"/>
      <c r="C65" s="195"/>
      <c r="D65" s="172"/>
      <c r="E65" s="171"/>
      <c r="F65" s="196"/>
      <c r="G65" s="196"/>
      <c r="H65" s="195"/>
      <c r="I65" s="195"/>
      <c r="J65" s="173"/>
      <c r="K65" s="197"/>
      <c r="L65" s="197"/>
      <c r="M65" s="195"/>
      <c r="N65" s="198"/>
    </row>
    <row r="67" ht="12.75">
      <c r="L67" s="174">
        <f>+L64-L49</f>
        <v>0</v>
      </c>
    </row>
    <row r="68" ht="12.75">
      <c r="A68" s="185" t="s">
        <v>253</v>
      </c>
    </row>
    <row r="69" ht="12.75">
      <c r="A69" s="199" t="s">
        <v>254</v>
      </c>
    </row>
    <row r="70" ht="12.75">
      <c r="A70" s="200" t="s">
        <v>255</v>
      </c>
    </row>
  </sheetData>
  <sheetProtection/>
  <mergeCells count="26">
    <mergeCell ref="G8:G9"/>
    <mergeCell ref="H8:H9"/>
    <mergeCell ref="I8:I49"/>
    <mergeCell ref="A1:N1"/>
    <mergeCell ref="A2:N2"/>
    <mergeCell ref="A3:C3"/>
    <mergeCell ref="A4:C4"/>
    <mergeCell ref="A5:C5"/>
    <mergeCell ref="E6:H6"/>
    <mergeCell ref="J6:M6"/>
    <mergeCell ref="M8:M9"/>
    <mergeCell ref="N8:N9"/>
    <mergeCell ref="I51:K51"/>
    <mergeCell ref="E7:H7"/>
    <mergeCell ref="J7:M7"/>
    <mergeCell ref="A8:A9"/>
    <mergeCell ref="B8:B9"/>
    <mergeCell ref="C8:C9"/>
    <mergeCell ref="E8:E9"/>
    <mergeCell ref="F8:F9"/>
    <mergeCell ref="I52:J52"/>
    <mergeCell ref="I53:J53"/>
    <mergeCell ref="I55:J55"/>
    <mergeCell ref="J8:J9"/>
    <mergeCell ref="K8:K9"/>
    <mergeCell ref="L8:L9"/>
  </mergeCells>
  <printOptions/>
  <pageMargins left="0.7480314960629921" right="0.7480314960629921" top="0.984251968503937" bottom="0.984251968503937" header="0.5118110236220472" footer="0.5118110236220472"/>
  <pageSetup fitToHeight="5" horizontalDpi="355" verticalDpi="355" orientation="landscape" scale="65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zoomScalePageLayoutView="0" workbookViewId="0" topLeftCell="A4">
      <selection activeCell="A11" sqref="A11:M72"/>
    </sheetView>
  </sheetViews>
  <sheetFormatPr defaultColWidth="9.140625" defaultRowHeight="12.75"/>
  <cols>
    <col min="2" max="2" width="39.421875" style="0" customWidth="1"/>
    <col min="3" max="3" width="11.8515625" style="0" customWidth="1"/>
    <col min="4" max="4" width="12.8515625" style="0" customWidth="1"/>
    <col min="5" max="5" width="12.421875" style="0" customWidth="1"/>
    <col min="6" max="6" width="10.8515625" style="0" bestFit="1" customWidth="1"/>
    <col min="7" max="7" width="12.421875" style="0" customWidth="1"/>
    <col min="8" max="8" width="6.57421875" style="0" customWidth="1"/>
    <col min="9" max="9" width="12.28125" style="0" customWidth="1"/>
    <col min="10" max="11" width="12.7109375" style="0" customWidth="1"/>
    <col min="12" max="12" width="9.57421875" style="0" customWidth="1"/>
    <col min="13" max="13" width="5.28125" style="0" customWidth="1"/>
  </cols>
  <sheetData>
    <row r="1" spans="10:12" ht="12.75">
      <c r="J1" s="40" t="s">
        <v>50</v>
      </c>
      <c r="L1" s="68" t="s">
        <v>94</v>
      </c>
    </row>
    <row r="2" spans="10:12" ht="12.75">
      <c r="J2" s="40" t="s">
        <v>51</v>
      </c>
      <c r="L2" s="68">
        <v>4</v>
      </c>
    </row>
    <row r="3" spans="10:12" ht="12.75">
      <c r="J3" s="40" t="s">
        <v>52</v>
      </c>
      <c r="L3" s="68">
        <v>2</v>
      </c>
    </row>
    <row r="4" spans="10:12" ht="12.75">
      <c r="J4" s="40" t="s">
        <v>53</v>
      </c>
      <c r="L4" s="68">
        <v>7</v>
      </c>
    </row>
    <row r="5" spans="10:12" ht="12.75">
      <c r="J5" s="40" t="s">
        <v>54</v>
      </c>
      <c r="L5" s="68" t="s">
        <v>293</v>
      </c>
    </row>
    <row r="6" spans="10:12" ht="12.75">
      <c r="J6" s="40"/>
      <c r="L6" s="68"/>
    </row>
    <row r="7" spans="10:12" ht="12.75">
      <c r="J7" s="40" t="s">
        <v>55</v>
      </c>
      <c r="L7" s="69" t="s">
        <v>291</v>
      </c>
    </row>
    <row r="9" spans="1:10" ht="15.75">
      <c r="A9" s="339" t="s">
        <v>236</v>
      </c>
      <c r="B9" s="339"/>
      <c r="C9" s="339"/>
      <c r="D9" s="339"/>
      <c r="E9" s="339"/>
      <c r="F9" s="339"/>
      <c r="G9" s="339"/>
      <c r="H9" s="339"/>
      <c r="I9" s="339"/>
      <c r="J9" s="339"/>
    </row>
    <row r="11" spans="1:13" ht="39" customHeight="1">
      <c r="A11" s="341" t="s">
        <v>77</v>
      </c>
      <c r="B11" s="341" t="s">
        <v>2</v>
      </c>
      <c r="C11" s="278" t="s">
        <v>3</v>
      </c>
      <c r="D11" s="278" t="s">
        <v>88</v>
      </c>
      <c r="E11" s="278" t="s">
        <v>80</v>
      </c>
      <c r="F11" s="278" t="s">
        <v>4</v>
      </c>
      <c r="G11" s="278" t="s">
        <v>82</v>
      </c>
      <c r="H11" s="278" t="s">
        <v>83</v>
      </c>
      <c r="I11" s="278" t="s">
        <v>46</v>
      </c>
      <c r="J11" s="278" t="s">
        <v>86</v>
      </c>
      <c r="K11" s="279" t="s">
        <v>117</v>
      </c>
      <c r="L11" s="279"/>
      <c r="M11" s="280"/>
    </row>
    <row r="12" spans="1:13" ht="27">
      <c r="A12" s="342"/>
      <c r="B12" s="342"/>
      <c r="C12" s="281" t="s">
        <v>78</v>
      </c>
      <c r="D12" s="281" t="s">
        <v>79</v>
      </c>
      <c r="E12" s="281" t="s">
        <v>90</v>
      </c>
      <c r="F12" s="281" t="s">
        <v>81</v>
      </c>
      <c r="G12" s="282" t="s">
        <v>91</v>
      </c>
      <c r="H12" s="281" t="s">
        <v>84</v>
      </c>
      <c r="I12" s="281" t="s">
        <v>85</v>
      </c>
      <c r="J12" s="281" t="s">
        <v>87</v>
      </c>
      <c r="K12" s="283" t="s">
        <v>116</v>
      </c>
      <c r="L12" s="283" t="s">
        <v>122</v>
      </c>
      <c r="M12" s="284" t="s">
        <v>121</v>
      </c>
    </row>
    <row r="13" spans="1:13" ht="12.75">
      <c r="A13" s="5">
        <v>1805</v>
      </c>
      <c r="B13" s="2" t="s">
        <v>10</v>
      </c>
      <c r="C13" s="70">
        <v>391259.13</v>
      </c>
      <c r="D13" s="70">
        <v>0</v>
      </c>
      <c r="E13" s="70">
        <f>C13-D13</f>
        <v>391259.13</v>
      </c>
      <c r="F13" s="70">
        <v>0</v>
      </c>
      <c r="G13" s="70">
        <f>E13+(0.5*F13)</f>
        <v>391259.13</v>
      </c>
      <c r="H13" s="5">
        <v>0</v>
      </c>
      <c r="I13" s="72">
        <v>0</v>
      </c>
      <c r="J13" s="70">
        <v>0</v>
      </c>
      <c r="K13" s="70">
        <v>0</v>
      </c>
      <c r="L13" s="148">
        <f>K13-J13</f>
        <v>0</v>
      </c>
      <c r="M13" s="116"/>
    </row>
    <row r="14" spans="1:13" ht="12.75">
      <c r="A14" s="5">
        <v>1806</v>
      </c>
      <c r="B14" s="2" t="s">
        <v>25</v>
      </c>
      <c r="C14" s="70">
        <v>302784.45</v>
      </c>
      <c r="D14" s="70">
        <v>0</v>
      </c>
      <c r="E14" s="70">
        <f aca="true" t="shared" si="0" ref="E14:E57">C14-D14</f>
        <v>302784.45</v>
      </c>
      <c r="F14" s="70">
        <v>1000</v>
      </c>
      <c r="G14" s="70">
        <f aca="true" t="shared" si="1" ref="G14:G57">E14+(0.5*F14)</f>
        <v>303284.45</v>
      </c>
      <c r="H14" s="5">
        <v>0</v>
      </c>
      <c r="I14" s="72">
        <v>0</v>
      </c>
      <c r="J14" s="70">
        <v>0</v>
      </c>
      <c r="K14" s="70">
        <v>0</v>
      </c>
      <c r="L14" s="148">
        <f aca="true" t="shared" si="2" ref="L14:L57">K14-J14</f>
        <v>0</v>
      </c>
      <c r="M14" s="116"/>
    </row>
    <row r="15" spans="1:13" ht="12.75">
      <c r="A15" s="5">
        <v>1808</v>
      </c>
      <c r="B15" s="2" t="s">
        <v>11</v>
      </c>
      <c r="C15" s="70">
        <v>1615716.99</v>
      </c>
      <c r="D15" s="70">
        <v>0</v>
      </c>
      <c r="E15" s="70">
        <f t="shared" si="0"/>
        <v>1615716.99</v>
      </c>
      <c r="F15" s="70">
        <v>0</v>
      </c>
      <c r="G15" s="70">
        <f t="shared" si="1"/>
        <v>1615716.99</v>
      </c>
      <c r="H15" s="5">
        <v>50</v>
      </c>
      <c r="I15" s="72">
        <f aca="true" t="shared" si="3" ref="I15:I56">1/H15</f>
        <v>0.02</v>
      </c>
      <c r="J15" s="70">
        <f aca="true" t="shared" si="4" ref="J15:J56">G15/H15</f>
        <v>32314.3398</v>
      </c>
      <c r="K15" s="70">
        <v>32314.3498</v>
      </c>
      <c r="L15" s="148">
        <f t="shared" si="2"/>
        <v>0.00999999999839929</v>
      </c>
      <c r="M15" s="116"/>
    </row>
    <row r="16" spans="1:13" ht="12.75">
      <c r="A16" s="5">
        <v>1810</v>
      </c>
      <c r="B16" s="2" t="s">
        <v>47</v>
      </c>
      <c r="C16" s="70">
        <v>0</v>
      </c>
      <c r="D16" s="70">
        <v>0</v>
      </c>
      <c r="E16" s="70">
        <f t="shared" si="0"/>
        <v>0</v>
      </c>
      <c r="F16" s="70">
        <v>0</v>
      </c>
      <c r="G16" s="70">
        <f t="shared" si="1"/>
        <v>0</v>
      </c>
      <c r="H16" s="5">
        <v>0</v>
      </c>
      <c r="I16" s="72">
        <v>0</v>
      </c>
      <c r="J16" s="70">
        <v>0</v>
      </c>
      <c r="K16" s="70">
        <v>0</v>
      </c>
      <c r="L16" s="148">
        <f t="shared" si="2"/>
        <v>0</v>
      </c>
      <c r="M16" s="116"/>
    </row>
    <row r="17" spans="1:13" ht="12.75">
      <c r="A17" s="5">
        <v>1815</v>
      </c>
      <c r="B17" s="2" t="s">
        <v>12</v>
      </c>
      <c r="C17" s="70">
        <v>3215596.34</v>
      </c>
      <c r="D17" s="70">
        <v>0</v>
      </c>
      <c r="E17" s="70">
        <f t="shared" si="0"/>
        <v>3215596.34</v>
      </c>
      <c r="F17" s="70">
        <v>5697038.779999999</v>
      </c>
      <c r="G17" s="70">
        <f t="shared" si="1"/>
        <v>6064115.7299999995</v>
      </c>
      <c r="H17" s="5">
        <v>40</v>
      </c>
      <c r="I17" s="72">
        <f t="shared" si="3"/>
        <v>0.025</v>
      </c>
      <c r="J17" s="70">
        <f t="shared" si="4"/>
        <v>151602.89325</v>
      </c>
      <c r="K17" s="70">
        <v>151639.430375</v>
      </c>
      <c r="L17" s="148">
        <f t="shared" si="2"/>
        <v>36.53712500000256</v>
      </c>
      <c r="M17" s="116"/>
    </row>
    <row r="18" spans="1:13" ht="12.75">
      <c r="A18" s="5">
        <v>1820</v>
      </c>
      <c r="B18" s="2" t="s">
        <v>13</v>
      </c>
      <c r="C18" s="70">
        <v>4120927.64</v>
      </c>
      <c r="D18" s="70">
        <v>0</v>
      </c>
      <c r="E18" s="70">
        <f t="shared" si="0"/>
        <v>4120927.64</v>
      </c>
      <c r="F18" s="70">
        <v>45000</v>
      </c>
      <c r="G18" s="70">
        <f t="shared" si="1"/>
        <v>4143427.64</v>
      </c>
      <c r="H18" s="5">
        <v>30</v>
      </c>
      <c r="I18" s="72">
        <f t="shared" si="3"/>
        <v>0.03333333333333333</v>
      </c>
      <c r="J18" s="70">
        <f t="shared" si="4"/>
        <v>138114.25466666667</v>
      </c>
      <c r="K18" s="70">
        <v>87491.75233333334</v>
      </c>
      <c r="L18" s="148">
        <f t="shared" si="2"/>
        <v>-50622.50233333334</v>
      </c>
      <c r="M18" s="116">
        <v>1</v>
      </c>
    </row>
    <row r="19" spans="1:13" ht="12.75">
      <c r="A19" s="5">
        <v>1825</v>
      </c>
      <c r="B19" s="2" t="s">
        <v>14</v>
      </c>
      <c r="C19" s="70">
        <v>0</v>
      </c>
      <c r="D19" s="70">
        <v>0</v>
      </c>
      <c r="E19" s="70">
        <f t="shared" si="0"/>
        <v>0</v>
      </c>
      <c r="F19" s="70">
        <v>0</v>
      </c>
      <c r="G19" s="70">
        <f t="shared" si="1"/>
        <v>0</v>
      </c>
      <c r="H19" s="5">
        <v>0</v>
      </c>
      <c r="I19" s="72">
        <v>0</v>
      </c>
      <c r="J19" s="70">
        <v>0</v>
      </c>
      <c r="K19" s="70">
        <v>0</v>
      </c>
      <c r="L19" s="148">
        <f t="shared" si="2"/>
        <v>0</v>
      </c>
      <c r="M19" s="116"/>
    </row>
    <row r="20" spans="1:13" ht="12.75">
      <c r="A20" s="5">
        <v>1830</v>
      </c>
      <c r="B20" s="2" t="s">
        <v>15</v>
      </c>
      <c r="C20" s="70">
        <v>20011322.53</v>
      </c>
      <c r="D20" s="70">
        <v>0</v>
      </c>
      <c r="E20" s="70">
        <f t="shared" si="0"/>
        <v>20011322.53</v>
      </c>
      <c r="F20" s="70">
        <f>887000+275000</f>
        <v>1162000</v>
      </c>
      <c r="G20" s="70">
        <f t="shared" si="1"/>
        <v>20592322.53</v>
      </c>
      <c r="H20" s="5">
        <v>25</v>
      </c>
      <c r="I20" s="72">
        <f t="shared" si="3"/>
        <v>0.04</v>
      </c>
      <c r="J20" s="70">
        <f t="shared" si="4"/>
        <v>823692.9012000001</v>
      </c>
      <c r="K20" s="70">
        <v>854597.57</v>
      </c>
      <c r="L20" s="148">
        <f t="shared" si="2"/>
        <v>30904.66879999987</v>
      </c>
      <c r="M20" s="116">
        <v>2</v>
      </c>
    </row>
    <row r="21" spans="1:13" ht="12.75">
      <c r="A21" s="5">
        <v>1835</v>
      </c>
      <c r="B21" s="2" t="s">
        <v>18</v>
      </c>
      <c r="C21" s="70">
        <v>10965314.29</v>
      </c>
      <c r="D21" s="70">
        <v>0</v>
      </c>
      <c r="E21" s="70">
        <f t="shared" si="0"/>
        <v>10965314.29</v>
      </c>
      <c r="F21" s="70">
        <f>1193000+275000</f>
        <v>1468000</v>
      </c>
      <c r="G21" s="70">
        <f t="shared" si="1"/>
        <v>11699314.29</v>
      </c>
      <c r="H21" s="5">
        <v>25</v>
      </c>
      <c r="I21" s="72">
        <f t="shared" si="3"/>
        <v>0.04</v>
      </c>
      <c r="J21" s="70">
        <f t="shared" si="4"/>
        <v>467972.57159999997</v>
      </c>
      <c r="K21" s="70">
        <v>467972.57</v>
      </c>
      <c r="L21" s="148">
        <f t="shared" si="2"/>
        <v>-0.0015999999595806003</v>
      </c>
      <c r="M21" s="116"/>
    </row>
    <row r="22" spans="1:13" ht="12.75">
      <c r="A22" s="5">
        <v>1840</v>
      </c>
      <c r="B22" s="2" t="s">
        <v>16</v>
      </c>
      <c r="C22" s="70">
        <v>3845066.07</v>
      </c>
      <c r="D22" s="70">
        <v>0</v>
      </c>
      <c r="E22" s="70">
        <f t="shared" si="0"/>
        <v>3845066.07</v>
      </c>
      <c r="F22" s="70">
        <v>120000</v>
      </c>
      <c r="G22" s="70">
        <f t="shared" si="1"/>
        <v>3905066.07</v>
      </c>
      <c r="H22" s="5">
        <v>25</v>
      </c>
      <c r="I22" s="72">
        <f t="shared" si="3"/>
        <v>0.04</v>
      </c>
      <c r="J22" s="70">
        <f t="shared" si="4"/>
        <v>156202.6428</v>
      </c>
      <c r="K22" s="70">
        <v>138810.3628</v>
      </c>
      <c r="L22" s="148">
        <f t="shared" si="2"/>
        <v>-17392.28</v>
      </c>
      <c r="M22" s="116">
        <v>3</v>
      </c>
    </row>
    <row r="23" spans="1:13" ht="12.75">
      <c r="A23" s="5">
        <v>1845</v>
      </c>
      <c r="B23" s="2" t="s">
        <v>17</v>
      </c>
      <c r="C23" s="70">
        <v>7636026.27</v>
      </c>
      <c r="D23" s="70">
        <v>1204925</v>
      </c>
      <c r="E23" s="70">
        <f t="shared" si="0"/>
        <v>6431101.27</v>
      </c>
      <c r="F23" s="70">
        <v>250000</v>
      </c>
      <c r="G23" s="70">
        <f t="shared" si="1"/>
        <v>6556101.27</v>
      </c>
      <c r="H23" s="5">
        <v>25</v>
      </c>
      <c r="I23" s="72">
        <f t="shared" si="3"/>
        <v>0.04</v>
      </c>
      <c r="J23" s="70">
        <f t="shared" si="4"/>
        <v>262244.05079999997</v>
      </c>
      <c r="K23" s="70">
        <v>262244.0408</v>
      </c>
      <c r="L23" s="148">
        <f t="shared" si="2"/>
        <v>-0.009999999951105565</v>
      </c>
      <c r="M23" s="116"/>
    </row>
    <row r="24" spans="1:13" ht="12.75">
      <c r="A24" s="5">
        <v>1850</v>
      </c>
      <c r="B24" s="2" t="s">
        <v>19</v>
      </c>
      <c r="C24" s="70">
        <v>11237916.979999999</v>
      </c>
      <c r="D24" s="70">
        <v>0</v>
      </c>
      <c r="E24" s="70">
        <f t="shared" si="0"/>
        <v>11237916.979999999</v>
      </c>
      <c r="F24" s="70">
        <v>670000</v>
      </c>
      <c r="G24" s="70">
        <f t="shared" si="1"/>
        <v>11572916.979999999</v>
      </c>
      <c r="H24" s="5">
        <v>25</v>
      </c>
      <c r="I24" s="72">
        <f t="shared" si="3"/>
        <v>0.04</v>
      </c>
      <c r="J24" s="70">
        <f t="shared" si="4"/>
        <v>462916.67919999996</v>
      </c>
      <c r="K24" s="70">
        <v>540773.8792000001</v>
      </c>
      <c r="L24" s="148">
        <f t="shared" si="2"/>
        <v>77857.20000000013</v>
      </c>
      <c r="M24" s="116">
        <v>4</v>
      </c>
    </row>
    <row r="25" spans="1:13" ht="12.75">
      <c r="A25" s="5">
        <v>1855</v>
      </c>
      <c r="B25" s="2" t="s">
        <v>20</v>
      </c>
      <c r="C25" s="70">
        <v>2507307.81</v>
      </c>
      <c r="D25" s="70">
        <v>0</v>
      </c>
      <c r="E25" s="70">
        <f t="shared" si="0"/>
        <v>2507307.81</v>
      </c>
      <c r="F25" s="70">
        <v>264000</v>
      </c>
      <c r="G25" s="70">
        <f t="shared" si="1"/>
        <v>2639307.81</v>
      </c>
      <c r="H25" s="5">
        <v>25</v>
      </c>
      <c r="I25" s="72">
        <f t="shared" si="3"/>
        <v>0.04</v>
      </c>
      <c r="J25" s="70">
        <f t="shared" si="4"/>
        <v>105572.3124</v>
      </c>
      <c r="K25" s="70">
        <v>105572.3124</v>
      </c>
      <c r="L25" s="148">
        <f t="shared" si="2"/>
        <v>0</v>
      </c>
      <c r="M25" s="116"/>
    </row>
    <row r="26" spans="1:13" ht="12.75">
      <c r="A26" s="5">
        <v>1860</v>
      </c>
      <c r="B26" s="2" t="s">
        <v>21</v>
      </c>
      <c r="C26" s="70">
        <v>4025164.9</v>
      </c>
      <c r="D26" s="70">
        <v>0</v>
      </c>
      <c r="E26" s="70">
        <f t="shared" si="0"/>
        <v>4025164.9</v>
      </c>
      <c r="F26" s="70">
        <v>98000</v>
      </c>
      <c r="G26" s="70">
        <f t="shared" si="1"/>
        <v>4074164.9</v>
      </c>
      <c r="H26" s="5">
        <v>25</v>
      </c>
      <c r="I26" s="72">
        <f t="shared" si="3"/>
        <v>0.04</v>
      </c>
      <c r="J26" s="70">
        <f t="shared" si="4"/>
        <v>162966.596</v>
      </c>
      <c r="K26" s="70">
        <v>155016.066</v>
      </c>
      <c r="L26" s="148">
        <f t="shared" si="2"/>
        <v>-7950.529999999999</v>
      </c>
      <c r="M26" s="116">
        <v>5</v>
      </c>
    </row>
    <row r="27" spans="1:13" ht="12.75">
      <c r="A27" s="5">
        <v>1861</v>
      </c>
      <c r="B27" s="2" t="s">
        <v>22</v>
      </c>
      <c r="C27" s="70">
        <v>0</v>
      </c>
      <c r="D27" s="70">
        <v>0</v>
      </c>
      <c r="E27" s="70">
        <f t="shared" si="0"/>
        <v>0</v>
      </c>
      <c r="F27" s="70">
        <v>0</v>
      </c>
      <c r="G27" s="70">
        <f t="shared" si="1"/>
        <v>0</v>
      </c>
      <c r="H27" s="5">
        <v>15</v>
      </c>
      <c r="I27" s="72">
        <f t="shared" si="3"/>
        <v>0.06666666666666667</v>
      </c>
      <c r="J27" s="70">
        <f t="shared" si="4"/>
        <v>0</v>
      </c>
      <c r="K27" s="70">
        <v>0</v>
      </c>
      <c r="L27" s="148">
        <f t="shared" si="2"/>
        <v>0</v>
      </c>
      <c r="M27" s="116"/>
    </row>
    <row r="28" spans="1:13" ht="12.75">
      <c r="A28" s="5">
        <v>1861</v>
      </c>
      <c r="B28" s="2" t="s">
        <v>23</v>
      </c>
      <c r="C28" s="70">
        <v>0</v>
      </c>
      <c r="D28" s="70">
        <v>0</v>
      </c>
      <c r="E28" s="70">
        <f t="shared" si="0"/>
        <v>0</v>
      </c>
      <c r="F28" s="70">
        <v>0</v>
      </c>
      <c r="G28" s="70">
        <f t="shared" si="1"/>
        <v>0</v>
      </c>
      <c r="H28" s="5">
        <v>5</v>
      </c>
      <c r="I28" s="72">
        <f t="shared" si="3"/>
        <v>0.2</v>
      </c>
      <c r="J28" s="70">
        <f t="shared" si="4"/>
        <v>0</v>
      </c>
      <c r="K28" s="70">
        <v>0</v>
      </c>
      <c r="L28" s="148">
        <f t="shared" si="2"/>
        <v>0</v>
      </c>
      <c r="M28" s="116"/>
    </row>
    <row r="29" spans="1:13" ht="12.75">
      <c r="A29" s="5">
        <v>1905</v>
      </c>
      <c r="B29" s="2" t="s">
        <v>10</v>
      </c>
      <c r="C29" s="70">
        <v>243636.05000000002</v>
      </c>
      <c r="D29" s="70">
        <v>0</v>
      </c>
      <c r="E29" s="70">
        <f t="shared" si="0"/>
        <v>243636.05000000002</v>
      </c>
      <c r="F29" s="70">
        <v>0</v>
      </c>
      <c r="G29" s="70">
        <f t="shared" si="1"/>
        <v>243636.05000000002</v>
      </c>
      <c r="H29" s="5">
        <v>0</v>
      </c>
      <c r="I29" s="72">
        <v>0</v>
      </c>
      <c r="J29" s="70">
        <v>0</v>
      </c>
      <c r="K29" s="70">
        <v>0</v>
      </c>
      <c r="L29" s="148">
        <f t="shared" si="2"/>
        <v>0</v>
      </c>
      <c r="M29" s="116"/>
    </row>
    <row r="30" spans="1:13" ht="12.75">
      <c r="A30" s="5">
        <v>1906</v>
      </c>
      <c r="B30" s="2" t="s">
        <v>25</v>
      </c>
      <c r="C30" s="70">
        <v>0</v>
      </c>
      <c r="D30" s="70">
        <v>0</v>
      </c>
      <c r="E30" s="70">
        <f t="shared" si="0"/>
        <v>0</v>
      </c>
      <c r="F30" s="70">
        <v>0</v>
      </c>
      <c r="G30" s="70">
        <f t="shared" si="1"/>
        <v>0</v>
      </c>
      <c r="H30" s="5">
        <v>0</v>
      </c>
      <c r="I30" s="72">
        <v>0</v>
      </c>
      <c r="J30" s="70">
        <v>0</v>
      </c>
      <c r="K30" s="70">
        <v>0</v>
      </c>
      <c r="L30" s="148">
        <f t="shared" si="2"/>
        <v>0</v>
      </c>
      <c r="M30" s="116"/>
    </row>
    <row r="31" spans="1:13" ht="12.75">
      <c r="A31" s="5">
        <v>1908</v>
      </c>
      <c r="B31" s="2" t="s">
        <v>26</v>
      </c>
      <c r="C31" s="70">
        <v>2215637.7199999997</v>
      </c>
      <c r="D31" s="70">
        <v>0</v>
      </c>
      <c r="E31" s="70">
        <f t="shared" si="0"/>
        <v>2215637.7199999997</v>
      </c>
      <c r="F31" s="70">
        <v>100000</v>
      </c>
      <c r="G31" s="70">
        <f t="shared" si="1"/>
        <v>2265637.7199999997</v>
      </c>
      <c r="H31" s="5">
        <v>50</v>
      </c>
      <c r="I31" s="72">
        <f t="shared" si="3"/>
        <v>0.02</v>
      </c>
      <c r="J31" s="70">
        <f t="shared" si="4"/>
        <v>45312.7544</v>
      </c>
      <c r="K31" s="70">
        <v>33299.2744</v>
      </c>
      <c r="L31" s="148">
        <f t="shared" si="2"/>
        <v>-12013.479999999996</v>
      </c>
      <c r="M31" s="116">
        <v>6</v>
      </c>
    </row>
    <row r="32" spans="1:13" ht="12.75">
      <c r="A32" s="5">
        <v>1910</v>
      </c>
      <c r="B32" s="2" t="s">
        <v>47</v>
      </c>
      <c r="C32" s="70">
        <v>6177</v>
      </c>
      <c r="D32" s="70">
        <v>0</v>
      </c>
      <c r="E32" s="70">
        <f t="shared" si="0"/>
        <v>6177</v>
      </c>
      <c r="F32" s="70">
        <v>0</v>
      </c>
      <c r="G32" s="70">
        <f t="shared" si="1"/>
        <v>6177</v>
      </c>
      <c r="H32" s="5">
        <v>10</v>
      </c>
      <c r="I32" s="72">
        <f t="shared" si="3"/>
        <v>0.1</v>
      </c>
      <c r="J32" s="70">
        <f t="shared" si="4"/>
        <v>617.7</v>
      </c>
      <c r="K32" s="70">
        <v>639.7</v>
      </c>
      <c r="L32" s="148">
        <f t="shared" si="2"/>
        <v>22</v>
      </c>
      <c r="M32" s="116"/>
    </row>
    <row r="33" spans="1:13" ht="12.75">
      <c r="A33" s="5">
        <v>1915</v>
      </c>
      <c r="B33" s="2" t="s">
        <v>27</v>
      </c>
      <c r="C33" s="70">
        <v>146971.62</v>
      </c>
      <c r="D33" s="70">
        <v>0</v>
      </c>
      <c r="E33" s="70">
        <f t="shared" si="0"/>
        <v>146971.62</v>
      </c>
      <c r="F33" s="70">
        <v>30000</v>
      </c>
      <c r="G33" s="70">
        <f t="shared" si="1"/>
        <v>161971.62</v>
      </c>
      <c r="H33" s="5">
        <v>10</v>
      </c>
      <c r="I33" s="72">
        <f t="shared" si="3"/>
        <v>0.1</v>
      </c>
      <c r="J33" s="70">
        <f t="shared" si="4"/>
        <v>16197.162</v>
      </c>
      <c r="K33" s="70">
        <v>16230.231999999998</v>
      </c>
      <c r="L33" s="148">
        <f t="shared" si="2"/>
        <v>33.06999999999789</v>
      </c>
      <c r="M33" s="116"/>
    </row>
    <row r="34" spans="1:13" ht="12.75">
      <c r="A34" s="5">
        <v>1915</v>
      </c>
      <c r="B34" s="2" t="s">
        <v>28</v>
      </c>
      <c r="C34" s="70">
        <v>0</v>
      </c>
      <c r="D34" s="70">
        <v>0</v>
      </c>
      <c r="E34" s="70">
        <f t="shared" si="0"/>
        <v>0</v>
      </c>
      <c r="F34" s="70">
        <v>0</v>
      </c>
      <c r="G34" s="70">
        <f t="shared" si="1"/>
        <v>0</v>
      </c>
      <c r="H34" s="5">
        <v>5</v>
      </c>
      <c r="I34" s="72">
        <f t="shared" si="3"/>
        <v>0.2</v>
      </c>
      <c r="J34" s="70">
        <f t="shared" si="4"/>
        <v>0</v>
      </c>
      <c r="K34" s="70">
        <v>0</v>
      </c>
      <c r="L34" s="148">
        <f t="shared" si="2"/>
        <v>0</v>
      </c>
      <c r="M34" s="116"/>
    </row>
    <row r="35" spans="1:13" ht="12.75">
      <c r="A35" s="5">
        <v>1920</v>
      </c>
      <c r="B35" s="2" t="s">
        <v>29</v>
      </c>
      <c r="C35" s="70">
        <v>379501.22</v>
      </c>
      <c r="D35" s="70">
        <v>25839.26</v>
      </c>
      <c r="E35" s="70">
        <f t="shared" si="0"/>
        <v>353661.95999999996</v>
      </c>
      <c r="F35" s="70">
        <v>0</v>
      </c>
      <c r="G35" s="70">
        <f t="shared" si="1"/>
        <v>353661.95999999996</v>
      </c>
      <c r="H35" s="5">
        <v>10</v>
      </c>
      <c r="I35" s="72">
        <f t="shared" si="3"/>
        <v>0.1</v>
      </c>
      <c r="J35" s="70">
        <f t="shared" si="4"/>
        <v>35366.195999999996</v>
      </c>
      <c r="K35" s="70">
        <v>35366.21</v>
      </c>
      <c r="L35" s="148">
        <f t="shared" si="2"/>
        <v>0.014000000002852175</v>
      </c>
      <c r="M35" s="116"/>
    </row>
    <row r="36" spans="1:13" ht="12.75">
      <c r="A36" s="5">
        <v>1921</v>
      </c>
      <c r="B36" s="2" t="s">
        <v>30</v>
      </c>
      <c r="C36" s="70">
        <v>228848.38</v>
      </c>
      <c r="D36" s="70">
        <v>184946.51</v>
      </c>
      <c r="E36" s="70">
        <f t="shared" si="0"/>
        <v>43901.869999999995</v>
      </c>
      <c r="F36" s="70">
        <v>0</v>
      </c>
      <c r="G36" s="70">
        <f t="shared" si="1"/>
        <v>43901.869999999995</v>
      </c>
      <c r="H36" s="5">
        <v>5</v>
      </c>
      <c r="I36" s="72">
        <f t="shared" si="3"/>
        <v>0.2</v>
      </c>
      <c r="J36" s="70">
        <f t="shared" si="4"/>
        <v>8780.374</v>
      </c>
      <c r="K36" s="70">
        <v>8780.37</v>
      </c>
      <c r="L36" s="148">
        <f t="shared" si="2"/>
        <v>-0.003999999998995918</v>
      </c>
      <c r="M36" s="116"/>
    </row>
    <row r="37" spans="1:13" ht="12.75">
      <c r="A37" s="5">
        <v>1921</v>
      </c>
      <c r="B37" s="2" t="s">
        <v>31</v>
      </c>
      <c r="C37" s="70">
        <f>259672+26697.63+1</f>
        <v>286370.63</v>
      </c>
      <c r="D37" s="70">
        <v>0</v>
      </c>
      <c r="E37" s="70">
        <f t="shared" si="0"/>
        <v>286370.63</v>
      </c>
      <c r="F37" s="70">
        <v>115800</v>
      </c>
      <c r="G37" s="70">
        <f t="shared" si="1"/>
        <v>344270.63</v>
      </c>
      <c r="H37" s="5">
        <v>5</v>
      </c>
      <c r="I37" s="72">
        <f t="shared" si="3"/>
        <v>0.2</v>
      </c>
      <c r="J37" s="70">
        <f t="shared" si="4"/>
        <v>68854.126</v>
      </c>
      <c r="K37" s="70">
        <f>58823.31+10030.6</f>
        <v>68853.91</v>
      </c>
      <c r="L37" s="148">
        <f t="shared" si="2"/>
        <v>-0.21600000000034925</v>
      </c>
      <c r="M37" s="116"/>
    </row>
    <row r="38" spans="1:13" ht="12.75">
      <c r="A38" s="5">
        <v>1925</v>
      </c>
      <c r="B38" s="2" t="s">
        <v>32</v>
      </c>
      <c r="C38" s="70">
        <v>344798.37</v>
      </c>
      <c r="D38" s="70">
        <f>119988.46+27120.04</f>
        <v>147108.5</v>
      </c>
      <c r="E38" s="70">
        <f t="shared" si="0"/>
        <v>197689.87</v>
      </c>
      <c r="F38" s="70">
        <v>52500</v>
      </c>
      <c r="G38" s="70">
        <f t="shared" si="1"/>
        <v>223939.87</v>
      </c>
      <c r="H38" s="5">
        <v>5</v>
      </c>
      <c r="I38" s="72">
        <f t="shared" si="3"/>
        <v>0.2</v>
      </c>
      <c r="J38" s="70">
        <f t="shared" si="4"/>
        <v>44787.974</v>
      </c>
      <c r="K38" s="70">
        <v>46232.888</v>
      </c>
      <c r="L38" s="148">
        <f t="shared" si="2"/>
        <v>1444.913999999997</v>
      </c>
      <c r="M38" s="116">
        <v>7</v>
      </c>
    </row>
    <row r="39" spans="1:13" ht="12.75">
      <c r="A39" s="5">
        <v>1930</v>
      </c>
      <c r="B39" s="2" t="s">
        <v>119</v>
      </c>
      <c r="C39" s="70">
        <f>889868-144439</f>
        <v>745429</v>
      </c>
      <c r="D39" s="70"/>
      <c r="E39" s="70">
        <f t="shared" si="0"/>
        <v>745429</v>
      </c>
      <c r="F39" s="70">
        <v>0</v>
      </c>
      <c r="G39" s="70">
        <f t="shared" si="1"/>
        <v>745429</v>
      </c>
      <c r="H39" s="5">
        <v>10</v>
      </c>
      <c r="I39" s="72">
        <f t="shared" si="3"/>
        <v>0.1</v>
      </c>
      <c r="J39" s="70">
        <f t="shared" si="4"/>
        <v>74542.9</v>
      </c>
      <c r="K39" s="70">
        <v>100982.16</v>
      </c>
      <c r="L39" s="148">
        <f t="shared" si="2"/>
        <v>26439.26000000001</v>
      </c>
      <c r="M39" s="116">
        <v>8</v>
      </c>
    </row>
    <row r="40" spans="1:13" ht="12.75">
      <c r="A40" s="5" t="s">
        <v>101</v>
      </c>
      <c r="B40" s="2" t="s">
        <v>105</v>
      </c>
      <c r="C40" s="70">
        <v>16866.11</v>
      </c>
      <c r="D40" s="70"/>
      <c r="E40" s="70">
        <f t="shared" si="0"/>
        <v>16866.11</v>
      </c>
      <c r="F40" s="70">
        <v>0</v>
      </c>
      <c r="G40" s="70">
        <f t="shared" si="1"/>
        <v>16866.11</v>
      </c>
      <c r="H40" s="5">
        <v>4</v>
      </c>
      <c r="I40" s="72">
        <f t="shared" si="3"/>
        <v>0.25</v>
      </c>
      <c r="J40" s="70">
        <f t="shared" si="4"/>
        <v>4216.5275</v>
      </c>
      <c r="K40" s="70">
        <v>1405.49</v>
      </c>
      <c r="L40" s="148">
        <f t="shared" si="2"/>
        <v>-2811.0375000000004</v>
      </c>
      <c r="M40" s="116">
        <v>9</v>
      </c>
    </row>
    <row r="41" spans="1:13" ht="12.75">
      <c r="A41" s="5" t="s">
        <v>102</v>
      </c>
      <c r="B41" s="2" t="s">
        <v>106</v>
      </c>
      <c r="C41" s="70">
        <v>155308.52</v>
      </c>
      <c r="D41" s="70"/>
      <c r="E41" s="70">
        <f t="shared" si="0"/>
        <v>155308.52</v>
      </c>
      <c r="F41" s="70">
        <v>0</v>
      </c>
      <c r="G41" s="70">
        <f t="shared" si="1"/>
        <v>155308.52</v>
      </c>
      <c r="H41" s="5">
        <v>5</v>
      </c>
      <c r="I41" s="72">
        <f t="shared" si="3"/>
        <v>0.2</v>
      </c>
      <c r="J41" s="70">
        <f t="shared" si="4"/>
        <v>31061.703999999998</v>
      </c>
      <c r="K41" s="70">
        <v>31061.7</v>
      </c>
      <c r="L41" s="148">
        <f t="shared" si="2"/>
        <v>-0.0039999999971769284</v>
      </c>
      <c r="M41" s="116"/>
    </row>
    <row r="42" spans="1:13" ht="12.75">
      <c r="A42" s="5" t="s">
        <v>103</v>
      </c>
      <c r="B42" s="2" t="s">
        <v>107</v>
      </c>
      <c r="C42" s="70">
        <v>327451.41</v>
      </c>
      <c r="D42" s="70"/>
      <c r="E42" s="70">
        <f t="shared" si="0"/>
        <v>327451.41</v>
      </c>
      <c r="F42" s="70">
        <v>0</v>
      </c>
      <c r="G42" s="70">
        <f t="shared" si="1"/>
        <v>327451.41</v>
      </c>
      <c r="H42" s="5">
        <v>8</v>
      </c>
      <c r="I42" s="72">
        <f t="shared" si="3"/>
        <v>0.125</v>
      </c>
      <c r="J42" s="70">
        <f t="shared" si="4"/>
        <v>40931.42625</v>
      </c>
      <c r="K42" s="70">
        <v>40931.43</v>
      </c>
      <c r="L42" s="148">
        <f t="shared" si="2"/>
        <v>0.0037500000034924597</v>
      </c>
      <c r="M42" s="116"/>
    </row>
    <row r="43" spans="1:13" ht="12.75">
      <c r="A43" s="5" t="s">
        <v>104</v>
      </c>
      <c r="B43" s="2" t="s">
        <v>108</v>
      </c>
      <c r="C43" s="70">
        <v>30285.02</v>
      </c>
      <c r="D43" s="70"/>
      <c r="E43" s="70">
        <f t="shared" si="0"/>
        <v>30285.02</v>
      </c>
      <c r="F43" s="70">
        <v>0</v>
      </c>
      <c r="G43" s="70">
        <f t="shared" si="1"/>
        <v>30285.02</v>
      </c>
      <c r="H43" s="5">
        <v>8</v>
      </c>
      <c r="I43" s="72">
        <f t="shared" si="3"/>
        <v>0.125</v>
      </c>
      <c r="J43" s="70">
        <f t="shared" si="4"/>
        <v>3785.6275</v>
      </c>
      <c r="K43" s="70">
        <v>3785.63</v>
      </c>
      <c r="L43" s="148">
        <f t="shared" si="2"/>
        <v>0.0025000000000545697</v>
      </c>
      <c r="M43" s="116"/>
    </row>
    <row r="44" spans="1:13" ht="12.75">
      <c r="A44" s="5">
        <v>1935</v>
      </c>
      <c r="B44" s="2" t="s">
        <v>34</v>
      </c>
      <c r="C44" s="70">
        <v>39203.70999999999</v>
      </c>
      <c r="D44" s="70"/>
      <c r="E44" s="70">
        <f t="shared" si="0"/>
        <v>39203.70999999999</v>
      </c>
      <c r="F44" s="70">
        <v>1000</v>
      </c>
      <c r="G44" s="70">
        <f t="shared" si="1"/>
        <v>39703.70999999999</v>
      </c>
      <c r="H44" s="5">
        <v>10</v>
      </c>
      <c r="I44" s="72">
        <f t="shared" si="3"/>
        <v>0.1</v>
      </c>
      <c r="J44" s="70">
        <f t="shared" si="4"/>
        <v>3970.370999999999</v>
      </c>
      <c r="K44" s="70">
        <v>3970.370999999999</v>
      </c>
      <c r="L44" s="148">
        <f t="shared" si="2"/>
        <v>0</v>
      </c>
      <c r="M44" s="116"/>
    </row>
    <row r="45" spans="1:13" ht="12.75">
      <c r="A45" s="5">
        <v>1940</v>
      </c>
      <c r="B45" s="2" t="s">
        <v>35</v>
      </c>
      <c r="C45" s="70">
        <v>304677.15</v>
      </c>
      <c r="D45" s="70"/>
      <c r="E45" s="70">
        <f t="shared" si="0"/>
        <v>304677.15</v>
      </c>
      <c r="F45" s="70">
        <v>4000</v>
      </c>
      <c r="G45" s="70">
        <f t="shared" si="1"/>
        <v>306677.15</v>
      </c>
      <c r="H45" s="5">
        <v>10</v>
      </c>
      <c r="I45" s="72">
        <f t="shared" si="3"/>
        <v>0.1</v>
      </c>
      <c r="J45" s="70">
        <f t="shared" si="4"/>
        <v>30667.715000000004</v>
      </c>
      <c r="K45" s="70">
        <v>31277.833250000003</v>
      </c>
      <c r="L45" s="148">
        <f t="shared" si="2"/>
        <v>610.1182499999995</v>
      </c>
      <c r="M45" s="116">
        <v>10</v>
      </c>
    </row>
    <row r="46" spans="1:13" ht="12.75">
      <c r="A46" s="5">
        <v>1945</v>
      </c>
      <c r="B46" s="2" t="s">
        <v>36</v>
      </c>
      <c r="C46" s="70">
        <v>178972.81000000003</v>
      </c>
      <c r="D46" s="70"/>
      <c r="E46" s="70">
        <f t="shared" si="0"/>
        <v>178972.81000000003</v>
      </c>
      <c r="F46" s="70">
        <v>5000</v>
      </c>
      <c r="G46" s="70">
        <f t="shared" si="1"/>
        <v>181472.81000000003</v>
      </c>
      <c r="H46" s="5">
        <v>10</v>
      </c>
      <c r="I46" s="72">
        <f t="shared" si="3"/>
        <v>0.1</v>
      </c>
      <c r="J46" s="70">
        <f t="shared" si="4"/>
        <v>18147.281000000003</v>
      </c>
      <c r="K46" s="70">
        <v>18147.331000000002</v>
      </c>
      <c r="L46" s="148">
        <f t="shared" si="2"/>
        <v>0.049999999999272404</v>
      </c>
      <c r="M46" s="116"/>
    </row>
    <row r="47" spans="1:13" ht="12.75">
      <c r="A47" s="5">
        <v>1950</v>
      </c>
      <c r="B47" s="2" t="s">
        <v>37</v>
      </c>
      <c r="C47" s="70">
        <v>0</v>
      </c>
      <c r="D47" s="70"/>
      <c r="E47" s="70">
        <f t="shared" si="0"/>
        <v>0</v>
      </c>
      <c r="F47" s="70">
        <v>0</v>
      </c>
      <c r="G47" s="70">
        <f t="shared" si="1"/>
        <v>0</v>
      </c>
      <c r="H47" s="5">
        <v>0</v>
      </c>
      <c r="I47" s="72">
        <v>0</v>
      </c>
      <c r="J47" s="70">
        <v>0</v>
      </c>
      <c r="K47" s="70">
        <v>0</v>
      </c>
      <c r="L47" s="148">
        <f t="shared" si="2"/>
        <v>0</v>
      </c>
      <c r="M47" s="116"/>
    </row>
    <row r="48" spans="1:13" ht="12.75">
      <c r="A48" s="5">
        <v>1955</v>
      </c>
      <c r="B48" s="2" t="s">
        <v>38</v>
      </c>
      <c r="C48" s="70">
        <v>106905.79000000001</v>
      </c>
      <c r="D48" s="70"/>
      <c r="E48" s="70">
        <f t="shared" si="0"/>
        <v>106905.79000000001</v>
      </c>
      <c r="F48" s="70">
        <v>10000</v>
      </c>
      <c r="G48" s="70">
        <f t="shared" si="1"/>
        <v>111905.79000000001</v>
      </c>
      <c r="H48" s="5">
        <v>10</v>
      </c>
      <c r="I48" s="72">
        <f t="shared" si="3"/>
        <v>0.1</v>
      </c>
      <c r="J48" s="70">
        <f t="shared" si="4"/>
        <v>11190.579000000002</v>
      </c>
      <c r="K48" s="70">
        <v>11190.618999999999</v>
      </c>
      <c r="L48" s="148">
        <f t="shared" si="2"/>
        <v>0.039999999997235136</v>
      </c>
      <c r="M48" s="116"/>
    </row>
    <row r="49" spans="1:13" ht="12.75">
      <c r="A49" s="5">
        <v>1960</v>
      </c>
      <c r="B49" s="2" t="s">
        <v>96</v>
      </c>
      <c r="C49" s="70">
        <v>399471.12</v>
      </c>
      <c r="D49" s="70"/>
      <c r="E49" s="70">
        <f t="shared" si="0"/>
        <v>399471.12</v>
      </c>
      <c r="F49" s="70">
        <v>58000</v>
      </c>
      <c r="G49" s="70">
        <f t="shared" si="1"/>
        <v>428471.12</v>
      </c>
      <c r="H49" s="5">
        <v>10</v>
      </c>
      <c r="I49" s="72">
        <f t="shared" si="3"/>
        <v>0.1</v>
      </c>
      <c r="J49" s="70">
        <f t="shared" si="4"/>
        <v>42847.112</v>
      </c>
      <c r="K49" s="70">
        <v>44133.42571428571</v>
      </c>
      <c r="L49" s="148">
        <f t="shared" si="2"/>
        <v>1286.3137142857086</v>
      </c>
      <c r="M49" s="116">
        <v>11</v>
      </c>
    </row>
    <row r="50" spans="1:13" ht="12.75">
      <c r="A50" s="5">
        <v>1965</v>
      </c>
      <c r="B50" s="2" t="s">
        <v>39</v>
      </c>
      <c r="C50" s="70">
        <v>0</v>
      </c>
      <c r="D50" s="70"/>
      <c r="E50" s="70">
        <f t="shared" si="0"/>
        <v>0</v>
      </c>
      <c r="F50" s="70">
        <v>0</v>
      </c>
      <c r="G50" s="70">
        <f t="shared" si="1"/>
        <v>0</v>
      </c>
      <c r="H50" s="5">
        <v>0</v>
      </c>
      <c r="I50" s="72">
        <v>0</v>
      </c>
      <c r="J50" s="70">
        <v>0</v>
      </c>
      <c r="K50" s="70">
        <v>0</v>
      </c>
      <c r="L50" s="148">
        <f t="shared" si="2"/>
        <v>0</v>
      </c>
      <c r="M50" s="116"/>
    </row>
    <row r="51" spans="1:13" ht="12.75">
      <c r="A51" s="5">
        <v>1970</v>
      </c>
      <c r="B51" s="2" t="s">
        <v>48</v>
      </c>
      <c r="C51" s="70">
        <v>16564.260000000002</v>
      </c>
      <c r="D51" s="70">
        <v>16564</v>
      </c>
      <c r="E51" s="70">
        <f t="shared" si="0"/>
        <v>0.26000000000203727</v>
      </c>
      <c r="F51" s="70">
        <v>0</v>
      </c>
      <c r="G51" s="70">
        <f t="shared" si="1"/>
        <v>0.26000000000203727</v>
      </c>
      <c r="H51" s="5">
        <v>10</v>
      </c>
      <c r="I51" s="72">
        <f t="shared" si="3"/>
        <v>0.1</v>
      </c>
      <c r="J51" s="70">
        <f t="shared" si="4"/>
        <v>0.026000000000203728</v>
      </c>
      <c r="K51" s="70">
        <v>0</v>
      </c>
      <c r="L51" s="148">
        <f t="shared" si="2"/>
        <v>-0.026000000000203728</v>
      </c>
      <c r="M51" s="116"/>
    </row>
    <row r="52" spans="1:13" ht="12.75">
      <c r="A52" s="5">
        <v>1975</v>
      </c>
      <c r="B52" s="2" t="s">
        <v>40</v>
      </c>
      <c r="C52" s="70">
        <v>0</v>
      </c>
      <c r="D52" s="70"/>
      <c r="E52" s="70">
        <f t="shared" si="0"/>
        <v>0</v>
      </c>
      <c r="F52" s="70">
        <v>0</v>
      </c>
      <c r="G52" s="70">
        <f t="shared" si="1"/>
        <v>0</v>
      </c>
      <c r="H52" s="5">
        <v>0</v>
      </c>
      <c r="I52" s="72">
        <v>0</v>
      </c>
      <c r="J52" s="70">
        <v>0</v>
      </c>
      <c r="K52" s="70">
        <v>0</v>
      </c>
      <c r="L52" s="148">
        <f t="shared" si="2"/>
        <v>0</v>
      </c>
      <c r="M52" s="116"/>
    </row>
    <row r="53" spans="1:13" ht="12.75">
      <c r="A53" s="5">
        <v>1980</v>
      </c>
      <c r="B53" s="67" t="s">
        <v>97</v>
      </c>
      <c r="C53" s="70">
        <v>613956.77</v>
      </c>
      <c r="D53" s="70"/>
      <c r="E53" s="70">
        <f t="shared" si="0"/>
        <v>613956.77</v>
      </c>
      <c r="F53" s="70">
        <v>575000</v>
      </c>
      <c r="G53" s="70">
        <f t="shared" si="1"/>
        <v>901456.77</v>
      </c>
      <c r="H53" s="5">
        <v>15</v>
      </c>
      <c r="I53" s="72">
        <f t="shared" si="3"/>
        <v>0.06666666666666667</v>
      </c>
      <c r="J53" s="70">
        <f t="shared" si="4"/>
        <v>60097.118</v>
      </c>
      <c r="K53" s="70">
        <v>60097.09133333333</v>
      </c>
      <c r="L53" s="148">
        <f t="shared" si="2"/>
        <v>-0.02666666667209938</v>
      </c>
      <c r="M53" s="116"/>
    </row>
    <row r="54" spans="1:13" ht="12.75">
      <c r="A54" s="5">
        <v>1985</v>
      </c>
      <c r="B54" s="2" t="s">
        <v>41</v>
      </c>
      <c r="C54" s="70">
        <v>0</v>
      </c>
      <c r="D54" s="70"/>
      <c r="E54" s="70">
        <f t="shared" si="0"/>
        <v>0</v>
      </c>
      <c r="F54" s="70">
        <v>0</v>
      </c>
      <c r="G54" s="70">
        <f t="shared" si="1"/>
        <v>0</v>
      </c>
      <c r="H54" s="5">
        <v>0</v>
      </c>
      <c r="I54" s="72">
        <v>0</v>
      </c>
      <c r="J54" s="70">
        <v>0</v>
      </c>
      <c r="K54" s="70">
        <v>0</v>
      </c>
      <c r="L54" s="148">
        <f t="shared" si="2"/>
        <v>0</v>
      </c>
      <c r="M54" s="116"/>
    </row>
    <row r="55" spans="1:13" ht="12.75">
      <c r="A55" s="5">
        <v>1995</v>
      </c>
      <c r="B55" s="2" t="s">
        <v>42</v>
      </c>
      <c r="C55" s="146">
        <v>-7654020.350000001</v>
      </c>
      <c r="D55" s="146"/>
      <c r="E55" s="146">
        <f t="shared" si="0"/>
        <v>-7654020.350000001</v>
      </c>
      <c r="F55" s="146">
        <f>-610000-550000</f>
        <v>-1160000</v>
      </c>
      <c r="G55" s="146">
        <f t="shared" si="1"/>
        <v>-8234020.350000001</v>
      </c>
      <c r="H55" s="5">
        <v>25</v>
      </c>
      <c r="I55" s="72">
        <f t="shared" si="3"/>
        <v>0.04</v>
      </c>
      <c r="J55" s="146">
        <f t="shared" si="4"/>
        <v>-329360.814</v>
      </c>
      <c r="K55" s="146">
        <v>-329360.83</v>
      </c>
      <c r="L55" s="148">
        <f t="shared" si="2"/>
        <v>-0.01600000000325963</v>
      </c>
      <c r="M55" s="116"/>
    </row>
    <row r="56" spans="1:13" ht="12.75">
      <c r="A56" s="5">
        <v>2005</v>
      </c>
      <c r="B56" s="2" t="s">
        <v>98</v>
      </c>
      <c r="C56" s="70">
        <v>10039</v>
      </c>
      <c r="D56" s="70"/>
      <c r="E56" s="70">
        <f t="shared" si="0"/>
        <v>10039</v>
      </c>
      <c r="F56" s="70">
        <v>0</v>
      </c>
      <c r="G56" s="70">
        <f t="shared" si="1"/>
        <v>10039</v>
      </c>
      <c r="H56" s="5">
        <v>10</v>
      </c>
      <c r="I56" s="72">
        <f t="shared" si="3"/>
        <v>0.1</v>
      </c>
      <c r="J56" s="70">
        <f t="shared" si="4"/>
        <v>1003.9</v>
      </c>
      <c r="K56" s="70">
        <v>1003.86</v>
      </c>
      <c r="L56" s="148">
        <f t="shared" si="2"/>
        <v>-0.03999999999996362</v>
      </c>
      <c r="M56" s="116"/>
    </row>
    <row r="57" spans="1:13" ht="13.5" thickBot="1">
      <c r="A57" s="77">
        <v>2055</v>
      </c>
      <c r="B57" s="95" t="s">
        <v>112</v>
      </c>
      <c r="C57" s="79">
        <v>5472038.779999999</v>
      </c>
      <c r="D57" s="79"/>
      <c r="E57" s="79">
        <f t="shared" si="0"/>
        <v>5472038.779999999</v>
      </c>
      <c r="F57" s="79">
        <v>-5472038.779999999</v>
      </c>
      <c r="G57" s="79">
        <f t="shared" si="1"/>
        <v>2736019.3899999997</v>
      </c>
      <c r="H57" s="77">
        <v>0</v>
      </c>
      <c r="I57" s="85">
        <v>0</v>
      </c>
      <c r="J57" s="79">
        <v>0</v>
      </c>
      <c r="K57" s="79">
        <v>0</v>
      </c>
      <c r="L57" s="149">
        <f t="shared" si="2"/>
        <v>0</v>
      </c>
      <c r="M57" s="116"/>
    </row>
    <row r="58" spans="1:12" ht="13.5" thickBot="1">
      <c r="A58" s="81"/>
      <c r="B58" s="80" t="s">
        <v>43</v>
      </c>
      <c r="C58" s="82">
        <f>SUM(C13:C57)</f>
        <v>74489493.49000001</v>
      </c>
      <c r="D58" s="82"/>
      <c r="E58" s="82">
        <f>SUM(E13:E57)</f>
        <v>72910110.22000001</v>
      </c>
      <c r="F58" s="82">
        <f>SUM(F13:F57)</f>
        <v>4094300</v>
      </c>
      <c r="G58" s="82"/>
      <c r="H58" s="80"/>
      <c r="I58" s="97"/>
      <c r="J58" s="82">
        <f>SUM(J13:J57)</f>
        <v>2976617.001366666</v>
      </c>
      <c r="K58" s="82">
        <f>SUM(K13:K57)</f>
        <v>3024461.029405953</v>
      </c>
      <c r="L58" s="150">
        <f>SUM(L13:L57)</f>
        <v>47844.0280392858</v>
      </c>
    </row>
    <row r="59" ht="7.5" customHeight="1"/>
    <row r="60" spans="1:11" ht="12.75">
      <c r="A60" s="40" t="s">
        <v>92</v>
      </c>
      <c r="B60" s="101" t="s">
        <v>120</v>
      </c>
      <c r="C60" s="66">
        <v>74489492.95000003</v>
      </c>
      <c r="E60" s="103"/>
      <c r="K60" s="66">
        <v>3024461.0434559523</v>
      </c>
    </row>
    <row r="61" ht="7.5" customHeight="1"/>
    <row r="62" spans="1:10" ht="15" customHeight="1">
      <c r="A62" s="41" t="s">
        <v>69</v>
      </c>
      <c r="B62" s="340" t="s">
        <v>123</v>
      </c>
      <c r="C62" s="340"/>
      <c r="D62" s="340"/>
      <c r="E62" s="340"/>
      <c r="F62" s="340"/>
      <c r="G62" s="340"/>
      <c r="H62" s="340"/>
      <c r="I62" s="340"/>
      <c r="J62" s="340"/>
    </row>
    <row r="63" spans="1:10" ht="15" customHeight="1">
      <c r="A63" s="41" t="s">
        <v>89</v>
      </c>
      <c r="B63" s="112" t="s">
        <v>239</v>
      </c>
      <c r="C63" s="105"/>
      <c r="D63" s="105"/>
      <c r="E63" s="105"/>
      <c r="F63" s="105"/>
      <c r="G63" s="105"/>
      <c r="H63" s="105"/>
      <c r="I63" s="105"/>
      <c r="J63" s="105"/>
    </row>
    <row r="64" spans="1:2" ht="15" customHeight="1">
      <c r="A64" s="110" t="s">
        <v>124</v>
      </c>
      <c r="B64" s="112" t="s">
        <v>240</v>
      </c>
    </row>
    <row r="65" spans="1:2" ht="15" customHeight="1">
      <c r="A65" s="110" t="s">
        <v>125</v>
      </c>
      <c r="B65" s="112" t="s">
        <v>241</v>
      </c>
    </row>
    <row r="66" spans="1:2" ht="15" customHeight="1">
      <c r="A66" s="110" t="s">
        <v>126</v>
      </c>
      <c r="B66" s="112" t="s">
        <v>242</v>
      </c>
    </row>
    <row r="67" spans="1:10" ht="15" customHeight="1">
      <c r="A67" s="110" t="s">
        <v>127</v>
      </c>
      <c r="B67" s="340" t="s">
        <v>243</v>
      </c>
      <c r="C67" s="340"/>
      <c r="D67" s="340"/>
      <c r="E67" s="340"/>
      <c r="F67" s="340"/>
      <c r="G67" s="340"/>
      <c r="H67" s="340"/>
      <c r="I67" s="340"/>
      <c r="J67" s="340"/>
    </row>
    <row r="68" spans="1:2" ht="15" customHeight="1">
      <c r="A68" s="110" t="s">
        <v>128</v>
      </c>
      <c r="B68" s="76" t="s">
        <v>139</v>
      </c>
    </row>
    <row r="69" spans="1:2" ht="15" customHeight="1">
      <c r="A69" s="110" t="s">
        <v>129</v>
      </c>
      <c r="B69" s="76" t="s">
        <v>140</v>
      </c>
    </row>
    <row r="70" spans="1:2" ht="15" customHeight="1">
      <c r="A70" s="110" t="s">
        <v>130</v>
      </c>
      <c r="B70" s="114" t="s">
        <v>133</v>
      </c>
    </row>
    <row r="71" spans="1:2" ht="15" customHeight="1">
      <c r="A71" s="110" t="s">
        <v>131</v>
      </c>
      <c r="B71" s="111" t="s">
        <v>142</v>
      </c>
    </row>
    <row r="72" spans="1:2" ht="15" customHeight="1">
      <c r="A72" s="110" t="s">
        <v>132</v>
      </c>
      <c r="B72" s="111" t="s">
        <v>144</v>
      </c>
    </row>
    <row r="73" ht="15" customHeight="1"/>
    <row r="74" ht="15" customHeight="1"/>
  </sheetData>
  <sheetProtection/>
  <mergeCells count="5">
    <mergeCell ref="A9:J9"/>
    <mergeCell ref="A11:A12"/>
    <mergeCell ref="B11:B12"/>
    <mergeCell ref="B62:J62"/>
    <mergeCell ref="B67:J6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16">
      <selection activeCell="A10" sqref="A10"/>
    </sheetView>
  </sheetViews>
  <sheetFormatPr defaultColWidth="9.140625" defaultRowHeight="12.75"/>
  <cols>
    <col min="2" max="2" width="39.7109375" style="0" customWidth="1"/>
    <col min="3" max="3" width="14.00390625" style="0" bestFit="1" customWidth="1"/>
    <col min="4" max="4" width="12.28125" style="0" customWidth="1"/>
    <col min="5" max="5" width="12.421875" style="0" customWidth="1"/>
    <col min="6" max="6" width="10.00390625" style="0" customWidth="1"/>
    <col min="7" max="7" width="12.421875" style="0" customWidth="1"/>
    <col min="8" max="8" width="6.8515625" style="0" customWidth="1"/>
    <col min="9" max="9" width="12.28125" style="0" customWidth="1"/>
    <col min="10" max="10" width="12.7109375" style="0" customWidth="1"/>
    <col min="11" max="11" width="12.57421875" style="0" customWidth="1"/>
    <col min="12" max="12" width="10.00390625" style="0" customWidth="1"/>
    <col min="13" max="13" width="5.28125" style="0" customWidth="1"/>
  </cols>
  <sheetData>
    <row r="1" spans="10:12" ht="12.75">
      <c r="J1" s="40" t="s">
        <v>50</v>
      </c>
      <c r="L1" s="68" t="s">
        <v>94</v>
      </c>
    </row>
    <row r="2" spans="10:12" ht="12.75">
      <c r="J2" s="40" t="s">
        <v>51</v>
      </c>
      <c r="L2" s="68">
        <v>4</v>
      </c>
    </row>
    <row r="3" spans="10:12" ht="12.75">
      <c r="J3" s="40" t="s">
        <v>52</v>
      </c>
      <c r="L3" s="68">
        <v>2</v>
      </c>
    </row>
    <row r="4" spans="10:12" ht="12.75">
      <c r="J4" s="40" t="s">
        <v>53</v>
      </c>
      <c r="L4" s="68">
        <v>7</v>
      </c>
    </row>
    <row r="5" spans="10:12" ht="12.75">
      <c r="J5" s="40" t="s">
        <v>54</v>
      </c>
      <c r="L5" s="68" t="s">
        <v>296</v>
      </c>
    </row>
    <row r="6" spans="10:12" ht="12.75">
      <c r="J6" s="40"/>
      <c r="L6" s="68"/>
    </row>
    <row r="7" spans="10:12" ht="12.75">
      <c r="J7" s="40" t="s">
        <v>55</v>
      </c>
      <c r="L7" s="69" t="s">
        <v>291</v>
      </c>
    </row>
    <row r="9" spans="1:10" ht="15.75">
      <c r="A9" s="339" t="s">
        <v>232</v>
      </c>
      <c r="B9" s="339"/>
      <c r="C9" s="339"/>
      <c r="D9" s="339"/>
      <c r="E9" s="339"/>
      <c r="F9" s="339"/>
      <c r="G9" s="339"/>
      <c r="H9" s="339"/>
      <c r="I9" s="339"/>
      <c r="J9" s="339"/>
    </row>
    <row r="11" spans="1:13" ht="39" customHeight="1">
      <c r="A11" s="341" t="s">
        <v>77</v>
      </c>
      <c r="B11" s="343" t="s">
        <v>2</v>
      </c>
      <c r="C11" s="278" t="s">
        <v>3</v>
      </c>
      <c r="D11" s="278" t="s">
        <v>88</v>
      </c>
      <c r="E11" s="278" t="s">
        <v>80</v>
      </c>
      <c r="F11" s="278" t="s">
        <v>4</v>
      </c>
      <c r="G11" s="278" t="s">
        <v>82</v>
      </c>
      <c r="H11" s="278" t="s">
        <v>83</v>
      </c>
      <c r="I11" s="278" t="s">
        <v>46</v>
      </c>
      <c r="J11" s="278" t="s">
        <v>86</v>
      </c>
      <c r="K11" s="285" t="s">
        <v>109</v>
      </c>
      <c r="L11" s="286"/>
      <c r="M11" s="286"/>
    </row>
    <row r="12" spans="1:13" ht="27">
      <c r="A12" s="342"/>
      <c r="B12" s="344"/>
      <c r="C12" s="281" t="s">
        <v>78</v>
      </c>
      <c r="D12" s="281" t="s">
        <v>79</v>
      </c>
      <c r="E12" s="281" t="s">
        <v>90</v>
      </c>
      <c r="F12" s="281" t="s">
        <v>81</v>
      </c>
      <c r="G12" s="282" t="s">
        <v>91</v>
      </c>
      <c r="H12" s="281" t="s">
        <v>84</v>
      </c>
      <c r="I12" s="281" t="s">
        <v>85</v>
      </c>
      <c r="J12" s="281" t="s">
        <v>87</v>
      </c>
      <c r="K12" s="287" t="s">
        <v>110</v>
      </c>
      <c r="L12" s="284" t="s">
        <v>122</v>
      </c>
      <c r="M12" s="284" t="s">
        <v>121</v>
      </c>
    </row>
    <row r="13" spans="1:14" ht="12.75">
      <c r="A13" s="5">
        <v>1805</v>
      </c>
      <c r="B13" s="2" t="s">
        <v>10</v>
      </c>
      <c r="C13" s="70">
        <f>'[5]FA Continuity 2011'!$D$10</f>
        <v>391259.13</v>
      </c>
      <c r="D13" s="70"/>
      <c r="E13" s="70">
        <f>C13-D13</f>
        <v>391259.13</v>
      </c>
      <c r="F13" s="70">
        <v>0</v>
      </c>
      <c r="G13" s="70">
        <f>E13+(0.5*F13)</f>
        <v>391259.13</v>
      </c>
      <c r="H13" s="5">
        <v>0</v>
      </c>
      <c r="I13" s="72">
        <v>0</v>
      </c>
      <c r="J13" s="86">
        <v>0</v>
      </c>
      <c r="K13" s="70">
        <v>0</v>
      </c>
      <c r="L13" s="148">
        <f>K13-J13</f>
        <v>0</v>
      </c>
      <c r="M13" s="109"/>
      <c r="N13" s="73"/>
    </row>
    <row r="14" spans="1:14" ht="12.75">
      <c r="A14" s="5">
        <v>1806</v>
      </c>
      <c r="B14" s="67" t="s">
        <v>25</v>
      </c>
      <c r="C14" s="70">
        <f>'[5]FA Continuity 2011'!$D$11</f>
        <v>303784.45</v>
      </c>
      <c r="D14" s="70"/>
      <c r="E14" s="70">
        <f aca="true" t="shared" si="0" ref="E14:E57">C14-D14</f>
        <v>303784.45</v>
      </c>
      <c r="F14" s="70">
        <v>1000</v>
      </c>
      <c r="G14" s="70">
        <f aca="true" t="shared" si="1" ref="G14:G57">E14+(0.5*F14)</f>
        <v>304284.45</v>
      </c>
      <c r="H14" s="5">
        <v>0</v>
      </c>
      <c r="I14" s="72">
        <v>0</v>
      </c>
      <c r="J14" s="87">
        <v>0</v>
      </c>
      <c r="K14" s="70">
        <v>0</v>
      </c>
      <c r="L14" s="148">
        <f aca="true" t="shared" si="2" ref="L14:L57">K14-J14</f>
        <v>0</v>
      </c>
      <c r="M14" s="109"/>
      <c r="N14" s="73"/>
    </row>
    <row r="15" spans="1:14" ht="12.75">
      <c r="A15" s="5">
        <v>1808</v>
      </c>
      <c r="B15" s="2" t="s">
        <v>11</v>
      </c>
      <c r="C15" s="70">
        <f>'[5]FA Continuity 2011'!$D$12</f>
        <v>1615716.99</v>
      </c>
      <c r="D15" s="70"/>
      <c r="E15" s="70">
        <f t="shared" si="0"/>
        <v>1615716.99</v>
      </c>
      <c r="F15" s="70">
        <v>0</v>
      </c>
      <c r="G15" s="70">
        <f t="shared" si="1"/>
        <v>1615716.99</v>
      </c>
      <c r="H15" s="5">
        <v>50</v>
      </c>
      <c r="I15" s="72">
        <f aca="true" t="shared" si="3" ref="I15:I56">1/H15</f>
        <v>0.02</v>
      </c>
      <c r="J15" s="87">
        <f aca="true" t="shared" si="4" ref="J15:J56">G15/H15</f>
        <v>32314.3398</v>
      </c>
      <c r="K15" s="70">
        <v>32314.3498</v>
      </c>
      <c r="L15" s="148">
        <f t="shared" si="2"/>
        <v>0.00999999999839929</v>
      </c>
      <c r="M15" s="109"/>
      <c r="N15" s="73"/>
    </row>
    <row r="16" spans="1:14" ht="12.75">
      <c r="A16" s="5">
        <v>1810</v>
      </c>
      <c r="B16" s="2" t="s">
        <v>47</v>
      </c>
      <c r="C16" s="70">
        <f>'[5]FA Continuity 2011'!$D$13</f>
        <v>0</v>
      </c>
      <c r="D16" s="70"/>
      <c r="E16" s="70">
        <f t="shared" si="0"/>
        <v>0</v>
      </c>
      <c r="F16" s="70">
        <v>0</v>
      </c>
      <c r="G16" s="70">
        <f t="shared" si="1"/>
        <v>0</v>
      </c>
      <c r="H16" s="5">
        <v>0</v>
      </c>
      <c r="I16" s="72">
        <v>0</v>
      </c>
      <c r="J16" s="87">
        <v>0</v>
      </c>
      <c r="K16" s="70">
        <v>0</v>
      </c>
      <c r="L16" s="148">
        <f t="shared" si="2"/>
        <v>0</v>
      </c>
      <c r="M16" s="109"/>
      <c r="N16" s="73"/>
    </row>
    <row r="17" spans="1:14" ht="12.75">
      <c r="A17" s="5">
        <v>1815</v>
      </c>
      <c r="B17" s="2" t="s">
        <v>12</v>
      </c>
      <c r="C17" s="70">
        <f>'[5]FA Continuity 2011'!$D$14</f>
        <v>8912635.12</v>
      </c>
      <c r="D17" s="70"/>
      <c r="E17" s="70">
        <f t="shared" si="0"/>
        <v>8912635.12</v>
      </c>
      <c r="F17" s="70">
        <v>100000</v>
      </c>
      <c r="G17" s="70">
        <f t="shared" si="1"/>
        <v>8962635.12</v>
      </c>
      <c r="H17" s="5">
        <v>40</v>
      </c>
      <c r="I17" s="72">
        <f t="shared" si="3"/>
        <v>0.025</v>
      </c>
      <c r="J17" s="87">
        <f t="shared" si="4"/>
        <v>224065.87799999997</v>
      </c>
      <c r="K17" s="70">
        <v>224102.40975</v>
      </c>
      <c r="L17" s="148">
        <f t="shared" si="2"/>
        <v>36.53175000002375</v>
      </c>
      <c r="M17" s="109"/>
      <c r="N17" s="94"/>
    </row>
    <row r="18" spans="1:14" ht="12.75">
      <c r="A18" s="5">
        <v>1820</v>
      </c>
      <c r="B18" s="2" t="s">
        <v>13</v>
      </c>
      <c r="C18" s="70">
        <f>'[5]FA Continuity 2011'!$D$15</f>
        <v>4165927.64</v>
      </c>
      <c r="D18" s="70"/>
      <c r="E18" s="70">
        <f t="shared" si="0"/>
        <v>4165927.64</v>
      </c>
      <c r="F18" s="70">
        <v>75000</v>
      </c>
      <c r="G18" s="70">
        <f t="shared" si="1"/>
        <v>4203427.640000001</v>
      </c>
      <c r="H18" s="5">
        <v>30</v>
      </c>
      <c r="I18" s="72">
        <f t="shared" si="3"/>
        <v>0.03333333333333333</v>
      </c>
      <c r="J18" s="87">
        <f t="shared" si="4"/>
        <v>140114.25466666667</v>
      </c>
      <c r="K18" s="70">
        <v>89491.75233333334</v>
      </c>
      <c r="L18" s="148">
        <f t="shared" si="2"/>
        <v>-50622.50233333334</v>
      </c>
      <c r="M18" s="109">
        <v>1</v>
      </c>
      <c r="N18" s="76"/>
    </row>
    <row r="19" spans="1:14" ht="12.75">
      <c r="A19" s="5">
        <v>1825</v>
      </c>
      <c r="B19" s="2" t="s">
        <v>14</v>
      </c>
      <c r="C19" s="70">
        <f>'[5]FA Continuity 2011'!$D$16</f>
        <v>0</v>
      </c>
      <c r="D19" s="70"/>
      <c r="E19" s="70">
        <f t="shared" si="0"/>
        <v>0</v>
      </c>
      <c r="F19" s="70">
        <v>0</v>
      </c>
      <c r="G19" s="70">
        <f t="shared" si="1"/>
        <v>0</v>
      </c>
      <c r="H19" s="5">
        <v>0</v>
      </c>
      <c r="I19" s="72">
        <v>0</v>
      </c>
      <c r="J19" s="87">
        <v>0</v>
      </c>
      <c r="K19" s="70">
        <v>0</v>
      </c>
      <c r="L19" s="148">
        <f t="shared" si="2"/>
        <v>0</v>
      </c>
      <c r="M19" s="109"/>
      <c r="N19" s="73"/>
    </row>
    <row r="20" spans="1:14" ht="12.75">
      <c r="A20" s="5">
        <v>1830</v>
      </c>
      <c r="B20" s="2" t="s">
        <v>15</v>
      </c>
      <c r="C20" s="70">
        <f>'[5]FA Continuity 2011'!$D$17</f>
        <v>21173322.53</v>
      </c>
      <c r="D20" s="70"/>
      <c r="E20" s="70">
        <f t="shared" si="0"/>
        <v>21173322.53</v>
      </c>
      <c r="F20" s="70">
        <v>1132000</v>
      </c>
      <c r="G20" s="70">
        <f t="shared" si="1"/>
        <v>21739322.53</v>
      </c>
      <c r="H20" s="5">
        <v>25</v>
      </c>
      <c r="I20" s="72">
        <f t="shared" si="3"/>
        <v>0.04</v>
      </c>
      <c r="J20" s="87">
        <f t="shared" si="4"/>
        <v>869572.9012000001</v>
      </c>
      <c r="K20" s="70">
        <f>'[5]FA Continuity 2011'!$J$17</f>
        <v>923117.5712</v>
      </c>
      <c r="L20" s="148">
        <f t="shared" si="2"/>
        <v>53544.669999999925</v>
      </c>
      <c r="M20" s="109">
        <v>2</v>
      </c>
      <c r="N20" s="76"/>
    </row>
    <row r="21" spans="1:14" ht="12.75">
      <c r="A21" s="5">
        <v>1835</v>
      </c>
      <c r="B21" s="2" t="s">
        <v>18</v>
      </c>
      <c r="C21" s="70">
        <f>'[5]FA Continuity 2011'!$D$18</f>
        <v>12433314.29</v>
      </c>
      <c r="D21" s="70"/>
      <c r="E21" s="70">
        <f t="shared" si="0"/>
        <v>12433314.29</v>
      </c>
      <c r="F21" s="70">
        <v>688000</v>
      </c>
      <c r="G21" s="70">
        <f t="shared" si="1"/>
        <v>12777314.29</v>
      </c>
      <c r="H21" s="5">
        <v>25</v>
      </c>
      <c r="I21" s="72">
        <f t="shared" si="3"/>
        <v>0.04</v>
      </c>
      <c r="J21" s="87">
        <f t="shared" si="4"/>
        <v>511092.57159999997</v>
      </c>
      <c r="K21" s="70">
        <f>'[5]FA Continuity 2011'!$J$18</f>
        <v>511092.57159999997</v>
      </c>
      <c r="L21" s="148">
        <f t="shared" si="2"/>
        <v>0</v>
      </c>
      <c r="M21" s="109"/>
      <c r="N21" s="76"/>
    </row>
    <row r="22" spans="1:14" ht="12.75">
      <c r="A22" s="5">
        <v>1840</v>
      </c>
      <c r="B22" s="2" t="s">
        <v>16</v>
      </c>
      <c r="C22" s="70">
        <f>'[5]FA Continuity 2011'!$D$19</f>
        <v>3965066.07</v>
      </c>
      <c r="D22" s="70"/>
      <c r="E22" s="70">
        <f t="shared" si="0"/>
        <v>3965066.07</v>
      </c>
      <c r="F22" s="70">
        <v>220000</v>
      </c>
      <c r="G22" s="70">
        <f t="shared" si="1"/>
        <v>4075066.07</v>
      </c>
      <c r="H22" s="5">
        <v>25</v>
      </c>
      <c r="I22" s="72">
        <f t="shared" si="3"/>
        <v>0.04</v>
      </c>
      <c r="J22" s="87">
        <f t="shared" si="4"/>
        <v>163002.6428</v>
      </c>
      <c r="K22" s="70">
        <v>145610.3628</v>
      </c>
      <c r="L22" s="148">
        <f t="shared" si="2"/>
        <v>-17392.28</v>
      </c>
      <c r="M22" s="109">
        <v>3</v>
      </c>
      <c r="N22" s="76"/>
    </row>
    <row r="23" spans="1:14" ht="12.75">
      <c r="A23" s="5">
        <v>1845</v>
      </c>
      <c r="B23" s="2" t="s">
        <v>17</v>
      </c>
      <c r="C23" s="70">
        <f>'[5]FA Continuity 2011'!$D$20</f>
        <v>7886026.27</v>
      </c>
      <c r="D23" s="70">
        <v>1204925</v>
      </c>
      <c r="E23" s="70">
        <f t="shared" si="0"/>
        <v>6681101.27</v>
      </c>
      <c r="F23" s="70">
        <v>303000</v>
      </c>
      <c r="G23" s="70">
        <f t="shared" si="1"/>
        <v>6832601.27</v>
      </c>
      <c r="H23" s="5">
        <v>25</v>
      </c>
      <c r="I23" s="72">
        <f t="shared" si="3"/>
        <v>0.04</v>
      </c>
      <c r="J23" s="87">
        <f t="shared" si="4"/>
        <v>273304.05079999997</v>
      </c>
      <c r="K23" s="70">
        <v>273304.0408</v>
      </c>
      <c r="L23" s="148">
        <f t="shared" si="2"/>
        <v>-0.009999999951105565</v>
      </c>
      <c r="M23" s="109"/>
      <c r="N23" s="76"/>
    </row>
    <row r="24" spans="1:14" ht="12.75">
      <c r="A24" s="5">
        <v>1850</v>
      </c>
      <c r="B24" s="2" t="s">
        <v>19</v>
      </c>
      <c r="C24" s="70">
        <f>'[5]FA Continuity 2011'!$D$21</f>
        <v>11907916.979999999</v>
      </c>
      <c r="D24" s="70"/>
      <c r="E24" s="70">
        <f t="shared" si="0"/>
        <v>11907916.979999999</v>
      </c>
      <c r="F24" s="70">
        <v>865000</v>
      </c>
      <c r="G24" s="70">
        <f t="shared" si="1"/>
        <v>12340416.979999999</v>
      </c>
      <c r="H24" s="5">
        <v>25</v>
      </c>
      <c r="I24" s="72">
        <f t="shared" si="3"/>
        <v>0.04</v>
      </c>
      <c r="J24" s="87">
        <f t="shared" si="4"/>
        <v>493616.67919999996</v>
      </c>
      <c r="K24" s="70">
        <v>348523.49919999996</v>
      </c>
      <c r="L24" s="148">
        <f t="shared" si="2"/>
        <v>-145093.18</v>
      </c>
      <c r="M24" s="109">
        <v>4</v>
      </c>
      <c r="N24" s="76"/>
    </row>
    <row r="25" spans="1:14" ht="12.75">
      <c r="A25" s="5">
        <v>1855</v>
      </c>
      <c r="B25" s="2" t="s">
        <v>20</v>
      </c>
      <c r="C25" s="70">
        <f>'[5]FA Continuity 2011'!$D$22</f>
        <v>2771307.81</v>
      </c>
      <c r="D25" s="70"/>
      <c r="E25" s="70">
        <f t="shared" si="0"/>
        <v>2771307.81</v>
      </c>
      <c r="F25" s="70">
        <v>266000</v>
      </c>
      <c r="G25" s="70">
        <f t="shared" si="1"/>
        <v>2904307.81</v>
      </c>
      <c r="H25" s="5">
        <v>25</v>
      </c>
      <c r="I25" s="72">
        <f t="shared" si="3"/>
        <v>0.04</v>
      </c>
      <c r="J25" s="87">
        <f t="shared" si="4"/>
        <v>116172.3124</v>
      </c>
      <c r="K25" s="70">
        <v>116172.3124</v>
      </c>
      <c r="L25" s="148">
        <f t="shared" si="2"/>
        <v>0</v>
      </c>
      <c r="M25" s="109"/>
      <c r="N25" s="73"/>
    </row>
    <row r="26" spans="1:14" ht="12.75">
      <c r="A26" s="5">
        <v>1860</v>
      </c>
      <c r="B26" s="2" t="s">
        <v>21</v>
      </c>
      <c r="C26" s="70">
        <f>'[5]FA Continuity 2011'!$D$23-C27</f>
        <v>4123164.9</v>
      </c>
      <c r="D26" s="70"/>
      <c r="E26" s="70">
        <f t="shared" si="0"/>
        <v>4123164.9</v>
      </c>
      <c r="F26" s="70">
        <v>50000</v>
      </c>
      <c r="G26" s="70">
        <f t="shared" si="1"/>
        <v>4148164.9</v>
      </c>
      <c r="H26" s="5">
        <v>25</v>
      </c>
      <c r="I26" s="72">
        <f t="shared" si="3"/>
        <v>0.04</v>
      </c>
      <c r="J26" s="87">
        <f t="shared" si="4"/>
        <v>165926.596</v>
      </c>
      <c r="K26" s="70">
        <v>157976.07</v>
      </c>
      <c r="L26" s="148">
        <f t="shared" si="2"/>
        <v>-7950.5259999999835</v>
      </c>
      <c r="M26" s="109">
        <v>5</v>
      </c>
      <c r="N26" s="76"/>
    </row>
    <row r="27" spans="1:14" ht="12.75">
      <c r="A27" s="5">
        <v>1861</v>
      </c>
      <c r="B27" s="67" t="s">
        <v>280</v>
      </c>
      <c r="C27" s="70">
        <f>2399070.68-16000</f>
        <v>2383070.68</v>
      </c>
      <c r="D27" s="70"/>
      <c r="E27" s="70">
        <f t="shared" si="0"/>
        <v>2383070.68</v>
      </c>
      <c r="F27" s="106">
        <v>0</v>
      </c>
      <c r="G27" s="70">
        <f t="shared" si="1"/>
        <v>2383070.68</v>
      </c>
      <c r="H27" s="5">
        <v>15</v>
      </c>
      <c r="I27" s="72">
        <f t="shared" si="3"/>
        <v>0.06666666666666667</v>
      </c>
      <c r="J27" s="87">
        <f t="shared" si="4"/>
        <v>158871.3786666667</v>
      </c>
      <c r="K27" s="70">
        <v>158871.38</v>
      </c>
      <c r="L27" s="148">
        <f t="shared" si="2"/>
        <v>0.0013333333190530539</v>
      </c>
      <c r="M27" s="109"/>
      <c r="N27" s="73"/>
    </row>
    <row r="28" spans="1:14" ht="12.75">
      <c r="A28" s="5">
        <v>1861</v>
      </c>
      <c r="B28" s="2" t="s">
        <v>23</v>
      </c>
      <c r="C28" s="70">
        <v>0</v>
      </c>
      <c r="D28" s="70"/>
      <c r="E28" s="70">
        <f t="shared" si="0"/>
        <v>0</v>
      </c>
      <c r="F28" s="70">
        <v>0</v>
      </c>
      <c r="G28" s="70">
        <f t="shared" si="1"/>
        <v>0</v>
      </c>
      <c r="H28" s="5">
        <v>5</v>
      </c>
      <c r="I28" s="72">
        <f t="shared" si="3"/>
        <v>0.2</v>
      </c>
      <c r="J28" s="87">
        <f t="shared" si="4"/>
        <v>0</v>
      </c>
      <c r="K28" s="70">
        <v>0</v>
      </c>
      <c r="L28" s="148">
        <f t="shared" si="2"/>
        <v>0</v>
      </c>
      <c r="M28" s="109"/>
      <c r="N28" s="73"/>
    </row>
    <row r="29" spans="1:14" ht="12.75">
      <c r="A29" s="5">
        <v>1905</v>
      </c>
      <c r="B29" s="2" t="s">
        <v>10</v>
      </c>
      <c r="C29" s="70">
        <f>'[5]FA Continuity 2011'!$D$25</f>
        <v>243636.05000000002</v>
      </c>
      <c r="D29" s="70"/>
      <c r="E29" s="70">
        <f t="shared" si="0"/>
        <v>243636.05000000002</v>
      </c>
      <c r="F29" s="70">
        <v>0</v>
      </c>
      <c r="G29" s="70">
        <f t="shared" si="1"/>
        <v>243636.05000000002</v>
      </c>
      <c r="H29" s="5">
        <v>0</v>
      </c>
      <c r="I29" s="72">
        <v>0</v>
      </c>
      <c r="J29" s="87">
        <v>0</v>
      </c>
      <c r="K29" s="70">
        <v>0</v>
      </c>
      <c r="L29" s="148">
        <f t="shared" si="2"/>
        <v>0</v>
      </c>
      <c r="M29" s="109"/>
      <c r="N29" s="73"/>
    </row>
    <row r="30" spans="1:14" ht="12.75">
      <c r="A30" s="5">
        <v>1906</v>
      </c>
      <c r="B30" s="2" t="s">
        <v>25</v>
      </c>
      <c r="C30" s="70">
        <f>'[5]FA Continuity 2011'!$D$26</f>
        <v>0</v>
      </c>
      <c r="D30" s="70"/>
      <c r="E30" s="70">
        <f t="shared" si="0"/>
        <v>0</v>
      </c>
      <c r="F30" s="70">
        <v>0</v>
      </c>
      <c r="G30" s="70">
        <f t="shared" si="1"/>
        <v>0</v>
      </c>
      <c r="H30" s="5">
        <v>0</v>
      </c>
      <c r="I30" s="72">
        <v>0</v>
      </c>
      <c r="J30" s="87">
        <v>0</v>
      </c>
      <c r="K30" s="70">
        <v>0</v>
      </c>
      <c r="L30" s="148">
        <f t="shared" si="2"/>
        <v>0</v>
      </c>
      <c r="M30" s="109"/>
      <c r="N30" s="73"/>
    </row>
    <row r="31" spans="1:14" ht="12.75">
      <c r="A31" s="5">
        <v>1908</v>
      </c>
      <c r="B31" s="2" t="s">
        <v>26</v>
      </c>
      <c r="C31" s="70">
        <f>'[5]FA Continuity 2011'!$D$27</f>
        <v>2315637.7199999997</v>
      </c>
      <c r="D31" s="70"/>
      <c r="E31" s="70">
        <f t="shared" si="0"/>
        <v>2315637.7199999997</v>
      </c>
      <c r="F31" s="70">
        <v>10000</v>
      </c>
      <c r="G31" s="70">
        <f t="shared" si="1"/>
        <v>2320637.7199999997</v>
      </c>
      <c r="H31" s="5">
        <v>50</v>
      </c>
      <c r="I31" s="72">
        <f t="shared" si="3"/>
        <v>0.02</v>
      </c>
      <c r="J31" s="87">
        <f t="shared" si="4"/>
        <v>46412.7544</v>
      </c>
      <c r="K31" s="70">
        <v>34399.2744</v>
      </c>
      <c r="L31" s="148">
        <f t="shared" si="2"/>
        <v>-12013.479999999996</v>
      </c>
      <c r="M31" s="109">
        <v>6</v>
      </c>
      <c r="N31" s="76"/>
    </row>
    <row r="32" spans="1:14" ht="12.75">
      <c r="A32" s="5">
        <v>1910</v>
      </c>
      <c r="B32" s="2" t="s">
        <v>47</v>
      </c>
      <c r="C32" s="70">
        <f>'[5]FA Continuity 2011'!$D$28</f>
        <v>6177</v>
      </c>
      <c r="D32" s="70"/>
      <c r="E32" s="70">
        <f t="shared" si="0"/>
        <v>6177</v>
      </c>
      <c r="F32" s="70">
        <v>0</v>
      </c>
      <c r="G32" s="70">
        <f t="shared" si="1"/>
        <v>6177</v>
      </c>
      <c r="H32" s="5">
        <v>10</v>
      </c>
      <c r="I32" s="72">
        <f t="shared" si="3"/>
        <v>0.1</v>
      </c>
      <c r="J32" s="87">
        <f t="shared" si="4"/>
        <v>617.7</v>
      </c>
      <c r="K32" s="70">
        <v>639.7</v>
      </c>
      <c r="L32" s="148">
        <f t="shared" si="2"/>
        <v>22</v>
      </c>
      <c r="M32" s="109"/>
      <c r="N32" s="94"/>
    </row>
    <row r="33" spans="1:14" ht="12.75">
      <c r="A33" s="5">
        <v>1915</v>
      </c>
      <c r="B33" s="2" t="s">
        <v>27</v>
      </c>
      <c r="C33" s="70">
        <f>'[5]FA Continuity 2011'!$D$29</f>
        <v>176971.62</v>
      </c>
      <c r="D33" s="70">
        <v>15585.03</v>
      </c>
      <c r="E33" s="70">
        <f t="shared" si="0"/>
        <v>161386.59</v>
      </c>
      <c r="F33" s="70">
        <v>15000</v>
      </c>
      <c r="G33" s="70">
        <f t="shared" si="1"/>
        <v>168886.59</v>
      </c>
      <c r="H33" s="5">
        <v>10</v>
      </c>
      <c r="I33" s="72">
        <f t="shared" si="3"/>
        <v>0.1</v>
      </c>
      <c r="J33" s="87">
        <f t="shared" si="4"/>
        <v>16888.659</v>
      </c>
      <c r="K33" s="70">
        <v>16921.722</v>
      </c>
      <c r="L33" s="148">
        <f t="shared" si="2"/>
        <v>33.06300000000192</v>
      </c>
      <c r="M33" s="109"/>
      <c r="N33" s="94"/>
    </row>
    <row r="34" spans="1:14" ht="12.75">
      <c r="A34" s="5">
        <v>1915</v>
      </c>
      <c r="B34" s="2" t="s">
        <v>28</v>
      </c>
      <c r="C34" s="70">
        <v>0</v>
      </c>
      <c r="D34" s="70"/>
      <c r="E34" s="70">
        <f t="shared" si="0"/>
        <v>0</v>
      </c>
      <c r="F34" s="70">
        <v>0</v>
      </c>
      <c r="G34" s="70">
        <f t="shared" si="1"/>
        <v>0</v>
      </c>
      <c r="H34" s="5">
        <v>5</v>
      </c>
      <c r="I34" s="72">
        <f t="shared" si="3"/>
        <v>0.2</v>
      </c>
      <c r="J34" s="87">
        <f t="shared" si="4"/>
        <v>0</v>
      </c>
      <c r="K34" s="70">
        <v>0</v>
      </c>
      <c r="L34" s="148">
        <f t="shared" si="2"/>
        <v>0</v>
      </c>
      <c r="M34" s="109"/>
      <c r="N34" s="73"/>
    </row>
    <row r="35" spans="1:14" ht="12.75">
      <c r="A35" s="5">
        <v>1920</v>
      </c>
      <c r="B35" s="2" t="s">
        <v>29</v>
      </c>
      <c r="C35" s="119">
        <f>379501.22</f>
        <v>379501.22</v>
      </c>
      <c r="D35" s="70">
        <v>379501.22</v>
      </c>
      <c r="E35" s="70">
        <f t="shared" si="0"/>
        <v>0</v>
      </c>
      <c r="F35" s="70">
        <v>0</v>
      </c>
      <c r="G35" s="70">
        <f t="shared" si="1"/>
        <v>0</v>
      </c>
      <c r="H35" s="5">
        <v>5</v>
      </c>
      <c r="I35" s="72">
        <f t="shared" si="3"/>
        <v>0.2</v>
      </c>
      <c r="J35" s="87">
        <f t="shared" si="4"/>
        <v>0</v>
      </c>
      <c r="K35" s="70">
        <v>0</v>
      </c>
      <c r="L35" s="148">
        <f t="shared" si="2"/>
        <v>0</v>
      </c>
      <c r="M35" s="109"/>
      <c r="N35" s="73"/>
    </row>
    <row r="36" spans="1:14" ht="12.75">
      <c r="A36" s="5">
        <v>1921</v>
      </c>
      <c r="B36" s="2" t="s">
        <v>30</v>
      </c>
      <c r="C36" s="106">
        <f>228848.39</f>
        <v>228848.39</v>
      </c>
      <c r="D36" s="70">
        <v>228848.39</v>
      </c>
      <c r="E36" s="70">
        <f t="shared" si="0"/>
        <v>0</v>
      </c>
      <c r="F36" s="70">
        <v>0</v>
      </c>
      <c r="G36" s="70">
        <f t="shared" si="1"/>
        <v>0</v>
      </c>
      <c r="H36" s="5">
        <v>5</v>
      </c>
      <c r="I36" s="72">
        <f t="shared" si="3"/>
        <v>0.2</v>
      </c>
      <c r="J36" s="87">
        <f t="shared" si="4"/>
        <v>0</v>
      </c>
      <c r="K36" s="70">
        <v>0</v>
      </c>
      <c r="L36" s="148">
        <f t="shared" si="2"/>
        <v>0</v>
      </c>
      <c r="M36" s="109"/>
      <c r="N36" s="73"/>
    </row>
    <row r="37" spans="1:14" ht="12.75">
      <c r="A37" s="5">
        <v>1921</v>
      </c>
      <c r="B37" s="2" t="s">
        <v>31</v>
      </c>
      <c r="C37" s="119">
        <f>314516.63+87653.02</f>
        <v>402169.65</v>
      </c>
      <c r="D37" s="70"/>
      <c r="E37" s="70">
        <f t="shared" si="0"/>
        <v>402169.65</v>
      </c>
      <c r="F37" s="70">
        <v>134000</v>
      </c>
      <c r="G37" s="70">
        <f t="shared" si="1"/>
        <v>469169.65</v>
      </c>
      <c r="H37" s="5">
        <v>5</v>
      </c>
      <c r="I37" s="72">
        <f t="shared" si="3"/>
        <v>0.2</v>
      </c>
      <c r="J37" s="87">
        <f t="shared" si="4"/>
        <v>93833.93000000001</v>
      </c>
      <c r="K37" s="70">
        <v>93833.91</v>
      </c>
      <c r="L37" s="148">
        <f t="shared" si="2"/>
        <v>-0.020000000004074536</v>
      </c>
      <c r="M37" s="109"/>
      <c r="N37" s="76"/>
    </row>
    <row r="38" spans="1:14" ht="12.75">
      <c r="A38" s="5">
        <v>1925</v>
      </c>
      <c r="B38" s="2" t="s">
        <v>32</v>
      </c>
      <c r="C38" s="119">
        <f>'[5]FA Continuity 2011'!$D$31</f>
        <v>530040.94</v>
      </c>
      <c r="D38" s="70">
        <f>260644.95</f>
        <v>260644.95</v>
      </c>
      <c r="E38" s="70">
        <f t="shared" si="0"/>
        <v>269395.98999999993</v>
      </c>
      <c r="F38" s="70">
        <v>215000</v>
      </c>
      <c r="G38" s="70">
        <f t="shared" si="1"/>
        <v>376895.98999999993</v>
      </c>
      <c r="H38" s="5">
        <v>5</v>
      </c>
      <c r="I38" s="72">
        <f t="shared" si="3"/>
        <v>0.2</v>
      </c>
      <c r="J38" s="87">
        <f t="shared" si="4"/>
        <v>75379.19799999999</v>
      </c>
      <c r="K38" s="70">
        <v>81209.133</v>
      </c>
      <c r="L38" s="148">
        <f t="shared" si="2"/>
        <v>5829.935000000012</v>
      </c>
      <c r="M38" s="109" t="s">
        <v>134</v>
      </c>
      <c r="N38" s="76"/>
    </row>
    <row r="39" spans="1:14" ht="12.75">
      <c r="A39" s="5">
        <v>1930</v>
      </c>
      <c r="B39" s="67" t="s">
        <v>113</v>
      </c>
      <c r="C39" s="106">
        <v>745428.48</v>
      </c>
      <c r="D39" s="70"/>
      <c r="E39" s="70">
        <f t="shared" si="0"/>
        <v>745428.48</v>
      </c>
      <c r="F39" s="70">
        <v>0</v>
      </c>
      <c r="G39" s="70">
        <f t="shared" si="1"/>
        <v>745428.48</v>
      </c>
      <c r="H39" s="5">
        <v>10</v>
      </c>
      <c r="I39" s="72">
        <f t="shared" si="3"/>
        <v>0.1</v>
      </c>
      <c r="J39" s="87">
        <f t="shared" si="4"/>
        <v>74542.848</v>
      </c>
      <c r="K39" s="70">
        <v>100050.17</v>
      </c>
      <c r="L39" s="148">
        <f t="shared" si="2"/>
        <v>25507.322</v>
      </c>
      <c r="M39" s="109" t="s">
        <v>135</v>
      </c>
      <c r="N39" s="73"/>
    </row>
    <row r="40" spans="1:14" ht="12.75">
      <c r="A40" s="71" t="s">
        <v>101</v>
      </c>
      <c r="B40" s="67" t="s">
        <v>105</v>
      </c>
      <c r="C40" s="119">
        <v>16866.11</v>
      </c>
      <c r="D40" s="70">
        <v>16866</v>
      </c>
      <c r="E40" s="70">
        <f t="shared" si="0"/>
        <v>0.11000000000058208</v>
      </c>
      <c r="F40" s="70">
        <v>0</v>
      </c>
      <c r="G40" s="70">
        <f t="shared" si="1"/>
        <v>0.11000000000058208</v>
      </c>
      <c r="H40" s="5">
        <v>4</v>
      </c>
      <c r="I40" s="72">
        <f t="shared" si="3"/>
        <v>0.25</v>
      </c>
      <c r="J40" s="87">
        <f t="shared" si="4"/>
        <v>0.02750000000014552</v>
      </c>
      <c r="K40" s="70">
        <v>0</v>
      </c>
      <c r="L40" s="148">
        <f t="shared" si="2"/>
        <v>-0.02750000000014552</v>
      </c>
      <c r="M40" s="109"/>
      <c r="N40" s="73"/>
    </row>
    <row r="41" spans="1:14" ht="12.75">
      <c r="A41" s="71" t="s">
        <v>102</v>
      </c>
      <c r="B41" s="67" t="s">
        <v>106</v>
      </c>
      <c r="C41" s="119">
        <v>155308.52</v>
      </c>
      <c r="D41" s="70"/>
      <c r="E41" s="70">
        <f t="shared" si="0"/>
        <v>155308.52</v>
      </c>
      <c r="F41" s="70">
        <v>30000</v>
      </c>
      <c r="G41" s="70">
        <f t="shared" si="1"/>
        <v>170308.52</v>
      </c>
      <c r="H41" s="5">
        <v>5</v>
      </c>
      <c r="I41" s="72">
        <f t="shared" si="3"/>
        <v>0.2</v>
      </c>
      <c r="J41" s="87">
        <f t="shared" si="4"/>
        <v>34061.704</v>
      </c>
      <c r="K41" s="70">
        <v>30424.47</v>
      </c>
      <c r="L41" s="148">
        <f t="shared" si="2"/>
        <v>-3637.2339999999967</v>
      </c>
      <c r="M41" s="109" t="s">
        <v>136</v>
      </c>
      <c r="N41" s="94"/>
    </row>
    <row r="42" spans="1:14" ht="12.75">
      <c r="A42" s="71" t="s">
        <v>103</v>
      </c>
      <c r="B42" s="67" t="s">
        <v>107</v>
      </c>
      <c r="C42" s="119">
        <v>327451.41</v>
      </c>
      <c r="D42" s="70"/>
      <c r="E42" s="70">
        <f t="shared" si="0"/>
        <v>327451.41</v>
      </c>
      <c r="F42" s="70">
        <v>300000</v>
      </c>
      <c r="G42" s="70">
        <f t="shared" si="1"/>
        <v>477451.41</v>
      </c>
      <c r="H42" s="5">
        <v>8</v>
      </c>
      <c r="I42" s="72">
        <f t="shared" si="3"/>
        <v>0.125</v>
      </c>
      <c r="J42" s="87">
        <f t="shared" si="4"/>
        <v>59681.42625</v>
      </c>
      <c r="K42" s="70">
        <v>59681.43</v>
      </c>
      <c r="L42" s="148">
        <f t="shared" si="2"/>
        <v>0.0037500000034924597</v>
      </c>
      <c r="M42" s="109"/>
      <c r="N42" s="73"/>
    </row>
    <row r="43" spans="1:14" ht="12.75">
      <c r="A43" s="71" t="s">
        <v>104</v>
      </c>
      <c r="B43" s="67" t="s">
        <v>108</v>
      </c>
      <c r="C43" s="70">
        <v>30285.02</v>
      </c>
      <c r="D43" s="70"/>
      <c r="E43" s="70">
        <f t="shared" si="0"/>
        <v>30285.02</v>
      </c>
      <c r="F43" s="70">
        <v>70000</v>
      </c>
      <c r="G43" s="70">
        <f t="shared" si="1"/>
        <v>65285.020000000004</v>
      </c>
      <c r="H43" s="5">
        <v>8</v>
      </c>
      <c r="I43" s="72">
        <f t="shared" si="3"/>
        <v>0.125</v>
      </c>
      <c r="J43" s="87">
        <f t="shared" si="4"/>
        <v>8160.6275000000005</v>
      </c>
      <c r="K43" s="70">
        <v>8160.63</v>
      </c>
      <c r="L43" s="148">
        <f t="shared" si="2"/>
        <v>0.0024999999995998223</v>
      </c>
      <c r="M43" s="109"/>
      <c r="N43" s="73"/>
    </row>
    <row r="44" spans="1:14" ht="12.75">
      <c r="A44" s="5">
        <v>1935</v>
      </c>
      <c r="B44" s="2" t="s">
        <v>34</v>
      </c>
      <c r="C44" s="70">
        <v>40203.70999999999</v>
      </c>
      <c r="D44" s="70"/>
      <c r="E44" s="70">
        <f t="shared" si="0"/>
        <v>40203.70999999999</v>
      </c>
      <c r="F44" s="70">
        <v>1000</v>
      </c>
      <c r="G44" s="70">
        <f t="shared" si="1"/>
        <v>40703.70999999999</v>
      </c>
      <c r="H44" s="5">
        <v>10</v>
      </c>
      <c r="I44" s="72">
        <f t="shared" si="3"/>
        <v>0.1</v>
      </c>
      <c r="J44" s="87">
        <f t="shared" si="4"/>
        <v>4070.370999999999</v>
      </c>
      <c r="K44" s="70">
        <v>4070.370999999999</v>
      </c>
      <c r="L44" s="148">
        <f t="shared" si="2"/>
        <v>0</v>
      </c>
      <c r="M44" s="109"/>
      <c r="N44" s="73"/>
    </row>
    <row r="45" spans="1:14" ht="12.75">
      <c r="A45" s="5">
        <v>1940</v>
      </c>
      <c r="B45" s="2" t="s">
        <v>35</v>
      </c>
      <c r="C45" s="70">
        <v>308677.15</v>
      </c>
      <c r="D45" s="70"/>
      <c r="E45" s="70">
        <f t="shared" si="0"/>
        <v>308677.15</v>
      </c>
      <c r="F45" s="70">
        <v>23000</v>
      </c>
      <c r="G45" s="70">
        <f t="shared" si="1"/>
        <v>320177.15</v>
      </c>
      <c r="H45" s="5">
        <v>10</v>
      </c>
      <c r="I45" s="72">
        <f t="shared" si="3"/>
        <v>0.1</v>
      </c>
      <c r="J45" s="87">
        <f t="shared" si="4"/>
        <v>32017.715000000004</v>
      </c>
      <c r="K45" s="70">
        <v>31722.423250000003</v>
      </c>
      <c r="L45" s="148">
        <f t="shared" si="2"/>
        <v>-295.2917500000003</v>
      </c>
      <c r="M45" s="109"/>
      <c r="N45" s="94"/>
    </row>
    <row r="46" spans="1:14" ht="12.75">
      <c r="A46" s="5">
        <v>1945</v>
      </c>
      <c r="B46" s="2" t="s">
        <v>36</v>
      </c>
      <c r="C46" s="70">
        <v>183972.81000000003</v>
      </c>
      <c r="D46" s="70"/>
      <c r="E46" s="70">
        <f t="shared" si="0"/>
        <v>183972.81000000003</v>
      </c>
      <c r="F46" s="70">
        <v>6000</v>
      </c>
      <c r="G46" s="70">
        <f t="shared" si="1"/>
        <v>186972.81000000003</v>
      </c>
      <c r="H46" s="5">
        <v>10</v>
      </c>
      <c r="I46" s="72">
        <f t="shared" si="3"/>
        <v>0.1</v>
      </c>
      <c r="J46" s="87">
        <f t="shared" si="4"/>
        <v>18697.281000000003</v>
      </c>
      <c r="K46" s="70">
        <v>18697.351000000002</v>
      </c>
      <c r="L46" s="148">
        <f t="shared" si="2"/>
        <v>0.06999999999970896</v>
      </c>
      <c r="M46" s="109"/>
      <c r="N46" s="73"/>
    </row>
    <row r="47" spans="1:14" ht="12.75">
      <c r="A47" s="5">
        <v>1950</v>
      </c>
      <c r="B47" s="2" t="s">
        <v>37</v>
      </c>
      <c r="C47" s="70">
        <v>0</v>
      </c>
      <c r="D47" s="70"/>
      <c r="E47" s="70">
        <f t="shared" si="0"/>
        <v>0</v>
      </c>
      <c r="F47" s="70">
        <v>0</v>
      </c>
      <c r="G47" s="70">
        <f t="shared" si="1"/>
        <v>0</v>
      </c>
      <c r="H47" s="5">
        <v>0</v>
      </c>
      <c r="I47" s="72">
        <v>0</v>
      </c>
      <c r="J47" s="87">
        <v>0</v>
      </c>
      <c r="K47" s="70">
        <v>0</v>
      </c>
      <c r="L47" s="148">
        <f t="shared" si="2"/>
        <v>0</v>
      </c>
      <c r="M47" s="109"/>
      <c r="N47" s="73"/>
    </row>
    <row r="48" spans="1:14" ht="12.75">
      <c r="A48" s="5">
        <v>1955</v>
      </c>
      <c r="B48" s="2" t="s">
        <v>38</v>
      </c>
      <c r="C48" s="70">
        <v>116905.79000000001</v>
      </c>
      <c r="D48" s="70"/>
      <c r="E48" s="70">
        <f t="shared" si="0"/>
        <v>116905.79000000001</v>
      </c>
      <c r="F48" s="70">
        <v>8000</v>
      </c>
      <c r="G48" s="70">
        <f t="shared" si="1"/>
        <v>120905.79000000001</v>
      </c>
      <c r="H48" s="5">
        <v>10</v>
      </c>
      <c r="I48" s="72">
        <f t="shared" si="3"/>
        <v>0.1</v>
      </c>
      <c r="J48" s="87">
        <f t="shared" si="4"/>
        <v>12090.579000000002</v>
      </c>
      <c r="K48" s="70">
        <v>12090.618999999999</v>
      </c>
      <c r="L48" s="148">
        <f t="shared" si="2"/>
        <v>0.039999999997235136</v>
      </c>
      <c r="M48" s="109"/>
      <c r="N48" s="73"/>
    </row>
    <row r="49" spans="1:14" ht="12.75">
      <c r="A49" s="5">
        <v>1960</v>
      </c>
      <c r="B49" s="67" t="s">
        <v>96</v>
      </c>
      <c r="C49" s="70">
        <v>457471.12</v>
      </c>
      <c r="D49" s="70">
        <v>4300.5</v>
      </c>
      <c r="E49" s="70">
        <f t="shared" si="0"/>
        <v>453170.62</v>
      </c>
      <c r="F49" s="70">
        <v>5000</v>
      </c>
      <c r="G49" s="70">
        <f t="shared" si="1"/>
        <v>455670.62</v>
      </c>
      <c r="H49" s="5">
        <v>10</v>
      </c>
      <c r="I49" s="72">
        <f t="shared" si="3"/>
        <v>0.1</v>
      </c>
      <c r="J49" s="87">
        <f t="shared" si="4"/>
        <v>45567.062</v>
      </c>
      <c r="K49" s="70">
        <v>47283.42571428571</v>
      </c>
      <c r="L49" s="148">
        <f t="shared" si="2"/>
        <v>1716.3637142857115</v>
      </c>
      <c r="M49" s="109" t="s">
        <v>137</v>
      </c>
      <c r="N49" s="94"/>
    </row>
    <row r="50" spans="1:14" ht="12.75">
      <c r="A50" s="5">
        <v>1965</v>
      </c>
      <c r="B50" s="2" t="s">
        <v>39</v>
      </c>
      <c r="C50" s="70">
        <v>0</v>
      </c>
      <c r="D50" s="70"/>
      <c r="E50" s="70">
        <f t="shared" si="0"/>
        <v>0</v>
      </c>
      <c r="F50" s="70">
        <v>0</v>
      </c>
      <c r="G50" s="70">
        <f t="shared" si="1"/>
        <v>0</v>
      </c>
      <c r="H50" s="5">
        <v>0</v>
      </c>
      <c r="I50" s="72">
        <v>0</v>
      </c>
      <c r="J50" s="87">
        <v>0</v>
      </c>
      <c r="K50" s="70">
        <v>0</v>
      </c>
      <c r="L50" s="148">
        <f t="shared" si="2"/>
        <v>0</v>
      </c>
      <c r="M50" s="109"/>
      <c r="N50" s="73"/>
    </row>
    <row r="51" spans="1:14" ht="12.75">
      <c r="A51" s="5">
        <v>1970</v>
      </c>
      <c r="B51" s="2" t="s">
        <v>48</v>
      </c>
      <c r="C51" s="70">
        <f>16564.26</f>
        <v>16564.26</v>
      </c>
      <c r="D51" s="70">
        <v>16564.26</v>
      </c>
      <c r="E51" s="70">
        <f t="shared" si="0"/>
        <v>0</v>
      </c>
      <c r="F51" s="70">
        <v>0</v>
      </c>
      <c r="G51" s="70">
        <f t="shared" si="1"/>
        <v>0</v>
      </c>
      <c r="H51" s="5">
        <v>10</v>
      </c>
      <c r="I51" s="72">
        <f t="shared" si="3"/>
        <v>0.1</v>
      </c>
      <c r="J51" s="87">
        <f t="shared" si="4"/>
        <v>0</v>
      </c>
      <c r="K51" s="70">
        <v>0</v>
      </c>
      <c r="L51" s="148">
        <f t="shared" si="2"/>
        <v>0</v>
      </c>
      <c r="M51" s="109"/>
      <c r="N51" s="73"/>
    </row>
    <row r="52" spans="1:14" ht="12.75">
      <c r="A52" s="5">
        <v>1975</v>
      </c>
      <c r="B52" s="2" t="s">
        <v>40</v>
      </c>
      <c r="C52" s="70">
        <v>0</v>
      </c>
      <c r="D52" s="70"/>
      <c r="E52" s="70">
        <f t="shared" si="0"/>
        <v>0</v>
      </c>
      <c r="F52" s="70">
        <v>0</v>
      </c>
      <c r="G52" s="70">
        <f t="shared" si="1"/>
        <v>0</v>
      </c>
      <c r="H52" s="5">
        <v>0</v>
      </c>
      <c r="I52" s="72">
        <v>0</v>
      </c>
      <c r="J52" s="87">
        <v>0</v>
      </c>
      <c r="K52" s="70">
        <v>0</v>
      </c>
      <c r="L52" s="148">
        <f t="shared" si="2"/>
        <v>0</v>
      </c>
      <c r="M52" s="109"/>
      <c r="N52" s="73"/>
    </row>
    <row r="53" spans="1:14" ht="12.75">
      <c r="A53" s="5">
        <v>1980</v>
      </c>
      <c r="B53" s="67" t="s">
        <v>97</v>
      </c>
      <c r="C53" s="70">
        <v>1188956.77</v>
      </c>
      <c r="D53" s="70"/>
      <c r="E53" s="70">
        <f t="shared" si="0"/>
        <v>1188956.77</v>
      </c>
      <c r="F53" s="70">
        <v>225000</v>
      </c>
      <c r="G53" s="70">
        <f t="shared" si="1"/>
        <v>1301456.77</v>
      </c>
      <c r="H53" s="5">
        <v>15</v>
      </c>
      <c r="I53" s="72">
        <f t="shared" si="3"/>
        <v>0.06666666666666667</v>
      </c>
      <c r="J53" s="87">
        <f t="shared" si="4"/>
        <v>86763.78466666667</v>
      </c>
      <c r="K53" s="70">
        <v>86764</v>
      </c>
      <c r="L53" s="148">
        <f t="shared" si="2"/>
        <v>0.2153333333262708</v>
      </c>
      <c r="M53" s="109"/>
      <c r="N53" s="73"/>
    </row>
    <row r="54" spans="1:14" ht="12.75">
      <c r="A54" s="5">
        <v>1985</v>
      </c>
      <c r="B54" s="2" t="s">
        <v>41</v>
      </c>
      <c r="C54" s="70">
        <v>0</v>
      </c>
      <c r="D54" s="70"/>
      <c r="E54" s="70">
        <f t="shared" si="0"/>
        <v>0</v>
      </c>
      <c r="F54" s="70">
        <v>0</v>
      </c>
      <c r="G54" s="70">
        <f t="shared" si="1"/>
        <v>0</v>
      </c>
      <c r="H54" s="5">
        <v>0</v>
      </c>
      <c r="I54" s="72">
        <v>0</v>
      </c>
      <c r="J54" s="87">
        <v>0</v>
      </c>
      <c r="K54" s="70">
        <v>0</v>
      </c>
      <c r="L54" s="148">
        <f t="shared" si="2"/>
        <v>0</v>
      </c>
      <c r="M54" s="109"/>
      <c r="N54" s="73"/>
    </row>
    <row r="55" spans="1:14" ht="12.75">
      <c r="A55" s="5">
        <v>1995</v>
      </c>
      <c r="B55" s="2" t="s">
        <v>42</v>
      </c>
      <c r="C55" s="146">
        <f>'[5]FA Continuity 2011'!$D$44</f>
        <v>-8814020.350000001</v>
      </c>
      <c r="D55" s="146"/>
      <c r="E55" s="146">
        <f t="shared" si="0"/>
        <v>-8814020.350000001</v>
      </c>
      <c r="F55" s="146">
        <v>-510000</v>
      </c>
      <c r="G55" s="146">
        <f t="shared" si="1"/>
        <v>-9069020.350000001</v>
      </c>
      <c r="H55" s="5">
        <v>25</v>
      </c>
      <c r="I55" s="72">
        <f t="shared" si="3"/>
        <v>0.04</v>
      </c>
      <c r="J55" s="146">
        <f t="shared" si="4"/>
        <v>-362760.8140000001</v>
      </c>
      <c r="K55" s="146">
        <f>'[5]FA Continuity 2011'!$J$44</f>
        <v>-362760.83400000003</v>
      </c>
      <c r="L55" s="148">
        <f t="shared" si="2"/>
        <v>-0.01999999996041879</v>
      </c>
      <c r="M55" s="109"/>
      <c r="N55" s="73"/>
    </row>
    <row r="56" spans="1:14" ht="12.75">
      <c r="A56" s="5">
        <v>2005</v>
      </c>
      <c r="B56" s="67" t="s">
        <v>111</v>
      </c>
      <c r="C56" s="70">
        <v>10038.6</v>
      </c>
      <c r="D56" s="70"/>
      <c r="E56" s="70">
        <f t="shared" si="0"/>
        <v>10038.6</v>
      </c>
      <c r="F56" s="70">
        <v>0</v>
      </c>
      <c r="G56" s="70">
        <f t="shared" si="1"/>
        <v>10038.6</v>
      </c>
      <c r="H56" s="5">
        <v>10</v>
      </c>
      <c r="I56" s="72">
        <f t="shared" si="3"/>
        <v>0.1</v>
      </c>
      <c r="J56" s="87">
        <f t="shared" si="4"/>
        <v>1003.86</v>
      </c>
      <c r="K56" s="70">
        <v>1003.86</v>
      </c>
      <c r="L56" s="148">
        <f t="shared" si="2"/>
        <v>0</v>
      </c>
      <c r="M56" s="109"/>
      <c r="N56" s="73"/>
    </row>
    <row r="57" spans="1:14" ht="13.5" thickBot="1">
      <c r="A57" s="77">
        <v>2055</v>
      </c>
      <c r="B57" s="78" t="s">
        <v>112</v>
      </c>
      <c r="C57" s="79">
        <v>0</v>
      </c>
      <c r="D57" s="79"/>
      <c r="E57" s="79">
        <f t="shared" si="0"/>
        <v>0</v>
      </c>
      <c r="F57" s="79">
        <v>0</v>
      </c>
      <c r="G57" s="79">
        <f t="shared" si="1"/>
        <v>0</v>
      </c>
      <c r="H57" s="77">
        <v>0</v>
      </c>
      <c r="I57" s="85">
        <v>0</v>
      </c>
      <c r="J57" s="88">
        <v>0</v>
      </c>
      <c r="K57" s="79"/>
      <c r="L57" s="149">
        <f t="shared" si="2"/>
        <v>0</v>
      </c>
      <c r="M57" s="109"/>
      <c r="N57" s="73"/>
    </row>
    <row r="58" spans="1:14" ht="13.5" thickBot="1">
      <c r="A58" s="81"/>
      <c r="B58" s="80" t="s">
        <v>43</v>
      </c>
      <c r="C58" s="82">
        <f>SUM(C13:C57)</f>
        <v>81099604.85000002</v>
      </c>
      <c r="D58" s="82"/>
      <c r="E58" s="82">
        <f>SUM(E13:E57)</f>
        <v>78972369.5</v>
      </c>
      <c r="F58" s="82">
        <f>SUM(F13:F57)</f>
        <v>4232000</v>
      </c>
      <c r="G58" s="82"/>
      <c r="H58" s="83"/>
      <c r="I58" s="84"/>
      <c r="J58" s="89">
        <f>SUM(J13:J57)</f>
        <v>3395082.3184499997</v>
      </c>
      <c r="K58" s="108">
        <f>SUM(K13:K57)</f>
        <v>3244767.9752476183</v>
      </c>
      <c r="L58" s="150">
        <f>SUM(L13:L57)</f>
        <v>-150314.3432023809</v>
      </c>
      <c r="M58" s="103"/>
      <c r="N58" s="73"/>
    </row>
    <row r="59" ht="7.5" customHeight="1"/>
    <row r="60" spans="1:11" ht="12.75">
      <c r="A60" s="40" t="s">
        <v>92</v>
      </c>
      <c r="B60" s="101" t="s">
        <v>120</v>
      </c>
      <c r="C60" s="66">
        <f>81115606.2-16000</f>
        <v>81099606.2</v>
      </c>
      <c r="D60" s="74"/>
      <c r="E60" s="103"/>
      <c r="K60" s="66">
        <v>3244768</v>
      </c>
    </row>
    <row r="61" ht="7.5" customHeight="1"/>
    <row r="62" spans="1:10" ht="15" customHeight="1">
      <c r="A62" s="41" t="s">
        <v>69</v>
      </c>
      <c r="B62" s="345" t="s">
        <v>123</v>
      </c>
      <c r="C62" s="346"/>
      <c r="D62" s="346"/>
      <c r="E62" s="346"/>
      <c r="F62" s="346"/>
      <c r="G62" s="346"/>
      <c r="H62" s="346"/>
      <c r="I62" s="346"/>
      <c r="J62" s="346"/>
    </row>
    <row r="63" spans="1:10" ht="15" customHeight="1">
      <c r="A63" s="41" t="s">
        <v>89</v>
      </c>
      <c r="B63" s="112" t="s">
        <v>239</v>
      </c>
      <c r="C63" s="105"/>
      <c r="D63" s="105"/>
      <c r="E63" s="105"/>
      <c r="F63" s="105"/>
      <c r="G63" s="105"/>
      <c r="H63" s="105"/>
      <c r="I63" s="105"/>
      <c r="J63" s="105"/>
    </row>
    <row r="64" spans="1:2" ht="15" customHeight="1">
      <c r="A64" s="110" t="s">
        <v>124</v>
      </c>
      <c r="B64" s="112" t="s">
        <v>240</v>
      </c>
    </row>
    <row r="65" spans="1:2" ht="15" customHeight="1">
      <c r="A65" s="110" t="s">
        <v>125</v>
      </c>
      <c r="B65" s="112" t="s">
        <v>241</v>
      </c>
    </row>
    <row r="66" spans="1:2" ht="15" customHeight="1">
      <c r="A66" s="110" t="s">
        <v>126</v>
      </c>
      <c r="B66" s="112" t="s">
        <v>242</v>
      </c>
    </row>
    <row r="67" spans="1:10" ht="15" customHeight="1">
      <c r="A67" s="110" t="s">
        <v>127</v>
      </c>
      <c r="B67" s="340" t="s">
        <v>243</v>
      </c>
      <c r="C67" s="340"/>
      <c r="D67" s="340"/>
      <c r="E67" s="340"/>
      <c r="F67" s="340"/>
      <c r="G67" s="340"/>
      <c r="H67" s="340"/>
      <c r="I67" s="340"/>
      <c r="J67" s="340"/>
    </row>
    <row r="68" spans="1:2" ht="15" customHeight="1">
      <c r="A68" s="110" t="s">
        <v>128</v>
      </c>
      <c r="B68" s="76" t="s">
        <v>283</v>
      </c>
    </row>
    <row r="69" spans="1:2" ht="15" customHeight="1">
      <c r="A69" s="110" t="s">
        <v>129</v>
      </c>
      <c r="B69" s="76" t="s">
        <v>140</v>
      </c>
    </row>
    <row r="70" spans="1:2" ht="15" customHeight="1">
      <c r="A70" s="110" t="s">
        <v>130</v>
      </c>
      <c r="B70" s="114" t="s">
        <v>133</v>
      </c>
    </row>
    <row r="71" spans="1:4" ht="15" customHeight="1">
      <c r="A71" s="110" t="s">
        <v>131</v>
      </c>
      <c r="B71" s="111" t="s">
        <v>144</v>
      </c>
      <c r="C71" s="113"/>
      <c r="D71" s="113"/>
    </row>
    <row r="72" ht="15" customHeight="1"/>
  </sheetData>
  <sheetProtection/>
  <mergeCells count="5">
    <mergeCell ref="A9:J9"/>
    <mergeCell ref="A11:A12"/>
    <mergeCell ref="B11:B12"/>
    <mergeCell ref="B62:J62"/>
    <mergeCell ref="B67:J6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showGridLines="0" zoomScalePageLayoutView="0" workbookViewId="0" topLeftCell="G1">
      <selection activeCell="Q63" sqref="Q63"/>
    </sheetView>
  </sheetViews>
  <sheetFormatPr defaultColWidth="9.140625" defaultRowHeight="12.75"/>
  <cols>
    <col min="1" max="1" width="15.57421875" style="1" customWidth="1"/>
    <col min="2" max="2" width="42.00390625" style="0" customWidth="1"/>
    <col min="3" max="6" width="13.7109375" style="0" customWidth="1"/>
    <col min="7" max="8" width="5.7109375" style="121" customWidth="1"/>
    <col min="9" max="12" width="13.7109375" style="0" customWidth="1"/>
    <col min="13" max="14" width="5.7109375" style="121" customWidth="1"/>
    <col min="15" max="17" width="13.7109375" style="0" customWidth="1"/>
    <col min="18" max="18" width="17.00390625" style="0" customWidth="1"/>
    <col min="19" max="19" width="5.7109375" style="122" customWidth="1"/>
  </cols>
  <sheetData>
    <row r="1" spans="16:18" ht="12.75">
      <c r="P1" s="40" t="s">
        <v>50</v>
      </c>
      <c r="R1" s="68" t="s">
        <v>94</v>
      </c>
    </row>
    <row r="2" spans="16:18" ht="12.75">
      <c r="P2" s="40" t="s">
        <v>51</v>
      </c>
      <c r="R2" s="68">
        <v>4</v>
      </c>
    </row>
    <row r="3" spans="16:18" ht="12.75">
      <c r="P3" s="40" t="s">
        <v>52</v>
      </c>
      <c r="R3" s="68">
        <v>7</v>
      </c>
    </row>
    <row r="4" spans="16:18" ht="12.75">
      <c r="P4" s="40" t="s">
        <v>53</v>
      </c>
      <c r="R4" s="68">
        <v>2</v>
      </c>
    </row>
    <row r="5" spans="16:18" ht="12.75">
      <c r="P5" s="40" t="s">
        <v>54</v>
      </c>
      <c r="R5" s="271" t="s">
        <v>297</v>
      </c>
    </row>
    <row r="6" spans="16:18" ht="12.75">
      <c r="P6" s="40"/>
      <c r="R6" s="68"/>
    </row>
    <row r="7" spans="16:18" ht="12.75">
      <c r="P7" s="40" t="s">
        <v>55</v>
      </c>
      <c r="R7" s="69" t="s">
        <v>291</v>
      </c>
    </row>
    <row r="9" spans="1:18" ht="24.75" customHeight="1">
      <c r="A9" s="133" t="s">
        <v>198</v>
      </c>
      <c r="B9" s="133"/>
      <c r="C9" s="133"/>
      <c r="D9" s="133"/>
      <c r="E9" s="133"/>
      <c r="F9" s="133"/>
      <c r="G9" s="134"/>
      <c r="H9" s="134"/>
      <c r="I9" s="133"/>
      <c r="J9" s="133"/>
      <c r="K9" s="133"/>
      <c r="L9" s="133"/>
      <c r="M9" s="134"/>
      <c r="N9" s="134"/>
      <c r="O9" s="133"/>
      <c r="P9" s="133"/>
      <c r="Q9" s="133"/>
      <c r="R9" s="133"/>
    </row>
    <row r="10" ht="12.75">
      <c r="L10" s="3"/>
    </row>
    <row r="11" spans="1:18" ht="12.75">
      <c r="A11" s="77"/>
      <c r="B11" s="95"/>
      <c r="C11" s="123">
        <v>2007</v>
      </c>
      <c r="D11" s="95"/>
      <c r="E11" s="95"/>
      <c r="F11" s="123" t="s">
        <v>146</v>
      </c>
      <c r="I11" s="123">
        <v>2008</v>
      </c>
      <c r="J11" s="95"/>
      <c r="K11" s="95"/>
      <c r="L11" s="123" t="s">
        <v>146</v>
      </c>
      <c r="O11" s="123">
        <v>2009</v>
      </c>
      <c r="P11" s="123"/>
      <c r="Q11" s="123"/>
      <c r="R11" s="123" t="s">
        <v>146</v>
      </c>
    </row>
    <row r="12" spans="1:18" ht="12.75">
      <c r="A12" s="124" t="s">
        <v>147</v>
      </c>
      <c r="B12" s="4"/>
      <c r="C12" s="124" t="s">
        <v>194</v>
      </c>
      <c r="D12" s="124" t="s">
        <v>145</v>
      </c>
      <c r="E12" s="124" t="s">
        <v>200</v>
      </c>
      <c r="F12" s="124" t="s">
        <v>149</v>
      </c>
      <c r="I12" s="124" t="s">
        <v>194</v>
      </c>
      <c r="J12" s="124" t="s">
        <v>145</v>
      </c>
      <c r="K12" s="124" t="s">
        <v>200</v>
      </c>
      <c r="L12" s="124" t="s">
        <v>150</v>
      </c>
      <c r="O12" s="124" t="s">
        <v>194</v>
      </c>
      <c r="P12" s="124" t="s">
        <v>145</v>
      </c>
      <c r="Q12" s="124" t="s">
        <v>200</v>
      </c>
      <c r="R12" s="124" t="s">
        <v>151</v>
      </c>
    </row>
    <row r="13" spans="1:18" ht="12.75">
      <c r="A13" s="115" t="s">
        <v>199</v>
      </c>
      <c r="B13" s="115" t="s">
        <v>148</v>
      </c>
      <c r="C13" s="115" t="s">
        <v>195</v>
      </c>
      <c r="D13" s="115" t="s">
        <v>152</v>
      </c>
      <c r="E13" s="115" t="s">
        <v>201</v>
      </c>
      <c r="F13" s="115" t="s">
        <v>196</v>
      </c>
      <c r="I13" s="115" t="s">
        <v>195</v>
      </c>
      <c r="J13" s="115" t="s">
        <v>152</v>
      </c>
      <c r="K13" s="115" t="s">
        <v>201</v>
      </c>
      <c r="L13" s="115" t="s">
        <v>196</v>
      </c>
      <c r="O13" s="115" t="s">
        <v>195</v>
      </c>
      <c r="P13" s="115" t="s">
        <v>152</v>
      </c>
      <c r="Q13" s="115" t="s">
        <v>201</v>
      </c>
      <c r="R13" s="115" t="s">
        <v>196</v>
      </c>
    </row>
    <row r="15" spans="1:23" ht="12.75">
      <c r="A15" s="5">
        <v>1730</v>
      </c>
      <c r="B15" s="2" t="s">
        <v>153</v>
      </c>
      <c r="C15" s="265">
        <v>0</v>
      </c>
      <c r="D15" s="265">
        <v>0</v>
      </c>
      <c r="E15" s="265">
        <v>0</v>
      </c>
      <c r="F15" s="265">
        <f>C15-D15</f>
        <v>0</v>
      </c>
      <c r="I15" s="265">
        <v>97.5</v>
      </c>
      <c r="J15" s="265">
        <v>48.75</v>
      </c>
      <c r="K15" s="265"/>
      <c r="L15" s="265">
        <f>I15-J15+K15</f>
        <v>48.75</v>
      </c>
      <c r="O15" s="265">
        <v>97.5</v>
      </c>
      <c r="P15" s="265">
        <v>0</v>
      </c>
      <c r="Q15" s="265"/>
      <c r="R15" s="265">
        <f>O15-P15+Q15</f>
        <v>97.5</v>
      </c>
      <c r="W15" s="120">
        <v>0</v>
      </c>
    </row>
    <row r="16" spans="1:23" ht="12.75">
      <c r="A16" s="5">
        <v>1805</v>
      </c>
      <c r="B16" s="2" t="s">
        <v>154</v>
      </c>
      <c r="C16" s="265">
        <v>0</v>
      </c>
      <c r="D16" s="265">
        <v>0</v>
      </c>
      <c r="E16" s="265">
        <v>0</v>
      </c>
      <c r="F16" s="265">
        <f aca="true" t="shared" si="0" ref="F16:F52">C16-D16</f>
        <v>0</v>
      </c>
      <c r="I16" s="265">
        <v>0</v>
      </c>
      <c r="J16" s="265">
        <v>0</v>
      </c>
      <c r="K16" s="265"/>
      <c r="L16" s="265">
        <f aca="true" t="shared" si="1" ref="L16:L52">I16-J16+K16</f>
        <v>0</v>
      </c>
      <c r="O16" s="265">
        <v>0</v>
      </c>
      <c r="P16" s="265">
        <v>0</v>
      </c>
      <c r="Q16" s="265"/>
      <c r="R16" s="265">
        <f aca="true" t="shared" si="2" ref="R16:R52">O16-P16+Q16</f>
        <v>0</v>
      </c>
      <c r="W16" s="120">
        <v>0</v>
      </c>
    </row>
    <row r="17" spans="1:23" ht="12.75">
      <c r="A17" s="5">
        <v>1806</v>
      </c>
      <c r="B17" s="2" t="s">
        <v>155</v>
      </c>
      <c r="C17" s="265">
        <v>0</v>
      </c>
      <c r="D17" s="265">
        <v>0</v>
      </c>
      <c r="E17" s="265">
        <v>0</v>
      </c>
      <c r="F17" s="265">
        <f t="shared" si="0"/>
        <v>0</v>
      </c>
      <c r="I17" s="265">
        <v>0</v>
      </c>
      <c r="J17" s="265">
        <v>0</v>
      </c>
      <c r="K17" s="265"/>
      <c r="L17" s="265">
        <f t="shared" si="1"/>
        <v>0</v>
      </c>
      <c r="O17" s="265">
        <v>0</v>
      </c>
      <c r="P17" s="265">
        <v>0</v>
      </c>
      <c r="Q17" s="265"/>
      <c r="R17" s="265">
        <f t="shared" si="2"/>
        <v>0</v>
      </c>
      <c r="W17" s="120">
        <v>0</v>
      </c>
    </row>
    <row r="18" spans="1:23" ht="12.75">
      <c r="A18" s="5">
        <v>18082</v>
      </c>
      <c r="B18" s="2" t="s">
        <v>156</v>
      </c>
      <c r="C18" s="265">
        <v>29017.41</v>
      </c>
      <c r="D18" s="265">
        <v>0</v>
      </c>
      <c r="E18" s="265">
        <v>0</v>
      </c>
      <c r="F18" s="265">
        <f t="shared" si="0"/>
        <v>29017.41</v>
      </c>
      <c r="I18" s="265">
        <v>30499.22</v>
      </c>
      <c r="J18" s="265">
        <v>740.9035</v>
      </c>
      <c r="K18" s="265"/>
      <c r="L18" s="265">
        <f t="shared" si="1"/>
        <v>29758.3165</v>
      </c>
      <c r="O18" s="265">
        <v>32314.35</v>
      </c>
      <c r="P18" s="265">
        <v>907.5664</v>
      </c>
      <c r="Q18" s="265"/>
      <c r="R18" s="265">
        <f t="shared" si="2"/>
        <v>31406.7836</v>
      </c>
      <c r="W18" s="120">
        <v>0.0030000000006111804</v>
      </c>
    </row>
    <row r="19" spans="1:23" ht="12.75">
      <c r="A19" s="5">
        <v>18150</v>
      </c>
      <c r="B19" s="2" t="s">
        <v>157</v>
      </c>
      <c r="C19" s="265">
        <v>77084.54</v>
      </c>
      <c r="D19" s="265">
        <v>3504.86</v>
      </c>
      <c r="E19" s="265">
        <v>0</v>
      </c>
      <c r="F19" s="265">
        <f t="shared" si="0"/>
        <v>73579.68</v>
      </c>
      <c r="I19" s="265">
        <v>80328.95</v>
      </c>
      <c r="J19" s="265">
        <v>1622.2037500000001</v>
      </c>
      <c r="K19" s="265"/>
      <c r="L19" s="265">
        <f t="shared" si="1"/>
        <v>78706.74625</v>
      </c>
      <c r="O19" s="265">
        <v>80328.95</v>
      </c>
      <c r="P19" s="265">
        <v>0</v>
      </c>
      <c r="Q19" s="265"/>
      <c r="R19" s="265">
        <f t="shared" si="2"/>
        <v>80328.95</v>
      </c>
      <c r="W19" s="120">
        <v>-0.0010000000038417056</v>
      </c>
    </row>
    <row r="20" spans="1:23" ht="12.75">
      <c r="A20" s="5">
        <v>1820</v>
      </c>
      <c r="B20" s="2" t="s">
        <v>13</v>
      </c>
      <c r="C20" s="265">
        <v>107864.52</v>
      </c>
      <c r="D20" s="265">
        <v>11486.11</v>
      </c>
      <c r="E20" s="265">
        <v>3281.75</v>
      </c>
      <c r="F20" s="265">
        <f>C20-D20+E20</f>
        <v>99660.16</v>
      </c>
      <c r="G20" s="121" t="s">
        <v>158</v>
      </c>
      <c r="I20" s="265">
        <v>82146.14</v>
      </c>
      <c r="J20" s="265">
        <v>13452.351</v>
      </c>
      <c r="K20" s="265">
        <v>7125.27</v>
      </c>
      <c r="L20" s="265">
        <f t="shared" si="1"/>
        <v>75819.05900000001</v>
      </c>
      <c r="M20" s="121" t="s">
        <v>159</v>
      </c>
      <c r="O20" s="265">
        <v>97148.76</v>
      </c>
      <c r="P20" s="265">
        <v>3937.895</v>
      </c>
      <c r="Q20" s="265">
        <v>-10407.01</v>
      </c>
      <c r="R20" s="265">
        <f t="shared" si="2"/>
        <v>82803.855</v>
      </c>
      <c r="S20" s="122" t="s">
        <v>160</v>
      </c>
      <c r="W20" s="120">
        <v>7125.2723333333415</v>
      </c>
    </row>
    <row r="21" spans="1:23" ht="12.75">
      <c r="A21" s="5">
        <v>1830</v>
      </c>
      <c r="B21" s="2" t="s">
        <v>161</v>
      </c>
      <c r="C21" s="265">
        <v>758112.48</v>
      </c>
      <c r="D21" s="265">
        <v>25289.32</v>
      </c>
      <c r="E21" s="265">
        <v>0</v>
      </c>
      <c r="F21" s="265">
        <f t="shared" si="0"/>
        <v>732823.16</v>
      </c>
      <c r="I21" s="265">
        <v>791096.44</v>
      </c>
      <c r="J21" s="265">
        <v>16491.979199999998</v>
      </c>
      <c r="K21" s="265"/>
      <c r="L21" s="265">
        <f t="shared" si="1"/>
        <v>774604.4608</v>
      </c>
      <c r="O21" s="265">
        <v>831357.54</v>
      </c>
      <c r="P21" s="265">
        <v>20130.5694</v>
      </c>
      <c r="Q21" s="265"/>
      <c r="R21" s="265">
        <f t="shared" si="2"/>
        <v>811226.9706</v>
      </c>
      <c r="W21" s="120">
        <v>0.0076000000117346644</v>
      </c>
    </row>
    <row r="22" spans="1:23" ht="12.75">
      <c r="A22" s="5">
        <v>1835</v>
      </c>
      <c r="B22" s="2" t="s">
        <v>162</v>
      </c>
      <c r="C22" s="265">
        <v>374667.96</v>
      </c>
      <c r="D22" s="265">
        <v>20662.04</v>
      </c>
      <c r="E22" s="265">
        <v>0</v>
      </c>
      <c r="F22" s="265">
        <f t="shared" si="0"/>
        <v>354005.92000000004</v>
      </c>
      <c r="I22" s="265">
        <v>409310.8</v>
      </c>
      <c r="J22" s="265">
        <v>17321.4208</v>
      </c>
      <c r="K22" s="265"/>
      <c r="L22" s="265">
        <f t="shared" si="1"/>
        <v>391989.37919999997</v>
      </c>
      <c r="O22" s="265">
        <v>438612.57</v>
      </c>
      <c r="P22" s="265">
        <v>14650.883600000001</v>
      </c>
      <c r="Q22" s="265"/>
      <c r="R22" s="265">
        <f t="shared" si="2"/>
        <v>423961.6864</v>
      </c>
      <c r="W22" s="120">
        <v>-0.004400000034365803</v>
      </c>
    </row>
    <row r="23" spans="1:23" ht="12.75">
      <c r="A23" s="5">
        <v>1840</v>
      </c>
      <c r="B23" s="2" t="s">
        <v>163</v>
      </c>
      <c r="C23" s="265">
        <v>121738.5</v>
      </c>
      <c r="D23" s="265">
        <v>4240.49</v>
      </c>
      <c r="E23" s="265">
        <v>0</v>
      </c>
      <c r="F23" s="265">
        <f t="shared" si="0"/>
        <v>117498.01</v>
      </c>
      <c r="I23" s="265">
        <v>123911.01</v>
      </c>
      <c r="J23" s="265">
        <v>1086.2534</v>
      </c>
      <c r="K23" s="265"/>
      <c r="L23" s="265">
        <f t="shared" si="1"/>
        <v>122824.7566</v>
      </c>
      <c r="O23" s="265">
        <v>136410.36</v>
      </c>
      <c r="P23" s="265">
        <v>6249.676600000001</v>
      </c>
      <c r="Q23" s="265"/>
      <c r="R23" s="265">
        <f t="shared" si="2"/>
        <v>130160.68339999998</v>
      </c>
      <c r="W23" s="120">
        <v>0.0004000000044470653</v>
      </c>
    </row>
    <row r="24" spans="1:23" ht="12.75">
      <c r="A24" s="5">
        <v>1845</v>
      </c>
      <c r="B24" s="2" t="s">
        <v>164</v>
      </c>
      <c r="C24" s="265">
        <v>229570.82</v>
      </c>
      <c r="D24" s="265">
        <v>10159.7</v>
      </c>
      <c r="E24" s="265">
        <v>0</v>
      </c>
      <c r="F24" s="265">
        <f t="shared" si="0"/>
        <v>219411.12</v>
      </c>
      <c r="I24" s="265">
        <v>236637.51</v>
      </c>
      <c r="J24" s="265">
        <v>3533.345</v>
      </c>
      <c r="K24" s="265"/>
      <c r="L24" s="265">
        <f t="shared" si="1"/>
        <v>233104.165</v>
      </c>
      <c r="O24" s="265">
        <v>257244.04</v>
      </c>
      <c r="P24" s="265">
        <v>10303.265</v>
      </c>
      <c r="Q24" s="265"/>
      <c r="R24" s="265">
        <f t="shared" si="2"/>
        <v>246940.77500000002</v>
      </c>
      <c r="W24" s="120">
        <v>-0.0008000000088941306</v>
      </c>
    </row>
    <row r="25" spans="1:23" ht="12.75">
      <c r="A25" s="5" t="s">
        <v>165</v>
      </c>
      <c r="B25" s="2" t="s">
        <v>166</v>
      </c>
      <c r="C25" s="265">
        <v>396473.33</v>
      </c>
      <c r="D25" s="265">
        <v>9565.31</v>
      </c>
      <c r="E25" s="265">
        <v>0</v>
      </c>
      <c r="F25" s="265">
        <f t="shared" si="0"/>
        <v>386908.02</v>
      </c>
      <c r="I25" s="265">
        <v>405848.23</v>
      </c>
      <c r="J25" s="265">
        <v>4687.4524</v>
      </c>
      <c r="K25" s="265"/>
      <c r="L25" s="265">
        <f t="shared" si="1"/>
        <v>401160.7776</v>
      </c>
      <c r="O25" s="265">
        <v>419022.32</v>
      </c>
      <c r="P25" s="265">
        <v>6587.0454</v>
      </c>
      <c r="Q25" s="265"/>
      <c r="R25" s="265">
        <f t="shared" si="2"/>
        <v>412435.2746</v>
      </c>
      <c r="W25" s="120">
        <v>-0.0024000000557862222</v>
      </c>
    </row>
    <row r="26" spans="1:23" ht="12.75">
      <c r="A26" s="5" t="s">
        <v>167</v>
      </c>
      <c r="B26" s="2" t="s">
        <v>168</v>
      </c>
      <c r="C26" s="265">
        <v>84402.67</v>
      </c>
      <c r="D26" s="265">
        <v>11230.34</v>
      </c>
      <c r="E26" s="265">
        <v>0</v>
      </c>
      <c r="F26" s="265">
        <f t="shared" si="0"/>
        <v>73172.33</v>
      </c>
      <c r="I26" s="265">
        <v>104670.64</v>
      </c>
      <c r="J26" s="265">
        <v>10133.983</v>
      </c>
      <c r="K26" s="265"/>
      <c r="L26" s="265">
        <f t="shared" si="1"/>
        <v>94536.657</v>
      </c>
      <c r="O26" s="265">
        <v>108351.56</v>
      </c>
      <c r="P26" s="265">
        <v>1840.4602</v>
      </c>
      <c r="Q26" s="265"/>
      <c r="R26" s="265">
        <f t="shared" si="2"/>
        <v>106511.0998</v>
      </c>
      <c r="W26" s="120">
        <v>0.0044000000052619725</v>
      </c>
    </row>
    <row r="27" spans="1:23" ht="12.75">
      <c r="A27" s="5">
        <v>1855</v>
      </c>
      <c r="B27" s="2" t="s">
        <v>169</v>
      </c>
      <c r="C27" s="265">
        <v>77793.65</v>
      </c>
      <c r="D27" s="265">
        <v>6650.49</v>
      </c>
      <c r="E27" s="265">
        <v>0</v>
      </c>
      <c r="F27" s="265">
        <f t="shared" si="0"/>
        <v>71143.15999999999</v>
      </c>
      <c r="I27" s="265">
        <v>89207.45</v>
      </c>
      <c r="J27" s="265">
        <v>5706.901800000001</v>
      </c>
      <c r="K27" s="265"/>
      <c r="L27" s="265">
        <f t="shared" si="1"/>
        <v>83500.54819999999</v>
      </c>
      <c r="O27" s="265">
        <v>100292.3</v>
      </c>
      <c r="P27" s="265">
        <v>5542.427</v>
      </c>
      <c r="Q27" s="265"/>
      <c r="R27" s="265">
        <f t="shared" si="2"/>
        <v>94749.873</v>
      </c>
      <c r="W27" s="120">
        <v>-0.00840000000607688</v>
      </c>
    </row>
    <row r="28" spans="1:23" ht="12.75">
      <c r="A28" s="5">
        <v>1860</v>
      </c>
      <c r="B28" s="2" t="s">
        <v>21</v>
      </c>
      <c r="C28" s="265">
        <v>140196.97</v>
      </c>
      <c r="D28" s="265">
        <v>3751.11</v>
      </c>
      <c r="E28" s="265">
        <v>0</v>
      </c>
      <c r="F28" s="265">
        <f t="shared" si="0"/>
        <v>136445.86000000002</v>
      </c>
      <c r="I28" s="265">
        <v>147710.64</v>
      </c>
      <c r="J28" s="265">
        <v>3756.8365999999996</v>
      </c>
      <c r="K28" s="265"/>
      <c r="L28" s="265">
        <f t="shared" si="1"/>
        <v>143953.8034</v>
      </c>
      <c r="O28" s="265">
        <v>153056.06</v>
      </c>
      <c r="P28" s="265">
        <v>2672.7110000000002</v>
      </c>
      <c r="Q28" s="265"/>
      <c r="R28" s="265">
        <f t="shared" si="2"/>
        <v>150383.349</v>
      </c>
      <c r="W28" s="120">
        <v>-0.0040000000153668225</v>
      </c>
    </row>
    <row r="29" spans="1:23" ht="12.75">
      <c r="A29" s="5">
        <v>1905</v>
      </c>
      <c r="B29" s="2" t="s">
        <v>170</v>
      </c>
      <c r="C29" s="265">
        <v>0</v>
      </c>
      <c r="D29" s="265">
        <v>0</v>
      </c>
      <c r="E29" s="265">
        <v>0</v>
      </c>
      <c r="F29" s="265">
        <f t="shared" si="0"/>
        <v>0</v>
      </c>
      <c r="I29" s="265">
        <v>0</v>
      </c>
      <c r="J29" s="265">
        <v>0</v>
      </c>
      <c r="K29" s="265"/>
      <c r="L29" s="265">
        <f t="shared" si="1"/>
        <v>0</v>
      </c>
      <c r="O29" s="265">
        <v>0</v>
      </c>
      <c r="P29" s="265">
        <v>0</v>
      </c>
      <c r="Q29" s="265"/>
      <c r="R29" s="265">
        <f t="shared" si="2"/>
        <v>0</v>
      </c>
      <c r="W29" s="120">
        <v>0</v>
      </c>
    </row>
    <row r="30" spans="1:23" ht="12.75">
      <c r="A30" s="5" t="s">
        <v>171</v>
      </c>
      <c r="B30" s="2" t="s">
        <v>172</v>
      </c>
      <c r="C30" s="265">
        <v>30124.85</v>
      </c>
      <c r="D30" s="265">
        <v>1729.03</v>
      </c>
      <c r="E30" s="265">
        <v>0</v>
      </c>
      <c r="F30" s="265">
        <f t="shared" si="0"/>
        <v>28395.82</v>
      </c>
      <c r="I30" s="265">
        <v>31500.58</v>
      </c>
      <c r="J30" s="265">
        <v>687.8657000000001</v>
      </c>
      <c r="K30" s="265"/>
      <c r="L30" s="265">
        <f t="shared" si="1"/>
        <v>30812.714300000003</v>
      </c>
      <c r="O30" s="265">
        <v>32023.79</v>
      </c>
      <c r="P30" s="265">
        <v>261.605</v>
      </c>
      <c r="Q30" s="265"/>
      <c r="R30" s="265">
        <f t="shared" si="2"/>
        <v>31762.185</v>
      </c>
      <c r="W30" s="120">
        <v>-0.004399999994348036</v>
      </c>
    </row>
    <row r="31" spans="1:23" ht="12.75">
      <c r="A31" s="5" t="s">
        <v>173</v>
      </c>
      <c r="B31" s="2" t="s">
        <v>174</v>
      </c>
      <c r="C31" s="265">
        <v>275.48</v>
      </c>
      <c r="D31" s="265">
        <v>0</v>
      </c>
      <c r="E31" s="265">
        <v>0</v>
      </c>
      <c r="F31" s="265">
        <f t="shared" si="0"/>
        <v>275.48</v>
      </c>
      <c r="I31" s="265">
        <v>275.48</v>
      </c>
      <c r="J31" s="265">
        <v>0</v>
      </c>
      <c r="K31" s="265"/>
      <c r="L31" s="265">
        <f t="shared" si="1"/>
        <v>275.48</v>
      </c>
      <c r="O31" s="265">
        <v>275.48</v>
      </c>
      <c r="P31" s="265">
        <v>0</v>
      </c>
      <c r="Q31" s="265"/>
      <c r="R31" s="265">
        <f t="shared" si="2"/>
        <v>275.48</v>
      </c>
      <c r="W31" s="120">
        <v>0</v>
      </c>
    </row>
    <row r="32" spans="1:23" ht="12.75">
      <c r="A32" s="5">
        <v>1910</v>
      </c>
      <c r="B32" s="2" t="s">
        <v>47</v>
      </c>
      <c r="C32" s="265">
        <v>639.7</v>
      </c>
      <c r="D32" s="265">
        <v>0</v>
      </c>
      <c r="E32" s="265">
        <v>0</v>
      </c>
      <c r="F32" s="265">
        <f t="shared" si="0"/>
        <v>639.7</v>
      </c>
      <c r="I32" s="265">
        <v>639.7</v>
      </c>
      <c r="J32" s="265">
        <v>0</v>
      </c>
      <c r="K32" s="265"/>
      <c r="L32" s="265">
        <f t="shared" si="1"/>
        <v>639.7</v>
      </c>
      <c r="O32" s="265">
        <v>639.7</v>
      </c>
      <c r="P32" s="265">
        <v>0</v>
      </c>
      <c r="Q32" s="265"/>
      <c r="R32" s="265">
        <f t="shared" si="2"/>
        <v>639.7</v>
      </c>
      <c r="W32" s="120">
        <v>0</v>
      </c>
    </row>
    <row r="33" spans="1:23" ht="12.75">
      <c r="A33" s="5">
        <v>1915</v>
      </c>
      <c r="B33" s="2" t="s">
        <v>175</v>
      </c>
      <c r="C33" s="265">
        <v>12582.05</v>
      </c>
      <c r="D33" s="265">
        <v>788.2</v>
      </c>
      <c r="E33" s="265">
        <v>0</v>
      </c>
      <c r="F33" s="265">
        <f t="shared" si="0"/>
        <v>11793.849999999999</v>
      </c>
      <c r="I33" s="265">
        <v>14322.75</v>
      </c>
      <c r="J33" s="265">
        <v>771.359</v>
      </c>
      <c r="K33" s="265"/>
      <c r="L33" s="265">
        <f t="shared" si="1"/>
        <v>13551.391</v>
      </c>
      <c r="O33" s="265">
        <v>14730.2</v>
      </c>
      <c r="P33" s="265">
        <v>203.72650000000002</v>
      </c>
      <c r="Q33" s="265"/>
      <c r="R33" s="265">
        <f t="shared" si="2"/>
        <v>14526.4735</v>
      </c>
      <c r="W33" s="120">
        <v>0.0010000000002037268</v>
      </c>
    </row>
    <row r="34" spans="1:23" ht="12.75">
      <c r="A34" s="5">
        <v>1920</v>
      </c>
      <c r="B34" s="2" t="s">
        <v>176</v>
      </c>
      <c r="C34" s="265">
        <v>100274.22</v>
      </c>
      <c r="D34" s="265">
        <v>6985.16</v>
      </c>
      <c r="E34" s="265">
        <v>0</v>
      </c>
      <c r="F34" s="265">
        <f t="shared" si="0"/>
        <v>93289.06</v>
      </c>
      <c r="I34" s="265">
        <v>131079.3</v>
      </c>
      <c r="J34" s="265">
        <v>17986.56</v>
      </c>
      <c r="K34" s="265"/>
      <c r="L34" s="265">
        <f t="shared" si="1"/>
        <v>113092.73999999999</v>
      </c>
      <c r="O34" s="265">
        <v>113820.33</v>
      </c>
      <c r="P34" s="265">
        <v>2399.932</v>
      </c>
      <c r="Q34" s="265"/>
      <c r="R34" s="265">
        <f t="shared" si="2"/>
        <v>111420.398</v>
      </c>
      <c r="W34" s="120">
        <v>-0.0020000000076834112</v>
      </c>
    </row>
    <row r="35" spans="1:23" ht="12.75">
      <c r="A35" s="5">
        <v>1925</v>
      </c>
      <c r="B35" s="2" t="s">
        <v>32</v>
      </c>
      <c r="C35" s="265">
        <v>50877.72</v>
      </c>
      <c r="D35" s="265">
        <v>5594.27</v>
      </c>
      <c r="E35" s="265">
        <v>0</v>
      </c>
      <c r="F35" s="265">
        <f t="shared" si="0"/>
        <v>45283.45</v>
      </c>
      <c r="I35" s="265">
        <v>48256.38</v>
      </c>
      <c r="J35" s="265">
        <v>3043.02</v>
      </c>
      <c r="K35" s="265"/>
      <c r="L35" s="265">
        <f t="shared" si="1"/>
        <v>45213.36</v>
      </c>
      <c r="O35" s="265">
        <v>46406.89</v>
      </c>
      <c r="P35" s="265">
        <v>500.5130000000001</v>
      </c>
      <c r="Q35" s="265"/>
      <c r="R35" s="265">
        <f t="shared" si="2"/>
        <v>45906.377</v>
      </c>
      <c r="W35" s="120">
        <v>-0.0020000000004074536</v>
      </c>
    </row>
    <row r="36" spans="1:23" ht="12.75">
      <c r="A36" s="5">
        <v>1930</v>
      </c>
      <c r="B36" s="2" t="s">
        <v>177</v>
      </c>
      <c r="C36" s="265">
        <v>87082.13</v>
      </c>
      <c r="D36" s="265">
        <v>0</v>
      </c>
      <c r="E36" s="265">
        <v>0</v>
      </c>
      <c r="F36" s="265">
        <f t="shared" si="0"/>
        <v>87082.13</v>
      </c>
      <c r="I36" s="265">
        <v>87082.13</v>
      </c>
      <c r="J36" s="265">
        <v>0</v>
      </c>
      <c r="K36" s="265"/>
      <c r="L36" s="265">
        <f t="shared" si="1"/>
        <v>87082.13</v>
      </c>
      <c r="O36" s="265">
        <v>87082.13</v>
      </c>
      <c r="P36" s="265">
        <v>0</v>
      </c>
      <c r="Q36" s="265"/>
      <c r="R36" s="265">
        <f t="shared" si="2"/>
        <v>87082.13</v>
      </c>
      <c r="W36" s="120">
        <v>0</v>
      </c>
    </row>
    <row r="37" spans="1:23" ht="12.75">
      <c r="A37" s="5" t="s">
        <v>101</v>
      </c>
      <c r="B37" s="2" t="s">
        <v>179</v>
      </c>
      <c r="C37" s="265">
        <v>4216.52</v>
      </c>
      <c r="D37" s="265">
        <v>0</v>
      </c>
      <c r="E37" s="265">
        <v>0</v>
      </c>
      <c r="F37" s="265">
        <f t="shared" si="0"/>
        <v>4216.52</v>
      </c>
      <c r="I37" s="265">
        <v>4216.52</v>
      </c>
      <c r="J37" s="265">
        <v>0</v>
      </c>
      <c r="K37" s="265"/>
      <c r="L37" s="265">
        <f t="shared" si="1"/>
        <v>4216.52</v>
      </c>
      <c r="O37" s="265">
        <v>4216.52</v>
      </c>
      <c r="P37" s="265">
        <v>0</v>
      </c>
      <c r="Q37" s="265"/>
      <c r="R37" s="265">
        <f t="shared" si="2"/>
        <v>4216.52</v>
      </c>
      <c r="W37" s="120">
        <v>-0.007499999999708962</v>
      </c>
    </row>
    <row r="38" spans="1:23" ht="12.75">
      <c r="A38" s="5" t="s">
        <v>102</v>
      </c>
      <c r="B38" s="2" t="s">
        <v>180</v>
      </c>
      <c r="C38" s="265">
        <v>15285.34</v>
      </c>
      <c r="D38" s="265">
        <v>0</v>
      </c>
      <c r="E38" s="265">
        <v>0</v>
      </c>
      <c r="F38" s="265">
        <f t="shared" si="0"/>
        <v>15285.34</v>
      </c>
      <c r="I38" s="265">
        <v>31061.69</v>
      </c>
      <c r="J38" s="265">
        <v>0</v>
      </c>
      <c r="K38" s="265"/>
      <c r="L38" s="265">
        <f t="shared" si="1"/>
        <v>31061.69</v>
      </c>
      <c r="O38" s="265">
        <v>31061.69</v>
      </c>
      <c r="P38" s="265">
        <v>0</v>
      </c>
      <c r="Q38" s="265"/>
      <c r="R38" s="265">
        <f t="shared" si="2"/>
        <v>31061.69</v>
      </c>
      <c r="W38" s="120">
        <v>-0.013999999999214197</v>
      </c>
    </row>
    <row r="39" spans="1:23" ht="12.75">
      <c r="A39" s="5" t="s">
        <v>103</v>
      </c>
      <c r="B39" s="2" t="s">
        <v>181</v>
      </c>
      <c r="C39" s="265">
        <v>40182.88</v>
      </c>
      <c r="D39" s="265">
        <v>0</v>
      </c>
      <c r="E39" s="265">
        <v>0</v>
      </c>
      <c r="F39" s="265">
        <f t="shared" si="0"/>
        <v>40182.88</v>
      </c>
      <c r="I39" s="265">
        <v>41606.43</v>
      </c>
      <c r="J39" s="265">
        <v>0</v>
      </c>
      <c r="K39" s="265">
        <v>-675</v>
      </c>
      <c r="L39" s="265">
        <f t="shared" si="1"/>
        <v>40931.43</v>
      </c>
      <c r="M39" s="121" t="s">
        <v>178</v>
      </c>
      <c r="O39" s="265">
        <v>41606.43</v>
      </c>
      <c r="P39" s="265">
        <v>0</v>
      </c>
      <c r="Q39" s="265">
        <v>-675</v>
      </c>
      <c r="R39" s="265">
        <f t="shared" si="2"/>
        <v>40931.43</v>
      </c>
      <c r="S39" s="122" t="s">
        <v>193</v>
      </c>
      <c r="W39" s="120">
        <v>675.0037500000035</v>
      </c>
    </row>
    <row r="40" spans="1:23" ht="12.75">
      <c r="A40" s="5" t="s">
        <v>104</v>
      </c>
      <c r="B40" s="2" t="s">
        <v>182</v>
      </c>
      <c r="C40" s="265">
        <v>0</v>
      </c>
      <c r="D40" s="265">
        <v>0</v>
      </c>
      <c r="E40" s="265">
        <v>0</v>
      </c>
      <c r="F40" s="265">
        <f t="shared" si="0"/>
        <v>0</v>
      </c>
      <c r="I40" s="265">
        <v>2916.03</v>
      </c>
      <c r="J40" s="265">
        <v>0</v>
      </c>
      <c r="K40" s="265"/>
      <c r="L40" s="265">
        <f t="shared" si="1"/>
        <v>2916.03</v>
      </c>
      <c r="O40" s="265">
        <v>3785.63</v>
      </c>
      <c r="P40" s="265">
        <v>0</v>
      </c>
      <c r="Q40" s="265"/>
      <c r="R40" s="265">
        <f t="shared" si="2"/>
        <v>3785.63</v>
      </c>
      <c r="W40" s="120">
        <v>0</v>
      </c>
    </row>
    <row r="41" spans="1:23" ht="12.75">
      <c r="A41" s="5">
        <v>1935</v>
      </c>
      <c r="B41" s="2" t="s">
        <v>34</v>
      </c>
      <c r="C41" s="265">
        <v>3756.38</v>
      </c>
      <c r="D41" s="265">
        <v>124.79</v>
      </c>
      <c r="E41" s="265">
        <v>0</v>
      </c>
      <c r="F41" s="265">
        <f t="shared" si="0"/>
        <v>3631.59</v>
      </c>
      <c r="I41" s="265">
        <v>3888.95</v>
      </c>
      <c r="J41" s="265">
        <v>66.2835</v>
      </c>
      <c r="K41" s="265"/>
      <c r="L41" s="265">
        <f t="shared" si="1"/>
        <v>3822.6665</v>
      </c>
      <c r="O41" s="265">
        <v>3920.37</v>
      </c>
      <c r="P41" s="265">
        <v>15.713999999999999</v>
      </c>
      <c r="Q41" s="265"/>
      <c r="R41" s="265">
        <f t="shared" si="2"/>
        <v>3904.656</v>
      </c>
      <c r="W41" s="120">
        <v>0.007000000000516593</v>
      </c>
    </row>
    <row r="42" spans="1:23" ht="12.75">
      <c r="A42" s="5">
        <v>1940</v>
      </c>
      <c r="B42" s="2" t="s">
        <v>183</v>
      </c>
      <c r="C42" s="265">
        <v>22931.22</v>
      </c>
      <c r="D42" s="265">
        <v>822.29</v>
      </c>
      <c r="E42" s="265">
        <v>0</v>
      </c>
      <c r="F42" s="265">
        <f t="shared" si="0"/>
        <v>22108.93</v>
      </c>
      <c r="I42" s="265">
        <v>26212.91</v>
      </c>
      <c r="J42" s="265">
        <v>1640.846</v>
      </c>
      <c r="K42" s="265"/>
      <c r="L42" s="265">
        <f t="shared" si="1"/>
        <v>24572.064</v>
      </c>
      <c r="O42" s="265">
        <v>28027.47</v>
      </c>
      <c r="P42" s="265">
        <v>907.2805000000001</v>
      </c>
      <c r="Q42" s="265"/>
      <c r="R42" s="265">
        <f t="shared" si="2"/>
        <v>27120.1895</v>
      </c>
      <c r="W42" s="120">
        <v>-0.0010000000038417056</v>
      </c>
    </row>
    <row r="43" spans="1:23" ht="12.75">
      <c r="A43" s="5" t="s">
        <v>184</v>
      </c>
      <c r="B43" s="2" t="s">
        <v>185</v>
      </c>
      <c r="C43" s="265">
        <v>0</v>
      </c>
      <c r="D43" s="265">
        <v>0</v>
      </c>
      <c r="E43" s="265">
        <v>0</v>
      </c>
      <c r="F43" s="265">
        <f t="shared" si="0"/>
        <v>0</v>
      </c>
      <c r="I43" s="265">
        <v>3050.34</v>
      </c>
      <c r="J43" s="265">
        <v>0</v>
      </c>
      <c r="K43" s="265"/>
      <c r="L43" s="265">
        <f t="shared" si="1"/>
        <v>3050.34</v>
      </c>
      <c r="O43" s="265">
        <v>3050.34</v>
      </c>
      <c r="P43" s="265">
        <v>0</v>
      </c>
      <c r="Q43" s="265"/>
      <c r="R43" s="265">
        <f t="shared" si="2"/>
        <v>3050.34</v>
      </c>
      <c r="W43" s="120">
        <v>-0.0012499999997999112</v>
      </c>
    </row>
    <row r="44" spans="1:23" ht="12.75">
      <c r="A44" s="5">
        <v>1945</v>
      </c>
      <c r="B44" s="2" t="s">
        <v>36</v>
      </c>
      <c r="C44" s="265">
        <v>15014.18</v>
      </c>
      <c r="D44" s="265">
        <v>230.01</v>
      </c>
      <c r="E44" s="265">
        <v>0</v>
      </c>
      <c r="F44" s="265">
        <f t="shared" si="0"/>
        <v>14784.17</v>
      </c>
      <c r="I44" s="265">
        <v>16271.73</v>
      </c>
      <c r="J44" s="265">
        <v>628.7755</v>
      </c>
      <c r="K44" s="265"/>
      <c r="L44" s="265">
        <f t="shared" si="1"/>
        <v>15642.9545</v>
      </c>
      <c r="O44" s="265">
        <v>17897.33</v>
      </c>
      <c r="P44" s="265">
        <v>812.802</v>
      </c>
      <c r="Q44" s="265"/>
      <c r="R44" s="265">
        <f t="shared" si="2"/>
        <v>17084.528000000002</v>
      </c>
      <c r="W44" s="120">
        <v>0.002999999998792191</v>
      </c>
    </row>
    <row r="45" spans="1:23" ht="12.75">
      <c r="A45" s="5">
        <v>1955</v>
      </c>
      <c r="B45" s="2" t="s">
        <v>38</v>
      </c>
      <c r="C45" s="265">
        <v>6705.02</v>
      </c>
      <c r="D45" s="265">
        <v>605.94</v>
      </c>
      <c r="E45" s="265">
        <v>0</v>
      </c>
      <c r="F45" s="265">
        <f t="shared" si="0"/>
        <v>6099.08</v>
      </c>
      <c r="I45" s="265">
        <v>10690.62</v>
      </c>
      <c r="J45" s="265">
        <v>1992.801</v>
      </c>
      <c r="K45" s="265"/>
      <c r="L45" s="265">
        <f t="shared" si="1"/>
        <v>8697.819000000001</v>
      </c>
      <c r="O45" s="265">
        <v>10690.62</v>
      </c>
      <c r="P45" s="265">
        <v>0</v>
      </c>
      <c r="Q45" s="265"/>
      <c r="R45" s="265">
        <f t="shared" si="2"/>
        <v>10690.62</v>
      </c>
      <c r="W45" s="120">
        <v>0.0010000000020227162</v>
      </c>
    </row>
    <row r="46" spans="1:23" ht="12.75">
      <c r="A46" s="5">
        <v>1960</v>
      </c>
      <c r="B46" s="2" t="s">
        <v>186</v>
      </c>
      <c r="C46" s="265">
        <v>9897.34</v>
      </c>
      <c r="D46" s="265">
        <v>832.31</v>
      </c>
      <c r="E46" s="265">
        <v>0</v>
      </c>
      <c r="F46" s="265">
        <f t="shared" si="0"/>
        <v>9065.03</v>
      </c>
      <c r="I46" s="265">
        <v>16806.08</v>
      </c>
      <c r="J46" s="265">
        <v>593.8135</v>
      </c>
      <c r="K46" s="265"/>
      <c r="L46" s="265">
        <f t="shared" si="1"/>
        <v>16212.266500000002</v>
      </c>
      <c r="O46" s="265">
        <v>41233.42</v>
      </c>
      <c r="P46" s="265">
        <v>12213.67</v>
      </c>
      <c r="Q46" s="265"/>
      <c r="R46" s="265">
        <f t="shared" si="2"/>
        <v>29019.75</v>
      </c>
      <c r="W46" s="120">
        <v>-0.005714285713111167</v>
      </c>
    </row>
    <row r="47" spans="1:23" ht="12.75">
      <c r="A47" s="5" t="s">
        <v>187</v>
      </c>
      <c r="B47" s="2" t="s">
        <v>188</v>
      </c>
      <c r="C47" s="265">
        <v>0</v>
      </c>
      <c r="D47" s="265">
        <v>0</v>
      </c>
      <c r="E47" s="265">
        <v>0</v>
      </c>
      <c r="F47" s="265">
        <f t="shared" si="0"/>
        <v>0</v>
      </c>
      <c r="I47" s="265">
        <v>0</v>
      </c>
      <c r="J47" s="265">
        <v>0</v>
      </c>
      <c r="K47" s="265">
        <v>4300.5</v>
      </c>
      <c r="L47" s="265">
        <f t="shared" si="1"/>
        <v>4300.5</v>
      </c>
      <c r="M47" s="121" t="s">
        <v>189</v>
      </c>
      <c r="O47" s="265">
        <v>0</v>
      </c>
      <c r="P47" s="265">
        <v>0</v>
      </c>
      <c r="Q47" s="265"/>
      <c r="R47" s="265">
        <f t="shared" si="2"/>
        <v>0</v>
      </c>
      <c r="W47" s="120">
        <v>-4300.5</v>
      </c>
    </row>
    <row r="48" spans="1:23" ht="12.75">
      <c r="A48" s="5">
        <v>1970</v>
      </c>
      <c r="B48" s="2" t="s">
        <v>190</v>
      </c>
      <c r="C48" s="265">
        <v>16564.66</v>
      </c>
      <c r="D48" s="265">
        <v>0</v>
      </c>
      <c r="E48" s="265">
        <v>0</v>
      </c>
      <c r="F48" s="265">
        <f t="shared" si="0"/>
        <v>16564.66</v>
      </c>
      <c r="I48" s="265">
        <v>0</v>
      </c>
      <c r="J48" s="265">
        <v>0</v>
      </c>
      <c r="K48" s="265"/>
      <c r="L48" s="265">
        <f t="shared" si="1"/>
        <v>0</v>
      </c>
      <c r="O48" s="265">
        <v>0</v>
      </c>
      <c r="P48" s="265">
        <v>0</v>
      </c>
      <c r="Q48" s="265"/>
      <c r="R48" s="265">
        <f t="shared" si="2"/>
        <v>0</v>
      </c>
      <c r="W48" s="120">
        <v>0</v>
      </c>
    </row>
    <row r="49" spans="1:23" ht="12.75">
      <c r="A49" s="5">
        <v>1980</v>
      </c>
      <c r="B49" s="2" t="s">
        <v>191</v>
      </c>
      <c r="C49" s="265">
        <v>40805.39</v>
      </c>
      <c r="D49" s="265">
        <v>0.98</v>
      </c>
      <c r="E49" s="265">
        <v>0</v>
      </c>
      <c r="F49" s="265">
        <f t="shared" si="0"/>
        <v>40804.409999999996</v>
      </c>
      <c r="I49" s="265">
        <v>40805.39</v>
      </c>
      <c r="J49" s="265">
        <v>0</v>
      </c>
      <c r="K49" s="265"/>
      <c r="L49" s="265">
        <f t="shared" si="1"/>
        <v>40805.39</v>
      </c>
      <c r="O49" s="265">
        <v>40930.42</v>
      </c>
      <c r="P49" s="265">
        <v>62.51533333333334</v>
      </c>
      <c r="Q49" s="265"/>
      <c r="R49" s="265">
        <f t="shared" si="2"/>
        <v>40867.90466666666</v>
      </c>
      <c r="W49" s="120">
        <v>-0.004000000000814907</v>
      </c>
    </row>
    <row r="50" spans="1:23" ht="12.75">
      <c r="A50" s="5">
        <v>19810</v>
      </c>
      <c r="B50" s="2" t="s">
        <v>192</v>
      </c>
      <c r="C50" s="265">
        <v>0</v>
      </c>
      <c r="D50" s="265">
        <v>0</v>
      </c>
      <c r="E50" s="265">
        <v>0</v>
      </c>
      <c r="F50" s="265">
        <f t="shared" si="0"/>
        <v>0</v>
      </c>
      <c r="I50" s="265">
        <v>1990.94</v>
      </c>
      <c r="J50" s="265">
        <v>995.4709999999999</v>
      </c>
      <c r="K50" s="265"/>
      <c r="L50" s="265">
        <f t="shared" si="1"/>
        <v>995.4690000000002</v>
      </c>
      <c r="O50" s="265">
        <v>2530.6</v>
      </c>
      <c r="P50" s="265">
        <v>269.831</v>
      </c>
      <c r="Q50" s="265"/>
      <c r="R50" s="265">
        <f t="shared" si="2"/>
        <v>2260.769</v>
      </c>
      <c r="W50" s="120">
        <v>-0.0019999999997253326</v>
      </c>
    </row>
    <row r="51" spans="1:19" ht="12.75">
      <c r="A51" s="5">
        <v>19950</v>
      </c>
      <c r="B51" s="2" t="s">
        <v>42</v>
      </c>
      <c r="C51" s="265">
        <v>-271645.84</v>
      </c>
      <c r="D51" s="265">
        <v>-19884.31</v>
      </c>
      <c r="E51" s="265">
        <v>0</v>
      </c>
      <c r="F51" s="265">
        <f t="shared" si="0"/>
        <v>-251761.53000000003</v>
      </c>
      <c r="I51" s="265">
        <v>-284904.27</v>
      </c>
      <c r="J51" s="265">
        <v>-6629.2142</v>
      </c>
      <c r="K51" s="265"/>
      <c r="L51" s="265">
        <f t="shared" si="1"/>
        <v>-278275.05580000003</v>
      </c>
      <c r="O51" s="265">
        <v>-298162.7</v>
      </c>
      <c r="P51" s="265">
        <v>-10628.2806</v>
      </c>
      <c r="Q51" s="265">
        <v>-7998.13</v>
      </c>
      <c r="R51" s="265">
        <f t="shared" si="2"/>
        <v>-295532.5494</v>
      </c>
      <c r="S51" s="122" t="s">
        <v>284</v>
      </c>
    </row>
    <row r="52" spans="1:18" ht="12.75">
      <c r="A52" s="5">
        <v>20050</v>
      </c>
      <c r="B52" s="2" t="s">
        <v>111</v>
      </c>
      <c r="C52" s="265">
        <v>1003.86</v>
      </c>
      <c r="D52" s="265">
        <v>0</v>
      </c>
      <c r="E52" s="265">
        <v>0</v>
      </c>
      <c r="F52" s="265">
        <f t="shared" si="0"/>
        <v>1003.86</v>
      </c>
      <c r="I52" s="265">
        <v>1003.86</v>
      </c>
      <c r="J52" s="265">
        <v>0</v>
      </c>
      <c r="K52" s="265"/>
      <c r="L52" s="265">
        <f t="shared" si="1"/>
        <v>1003.86</v>
      </c>
      <c r="O52" s="265">
        <v>1003.86</v>
      </c>
      <c r="P52" s="265">
        <v>0</v>
      </c>
      <c r="Q52" s="265"/>
      <c r="R52" s="265">
        <f t="shared" si="2"/>
        <v>1003.86</v>
      </c>
    </row>
    <row r="53" spans="1:19" s="40" customFormat="1" ht="12.75">
      <c r="A53" s="126" t="s">
        <v>197</v>
      </c>
      <c r="B53" s="126"/>
      <c r="C53" s="266">
        <f>SUM(C15:C52)</f>
        <v>2583495.9500000007</v>
      </c>
      <c r="D53" s="266">
        <f>SUM(D15:D52)</f>
        <v>104368.43999999999</v>
      </c>
      <c r="E53" s="266">
        <f>SUM(E15:E52)</f>
        <v>3281.75</v>
      </c>
      <c r="F53" s="266">
        <f>SUM(F15:F52)</f>
        <v>2482409.2600000002</v>
      </c>
      <c r="G53" s="121"/>
      <c r="H53" s="121"/>
      <c r="I53" s="266">
        <f>SUM(I15:I52)</f>
        <v>2730238.0700000003</v>
      </c>
      <c r="J53" s="266">
        <f>SUM(J15:J52)</f>
        <v>100359.96145000002</v>
      </c>
      <c r="K53" s="266">
        <f>SUM(K15:K52)</f>
        <v>10750.77</v>
      </c>
      <c r="L53" s="266">
        <f>SUM(L15:L52)</f>
        <v>2640628.8785499996</v>
      </c>
      <c r="M53" s="121"/>
      <c r="N53" s="121"/>
      <c r="O53" s="266">
        <f>SUM(O15:O52)</f>
        <v>2881006.8300000005</v>
      </c>
      <c r="P53" s="266">
        <f>SUM(P15:P52)</f>
        <v>79841.80833333333</v>
      </c>
      <c r="Q53" s="266">
        <f>SUM(Q15:Q52)</f>
        <v>-19080.14</v>
      </c>
      <c r="R53" s="266">
        <f>SUM(R15:R52)</f>
        <v>2782084.8816666664</v>
      </c>
      <c r="S53" s="122"/>
    </row>
    <row r="54" spans="1:19" s="40" customFormat="1" ht="12.75">
      <c r="A54" s="131"/>
      <c r="B54" s="125"/>
      <c r="C54" s="267"/>
      <c r="D54" s="268"/>
      <c r="E54" s="268"/>
      <c r="F54" s="268"/>
      <c r="G54" s="121"/>
      <c r="H54" s="121"/>
      <c r="I54" s="268"/>
      <c r="J54" s="268"/>
      <c r="K54" s="268"/>
      <c r="L54" s="268"/>
      <c r="M54" s="121"/>
      <c r="N54" s="121"/>
      <c r="O54" s="268"/>
      <c r="P54" s="268"/>
      <c r="Q54" s="268"/>
      <c r="R54" s="268"/>
      <c r="S54" s="122"/>
    </row>
    <row r="55" spans="1:19" s="40" customFormat="1" ht="12.75">
      <c r="A55" s="127" t="s">
        <v>237</v>
      </c>
      <c r="B55" s="128"/>
      <c r="C55" s="268">
        <v>-325610.27</v>
      </c>
      <c r="D55" s="268">
        <v>-13526.510000000002</v>
      </c>
      <c r="E55" s="268">
        <v>0</v>
      </c>
      <c r="F55" s="268">
        <v>-312083.76</v>
      </c>
      <c r="G55" s="121"/>
      <c r="H55" s="121"/>
      <c r="I55" s="268">
        <v>-380375</v>
      </c>
      <c r="J55" s="268">
        <v>-22736.709500000004</v>
      </c>
      <c r="K55" s="268">
        <v>-2375.36</v>
      </c>
      <c r="L55" s="268">
        <f>I55-J55+K55</f>
        <v>-360013.6505</v>
      </c>
      <c r="M55" s="121"/>
      <c r="N55" s="121"/>
      <c r="O55" s="268">
        <v>-363981.66</v>
      </c>
      <c r="P55" s="268">
        <v>-3823.4394999999995</v>
      </c>
      <c r="Q55" s="268">
        <f>Q39</f>
        <v>-675</v>
      </c>
      <c r="R55" s="268">
        <f>O55-P55-Q55</f>
        <v>-359483.2205</v>
      </c>
      <c r="S55" s="122"/>
    </row>
    <row r="56" spans="1:19" s="40" customFormat="1" ht="12.75">
      <c r="A56" s="131"/>
      <c r="B56" s="125"/>
      <c r="C56" s="267"/>
      <c r="D56" s="268"/>
      <c r="E56" s="268"/>
      <c r="F56" s="268"/>
      <c r="G56" s="121"/>
      <c r="H56" s="121"/>
      <c r="I56" s="268"/>
      <c r="J56" s="268"/>
      <c r="K56" s="268"/>
      <c r="L56" s="268"/>
      <c r="M56" s="121"/>
      <c r="N56" s="121"/>
      <c r="O56" s="268"/>
      <c r="P56" s="268"/>
      <c r="Q56" s="268"/>
      <c r="R56" s="268"/>
      <c r="S56" s="122"/>
    </row>
    <row r="57" spans="1:19" s="40" customFormat="1" ht="12.75">
      <c r="A57" s="129" t="s">
        <v>238</v>
      </c>
      <c r="B57" s="130"/>
      <c r="C57" s="266">
        <f>C53+C55</f>
        <v>2257885.6800000006</v>
      </c>
      <c r="D57" s="266">
        <f aca="true" t="shared" si="3" ref="D57:R57">D53+D55</f>
        <v>90841.93</v>
      </c>
      <c r="E57" s="266">
        <f>E53+E55</f>
        <v>3281.75</v>
      </c>
      <c r="F57" s="266">
        <f t="shared" si="3"/>
        <v>2170325.5</v>
      </c>
      <c r="G57" s="121"/>
      <c r="H57" s="121"/>
      <c r="I57" s="266">
        <f>I53+I55</f>
        <v>2349863.0700000003</v>
      </c>
      <c r="J57" s="266">
        <f t="shared" si="3"/>
        <v>77623.25195</v>
      </c>
      <c r="K57" s="266">
        <f>SUM(K53:K56)</f>
        <v>8375.41</v>
      </c>
      <c r="L57" s="266">
        <f t="shared" si="3"/>
        <v>2280615.2280499996</v>
      </c>
      <c r="M57" s="121"/>
      <c r="N57" s="121"/>
      <c r="O57" s="266">
        <f t="shared" si="3"/>
        <v>2517025.1700000004</v>
      </c>
      <c r="P57" s="266">
        <f t="shared" si="3"/>
        <v>76018.36883333334</v>
      </c>
      <c r="Q57" s="266">
        <f>Q53+675</f>
        <v>-18405.14</v>
      </c>
      <c r="R57" s="266">
        <f t="shared" si="3"/>
        <v>2422601.6611666665</v>
      </c>
      <c r="S57" s="122"/>
    </row>
    <row r="58" spans="6:18" ht="12.75">
      <c r="F58" s="136"/>
      <c r="G58" s="137"/>
      <c r="H58" s="137"/>
      <c r="I58" s="136"/>
      <c r="J58" s="136"/>
      <c r="K58" s="136"/>
      <c r="L58" s="136"/>
      <c r="M58" s="137"/>
      <c r="N58" s="137"/>
      <c r="O58" s="136"/>
      <c r="P58" s="136"/>
      <c r="Q58" s="136"/>
      <c r="R58" s="136"/>
    </row>
    <row r="59" spans="10:11" ht="12.75">
      <c r="J59" s="120"/>
      <c r="K59" s="120"/>
    </row>
    <row r="60" spans="1:2" ht="12.75">
      <c r="A60" s="132" t="s">
        <v>158</v>
      </c>
      <c r="B60" s="135" t="s">
        <v>244</v>
      </c>
    </row>
    <row r="61" spans="1:2" ht="12.75">
      <c r="A61" s="132" t="s">
        <v>159</v>
      </c>
      <c r="B61" s="135" t="s">
        <v>244</v>
      </c>
    </row>
    <row r="62" spans="1:2" ht="12.75">
      <c r="A62" s="132" t="s">
        <v>178</v>
      </c>
      <c r="B62" t="s">
        <v>202</v>
      </c>
    </row>
    <row r="63" spans="1:2" ht="12.75">
      <c r="A63" s="132" t="s">
        <v>189</v>
      </c>
      <c r="B63" t="s">
        <v>203</v>
      </c>
    </row>
    <row r="64" spans="1:2" ht="12.75">
      <c r="A64" s="132" t="s">
        <v>160</v>
      </c>
      <c r="B64" s="135" t="s">
        <v>244</v>
      </c>
    </row>
    <row r="65" spans="1:2" ht="12.75">
      <c r="A65" s="132" t="s">
        <v>193</v>
      </c>
      <c r="B65" s="135" t="s">
        <v>202</v>
      </c>
    </row>
    <row r="66" spans="1:2" ht="12.75">
      <c r="A66" s="132" t="s">
        <v>284</v>
      </c>
      <c r="B66" s="135" t="s">
        <v>204</v>
      </c>
    </row>
  </sheetData>
  <sheetProtection/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3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B1">
      <selection activeCell="F63" sqref="F63"/>
    </sheetView>
  </sheetViews>
  <sheetFormatPr defaultColWidth="9.140625" defaultRowHeight="12.75"/>
  <cols>
    <col min="1" max="1" width="11.8515625" style="138" hidden="1" customWidth="1"/>
    <col min="2" max="2" width="7.8515625" style="1" customWidth="1"/>
    <col min="3" max="3" width="56.00390625" style="0" bestFit="1" customWidth="1"/>
    <col min="4" max="8" width="14.7109375" style="0" customWidth="1"/>
    <col min="9" max="9" width="1.8515625" style="0" customWidth="1"/>
  </cols>
  <sheetData>
    <row r="1" spans="6:8" ht="12.75">
      <c r="F1" s="40" t="s">
        <v>50</v>
      </c>
      <c r="H1" s="68" t="s">
        <v>94</v>
      </c>
    </row>
    <row r="2" spans="6:8" ht="12.75">
      <c r="F2" s="40" t="s">
        <v>51</v>
      </c>
      <c r="H2" s="68">
        <v>4</v>
      </c>
    </row>
    <row r="3" spans="6:8" ht="12.75">
      <c r="F3" s="40" t="s">
        <v>52</v>
      </c>
      <c r="H3" s="68">
        <v>2</v>
      </c>
    </row>
    <row r="4" spans="6:8" ht="12.75">
      <c r="F4" s="40" t="s">
        <v>53</v>
      </c>
      <c r="H4" s="68">
        <v>7</v>
      </c>
    </row>
    <row r="5" spans="6:8" ht="12.75">
      <c r="F5" s="40" t="s">
        <v>54</v>
      </c>
      <c r="H5" s="68" t="s">
        <v>298</v>
      </c>
    </row>
    <row r="6" spans="6:8" ht="12.75">
      <c r="F6" s="40"/>
      <c r="H6" s="68"/>
    </row>
    <row r="7" spans="6:8" ht="12.75">
      <c r="F7" s="40" t="s">
        <v>55</v>
      </c>
      <c r="H7" s="69" t="s">
        <v>291</v>
      </c>
    </row>
    <row r="8" spans="6:8" ht="12.75">
      <c r="F8" s="40"/>
      <c r="H8" s="69"/>
    </row>
    <row r="9" spans="1:8" ht="18">
      <c r="A9" s="142" t="s">
        <v>229</v>
      </c>
      <c r="B9" s="151" t="s">
        <v>231</v>
      </c>
      <c r="C9" s="152"/>
      <c r="D9" s="152"/>
      <c r="E9" s="152"/>
      <c r="F9" s="152"/>
      <c r="G9" s="152"/>
      <c r="H9" s="152"/>
    </row>
    <row r="10" spans="2:8" ht="12.75">
      <c r="B10" s="153"/>
      <c r="C10" s="154"/>
      <c r="D10" s="154"/>
      <c r="E10" s="154"/>
      <c r="F10" s="154"/>
      <c r="G10" s="154"/>
      <c r="H10" s="154"/>
    </row>
    <row r="11" spans="1:8" ht="12.75">
      <c r="A11" s="143"/>
      <c r="B11" s="343" t="s">
        <v>1</v>
      </c>
      <c r="C11" s="343" t="s">
        <v>2</v>
      </c>
      <c r="D11" s="272">
        <v>2007</v>
      </c>
      <c r="E11" s="272">
        <v>2008</v>
      </c>
      <c r="F11" s="273">
        <v>2009</v>
      </c>
      <c r="G11" s="272">
        <v>2010</v>
      </c>
      <c r="H11" s="272">
        <v>2011</v>
      </c>
    </row>
    <row r="12" spans="1:8" ht="12.75">
      <c r="A12" s="144"/>
      <c r="B12" s="347"/>
      <c r="C12" s="347"/>
      <c r="D12" s="274" t="s">
        <v>225</v>
      </c>
      <c r="E12" s="274" t="s">
        <v>225</v>
      </c>
      <c r="F12" s="275" t="s">
        <v>225</v>
      </c>
      <c r="G12" s="274" t="s">
        <v>225</v>
      </c>
      <c r="H12" s="274" t="s">
        <v>225</v>
      </c>
    </row>
    <row r="13" spans="1:8" ht="12.75">
      <c r="A13" s="145" t="s">
        <v>0</v>
      </c>
      <c r="B13" s="344"/>
      <c r="C13" s="344"/>
      <c r="D13" s="276" t="s">
        <v>226</v>
      </c>
      <c r="E13" s="276" t="s">
        <v>226</v>
      </c>
      <c r="F13" s="277" t="s">
        <v>226</v>
      </c>
      <c r="G13" s="276" t="s">
        <v>226</v>
      </c>
      <c r="H13" s="276" t="s">
        <v>226</v>
      </c>
    </row>
    <row r="14" spans="2:8" ht="12.75">
      <c r="B14" s="155"/>
      <c r="C14" s="154"/>
      <c r="D14" s="253"/>
      <c r="E14" s="253"/>
      <c r="F14" s="254"/>
      <c r="G14" s="253"/>
      <c r="H14" s="253"/>
    </row>
    <row r="15" spans="1:8" ht="12.75">
      <c r="A15" s="138" t="s">
        <v>9</v>
      </c>
      <c r="B15" s="155">
        <v>1805</v>
      </c>
      <c r="C15" s="156" t="s">
        <v>10</v>
      </c>
      <c r="D15" s="255">
        <v>0</v>
      </c>
      <c r="E15" s="255">
        <v>0</v>
      </c>
      <c r="F15" s="256">
        <v>0</v>
      </c>
      <c r="G15" s="255">
        <v>0</v>
      </c>
      <c r="H15" s="255">
        <v>0</v>
      </c>
    </row>
    <row r="16" spans="1:8" ht="12.75">
      <c r="A16" s="138" t="s">
        <v>24</v>
      </c>
      <c r="B16" s="155">
        <v>1806</v>
      </c>
      <c r="C16" s="156" t="s">
        <v>25</v>
      </c>
      <c r="D16" s="255">
        <v>0</v>
      </c>
      <c r="E16" s="255">
        <v>0</v>
      </c>
      <c r="F16" s="256">
        <v>0</v>
      </c>
      <c r="G16" s="255">
        <v>0</v>
      </c>
      <c r="H16" s="255">
        <v>0</v>
      </c>
    </row>
    <row r="17" spans="1:8" ht="12.75">
      <c r="A17" s="138">
        <v>1</v>
      </c>
      <c r="B17" s="155">
        <v>1808</v>
      </c>
      <c r="C17" s="156" t="s">
        <v>205</v>
      </c>
      <c r="D17" s="255">
        <v>29017.41</v>
      </c>
      <c r="E17" s="255">
        <v>29758.3135</v>
      </c>
      <c r="F17" s="256">
        <v>31406.7834</v>
      </c>
      <c r="G17" s="255">
        <v>32314.3498</v>
      </c>
      <c r="H17" s="255">
        <v>32314.3498</v>
      </c>
    </row>
    <row r="18" spans="1:8" ht="12.75">
      <c r="A18" s="138">
        <v>0</v>
      </c>
      <c r="B18" s="155">
        <v>1810</v>
      </c>
      <c r="C18" s="156" t="s">
        <v>47</v>
      </c>
      <c r="D18" s="255">
        <v>0</v>
      </c>
      <c r="E18" s="255">
        <v>0</v>
      </c>
      <c r="F18" s="256">
        <v>0</v>
      </c>
      <c r="G18" s="255">
        <v>0</v>
      </c>
      <c r="H18" s="255">
        <v>0</v>
      </c>
    </row>
    <row r="19" spans="1:8" ht="12.75">
      <c r="A19" s="138">
        <v>0</v>
      </c>
      <c r="B19" s="155">
        <v>1815</v>
      </c>
      <c r="C19" s="156" t="s">
        <v>206</v>
      </c>
      <c r="D19" s="255">
        <v>73579.68675000001</v>
      </c>
      <c r="E19" s="255">
        <v>78755.49725</v>
      </c>
      <c r="F19" s="256">
        <v>80426.451</v>
      </c>
      <c r="G19" s="255">
        <v>151639.430375</v>
      </c>
      <c r="H19" s="255">
        <v>224102.40975</v>
      </c>
    </row>
    <row r="20" spans="1:8" ht="12.75">
      <c r="A20" s="138">
        <v>1</v>
      </c>
      <c r="B20" s="155">
        <v>1820</v>
      </c>
      <c r="C20" s="156" t="s">
        <v>207</v>
      </c>
      <c r="D20" s="255">
        <v>99660.15516666666</v>
      </c>
      <c r="E20" s="255">
        <v>75819.06133333335</v>
      </c>
      <c r="F20" s="256">
        <v>82803.85733333335</v>
      </c>
      <c r="G20" s="255">
        <v>87491.75233333334</v>
      </c>
      <c r="H20" s="255">
        <v>89491.75233333334</v>
      </c>
    </row>
    <row r="21" spans="1:8" ht="12.75">
      <c r="A21" s="138">
        <v>0</v>
      </c>
      <c r="B21" s="155">
        <v>1825</v>
      </c>
      <c r="C21" s="156" t="s">
        <v>14</v>
      </c>
      <c r="D21" s="255">
        <v>0</v>
      </c>
      <c r="E21" s="255">
        <v>0</v>
      </c>
      <c r="F21" s="256">
        <v>0</v>
      </c>
      <c r="G21" s="255">
        <v>0</v>
      </c>
      <c r="H21" s="255">
        <v>0</v>
      </c>
    </row>
    <row r="22" spans="1:8" ht="12.75">
      <c r="A22" s="138">
        <v>1</v>
      </c>
      <c r="B22" s="155">
        <v>1830</v>
      </c>
      <c r="C22" s="156" t="s">
        <v>208</v>
      </c>
      <c r="D22" s="255">
        <v>732823.1520000001</v>
      </c>
      <c r="E22" s="255">
        <v>774604.4532</v>
      </c>
      <c r="F22" s="256">
        <v>811227.0018000001</v>
      </c>
      <c r="G22" s="255">
        <f>'App.2-M Depreciation Expense 10'!K20</f>
        <v>854597.57</v>
      </c>
      <c r="H22" s="255">
        <f>'App.2-M Depreciation Expense 11'!K20</f>
        <v>923117.5712</v>
      </c>
    </row>
    <row r="23" spans="1:8" ht="12.75">
      <c r="A23" s="138">
        <v>1</v>
      </c>
      <c r="B23" s="155">
        <v>1835</v>
      </c>
      <c r="C23" s="156" t="s">
        <v>209</v>
      </c>
      <c r="D23" s="255">
        <v>354005.9214</v>
      </c>
      <c r="E23" s="255">
        <v>391989.3836</v>
      </c>
      <c r="F23" s="256">
        <v>423961.68799999997</v>
      </c>
      <c r="G23" s="255">
        <f>'App.2-M Depreciation Expense 10'!K21</f>
        <v>467972.57</v>
      </c>
      <c r="H23" s="255">
        <f>'App.2-M Depreciation Expense 11'!K21</f>
        <v>511092.57159999997</v>
      </c>
    </row>
    <row r="24" spans="1:8" ht="12.75">
      <c r="A24" s="138">
        <v>1</v>
      </c>
      <c r="B24" s="155">
        <v>1840</v>
      </c>
      <c r="C24" s="156" t="s">
        <v>210</v>
      </c>
      <c r="D24" s="255">
        <v>117498.01139999999</v>
      </c>
      <c r="E24" s="255">
        <v>122824.75619999999</v>
      </c>
      <c r="F24" s="256">
        <v>130160.6862</v>
      </c>
      <c r="G24" s="255">
        <v>138810.3628</v>
      </c>
      <c r="H24" s="255">
        <v>145610.3628</v>
      </c>
    </row>
    <row r="25" spans="1:8" ht="12.75">
      <c r="A25" s="138">
        <v>1</v>
      </c>
      <c r="B25" s="155">
        <v>1845</v>
      </c>
      <c r="C25" s="156" t="s">
        <v>211</v>
      </c>
      <c r="D25" s="255">
        <v>219411.12540000002</v>
      </c>
      <c r="E25" s="255">
        <v>233104.16580000002</v>
      </c>
      <c r="F25" s="256">
        <v>246940.7758</v>
      </c>
      <c r="G25" s="255">
        <v>262244.0408</v>
      </c>
      <c r="H25" s="255">
        <v>273304.0408</v>
      </c>
    </row>
    <row r="26" spans="1:8" ht="12.75">
      <c r="A26" s="138">
        <v>1</v>
      </c>
      <c r="B26" s="155">
        <v>1850</v>
      </c>
      <c r="C26" s="156" t="s">
        <v>19</v>
      </c>
      <c r="D26" s="255">
        <v>460080.3386</v>
      </c>
      <c r="E26" s="255">
        <v>495697.43260000006</v>
      </c>
      <c r="F26" s="256">
        <v>518946.37360000005</v>
      </c>
      <c r="G26" s="255">
        <v>540773.8792000001</v>
      </c>
      <c r="H26" s="255">
        <v>348523.49919999996</v>
      </c>
    </row>
    <row r="27" spans="1:8" ht="12.75">
      <c r="A27" s="138">
        <v>1</v>
      </c>
      <c r="B27" s="155">
        <v>1855</v>
      </c>
      <c r="C27" s="156" t="s">
        <v>169</v>
      </c>
      <c r="D27" s="255">
        <v>71143.16739999999</v>
      </c>
      <c r="E27" s="255">
        <v>83500.5566</v>
      </c>
      <c r="F27" s="256">
        <v>94749.88539999998</v>
      </c>
      <c r="G27" s="255">
        <v>105572.3124</v>
      </c>
      <c r="H27" s="255">
        <v>116172.3124</v>
      </c>
    </row>
    <row r="28" spans="1:8" ht="12.75">
      <c r="A28" s="138">
        <v>1</v>
      </c>
      <c r="B28" s="155">
        <v>1860</v>
      </c>
      <c r="C28" s="156" t="s">
        <v>21</v>
      </c>
      <c r="D28" s="255">
        <v>136445.8604</v>
      </c>
      <c r="E28" s="255">
        <v>143953.80740000002</v>
      </c>
      <c r="F28" s="256">
        <v>150383.355</v>
      </c>
      <c r="G28" s="255">
        <v>155016.066</v>
      </c>
      <c r="H28" s="255">
        <v>316847.4446666667</v>
      </c>
    </row>
    <row r="29" spans="1:8" ht="12.75">
      <c r="A29" s="138">
        <v>0</v>
      </c>
      <c r="B29" s="155">
        <v>1865</v>
      </c>
      <c r="C29" s="156" t="s">
        <v>212</v>
      </c>
      <c r="D29" s="255">
        <v>0</v>
      </c>
      <c r="E29" s="255">
        <v>0</v>
      </c>
      <c r="F29" s="256">
        <v>0</v>
      </c>
      <c r="G29" s="255">
        <v>0</v>
      </c>
      <c r="H29" s="255">
        <v>0</v>
      </c>
    </row>
    <row r="30" spans="1:8" ht="12.75">
      <c r="A30" s="138" t="s">
        <v>9</v>
      </c>
      <c r="B30" s="155">
        <v>1905</v>
      </c>
      <c r="C30" s="156" t="s">
        <v>10</v>
      </c>
      <c r="D30" s="255">
        <v>0</v>
      </c>
      <c r="E30" s="255">
        <v>0</v>
      </c>
      <c r="F30" s="256">
        <v>0</v>
      </c>
      <c r="G30" s="255">
        <v>0</v>
      </c>
      <c r="H30" s="255">
        <v>0</v>
      </c>
    </row>
    <row r="31" spans="1:8" ht="12.75">
      <c r="A31" s="138" t="s">
        <v>24</v>
      </c>
      <c r="B31" s="155">
        <v>1906</v>
      </c>
      <c r="C31" s="156" t="s">
        <v>25</v>
      </c>
      <c r="D31" s="255">
        <v>0</v>
      </c>
      <c r="E31" s="255">
        <v>0</v>
      </c>
      <c r="F31" s="256">
        <v>0</v>
      </c>
      <c r="G31" s="255">
        <v>0</v>
      </c>
      <c r="H31" s="255">
        <v>0</v>
      </c>
    </row>
    <row r="32" spans="1:8" ht="12.75">
      <c r="A32" s="138">
        <v>1</v>
      </c>
      <c r="B32" s="155">
        <v>1908</v>
      </c>
      <c r="C32" s="156" t="s">
        <v>205</v>
      </c>
      <c r="D32" s="255">
        <v>28671.3065</v>
      </c>
      <c r="E32" s="255">
        <v>31088.198699999997</v>
      </c>
      <c r="F32" s="256">
        <v>32037.6694</v>
      </c>
      <c r="G32" s="255">
        <v>33299.2744</v>
      </c>
      <c r="H32" s="255">
        <v>34399.2744</v>
      </c>
    </row>
    <row r="33" spans="1:8" ht="12.75">
      <c r="A33" s="138">
        <v>0</v>
      </c>
      <c r="B33" s="155">
        <v>1910</v>
      </c>
      <c r="C33" s="156" t="s">
        <v>47</v>
      </c>
      <c r="D33" s="255">
        <v>639.7</v>
      </c>
      <c r="E33" s="255">
        <v>639.7</v>
      </c>
      <c r="F33" s="256">
        <v>639.7</v>
      </c>
      <c r="G33" s="255">
        <v>639.7</v>
      </c>
      <c r="H33" s="255">
        <v>639.7</v>
      </c>
    </row>
    <row r="34" spans="1:8" ht="12.75">
      <c r="A34" s="138">
        <v>8</v>
      </c>
      <c r="B34" s="155">
        <v>1915</v>
      </c>
      <c r="C34" s="156" t="s">
        <v>213</v>
      </c>
      <c r="D34" s="255">
        <v>11793.8555</v>
      </c>
      <c r="E34" s="255">
        <v>13551.39</v>
      </c>
      <c r="F34" s="256">
        <v>14526.4755</v>
      </c>
      <c r="G34" s="255">
        <v>16230.231999999998</v>
      </c>
      <c r="H34" s="255">
        <v>16921.722</v>
      </c>
    </row>
    <row r="35" spans="1:8" ht="12.75">
      <c r="A35" s="138">
        <v>45</v>
      </c>
      <c r="B35" s="155">
        <v>1920</v>
      </c>
      <c r="C35" s="156" t="s">
        <v>214</v>
      </c>
      <c r="D35" s="255">
        <v>93289.06099999999</v>
      </c>
      <c r="E35" s="255">
        <v>114088.213</v>
      </c>
      <c r="F35" s="256">
        <v>113681.167</v>
      </c>
      <c r="G35" s="255">
        <v>113000.51000000001</v>
      </c>
      <c r="H35" s="255">
        <v>93833.91</v>
      </c>
    </row>
    <row r="36" spans="1:8" ht="12.75">
      <c r="A36" s="138">
        <v>12</v>
      </c>
      <c r="B36" s="155">
        <v>1925</v>
      </c>
      <c r="C36" s="156" t="s">
        <v>32</v>
      </c>
      <c r="D36" s="255">
        <v>45283.456000000006</v>
      </c>
      <c r="E36" s="255">
        <v>45213.362</v>
      </c>
      <c r="F36" s="256">
        <v>45906.375</v>
      </c>
      <c r="G36" s="255">
        <v>46232.888</v>
      </c>
      <c r="H36" s="255">
        <v>81209.133</v>
      </c>
    </row>
    <row r="37" spans="1:8" ht="12.75">
      <c r="A37" s="138">
        <v>10</v>
      </c>
      <c r="B37" s="155">
        <v>1930</v>
      </c>
      <c r="C37" s="156" t="s">
        <v>33</v>
      </c>
      <c r="D37" s="255">
        <v>146766.8705</v>
      </c>
      <c r="E37" s="255">
        <v>166207.81775</v>
      </c>
      <c r="F37" s="256">
        <v>167077.41525</v>
      </c>
      <c r="G37" s="255">
        <v>178166.40524999998</v>
      </c>
      <c r="H37" s="255">
        <v>198316.69374999998</v>
      </c>
    </row>
    <row r="38" spans="1:8" ht="12.75">
      <c r="A38" s="138">
        <v>10</v>
      </c>
      <c r="B38" s="155">
        <v>1935</v>
      </c>
      <c r="C38" s="156" t="s">
        <v>34</v>
      </c>
      <c r="D38" s="255">
        <v>3631.5879999999993</v>
      </c>
      <c r="E38" s="255">
        <v>3822.6594999999993</v>
      </c>
      <c r="F38" s="256">
        <v>3904.6569999999992</v>
      </c>
      <c r="G38" s="255">
        <v>3970.370999999999</v>
      </c>
      <c r="H38" s="255">
        <v>4070.370999999999</v>
      </c>
    </row>
    <row r="39" spans="1:8" ht="12.75">
      <c r="A39" s="138">
        <v>8</v>
      </c>
      <c r="B39" s="155">
        <v>1940</v>
      </c>
      <c r="C39" s="156" t="s">
        <v>215</v>
      </c>
      <c r="D39" s="255">
        <v>22108.9245</v>
      </c>
      <c r="E39" s="255">
        <v>27622.406250000004</v>
      </c>
      <c r="F39" s="256">
        <v>30170.532750000002</v>
      </c>
      <c r="G39" s="255">
        <v>31277.833250000003</v>
      </c>
      <c r="H39" s="255">
        <v>31722.423250000003</v>
      </c>
    </row>
    <row r="40" spans="1:8" ht="12.75">
      <c r="A40" s="138">
        <v>0</v>
      </c>
      <c r="B40" s="155">
        <v>1945</v>
      </c>
      <c r="C40" s="156" t="s">
        <v>216</v>
      </c>
      <c r="D40" s="255">
        <v>14784.163000000002</v>
      </c>
      <c r="E40" s="255">
        <v>15642.951500000001</v>
      </c>
      <c r="F40" s="256">
        <v>17084.529000000002</v>
      </c>
      <c r="G40" s="255">
        <v>18147.331000000002</v>
      </c>
      <c r="H40" s="255">
        <v>18697.351000000002</v>
      </c>
    </row>
    <row r="41" spans="1:8" ht="12.75">
      <c r="A41" s="138">
        <v>0</v>
      </c>
      <c r="B41" s="155">
        <v>1950</v>
      </c>
      <c r="C41" s="156" t="s">
        <v>217</v>
      </c>
      <c r="D41" s="255">
        <v>0</v>
      </c>
      <c r="E41" s="255">
        <v>0</v>
      </c>
      <c r="F41" s="256">
        <v>0</v>
      </c>
      <c r="G41" s="255">
        <v>0</v>
      </c>
      <c r="H41" s="255">
        <v>0</v>
      </c>
    </row>
    <row r="42" spans="1:8" ht="12.75">
      <c r="A42" s="138">
        <v>10</v>
      </c>
      <c r="B42" s="155">
        <v>1955</v>
      </c>
      <c r="C42" s="156" t="s">
        <v>218</v>
      </c>
      <c r="D42" s="255">
        <v>6099.0785000000005</v>
      </c>
      <c r="E42" s="255">
        <v>8697.818</v>
      </c>
      <c r="F42" s="256">
        <v>10690.618999999999</v>
      </c>
      <c r="G42" s="255">
        <v>11190.618999999999</v>
      </c>
      <c r="H42" s="255">
        <v>12090.618999999999</v>
      </c>
    </row>
    <row r="43" spans="1:8" ht="12.75">
      <c r="A43" s="138">
        <v>0</v>
      </c>
      <c r="B43" s="155">
        <v>1960</v>
      </c>
      <c r="C43" s="156" t="s">
        <v>96</v>
      </c>
      <c r="D43" s="255">
        <v>9065.031500000001</v>
      </c>
      <c r="E43" s="255">
        <v>20512.772214285716</v>
      </c>
      <c r="F43" s="256">
        <v>29019.75571428571</v>
      </c>
      <c r="G43" s="255">
        <v>44133.42571428571</v>
      </c>
      <c r="H43" s="255">
        <v>47283.42571428571</v>
      </c>
    </row>
    <row r="44" spans="1:8" ht="12.75">
      <c r="A44" s="138">
        <v>0</v>
      </c>
      <c r="B44" s="155">
        <v>1970</v>
      </c>
      <c r="C44" s="156" t="s">
        <v>219</v>
      </c>
      <c r="D44" s="255">
        <v>16564.66</v>
      </c>
      <c r="E44" s="255">
        <v>0</v>
      </c>
      <c r="F44" s="256">
        <v>0</v>
      </c>
      <c r="G44" s="255">
        <v>0</v>
      </c>
      <c r="H44" s="255">
        <v>0</v>
      </c>
    </row>
    <row r="45" spans="1:8" ht="12.75">
      <c r="A45" s="138">
        <v>0</v>
      </c>
      <c r="B45" s="155">
        <v>1975</v>
      </c>
      <c r="C45" s="156" t="s">
        <v>220</v>
      </c>
      <c r="D45" s="255">
        <v>0</v>
      </c>
      <c r="E45" s="255">
        <v>0</v>
      </c>
      <c r="F45" s="256">
        <v>0</v>
      </c>
      <c r="G45" s="255">
        <v>0</v>
      </c>
      <c r="H45" s="255">
        <v>0</v>
      </c>
    </row>
    <row r="46" spans="1:8" ht="12.75">
      <c r="A46" s="138">
        <v>0</v>
      </c>
      <c r="B46" s="155">
        <v>1980</v>
      </c>
      <c r="C46" s="156" t="s">
        <v>97</v>
      </c>
      <c r="D46" s="255">
        <v>40804.417</v>
      </c>
      <c r="E46" s="255">
        <v>40805.394</v>
      </c>
      <c r="F46" s="256">
        <v>40867.90933333334</v>
      </c>
      <c r="G46" s="255">
        <v>60097.09133333333</v>
      </c>
      <c r="H46" s="255">
        <v>86763.758</v>
      </c>
    </row>
    <row r="47" spans="1:8" ht="12.75">
      <c r="A47" s="138">
        <v>0</v>
      </c>
      <c r="B47" s="155">
        <v>1985</v>
      </c>
      <c r="C47" s="156" t="s">
        <v>221</v>
      </c>
      <c r="D47" s="255">
        <v>0</v>
      </c>
      <c r="E47" s="255">
        <v>0</v>
      </c>
      <c r="F47" s="256">
        <v>0</v>
      </c>
      <c r="G47" s="255">
        <v>0</v>
      </c>
      <c r="H47" s="255">
        <v>0</v>
      </c>
    </row>
    <row r="48" spans="1:8" ht="12.75">
      <c r="A48" s="138">
        <v>0</v>
      </c>
      <c r="B48" s="155">
        <v>1990</v>
      </c>
      <c r="C48" s="156" t="s">
        <v>222</v>
      </c>
      <c r="D48" s="255">
        <v>0</v>
      </c>
      <c r="E48" s="255">
        <v>0</v>
      </c>
      <c r="F48" s="256">
        <v>0</v>
      </c>
      <c r="G48" s="255">
        <v>0</v>
      </c>
      <c r="H48" s="255">
        <v>0</v>
      </c>
    </row>
    <row r="49" spans="1:8" ht="12.75">
      <c r="A49" s="138">
        <v>1</v>
      </c>
      <c r="B49" s="155">
        <v>1995</v>
      </c>
      <c r="C49" s="156" t="s">
        <v>223</v>
      </c>
      <c r="D49" s="255">
        <v>-251761.53220000002</v>
      </c>
      <c r="E49" s="255">
        <v>-278275.05860000005</v>
      </c>
      <c r="F49" s="256">
        <v>-295532.55340000003</v>
      </c>
      <c r="G49" s="255">
        <f>'App.2-M Depreciation Expense 10'!K55</f>
        <v>-329360.83</v>
      </c>
      <c r="H49" s="255">
        <f>'App.2-M Depreciation Expense 11'!K55</f>
        <v>-362760.83400000003</v>
      </c>
    </row>
    <row r="50" spans="1:8" ht="12.75">
      <c r="A50" s="140">
        <v>0</v>
      </c>
      <c r="B50" s="155">
        <v>2005</v>
      </c>
      <c r="C50" s="157" t="s">
        <v>224</v>
      </c>
      <c r="D50" s="257">
        <v>1003.86</v>
      </c>
      <c r="E50" s="257">
        <v>1003.86</v>
      </c>
      <c r="F50" s="258">
        <v>1003.86</v>
      </c>
      <c r="G50" s="257">
        <v>1003.86</v>
      </c>
      <c r="H50" s="257">
        <v>1003.86</v>
      </c>
    </row>
    <row r="51" spans="1:8" ht="19.5" customHeight="1">
      <c r="A51" s="131" t="s">
        <v>197</v>
      </c>
      <c r="B51" s="158" t="s">
        <v>197</v>
      </c>
      <c r="C51" s="159"/>
      <c r="D51" s="259">
        <f>SUM(D15:D50)</f>
        <v>2482409.268316668</v>
      </c>
      <c r="E51" s="260">
        <f>SUM(E15:E50)</f>
        <v>2640628.9117976185</v>
      </c>
      <c r="F51" s="261">
        <f>SUM(F15:F50)</f>
        <v>2782084.9690809525</v>
      </c>
      <c r="G51" s="260">
        <f>SUM(G15:G50)</f>
        <v>3024461.044655952</v>
      </c>
      <c r="H51" s="260">
        <f>SUM(H15:H50)</f>
        <v>3244767.7216642858</v>
      </c>
    </row>
    <row r="52" spans="2:8" ht="12.75">
      <c r="B52" s="160"/>
      <c r="C52" s="156"/>
      <c r="D52" s="255"/>
      <c r="E52" s="255"/>
      <c r="F52" s="256"/>
      <c r="G52" s="255"/>
      <c r="H52" s="255"/>
    </row>
    <row r="53" spans="1:8" ht="12.75">
      <c r="A53" s="141" t="s">
        <v>227</v>
      </c>
      <c r="B53" s="161" t="s">
        <v>230</v>
      </c>
      <c r="C53" s="162"/>
      <c r="D53" s="255"/>
      <c r="E53" s="255"/>
      <c r="F53" s="256"/>
      <c r="G53" s="255"/>
      <c r="H53" s="255"/>
    </row>
    <row r="54" spans="1:8" ht="12.75">
      <c r="A54" s="139"/>
      <c r="B54" s="163">
        <v>1920</v>
      </c>
      <c r="C54" s="156" t="s">
        <v>214</v>
      </c>
      <c r="D54" s="255">
        <f>D35</f>
        <v>93289.06099999999</v>
      </c>
      <c r="E54" s="255">
        <f>E35-995</f>
        <v>113093.213</v>
      </c>
      <c r="F54" s="256">
        <f>F35-2260.77</f>
        <v>111420.397</v>
      </c>
      <c r="G54" s="255">
        <f>G35-10030.6</f>
        <v>102969.91</v>
      </c>
      <c r="H54" s="255">
        <f>H35-19530.6</f>
        <v>74303.31</v>
      </c>
    </row>
    <row r="55" spans="1:8" ht="12.75">
      <c r="A55" s="139"/>
      <c r="B55" s="163">
        <v>1925</v>
      </c>
      <c r="C55" s="156" t="s">
        <v>32</v>
      </c>
      <c r="D55" s="255">
        <f>D36</f>
        <v>45283.456000000006</v>
      </c>
      <c r="E55" s="255">
        <f aca="true" t="shared" si="0" ref="E55:H56">E36</f>
        <v>45213.362</v>
      </c>
      <c r="F55" s="256">
        <f t="shared" si="0"/>
        <v>45906.375</v>
      </c>
      <c r="G55" s="255">
        <f t="shared" si="0"/>
        <v>46232.888</v>
      </c>
      <c r="H55" s="255">
        <f t="shared" si="0"/>
        <v>81209.133</v>
      </c>
    </row>
    <row r="56" spans="2:8" ht="12.75">
      <c r="B56" s="163">
        <v>1930</v>
      </c>
      <c r="C56" s="156" t="s">
        <v>44</v>
      </c>
      <c r="D56" s="255">
        <f>D37</f>
        <v>146766.8705</v>
      </c>
      <c r="E56" s="255">
        <f t="shared" si="0"/>
        <v>166207.81775</v>
      </c>
      <c r="F56" s="256">
        <f t="shared" si="0"/>
        <v>167077.41525</v>
      </c>
      <c r="G56" s="255">
        <f t="shared" si="0"/>
        <v>178166.40524999998</v>
      </c>
      <c r="H56" s="255">
        <f t="shared" si="0"/>
        <v>198316.69374999998</v>
      </c>
    </row>
    <row r="57" spans="2:8" ht="12.75">
      <c r="B57" s="163">
        <v>1935</v>
      </c>
      <c r="C57" s="156" t="s">
        <v>34</v>
      </c>
      <c r="D57" s="255">
        <f>D38+D50</f>
        <v>4635.447999999999</v>
      </c>
      <c r="E57" s="255">
        <f>E38+E50</f>
        <v>4826.519499999999</v>
      </c>
      <c r="F57" s="256">
        <f>F38+F50</f>
        <v>4908.516999999999</v>
      </c>
      <c r="G57" s="255">
        <f>G38+G50</f>
        <v>4974.230999999999</v>
      </c>
      <c r="H57" s="255">
        <f>H38+H50</f>
        <v>5074.230999999999</v>
      </c>
    </row>
    <row r="58" spans="1:8" ht="12.75">
      <c r="A58" s="139"/>
      <c r="B58" s="163">
        <v>1940</v>
      </c>
      <c r="C58" s="162" t="s">
        <v>183</v>
      </c>
      <c r="D58" s="255">
        <f>D39</f>
        <v>22108.9245</v>
      </c>
      <c r="E58" s="255">
        <f>E39</f>
        <v>27622.406250000004</v>
      </c>
      <c r="F58" s="256">
        <f>F39</f>
        <v>30170.532750000002</v>
      </c>
      <c r="G58" s="255">
        <f>G39-3050</f>
        <v>28227.833250000003</v>
      </c>
      <c r="H58" s="255">
        <f>H39-3050</f>
        <v>28672.423250000003</v>
      </c>
    </row>
    <row r="59" spans="1:8" ht="19.5" customHeight="1">
      <c r="A59" s="131" t="s">
        <v>228</v>
      </c>
      <c r="B59" s="164" t="s">
        <v>228</v>
      </c>
      <c r="C59" s="165"/>
      <c r="D59" s="262">
        <f>D51-SUM(D54:D58)</f>
        <v>2170325.508316668</v>
      </c>
      <c r="E59" s="263">
        <f>E51-SUM(E54:E58)</f>
        <v>2283665.5932976184</v>
      </c>
      <c r="F59" s="264">
        <f>F51-SUM(F54:F58)</f>
        <v>2422601.7320809523</v>
      </c>
      <c r="G59" s="263">
        <f>G51-SUM(G54:G58)</f>
        <v>2663889.777155952</v>
      </c>
      <c r="H59" s="263">
        <f>H51-SUM(H54:H58)</f>
        <v>2857191.930664286</v>
      </c>
    </row>
  </sheetData>
  <sheetProtection/>
  <mergeCells count="2">
    <mergeCell ref="B11:B13"/>
    <mergeCell ref="C11:C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Q112"/>
  <sheetViews>
    <sheetView showGridLines="0" zoomScalePageLayoutView="0" workbookViewId="0" topLeftCell="A10">
      <selection activeCell="P5" sqref="P5"/>
    </sheetView>
  </sheetViews>
  <sheetFormatPr defaultColWidth="9.140625" defaultRowHeight="12.75"/>
  <cols>
    <col min="1" max="1" width="2.8515625" style="0" customWidth="1"/>
    <col min="2" max="2" width="6.421875" style="0" customWidth="1"/>
    <col min="3" max="3" width="3.8515625" style="0" customWidth="1"/>
    <col min="4" max="4" width="16.57421875" style="0" customWidth="1"/>
    <col min="5" max="5" width="3.00390625" style="0" customWidth="1"/>
    <col min="6" max="6" width="11.140625" style="0" customWidth="1"/>
    <col min="7" max="7" width="1.421875" style="0" customWidth="1"/>
    <col min="8" max="8" width="3.421875" style="0" customWidth="1"/>
    <col min="9" max="9" width="1.421875" style="0" customWidth="1"/>
    <col min="10" max="10" width="12.57421875" style="0" customWidth="1"/>
    <col min="11" max="11" width="3.28125" style="0" customWidth="1"/>
    <col min="12" max="12" width="12.8515625" style="0" customWidth="1"/>
    <col min="13" max="13" width="1.421875" style="0" customWidth="1"/>
    <col min="14" max="14" width="3.57421875" style="0" customWidth="1"/>
    <col min="15" max="15" width="1.7109375" style="0" customWidth="1"/>
    <col min="16" max="16" width="14.00390625" style="0" customWidth="1"/>
    <col min="17" max="17" width="2.140625" style="0" customWidth="1"/>
  </cols>
  <sheetData>
    <row r="1" spans="12:16" ht="12.75">
      <c r="L1" t="s">
        <v>50</v>
      </c>
      <c r="P1" t="s">
        <v>94</v>
      </c>
    </row>
    <row r="2" spans="12:16" ht="12.75">
      <c r="L2" t="s">
        <v>51</v>
      </c>
      <c r="P2">
        <v>5</v>
      </c>
    </row>
    <row r="3" spans="12:16" ht="12.75">
      <c r="L3" t="s">
        <v>52</v>
      </c>
      <c r="P3">
        <v>1</v>
      </c>
    </row>
    <row r="4" spans="12:16" ht="12.75">
      <c r="L4" t="s">
        <v>53</v>
      </c>
      <c r="P4">
        <v>1</v>
      </c>
    </row>
    <row r="5" spans="12:16" ht="12.75">
      <c r="L5" t="s">
        <v>54</v>
      </c>
      <c r="P5" t="s">
        <v>56</v>
      </c>
    </row>
    <row r="7" spans="12:16" ht="12.75">
      <c r="L7" t="s">
        <v>55</v>
      </c>
      <c r="P7" s="269">
        <v>40482</v>
      </c>
    </row>
    <row r="10" spans="2:16" ht="15.75">
      <c r="B10" s="6"/>
      <c r="C10" s="6"/>
      <c r="D10" s="354" t="s">
        <v>57</v>
      </c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</row>
    <row r="11" spans="2:16" ht="12.7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2:16" ht="12.75">
      <c r="B12" s="355" t="s">
        <v>58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2:16" ht="12.75">
      <c r="B13" s="356"/>
      <c r="C13" s="7"/>
      <c r="D13" s="8" t="s">
        <v>59</v>
      </c>
      <c r="E13" s="7"/>
      <c r="F13" s="357" t="s">
        <v>60</v>
      </c>
      <c r="G13" s="357"/>
      <c r="H13" s="357"/>
      <c r="I13" s="357"/>
      <c r="J13" s="357"/>
      <c r="K13" s="9"/>
      <c r="L13" s="8" t="s">
        <v>61</v>
      </c>
      <c r="M13" s="49"/>
      <c r="N13" s="7"/>
      <c r="O13" s="7"/>
      <c r="P13" s="8" t="s">
        <v>62</v>
      </c>
    </row>
    <row r="14" spans="2:16" ht="12.75">
      <c r="B14" s="10"/>
      <c r="C14" s="7"/>
      <c r="D14" s="7"/>
      <c r="E14" s="7"/>
      <c r="F14" s="7"/>
      <c r="G14" s="7"/>
      <c r="H14" s="7"/>
      <c r="I14" s="7"/>
      <c r="J14" s="11"/>
      <c r="K14" s="11"/>
      <c r="L14" s="7"/>
      <c r="M14" s="7"/>
      <c r="N14" s="7"/>
      <c r="O14" s="7"/>
      <c r="P14" s="7"/>
    </row>
    <row r="15" spans="2:17" ht="12.75">
      <c r="B15" s="51"/>
      <c r="C15" s="52"/>
      <c r="D15" s="52"/>
      <c r="E15" s="52"/>
      <c r="F15" s="52"/>
      <c r="G15" s="52"/>
      <c r="H15" s="52"/>
      <c r="I15" s="52"/>
      <c r="J15" s="270" t="s">
        <v>285</v>
      </c>
      <c r="K15" s="53"/>
      <c r="L15" s="52"/>
      <c r="M15" s="52"/>
      <c r="N15" s="52"/>
      <c r="O15" s="52"/>
      <c r="P15" s="52"/>
      <c r="Q15" s="54"/>
    </row>
    <row r="16" spans="2:17" ht="12.75">
      <c r="B16" s="55"/>
      <c r="C16" s="12"/>
      <c r="D16" s="348" t="s">
        <v>63</v>
      </c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50"/>
      <c r="Q16" s="56"/>
    </row>
    <row r="17" spans="2:17" ht="12.75">
      <c r="B17" s="55"/>
      <c r="C17" s="7"/>
      <c r="D17" s="7"/>
      <c r="E17" s="7"/>
      <c r="F17" s="65" t="s">
        <v>64</v>
      </c>
      <c r="G17" s="13"/>
      <c r="H17" s="13"/>
      <c r="I17" s="13"/>
      <c r="J17" s="65" t="s">
        <v>65</v>
      </c>
      <c r="K17" s="7"/>
      <c r="L17" s="65" t="s">
        <v>64</v>
      </c>
      <c r="M17" s="13"/>
      <c r="N17" s="7"/>
      <c r="O17" s="7"/>
      <c r="P17" s="11" t="s">
        <v>65</v>
      </c>
      <c r="Q17" s="56"/>
    </row>
    <row r="18" spans="2:17" ht="12.75">
      <c r="B18" s="55"/>
      <c r="C18" s="7"/>
      <c r="D18" s="15" t="s">
        <v>66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56"/>
    </row>
    <row r="19" spans="2:17" ht="12.75">
      <c r="B19" s="55">
        <v>1</v>
      </c>
      <c r="C19" s="7"/>
      <c r="D19" s="14" t="s">
        <v>67</v>
      </c>
      <c r="E19" s="7"/>
      <c r="F19" s="24">
        <v>0.5</v>
      </c>
      <c r="G19" s="47"/>
      <c r="H19" s="57"/>
      <c r="I19" s="58"/>
      <c r="J19" s="25">
        <f>$J$28*F19</f>
        <v>22310624</v>
      </c>
      <c r="K19" s="7"/>
      <c r="L19" s="24">
        <v>0.0648775445364802</v>
      </c>
      <c r="M19" s="47"/>
      <c r="N19" s="57"/>
      <c r="O19" s="58"/>
      <c r="P19" s="25">
        <f>L19*J19</f>
        <v>1447458.502196664</v>
      </c>
      <c r="Q19" s="56"/>
    </row>
    <row r="20" spans="2:17" ht="12.75">
      <c r="B20" s="55">
        <v>2</v>
      </c>
      <c r="C20" s="7"/>
      <c r="D20" s="14" t="s">
        <v>68</v>
      </c>
      <c r="E20" s="7"/>
      <c r="F20" s="26">
        <v>0</v>
      </c>
      <c r="G20" s="47"/>
      <c r="H20" s="59" t="s">
        <v>69</v>
      </c>
      <c r="I20" s="59"/>
      <c r="J20" s="27">
        <f>$J$28*F20</f>
        <v>0</v>
      </c>
      <c r="K20" s="7"/>
      <c r="L20" s="26"/>
      <c r="M20" s="47"/>
      <c r="N20" s="57"/>
      <c r="O20" s="58"/>
      <c r="P20" s="27">
        <f>L20*J20</f>
        <v>0</v>
      </c>
      <c r="Q20" s="56"/>
    </row>
    <row r="21" spans="2:17" ht="13.5" thickBot="1">
      <c r="B21" s="55">
        <v>3</v>
      </c>
      <c r="C21" s="7"/>
      <c r="D21" s="17" t="s">
        <v>70</v>
      </c>
      <c r="E21" s="7"/>
      <c r="F21" s="28">
        <f>SUM(F19:F20)</f>
        <v>0.5</v>
      </c>
      <c r="G21" s="45"/>
      <c r="H21" s="28"/>
      <c r="I21" s="45"/>
      <c r="J21" s="29">
        <f>SUM(J19:J20)</f>
        <v>22310624</v>
      </c>
      <c r="K21" s="7"/>
      <c r="L21" s="30">
        <f>IF(F21=0,0,SUMPRODUCT(F19:F20,L19:L20)/F21)</f>
        <v>0.0648775445364802</v>
      </c>
      <c r="M21" s="47"/>
      <c r="N21" s="50"/>
      <c r="O21" s="50"/>
      <c r="P21" s="29">
        <f>SUM(P19:P20)</f>
        <v>1447458.502196664</v>
      </c>
      <c r="Q21" s="56"/>
    </row>
    <row r="22" spans="2:17" ht="13.5" thickTop="1">
      <c r="B22" s="55"/>
      <c r="C22" s="7"/>
      <c r="D22" s="7"/>
      <c r="E22" s="7"/>
      <c r="F22" s="31"/>
      <c r="G22" s="46"/>
      <c r="H22" s="31"/>
      <c r="I22" s="46"/>
      <c r="J22" s="18"/>
      <c r="K22" s="7"/>
      <c r="L22" s="32"/>
      <c r="M22" s="47"/>
      <c r="N22" s="50"/>
      <c r="O22" s="50"/>
      <c r="P22" s="18"/>
      <c r="Q22" s="56"/>
    </row>
    <row r="23" spans="2:17" ht="12.75">
      <c r="B23" s="55"/>
      <c r="C23" s="7"/>
      <c r="D23" s="15" t="s">
        <v>71</v>
      </c>
      <c r="E23" s="7"/>
      <c r="F23" s="31"/>
      <c r="G23" s="46"/>
      <c r="H23" s="31"/>
      <c r="I23" s="46"/>
      <c r="J23" s="18"/>
      <c r="K23" s="7"/>
      <c r="L23" s="32"/>
      <c r="M23" s="47"/>
      <c r="N23" s="50"/>
      <c r="O23" s="50"/>
      <c r="P23" s="18"/>
      <c r="Q23" s="56"/>
    </row>
    <row r="24" spans="2:17" ht="12.75">
      <c r="B24" s="60">
        <v>4</v>
      </c>
      <c r="C24" s="19"/>
      <c r="D24" s="20" t="s">
        <v>72</v>
      </c>
      <c r="E24" s="19"/>
      <c r="F24" s="33">
        <v>0.5</v>
      </c>
      <c r="G24" s="48"/>
      <c r="H24" s="57"/>
      <c r="I24" s="58"/>
      <c r="J24" s="34">
        <f>$J$28*F24</f>
        <v>22310624</v>
      </c>
      <c r="K24" s="19"/>
      <c r="L24" s="33">
        <v>0.0857</v>
      </c>
      <c r="M24" s="48"/>
      <c r="N24" s="57"/>
      <c r="O24" s="58"/>
      <c r="P24" s="34">
        <f>L24*J24</f>
        <v>1912020.4768</v>
      </c>
      <c r="Q24" s="56"/>
    </row>
    <row r="25" spans="2:17" ht="12.75">
      <c r="B25" s="60">
        <v>5</v>
      </c>
      <c r="C25" s="19"/>
      <c r="D25" s="20" t="s">
        <v>73</v>
      </c>
      <c r="E25" s="19"/>
      <c r="F25" s="35">
        <v>0</v>
      </c>
      <c r="G25" s="48"/>
      <c r="H25" s="57"/>
      <c r="I25" s="58"/>
      <c r="J25" s="36">
        <f>$J$28*F25</f>
        <v>0</v>
      </c>
      <c r="K25" s="19"/>
      <c r="L25" s="35"/>
      <c r="M25" s="48"/>
      <c r="N25" s="57"/>
      <c r="O25" s="58"/>
      <c r="P25" s="36">
        <f>L25*J25</f>
        <v>0</v>
      </c>
      <c r="Q25" s="56"/>
    </row>
    <row r="26" spans="2:17" ht="13.5" thickBot="1">
      <c r="B26" s="55">
        <v>6</v>
      </c>
      <c r="C26" s="7"/>
      <c r="D26" s="17" t="s">
        <v>74</v>
      </c>
      <c r="E26" s="7"/>
      <c r="F26" s="28">
        <f>SUM(F24:F25)</f>
        <v>0.5</v>
      </c>
      <c r="G26" s="28"/>
      <c r="H26" s="28"/>
      <c r="I26" s="45"/>
      <c r="J26" s="29">
        <f>SUM(J24:J25)</f>
        <v>22310624</v>
      </c>
      <c r="K26" s="7"/>
      <c r="L26" s="30">
        <f>IF(F26=0,0,SUMPRODUCT(F24:F25,L24:L25)/F26)</f>
        <v>0.0857</v>
      </c>
      <c r="M26" s="47"/>
      <c r="N26" s="50"/>
      <c r="O26" s="50"/>
      <c r="P26" s="29">
        <f>SUM(P24:P25)</f>
        <v>1912020.4768</v>
      </c>
      <c r="Q26" s="56"/>
    </row>
    <row r="27" spans="2:17" ht="13.5" thickTop="1">
      <c r="B27" s="55"/>
      <c r="C27" s="7"/>
      <c r="D27" s="7"/>
      <c r="E27" s="7"/>
      <c r="F27" s="7"/>
      <c r="G27" s="7"/>
      <c r="H27" s="7"/>
      <c r="I27" s="7"/>
      <c r="J27" s="18"/>
      <c r="K27" s="7"/>
      <c r="L27" s="32"/>
      <c r="M27" s="32"/>
      <c r="N27" s="50"/>
      <c r="O27" s="50"/>
      <c r="P27" s="18"/>
      <c r="Q27" s="56"/>
    </row>
    <row r="28" spans="2:17" ht="13.5" thickBot="1">
      <c r="B28" s="55">
        <v>7</v>
      </c>
      <c r="C28" s="7"/>
      <c r="D28" s="15" t="s">
        <v>43</v>
      </c>
      <c r="E28" s="7"/>
      <c r="F28" s="21">
        <f>F21+F26</f>
        <v>1</v>
      </c>
      <c r="G28" s="21"/>
      <c r="H28" s="22"/>
      <c r="I28" s="22"/>
      <c r="J28" s="37">
        <v>44621248</v>
      </c>
      <c r="K28" s="7"/>
      <c r="L28" s="38">
        <f>(L21*F21)+(L26*F26)</f>
        <v>0.0752887722682401</v>
      </c>
      <c r="M28" s="32"/>
      <c r="N28" s="7"/>
      <c r="O28" s="7"/>
      <c r="P28" s="39">
        <f>P21+P26</f>
        <v>3359478.9789966643</v>
      </c>
      <c r="Q28" s="56"/>
    </row>
    <row r="29" spans="2:17" ht="13.5" thickTop="1"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</row>
    <row r="30" spans="2:17" ht="12.75">
      <c r="B30" s="6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3"/>
    </row>
    <row r="31" spans="2:16" ht="12.75">
      <c r="B31" s="351" t="s">
        <v>75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</row>
    <row r="32" spans="2:16" ht="12.75">
      <c r="B32" s="23" t="s">
        <v>69</v>
      </c>
      <c r="C32" s="6"/>
      <c r="D32" s="352" t="s">
        <v>76</v>
      </c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</row>
    <row r="33" spans="2:16" ht="12.75">
      <c r="B33" s="16"/>
      <c r="C33" s="6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</row>
    <row r="34" spans="2:17" ht="12.75">
      <c r="B34" s="51"/>
      <c r="C34" s="52"/>
      <c r="D34" s="52"/>
      <c r="E34" s="52"/>
      <c r="F34" s="52"/>
      <c r="G34" s="52"/>
      <c r="H34" s="52"/>
      <c r="I34" s="52"/>
      <c r="J34" s="270" t="s">
        <v>286</v>
      </c>
      <c r="K34" s="53"/>
      <c r="L34" s="52"/>
      <c r="M34" s="52"/>
      <c r="N34" s="52"/>
      <c r="O34" s="52"/>
      <c r="P34" s="52"/>
      <c r="Q34" s="54"/>
    </row>
    <row r="35" spans="2:17" ht="12.75">
      <c r="B35" s="55"/>
      <c r="C35" s="12"/>
      <c r="D35" s="348" t="s">
        <v>63</v>
      </c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50"/>
      <c r="Q35" s="56"/>
    </row>
    <row r="36" spans="2:17" ht="12.75">
      <c r="B36" s="55"/>
      <c r="C36" s="7"/>
      <c r="D36" s="7"/>
      <c r="E36" s="7"/>
      <c r="F36" s="65" t="s">
        <v>64</v>
      </c>
      <c r="G36" s="13"/>
      <c r="H36" s="13"/>
      <c r="I36" s="13"/>
      <c r="J36" s="65" t="s">
        <v>65</v>
      </c>
      <c r="K36" s="7"/>
      <c r="L36" s="65" t="s">
        <v>64</v>
      </c>
      <c r="M36" s="13"/>
      <c r="N36" s="7"/>
      <c r="O36" s="7"/>
      <c r="P36" s="11" t="s">
        <v>65</v>
      </c>
      <c r="Q36" s="56"/>
    </row>
    <row r="37" spans="2:17" ht="12.75">
      <c r="B37" s="55"/>
      <c r="C37" s="7"/>
      <c r="D37" s="15" t="s">
        <v>66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6"/>
    </row>
    <row r="38" spans="2:17" ht="12.75">
      <c r="B38" s="55">
        <v>1</v>
      </c>
      <c r="C38" s="7"/>
      <c r="D38" s="14" t="s">
        <v>67</v>
      </c>
      <c r="E38" s="7"/>
      <c r="F38" s="24">
        <v>0.493</v>
      </c>
      <c r="G38" s="47"/>
      <c r="H38" s="57"/>
      <c r="I38" s="58"/>
      <c r="J38" s="25">
        <f>$J$47*F38</f>
        <v>23738837.4</v>
      </c>
      <c r="K38" s="7"/>
      <c r="L38" s="24">
        <v>0.061</v>
      </c>
      <c r="M38" s="47"/>
      <c r="N38" s="57"/>
      <c r="O38" s="58"/>
      <c r="P38" s="25">
        <f>L38*J38</f>
        <v>1448069.0813999998</v>
      </c>
      <c r="Q38" s="56"/>
    </row>
    <row r="39" spans="2:17" ht="12.75">
      <c r="B39" s="55">
        <v>2</v>
      </c>
      <c r="C39" s="7"/>
      <c r="D39" s="14" t="s">
        <v>68</v>
      </c>
      <c r="E39" s="7"/>
      <c r="F39" s="26">
        <v>0.04</v>
      </c>
      <c r="G39" s="47"/>
      <c r="H39" s="59" t="s">
        <v>69</v>
      </c>
      <c r="I39" s="59"/>
      <c r="J39" s="27">
        <f>$J$47*F39</f>
        <v>1926072</v>
      </c>
      <c r="K39" s="7"/>
      <c r="L39" s="26">
        <v>0.0447</v>
      </c>
      <c r="M39" s="47"/>
      <c r="N39" s="57"/>
      <c r="O39" s="58"/>
      <c r="P39" s="27">
        <f>L39*J39</f>
        <v>86095.4184</v>
      </c>
      <c r="Q39" s="56"/>
    </row>
    <row r="40" spans="2:17" ht="13.5" thickBot="1">
      <c r="B40" s="55">
        <v>3</v>
      </c>
      <c r="C40" s="7"/>
      <c r="D40" s="17" t="s">
        <v>70</v>
      </c>
      <c r="E40" s="7"/>
      <c r="F40" s="28">
        <f>SUM(F38:F39)</f>
        <v>0.533</v>
      </c>
      <c r="G40" s="45"/>
      <c r="H40" s="28"/>
      <c r="I40" s="45"/>
      <c r="J40" s="29">
        <f>SUM(J38:J39)</f>
        <v>25664909.4</v>
      </c>
      <c r="K40" s="7"/>
      <c r="L40" s="30">
        <f>IF(F40=0,0,SUMPRODUCT(F38:F39,L38:L39)/F40)</f>
        <v>0.059776735459662285</v>
      </c>
      <c r="M40" s="47"/>
      <c r="N40" s="50"/>
      <c r="O40" s="50"/>
      <c r="P40" s="29">
        <f>SUM(P38:P39)</f>
        <v>1534164.4997999999</v>
      </c>
      <c r="Q40" s="56"/>
    </row>
    <row r="41" spans="2:17" ht="13.5" thickTop="1">
      <c r="B41" s="55"/>
      <c r="C41" s="7"/>
      <c r="D41" s="7"/>
      <c r="E41" s="7"/>
      <c r="F41" s="31"/>
      <c r="G41" s="46"/>
      <c r="H41" s="31"/>
      <c r="I41" s="46"/>
      <c r="J41" s="18"/>
      <c r="K41" s="7"/>
      <c r="L41" s="32"/>
      <c r="M41" s="47"/>
      <c r="N41" s="50"/>
      <c r="O41" s="50"/>
      <c r="P41" s="18"/>
      <c r="Q41" s="56"/>
    </row>
    <row r="42" spans="2:17" ht="12.75">
      <c r="B42" s="55"/>
      <c r="C42" s="7"/>
      <c r="D42" s="15" t="s">
        <v>71</v>
      </c>
      <c r="E42" s="7"/>
      <c r="F42" s="31"/>
      <c r="G42" s="46"/>
      <c r="H42" s="31"/>
      <c r="I42" s="46"/>
      <c r="J42" s="18"/>
      <c r="K42" s="7"/>
      <c r="L42" s="32"/>
      <c r="M42" s="47"/>
      <c r="N42" s="50"/>
      <c r="O42" s="50"/>
      <c r="P42" s="18"/>
      <c r="Q42" s="56"/>
    </row>
    <row r="43" spans="2:17" ht="12.75">
      <c r="B43" s="60">
        <v>4</v>
      </c>
      <c r="C43" s="19"/>
      <c r="D43" s="20" t="s">
        <v>72</v>
      </c>
      <c r="E43" s="19"/>
      <c r="F43" s="33">
        <v>0.467</v>
      </c>
      <c r="G43" s="48"/>
      <c r="H43" s="57"/>
      <c r="I43" s="58"/>
      <c r="J43" s="34">
        <f>$J$47*F43</f>
        <v>22486890.6</v>
      </c>
      <c r="K43" s="19"/>
      <c r="L43" s="33">
        <v>0.0857</v>
      </c>
      <c r="M43" s="48"/>
      <c r="N43" s="57"/>
      <c r="O43" s="58"/>
      <c r="P43" s="34">
        <f>L43*J43</f>
        <v>1927126.5244200001</v>
      </c>
      <c r="Q43" s="56"/>
    </row>
    <row r="44" spans="2:17" ht="12.75">
      <c r="B44" s="60">
        <v>5</v>
      </c>
      <c r="C44" s="19"/>
      <c r="D44" s="20" t="s">
        <v>73</v>
      </c>
      <c r="E44" s="19"/>
      <c r="F44" s="35">
        <v>0</v>
      </c>
      <c r="G44" s="48"/>
      <c r="H44" s="57"/>
      <c r="I44" s="58"/>
      <c r="J44" s="36">
        <f>$J$47*F44</f>
        <v>0</v>
      </c>
      <c r="K44" s="19"/>
      <c r="L44" s="35"/>
      <c r="M44" s="48"/>
      <c r="N44" s="57"/>
      <c r="O44" s="58"/>
      <c r="P44" s="36">
        <f>L44*J44</f>
        <v>0</v>
      </c>
      <c r="Q44" s="56"/>
    </row>
    <row r="45" spans="2:17" ht="13.5" thickBot="1">
      <c r="B45" s="55">
        <v>6</v>
      </c>
      <c r="C45" s="7"/>
      <c r="D45" s="17" t="s">
        <v>74</v>
      </c>
      <c r="E45" s="7"/>
      <c r="F45" s="28">
        <f>SUM(F43:F44)</f>
        <v>0.467</v>
      </c>
      <c r="G45" s="28"/>
      <c r="H45" s="28"/>
      <c r="I45" s="45"/>
      <c r="J45" s="29">
        <f>SUM(J43:J44)</f>
        <v>22486890.6</v>
      </c>
      <c r="K45" s="7"/>
      <c r="L45" s="30">
        <f>IF(F45=0,0,SUMPRODUCT(F43:F44,L43:L44)/F45)</f>
        <v>0.0857</v>
      </c>
      <c r="M45" s="47"/>
      <c r="N45" s="50"/>
      <c r="O45" s="50"/>
      <c r="P45" s="29">
        <f>SUM(P43:P44)</f>
        <v>1927126.5244200001</v>
      </c>
      <c r="Q45" s="56"/>
    </row>
    <row r="46" spans="2:17" ht="13.5" thickTop="1">
      <c r="B46" s="55"/>
      <c r="C46" s="7"/>
      <c r="D46" s="7"/>
      <c r="E46" s="7"/>
      <c r="F46" s="7"/>
      <c r="G46" s="7"/>
      <c r="H46" s="7"/>
      <c r="I46" s="7"/>
      <c r="J46" s="18"/>
      <c r="K46" s="7"/>
      <c r="L46" s="32"/>
      <c r="M46" s="32"/>
      <c r="N46" s="50"/>
      <c r="O46" s="50"/>
      <c r="P46" s="18"/>
      <c r="Q46" s="56"/>
    </row>
    <row r="47" spans="2:17" ht="13.5" thickBot="1">
      <c r="B47" s="55">
        <v>7</v>
      </c>
      <c r="C47" s="7"/>
      <c r="D47" s="15" t="s">
        <v>43</v>
      </c>
      <c r="E47" s="7"/>
      <c r="F47" s="21">
        <f>F40+F45</f>
        <v>1</v>
      </c>
      <c r="G47" s="21"/>
      <c r="H47" s="22"/>
      <c r="I47" s="22"/>
      <c r="J47" s="37">
        <v>48151800</v>
      </c>
      <c r="K47" s="7"/>
      <c r="L47" s="38">
        <f>(L40*F40)+(L45*F45)</f>
        <v>0.0718829</v>
      </c>
      <c r="M47" s="32"/>
      <c r="N47" s="7"/>
      <c r="O47" s="7"/>
      <c r="P47" s="39">
        <f>P40+P45</f>
        <v>3461291.02422</v>
      </c>
      <c r="Q47" s="56"/>
    </row>
    <row r="48" spans="2:17" ht="13.5" thickTop="1">
      <c r="B48" s="61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3"/>
    </row>
    <row r="50" spans="2:17" ht="12.75">
      <c r="B50" s="51"/>
      <c r="C50" s="52"/>
      <c r="D50" s="52"/>
      <c r="E50" s="52"/>
      <c r="F50" s="52"/>
      <c r="G50" s="52"/>
      <c r="H50" s="52"/>
      <c r="I50" s="52"/>
      <c r="J50" s="270" t="s">
        <v>287</v>
      </c>
      <c r="K50" s="53"/>
      <c r="L50" s="52"/>
      <c r="M50" s="52"/>
      <c r="N50" s="52"/>
      <c r="O50" s="52"/>
      <c r="P50" s="52"/>
      <c r="Q50" s="54"/>
    </row>
    <row r="51" spans="2:17" ht="12.75">
      <c r="B51" s="55"/>
      <c r="C51" s="12"/>
      <c r="D51" s="348" t="s">
        <v>63</v>
      </c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50"/>
      <c r="Q51" s="56"/>
    </row>
    <row r="52" spans="2:17" ht="12.75">
      <c r="B52" s="55"/>
      <c r="C52" s="7"/>
      <c r="D52" s="7"/>
      <c r="E52" s="7"/>
      <c r="F52" s="65" t="s">
        <v>64</v>
      </c>
      <c r="G52" s="13"/>
      <c r="H52" s="13"/>
      <c r="I52" s="13"/>
      <c r="J52" s="65" t="s">
        <v>65</v>
      </c>
      <c r="K52" s="7"/>
      <c r="L52" s="65" t="s">
        <v>64</v>
      </c>
      <c r="M52" s="13"/>
      <c r="N52" s="7"/>
      <c r="O52" s="7"/>
      <c r="P52" s="11" t="s">
        <v>65</v>
      </c>
      <c r="Q52" s="56"/>
    </row>
    <row r="53" spans="2:17" ht="12.75">
      <c r="B53" s="55"/>
      <c r="C53" s="7"/>
      <c r="D53" s="15" t="s">
        <v>66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56"/>
    </row>
    <row r="54" spans="2:17" ht="12.75">
      <c r="B54" s="55">
        <v>1</v>
      </c>
      <c r="C54" s="7"/>
      <c r="D54" s="14" t="s">
        <v>67</v>
      </c>
      <c r="E54" s="7"/>
      <c r="F54" s="24">
        <v>0.493</v>
      </c>
      <c r="G54" s="47"/>
      <c r="H54" s="57"/>
      <c r="I54" s="58"/>
      <c r="J54" s="25">
        <f>$J$63*F54</f>
        <v>23127243.785</v>
      </c>
      <c r="K54" s="7"/>
      <c r="L54" s="24">
        <v>0.06491725391888735</v>
      </c>
      <c r="M54" s="47"/>
      <c r="N54" s="57"/>
      <c r="O54" s="58"/>
      <c r="P54" s="25">
        <f>L54*J54</f>
        <v>1501357.1572348543</v>
      </c>
      <c r="Q54" s="56"/>
    </row>
    <row r="55" spans="2:17" ht="12.75">
      <c r="B55" s="55">
        <v>2</v>
      </c>
      <c r="C55" s="7"/>
      <c r="D55" s="14" t="s">
        <v>68</v>
      </c>
      <c r="E55" s="7"/>
      <c r="F55" s="26">
        <v>0.04</v>
      </c>
      <c r="G55" s="47"/>
      <c r="H55" s="59" t="s">
        <v>69</v>
      </c>
      <c r="I55" s="59"/>
      <c r="J55" s="27">
        <f>$J$63*F55</f>
        <v>1876449.8</v>
      </c>
      <c r="K55" s="7"/>
      <c r="L55" s="26">
        <v>0.0447</v>
      </c>
      <c r="M55" s="47"/>
      <c r="N55" s="57"/>
      <c r="O55" s="58"/>
      <c r="P55" s="27">
        <f>L55*J55</f>
        <v>83877.30606</v>
      </c>
      <c r="Q55" s="56"/>
    </row>
    <row r="56" spans="2:17" ht="13.5" thickBot="1">
      <c r="B56" s="55">
        <v>3</v>
      </c>
      <c r="C56" s="7"/>
      <c r="D56" s="17" t="s">
        <v>70</v>
      </c>
      <c r="E56" s="7"/>
      <c r="F56" s="28">
        <f>SUM(F54:F55)</f>
        <v>0.533</v>
      </c>
      <c r="G56" s="45"/>
      <c r="H56" s="28"/>
      <c r="I56" s="45"/>
      <c r="J56" s="29">
        <f>SUM(J54:J55)</f>
        <v>25003693.585</v>
      </c>
      <c r="K56" s="7"/>
      <c r="L56" s="30">
        <f>IF(F56=0,0,SUMPRODUCT(F54:F55,L54:L55)/F56)</f>
        <v>0.06340001159852056</v>
      </c>
      <c r="M56" s="47"/>
      <c r="N56" s="50"/>
      <c r="O56" s="50"/>
      <c r="P56" s="29">
        <f>SUM(P54:P55)</f>
        <v>1585234.4632948544</v>
      </c>
      <c r="Q56" s="56"/>
    </row>
    <row r="57" spans="2:17" ht="13.5" thickTop="1">
      <c r="B57" s="55"/>
      <c r="C57" s="7"/>
      <c r="D57" s="7"/>
      <c r="E57" s="7"/>
      <c r="F57" s="31"/>
      <c r="G57" s="46"/>
      <c r="H57" s="31"/>
      <c r="I57" s="46"/>
      <c r="J57" s="18"/>
      <c r="K57" s="7"/>
      <c r="L57" s="32"/>
      <c r="M57" s="47"/>
      <c r="N57" s="50"/>
      <c r="O57" s="50"/>
      <c r="P57" s="18"/>
      <c r="Q57" s="56"/>
    </row>
    <row r="58" spans="2:17" ht="12.75">
      <c r="B58" s="55"/>
      <c r="C58" s="7"/>
      <c r="D58" s="15" t="s">
        <v>71</v>
      </c>
      <c r="E58" s="7"/>
      <c r="F58" s="31"/>
      <c r="G58" s="46"/>
      <c r="H58" s="31"/>
      <c r="I58" s="46"/>
      <c r="J58" s="18"/>
      <c r="K58" s="7"/>
      <c r="L58" s="32"/>
      <c r="M58" s="47"/>
      <c r="N58" s="50"/>
      <c r="O58" s="50"/>
      <c r="P58" s="18"/>
      <c r="Q58" s="56"/>
    </row>
    <row r="59" spans="2:17" ht="12.75">
      <c r="B59" s="60">
        <v>4</v>
      </c>
      <c r="C59" s="19"/>
      <c r="D59" s="20" t="s">
        <v>72</v>
      </c>
      <c r="E59" s="19"/>
      <c r="F59" s="33">
        <v>0.467</v>
      </c>
      <c r="G59" s="48"/>
      <c r="H59" s="57"/>
      <c r="I59" s="58"/>
      <c r="J59" s="34">
        <f>$J$63*F59</f>
        <v>21907551.415000003</v>
      </c>
      <c r="K59" s="19"/>
      <c r="L59" s="33">
        <v>0.0857</v>
      </c>
      <c r="M59" s="48"/>
      <c r="N59" s="57"/>
      <c r="O59" s="58"/>
      <c r="P59" s="34">
        <f>L59*J59</f>
        <v>1877477.1562655002</v>
      </c>
      <c r="Q59" s="56"/>
    </row>
    <row r="60" spans="2:17" ht="12.75">
      <c r="B60" s="60">
        <v>5</v>
      </c>
      <c r="C60" s="19"/>
      <c r="D60" s="20" t="s">
        <v>73</v>
      </c>
      <c r="E60" s="19"/>
      <c r="F60" s="35">
        <v>0</v>
      </c>
      <c r="G60" s="48"/>
      <c r="H60" s="57"/>
      <c r="I60" s="58"/>
      <c r="J60" s="36">
        <f>$J$63*F60</f>
        <v>0</v>
      </c>
      <c r="K60" s="19"/>
      <c r="L60" s="35"/>
      <c r="M60" s="48"/>
      <c r="N60" s="57"/>
      <c r="O60" s="58"/>
      <c r="P60" s="36">
        <f>L60*J60</f>
        <v>0</v>
      </c>
      <c r="Q60" s="56"/>
    </row>
    <row r="61" spans="2:17" ht="13.5" thickBot="1">
      <c r="B61" s="55">
        <v>6</v>
      </c>
      <c r="C61" s="7"/>
      <c r="D61" s="17" t="s">
        <v>74</v>
      </c>
      <c r="E61" s="7"/>
      <c r="F61" s="28">
        <f>SUM(F59:F60)</f>
        <v>0.467</v>
      </c>
      <c r="G61" s="28"/>
      <c r="H61" s="28"/>
      <c r="I61" s="45"/>
      <c r="J61" s="29">
        <f>SUM(J59:J60)</f>
        <v>21907551.415000003</v>
      </c>
      <c r="K61" s="7"/>
      <c r="L61" s="30">
        <f>IF(F61=0,0,SUMPRODUCT(F59:F60,L59:L60)/F61)</f>
        <v>0.0857</v>
      </c>
      <c r="M61" s="47"/>
      <c r="N61" s="50"/>
      <c r="O61" s="50"/>
      <c r="P61" s="29">
        <f>SUM(P59:P60)</f>
        <v>1877477.1562655002</v>
      </c>
      <c r="Q61" s="56"/>
    </row>
    <row r="62" spans="2:17" ht="13.5" thickTop="1">
      <c r="B62" s="55"/>
      <c r="C62" s="7"/>
      <c r="D62" s="7"/>
      <c r="E62" s="7"/>
      <c r="F62" s="7"/>
      <c r="G62" s="7"/>
      <c r="H62" s="7"/>
      <c r="I62" s="7"/>
      <c r="J62" s="18"/>
      <c r="K62" s="7"/>
      <c r="L62" s="32"/>
      <c r="M62" s="32"/>
      <c r="N62" s="50"/>
      <c r="O62" s="50"/>
      <c r="P62" s="18"/>
      <c r="Q62" s="56"/>
    </row>
    <row r="63" spans="2:17" ht="13.5" thickBot="1">
      <c r="B63" s="55">
        <v>7</v>
      </c>
      <c r="C63" s="7"/>
      <c r="D63" s="15" t="s">
        <v>43</v>
      </c>
      <c r="E63" s="7"/>
      <c r="F63" s="21">
        <f>F56+F61</f>
        <v>1</v>
      </c>
      <c r="G63" s="21"/>
      <c r="H63" s="22"/>
      <c r="I63" s="22"/>
      <c r="J63" s="37">
        <v>46911245</v>
      </c>
      <c r="K63" s="7"/>
      <c r="L63" s="38">
        <f>(L56*F56)+(L61*F61)</f>
        <v>0.07381410618201145</v>
      </c>
      <c r="M63" s="32"/>
      <c r="N63" s="7"/>
      <c r="O63" s="7"/>
      <c r="P63" s="39">
        <f>P56+P61</f>
        <v>3462711.6195603544</v>
      </c>
      <c r="Q63" s="56"/>
    </row>
    <row r="64" spans="2:17" ht="13.5" thickTop="1"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3"/>
    </row>
    <row r="66" spans="2:17" ht="12.75">
      <c r="B66" s="51"/>
      <c r="C66" s="52"/>
      <c r="D66" s="52"/>
      <c r="E66" s="52"/>
      <c r="F66" s="52"/>
      <c r="G66" s="52"/>
      <c r="H66" s="52"/>
      <c r="I66" s="52"/>
      <c r="J66" s="270" t="s">
        <v>288</v>
      </c>
      <c r="K66" s="53"/>
      <c r="L66" s="52"/>
      <c r="M66" s="52"/>
      <c r="N66" s="52"/>
      <c r="O66" s="52"/>
      <c r="P66" s="52"/>
      <c r="Q66" s="54"/>
    </row>
    <row r="67" spans="2:17" ht="12.75">
      <c r="B67" s="55"/>
      <c r="C67" s="12"/>
      <c r="D67" s="348" t="s">
        <v>63</v>
      </c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50"/>
      <c r="Q67" s="56"/>
    </row>
    <row r="68" spans="2:17" ht="12.75">
      <c r="B68" s="55"/>
      <c r="C68" s="7"/>
      <c r="D68" s="7"/>
      <c r="E68" s="7"/>
      <c r="F68" s="65" t="s">
        <v>64</v>
      </c>
      <c r="G68" s="13"/>
      <c r="H68" s="13"/>
      <c r="I68" s="13"/>
      <c r="J68" s="65" t="s">
        <v>65</v>
      </c>
      <c r="K68" s="7"/>
      <c r="L68" s="65" t="s">
        <v>64</v>
      </c>
      <c r="M68" s="13"/>
      <c r="N68" s="7"/>
      <c r="O68" s="7"/>
      <c r="P68" s="11" t="s">
        <v>65</v>
      </c>
      <c r="Q68" s="56"/>
    </row>
    <row r="69" spans="2:17" ht="12.75">
      <c r="B69" s="55"/>
      <c r="C69" s="7"/>
      <c r="D69" s="15" t="s">
        <v>66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56"/>
    </row>
    <row r="70" spans="2:17" ht="12.75">
      <c r="B70" s="55">
        <v>1</v>
      </c>
      <c r="C70" s="7"/>
      <c r="D70" s="14" t="s">
        <v>67</v>
      </c>
      <c r="E70" s="7"/>
      <c r="F70" s="24">
        <v>0.527</v>
      </c>
      <c r="G70" s="47"/>
      <c r="H70" s="57"/>
      <c r="I70" s="58"/>
      <c r="J70" s="25">
        <f>$J$79*F70</f>
        <v>25361370.134</v>
      </c>
      <c r="K70" s="7"/>
      <c r="L70" s="24">
        <v>0.06495973182060488</v>
      </c>
      <c r="M70" s="47"/>
      <c r="N70" s="57"/>
      <c r="O70" s="58"/>
      <c r="P70" s="25">
        <f>L70*J70</f>
        <v>1647467.8025077381</v>
      </c>
      <c r="Q70" s="56"/>
    </row>
    <row r="71" spans="2:17" ht="12.75">
      <c r="B71" s="55">
        <v>2</v>
      </c>
      <c r="C71" s="7"/>
      <c r="D71" s="14" t="s">
        <v>68</v>
      </c>
      <c r="E71" s="7"/>
      <c r="F71" s="26">
        <v>0.04</v>
      </c>
      <c r="G71" s="47"/>
      <c r="H71" s="59" t="s">
        <v>69</v>
      </c>
      <c r="I71" s="59"/>
      <c r="J71" s="27">
        <f>$J$79*F71</f>
        <v>1924961.68</v>
      </c>
      <c r="K71" s="7"/>
      <c r="L71" s="26">
        <v>0.0447</v>
      </c>
      <c r="M71" s="47"/>
      <c r="N71" s="57"/>
      <c r="O71" s="58"/>
      <c r="P71" s="27">
        <f>L71*J71</f>
        <v>86045.78709599999</v>
      </c>
      <c r="Q71" s="56"/>
    </row>
    <row r="72" spans="2:17" ht="13.5" thickBot="1">
      <c r="B72" s="55">
        <v>3</v>
      </c>
      <c r="C72" s="7"/>
      <c r="D72" s="17" t="s">
        <v>70</v>
      </c>
      <c r="E72" s="7"/>
      <c r="F72" s="28">
        <f>SUM(F70:F71)</f>
        <v>0.5670000000000001</v>
      </c>
      <c r="G72" s="45"/>
      <c r="H72" s="28"/>
      <c r="I72" s="45"/>
      <c r="J72" s="29">
        <f>SUM(J70:J71)</f>
        <v>27286331.814</v>
      </c>
      <c r="K72" s="7"/>
      <c r="L72" s="30">
        <f>IF(F72=0,0,SUMPRODUCT(F70:F71,L70:L71)/F72)</f>
        <v>0.06353047384384262</v>
      </c>
      <c r="M72" s="47"/>
      <c r="N72" s="50"/>
      <c r="O72" s="50"/>
      <c r="P72" s="29">
        <f>SUM(P70:P71)</f>
        <v>1733513.5896037382</v>
      </c>
      <c r="Q72" s="56"/>
    </row>
    <row r="73" spans="2:17" ht="13.5" thickTop="1">
      <c r="B73" s="55"/>
      <c r="C73" s="7"/>
      <c r="D73" s="7"/>
      <c r="E73" s="7"/>
      <c r="F73" s="31"/>
      <c r="G73" s="46"/>
      <c r="H73" s="31"/>
      <c r="I73" s="46"/>
      <c r="J73" s="18"/>
      <c r="K73" s="7"/>
      <c r="L73" s="32"/>
      <c r="M73" s="47"/>
      <c r="N73" s="50"/>
      <c r="O73" s="50"/>
      <c r="P73" s="18"/>
      <c r="Q73" s="56"/>
    </row>
    <row r="74" spans="2:17" ht="12.75">
      <c r="B74" s="55"/>
      <c r="C74" s="7"/>
      <c r="D74" s="15" t="s">
        <v>71</v>
      </c>
      <c r="E74" s="7"/>
      <c r="F74" s="31"/>
      <c r="G74" s="46"/>
      <c r="H74" s="31"/>
      <c r="I74" s="46"/>
      <c r="J74" s="18"/>
      <c r="K74" s="7"/>
      <c r="L74" s="32"/>
      <c r="M74" s="47"/>
      <c r="N74" s="50"/>
      <c r="O74" s="50"/>
      <c r="P74" s="18"/>
      <c r="Q74" s="56"/>
    </row>
    <row r="75" spans="2:17" ht="12.75">
      <c r="B75" s="60">
        <v>4</v>
      </c>
      <c r="C75" s="19"/>
      <c r="D75" s="20" t="s">
        <v>72</v>
      </c>
      <c r="E75" s="19"/>
      <c r="F75" s="33">
        <v>0.433</v>
      </c>
      <c r="G75" s="48"/>
      <c r="H75" s="57"/>
      <c r="I75" s="58"/>
      <c r="J75" s="34">
        <f>$J$79*F75</f>
        <v>20837710.186</v>
      </c>
      <c r="K75" s="19"/>
      <c r="L75" s="33">
        <v>0.0857</v>
      </c>
      <c r="M75" s="48"/>
      <c r="N75" s="57"/>
      <c r="O75" s="58"/>
      <c r="P75" s="34">
        <f>L75*J75</f>
        <v>1785791.7629402</v>
      </c>
      <c r="Q75" s="56"/>
    </row>
    <row r="76" spans="2:17" ht="12.75">
      <c r="B76" s="60">
        <v>5</v>
      </c>
      <c r="C76" s="19"/>
      <c r="D76" s="20" t="s">
        <v>73</v>
      </c>
      <c r="E76" s="19"/>
      <c r="F76" s="35">
        <v>0</v>
      </c>
      <c r="G76" s="48"/>
      <c r="H76" s="57"/>
      <c r="I76" s="58"/>
      <c r="J76" s="36">
        <f>$J$79*F76</f>
        <v>0</v>
      </c>
      <c r="K76" s="19"/>
      <c r="L76" s="35"/>
      <c r="M76" s="48"/>
      <c r="N76" s="57"/>
      <c r="O76" s="58"/>
      <c r="P76" s="36">
        <f>L76*J76</f>
        <v>0</v>
      </c>
      <c r="Q76" s="56"/>
    </row>
    <row r="77" spans="2:17" ht="13.5" thickBot="1">
      <c r="B77" s="55">
        <v>6</v>
      </c>
      <c r="C77" s="7"/>
      <c r="D77" s="17" t="s">
        <v>74</v>
      </c>
      <c r="E77" s="7"/>
      <c r="F77" s="28">
        <f>SUM(F75:F76)</f>
        <v>0.433</v>
      </c>
      <c r="G77" s="28"/>
      <c r="H77" s="28"/>
      <c r="I77" s="45"/>
      <c r="J77" s="29">
        <f>SUM(J75:J76)</f>
        <v>20837710.186</v>
      </c>
      <c r="K77" s="7"/>
      <c r="L77" s="30">
        <f>IF(F77=0,0,SUMPRODUCT(F75:F76,L75:L76)/F77)</f>
        <v>0.0857</v>
      </c>
      <c r="M77" s="47"/>
      <c r="N77" s="50"/>
      <c r="O77" s="50"/>
      <c r="P77" s="29">
        <f>SUM(P75:P76)</f>
        <v>1785791.7629402</v>
      </c>
      <c r="Q77" s="56"/>
    </row>
    <row r="78" spans="2:17" ht="13.5" thickTop="1">
      <c r="B78" s="55"/>
      <c r="C78" s="7"/>
      <c r="D78" s="7"/>
      <c r="E78" s="7"/>
      <c r="F78" s="7"/>
      <c r="G78" s="7"/>
      <c r="H78" s="7"/>
      <c r="I78" s="7"/>
      <c r="J78" s="18"/>
      <c r="K78" s="7"/>
      <c r="L78" s="32"/>
      <c r="M78" s="32"/>
      <c r="N78" s="50"/>
      <c r="O78" s="50"/>
      <c r="P78" s="18"/>
      <c r="Q78" s="56"/>
    </row>
    <row r="79" spans="2:17" ht="13.5" thickBot="1">
      <c r="B79" s="55">
        <v>7</v>
      </c>
      <c r="C79" s="7"/>
      <c r="D79" s="15" t="s">
        <v>43</v>
      </c>
      <c r="E79" s="7"/>
      <c r="F79" s="21">
        <f>F72+F77</f>
        <v>1</v>
      </c>
      <c r="G79" s="21"/>
      <c r="H79" s="22"/>
      <c r="I79" s="22"/>
      <c r="J79" s="37">
        <v>48124042</v>
      </c>
      <c r="K79" s="7"/>
      <c r="L79" s="38">
        <f>(L72*F72)+(L77*F77)</f>
        <v>0.07312987866945878</v>
      </c>
      <c r="M79" s="32"/>
      <c r="N79" s="7"/>
      <c r="O79" s="7"/>
      <c r="P79" s="39">
        <f>P72+P77</f>
        <v>3519305.352543938</v>
      </c>
      <c r="Q79" s="56"/>
    </row>
    <row r="80" spans="2:17" ht="13.5" thickTop="1"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3"/>
    </row>
    <row r="82" spans="2:17" ht="12.75">
      <c r="B82" s="51"/>
      <c r="C82" s="52"/>
      <c r="D82" s="52"/>
      <c r="E82" s="52"/>
      <c r="F82" s="52"/>
      <c r="G82" s="52"/>
      <c r="H82" s="52"/>
      <c r="I82" s="52"/>
      <c r="J82" s="270" t="s">
        <v>289</v>
      </c>
      <c r="K82" s="53"/>
      <c r="L82" s="52"/>
      <c r="M82" s="52"/>
      <c r="N82" s="52"/>
      <c r="O82" s="52"/>
      <c r="P82" s="52"/>
      <c r="Q82" s="54"/>
    </row>
    <row r="83" spans="2:17" ht="12.75">
      <c r="B83" s="55"/>
      <c r="C83" s="12"/>
      <c r="D83" s="348" t="s">
        <v>63</v>
      </c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50"/>
      <c r="Q83" s="56"/>
    </row>
    <row r="84" spans="2:17" ht="12.75">
      <c r="B84" s="55"/>
      <c r="C84" s="7"/>
      <c r="D84" s="7"/>
      <c r="E84" s="7"/>
      <c r="F84" s="65" t="s">
        <v>64</v>
      </c>
      <c r="G84" s="13"/>
      <c r="H84" s="13"/>
      <c r="I84" s="13"/>
      <c r="J84" s="65" t="s">
        <v>65</v>
      </c>
      <c r="K84" s="7"/>
      <c r="L84" s="65" t="s">
        <v>64</v>
      </c>
      <c r="M84" s="13"/>
      <c r="N84" s="7"/>
      <c r="O84" s="7"/>
      <c r="P84" s="11" t="s">
        <v>65</v>
      </c>
      <c r="Q84" s="56"/>
    </row>
    <row r="85" spans="2:17" ht="12.75">
      <c r="B85" s="55"/>
      <c r="C85" s="7"/>
      <c r="D85" s="15" t="s">
        <v>66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56"/>
    </row>
    <row r="86" spans="2:17" ht="12.75">
      <c r="B86" s="55">
        <v>1</v>
      </c>
      <c r="C86" s="7"/>
      <c r="D86" s="14" t="s">
        <v>67</v>
      </c>
      <c r="E86" s="7"/>
      <c r="F86" s="24">
        <v>0.56</v>
      </c>
      <c r="G86" s="47"/>
      <c r="H86" s="57"/>
      <c r="I86" s="58"/>
      <c r="J86" s="25">
        <f>$J$95*F86</f>
        <v>29422774.080000002</v>
      </c>
      <c r="K86" s="7"/>
      <c r="L86" s="24">
        <v>0.05811009897227289</v>
      </c>
      <c r="M86" s="47"/>
      <c r="N86" s="57"/>
      <c r="O86" s="58"/>
      <c r="P86" s="25">
        <f>L86*J86</f>
        <v>1709760.3138276257</v>
      </c>
      <c r="Q86" s="56"/>
    </row>
    <row r="87" spans="2:17" ht="12.75">
      <c r="B87" s="55">
        <v>2</v>
      </c>
      <c r="C87" s="7"/>
      <c r="D87" s="14" t="s">
        <v>68</v>
      </c>
      <c r="E87" s="7"/>
      <c r="F87" s="26">
        <v>0.04</v>
      </c>
      <c r="G87" s="47"/>
      <c r="H87" s="59" t="s">
        <v>69</v>
      </c>
      <c r="I87" s="59"/>
      <c r="J87" s="27">
        <f>$J$95*F87</f>
        <v>2101626.72</v>
      </c>
      <c r="K87" s="7"/>
      <c r="L87" s="26">
        <v>0.0207</v>
      </c>
      <c r="M87" s="47"/>
      <c r="N87" s="57"/>
      <c r="O87" s="58"/>
      <c r="P87" s="27">
        <f>L87*J87</f>
        <v>43503.673104</v>
      </c>
      <c r="Q87" s="56"/>
    </row>
    <row r="88" spans="2:17" ht="13.5" thickBot="1">
      <c r="B88" s="55">
        <v>3</v>
      </c>
      <c r="C88" s="7"/>
      <c r="D88" s="17" t="s">
        <v>70</v>
      </c>
      <c r="E88" s="7"/>
      <c r="F88" s="28">
        <f>SUM(F86:F87)</f>
        <v>0.6000000000000001</v>
      </c>
      <c r="G88" s="45"/>
      <c r="H88" s="28"/>
      <c r="I88" s="45"/>
      <c r="J88" s="29">
        <f>SUM(J86:J87)</f>
        <v>31524400.8</v>
      </c>
      <c r="K88" s="7"/>
      <c r="L88" s="30">
        <f>IF(F88=0,0,SUMPRODUCT(F86:F87,L86:L87)/F88)</f>
        <v>0.055616092374121365</v>
      </c>
      <c r="M88" s="47"/>
      <c r="N88" s="50"/>
      <c r="O88" s="50"/>
      <c r="P88" s="29">
        <f>SUM(P86:P87)</f>
        <v>1753263.9869316258</v>
      </c>
      <c r="Q88" s="56"/>
    </row>
    <row r="89" spans="2:17" ht="13.5" thickTop="1">
      <c r="B89" s="55"/>
      <c r="C89" s="7"/>
      <c r="D89" s="7"/>
      <c r="E89" s="7"/>
      <c r="F89" s="31"/>
      <c r="G89" s="46"/>
      <c r="H89" s="31"/>
      <c r="I89" s="46"/>
      <c r="J89" s="18"/>
      <c r="K89" s="7"/>
      <c r="L89" s="32"/>
      <c r="M89" s="47"/>
      <c r="N89" s="50"/>
      <c r="O89" s="50"/>
      <c r="P89" s="18"/>
      <c r="Q89" s="56"/>
    </row>
    <row r="90" spans="2:17" ht="12.75">
      <c r="B90" s="55"/>
      <c r="C90" s="7"/>
      <c r="D90" s="15" t="s">
        <v>71</v>
      </c>
      <c r="E90" s="7"/>
      <c r="F90" s="31"/>
      <c r="G90" s="46"/>
      <c r="H90" s="31"/>
      <c r="I90" s="46"/>
      <c r="J90" s="18"/>
      <c r="K90" s="7"/>
      <c r="L90" s="32"/>
      <c r="M90" s="47"/>
      <c r="N90" s="50"/>
      <c r="O90" s="50"/>
      <c r="P90" s="18"/>
      <c r="Q90" s="56"/>
    </row>
    <row r="91" spans="2:17" ht="12.75">
      <c r="B91" s="60">
        <v>4</v>
      </c>
      <c r="C91" s="19"/>
      <c r="D91" s="20" t="s">
        <v>72</v>
      </c>
      <c r="E91" s="19"/>
      <c r="F91" s="33">
        <v>0.4</v>
      </c>
      <c r="G91" s="48"/>
      <c r="H91" s="57"/>
      <c r="I91" s="58"/>
      <c r="J91" s="34">
        <f>$J$95*F91</f>
        <v>21016267.200000003</v>
      </c>
      <c r="K91" s="19"/>
      <c r="L91" s="33">
        <v>0.0857</v>
      </c>
      <c r="M91" s="48"/>
      <c r="N91" s="57"/>
      <c r="O91" s="58"/>
      <c r="P91" s="34">
        <f>L91*J91</f>
        <v>1801094.0990400002</v>
      </c>
      <c r="Q91" s="56"/>
    </row>
    <row r="92" spans="2:17" ht="12.75">
      <c r="B92" s="60">
        <v>5</v>
      </c>
      <c r="C92" s="19"/>
      <c r="D92" s="20" t="s">
        <v>73</v>
      </c>
      <c r="E92" s="19"/>
      <c r="F92" s="35">
        <v>0</v>
      </c>
      <c r="G92" s="48"/>
      <c r="H92" s="57"/>
      <c r="I92" s="58"/>
      <c r="J92" s="36">
        <f>$J$95*F92</f>
        <v>0</v>
      </c>
      <c r="K92" s="19"/>
      <c r="L92" s="35"/>
      <c r="M92" s="48"/>
      <c r="N92" s="57"/>
      <c r="O92" s="58"/>
      <c r="P92" s="36">
        <f>L92*J92</f>
        <v>0</v>
      </c>
      <c r="Q92" s="56"/>
    </row>
    <row r="93" spans="2:17" ht="13.5" thickBot="1">
      <c r="B93" s="55">
        <v>6</v>
      </c>
      <c r="C93" s="7"/>
      <c r="D93" s="17" t="s">
        <v>74</v>
      </c>
      <c r="E93" s="7"/>
      <c r="F93" s="28">
        <f>SUM(F91:F92)</f>
        <v>0.4</v>
      </c>
      <c r="G93" s="28"/>
      <c r="H93" s="28"/>
      <c r="I93" s="45"/>
      <c r="J93" s="29">
        <f>SUM(J91:J92)</f>
        <v>21016267.200000003</v>
      </c>
      <c r="K93" s="7"/>
      <c r="L93" s="30">
        <f>IF(F93=0,0,SUMPRODUCT(F91:F92,L91:L92)/F93)</f>
        <v>0.08569999999999998</v>
      </c>
      <c r="M93" s="47"/>
      <c r="N93" s="50"/>
      <c r="O93" s="50"/>
      <c r="P93" s="29">
        <f>SUM(P91:P92)</f>
        <v>1801094.0990400002</v>
      </c>
      <c r="Q93" s="56"/>
    </row>
    <row r="94" spans="2:17" ht="13.5" thickTop="1">
      <c r="B94" s="55"/>
      <c r="C94" s="7"/>
      <c r="D94" s="7"/>
      <c r="E94" s="7"/>
      <c r="F94" s="7"/>
      <c r="G94" s="7"/>
      <c r="H94" s="7"/>
      <c r="I94" s="7"/>
      <c r="J94" s="18"/>
      <c r="K94" s="7"/>
      <c r="L94" s="32"/>
      <c r="M94" s="32"/>
      <c r="N94" s="50"/>
      <c r="O94" s="50"/>
      <c r="P94" s="18"/>
      <c r="Q94" s="56"/>
    </row>
    <row r="95" spans="2:17" ht="13.5" thickBot="1">
      <c r="B95" s="55">
        <v>7</v>
      </c>
      <c r="C95" s="7"/>
      <c r="D95" s="15" t="s">
        <v>43</v>
      </c>
      <c r="E95" s="7"/>
      <c r="F95" s="21">
        <f>F88+F93</f>
        <v>1</v>
      </c>
      <c r="G95" s="21"/>
      <c r="H95" s="22"/>
      <c r="I95" s="22"/>
      <c r="J95" s="37">
        <v>52540668</v>
      </c>
      <c r="K95" s="7"/>
      <c r="L95" s="38">
        <f>(L88*F88)+(L93*F93)</f>
        <v>0.06764965542447282</v>
      </c>
      <c r="M95" s="32"/>
      <c r="N95" s="7"/>
      <c r="O95" s="7"/>
      <c r="P95" s="39">
        <f>P88+P93</f>
        <v>3554358.085971626</v>
      </c>
      <c r="Q95" s="56"/>
    </row>
    <row r="96" spans="2:17" ht="13.5" thickTop="1"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3"/>
    </row>
    <row r="98" spans="2:17" ht="12.75">
      <c r="B98" s="51"/>
      <c r="C98" s="52"/>
      <c r="D98" s="52"/>
      <c r="E98" s="52"/>
      <c r="F98" s="52"/>
      <c r="G98" s="52"/>
      <c r="H98" s="52"/>
      <c r="I98" s="52"/>
      <c r="J98" s="270" t="s">
        <v>290</v>
      </c>
      <c r="K98" s="53"/>
      <c r="L98" s="52"/>
      <c r="M98" s="52"/>
      <c r="N98" s="52"/>
      <c r="O98" s="52"/>
      <c r="P98" s="52"/>
      <c r="Q98" s="54"/>
    </row>
    <row r="99" spans="2:17" ht="12.75">
      <c r="B99" s="55"/>
      <c r="C99" s="12"/>
      <c r="D99" s="348" t="s">
        <v>63</v>
      </c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50"/>
      <c r="Q99" s="56"/>
    </row>
    <row r="100" spans="2:17" ht="12.75">
      <c r="B100" s="55"/>
      <c r="C100" s="7"/>
      <c r="D100" s="7"/>
      <c r="E100" s="7"/>
      <c r="F100" s="65" t="s">
        <v>64</v>
      </c>
      <c r="G100" s="13"/>
      <c r="H100" s="13"/>
      <c r="I100" s="13"/>
      <c r="J100" s="65" t="s">
        <v>65</v>
      </c>
      <c r="K100" s="7"/>
      <c r="L100" s="65" t="s">
        <v>64</v>
      </c>
      <c r="M100" s="13"/>
      <c r="N100" s="7"/>
      <c r="O100" s="7"/>
      <c r="P100" s="11" t="s">
        <v>65</v>
      </c>
      <c r="Q100" s="56"/>
    </row>
    <row r="101" spans="2:17" ht="12.75">
      <c r="B101" s="55"/>
      <c r="C101" s="7"/>
      <c r="D101" s="15" t="s">
        <v>66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56"/>
    </row>
    <row r="102" spans="2:17" ht="12.75">
      <c r="B102" s="55">
        <v>1</v>
      </c>
      <c r="C102" s="7"/>
      <c r="D102" s="14" t="s">
        <v>67</v>
      </c>
      <c r="E102" s="7"/>
      <c r="F102" s="24">
        <v>0.56</v>
      </c>
      <c r="G102" s="47"/>
      <c r="H102" s="57"/>
      <c r="I102" s="58"/>
      <c r="J102" s="25">
        <f>$J$111*F102</f>
        <v>32699945.040000003</v>
      </c>
      <c r="K102" s="7"/>
      <c r="L102" s="24">
        <v>0.05685614697195299</v>
      </c>
      <c r="M102" s="47"/>
      <c r="N102" s="57"/>
      <c r="O102" s="58"/>
      <c r="P102" s="25">
        <f>L102*J102</f>
        <v>1859192.8811690253</v>
      </c>
      <c r="Q102" s="56"/>
    </row>
    <row r="103" spans="2:17" ht="12.75">
      <c r="B103" s="55">
        <v>2</v>
      </c>
      <c r="C103" s="7"/>
      <c r="D103" s="14" t="s">
        <v>68</v>
      </c>
      <c r="E103" s="7"/>
      <c r="F103" s="26">
        <v>0.04</v>
      </c>
      <c r="G103" s="47"/>
      <c r="H103" s="59" t="s">
        <v>69</v>
      </c>
      <c r="I103" s="59"/>
      <c r="J103" s="27">
        <f>$J$111*F103</f>
        <v>2335710.36</v>
      </c>
      <c r="K103" s="7"/>
      <c r="L103" s="26">
        <v>0.0207</v>
      </c>
      <c r="M103" s="47"/>
      <c r="N103" s="57"/>
      <c r="O103" s="58"/>
      <c r="P103" s="27">
        <f>L103*J103</f>
        <v>48349.204452</v>
      </c>
      <c r="Q103" s="56"/>
    </row>
    <row r="104" spans="2:17" ht="13.5" thickBot="1">
      <c r="B104" s="55">
        <v>3</v>
      </c>
      <c r="C104" s="7"/>
      <c r="D104" s="17" t="s">
        <v>70</v>
      </c>
      <c r="E104" s="7"/>
      <c r="F104" s="28">
        <f>SUM(F102:F103)</f>
        <v>0.6000000000000001</v>
      </c>
      <c r="G104" s="45"/>
      <c r="H104" s="28"/>
      <c r="I104" s="45"/>
      <c r="J104" s="29">
        <f>SUM(J102:J103)</f>
        <v>35035655.400000006</v>
      </c>
      <c r="K104" s="7"/>
      <c r="L104" s="30">
        <f>IF(F104=0,0,SUMPRODUCT(F102:F103,L102:L103)/F104)</f>
        <v>0.05444573717382279</v>
      </c>
      <c r="M104" s="47"/>
      <c r="N104" s="50"/>
      <c r="O104" s="50"/>
      <c r="P104" s="29">
        <f>SUM(P102:P103)</f>
        <v>1907542.0856210254</v>
      </c>
      <c r="Q104" s="56"/>
    </row>
    <row r="105" spans="2:17" ht="13.5" thickTop="1">
      <c r="B105" s="55"/>
      <c r="C105" s="7"/>
      <c r="D105" s="7"/>
      <c r="E105" s="7"/>
      <c r="F105" s="31"/>
      <c r="G105" s="46"/>
      <c r="H105" s="31"/>
      <c r="I105" s="46"/>
      <c r="J105" s="18"/>
      <c r="K105" s="7"/>
      <c r="L105" s="32"/>
      <c r="M105" s="47"/>
      <c r="N105" s="50"/>
      <c r="O105" s="50"/>
      <c r="P105" s="18"/>
      <c r="Q105" s="56"/>
    </row>
    <row r="106" spans="2:17" ht="12.75">
      <c r="B106" s="55"/>
      <c r="C106" s="7"/>
      <c r="D106" s="15" t="s">
        <v>71</v>
      </c>
      <c r="E106" s="7"/>
      <c r="F106" s="31"/>
      <c r="G106" s="46"/>
      <c r="H106" s="31"/>
      <c r="I106" s="46"/>
      <c r="J106" s="18"/>
      <c r="K106" s="7"/>
      <c r="L106" s="32"/>
      <c r="M106" s="47"/>
      <c r="N106" s="50"/>
      <c r="O106" s="50"/>
      <c r="P106" s="18"/>
      <c r="Q106" s="56"/>
    </row>
    <row r="107" spans="2:17" ht="12.75">
      <c r="B107" s="60">
        <v>4</v>
      </c>
      <c r="C107" s="19"/>
      <c r="D107" s="20" t="s">
        <v>72</v>
      </c>
      <c r="E107" s="19"/>
      <c r="F107" s="33">
        <v>0.4</v>
      </c>
      <c r="G107" s="48"/>
      <c r="H107" s="57"/>
      <c r="I107" s="58"/>
      <c r="J107" s="34">
        <f>$J$111*F107</f>
        <v>23357103.6</v>
      </c>
      <c r="K107" s="19"/>
      <c r="L107" s="33">
        <v>0.0985</v>
      </c>
      <c r="M107" s="48"/>
      <c r="N107" s="57"/>
      <c r="O107" s="58"/>
      <c r="P107" s="34">
        <f>L107*J107</f>
        <v>2300674.7046000003</v>
      </c>
      <c r="Q107" s="56"/>
    </row>
    <row r="108" spans="2:17" ht="12.75">
      <c r="B108" s="60">
        <v>5</v>
      </c>
      <c r="C108" s="19"/>
      <c r="D108" s="20" t="s">
        <v>73</v>
      </c>
      <c r="E108" s="19"/>
      <c r="F108" s="35">
        <v>0</v>
      </c>
      <c r="G108" s="48"/>
      <c r="H108" s="57"/>
      <c r="I108" s="58"/>
      <c r="J108" s="36">
        <f>$J$111*F108</f>
        <v>0</v>
      </c>
      <c r="K108" s="19"/>
      <c r="L108" s="35"/>
      <c r="M108" s="48"/>
      <c r="N108" s="57"/>
      <c r="O108" s="58"/>
      <c r="P108" s="36">
        <f>L108*J108</f>
        <v>0</v>
      </c>
      <c r="Q108" s="56"/>
    </row>
    <row r="109" spans="2:17" ht="13.5" thickBot="1">
      <c r="B109" s="55">
        <v>6</v>
      </c>
      <c r="C109" s="7"/>
      <c r="D109" s="17" t="s">
        <v>74</v>
      </c>
      <c r="E109" s="7"/>
      <c r="F109" s="28">
        <f>SUM(F107:F108)</f>
        <v>0.4</v>
      </c>
      <c r="G109" s="28"/>
      <c r="H109" s="28"/>
      <c r="I109" s="45"/>
      <c r="J109" s="29">
        <f>SUM(J107:J108)</f>
        <v>23357103.6</v>
      </c>
      <c r="K109" s="7"/>
      <c r="L109" s="30">
        <f>IF(F109=0,0,SUMPRODUCT(F107:F108,L107:L108)/F109)</f>
        <v>0.0985</v>
      </c>
      <c r="M109" s="47"/>
      <c r="N109" s="50"/>
      <c r="O109" s="50"/>
      <c r="P109" s="29">
        <f>SUM(P107:P108)</f>
        <v>2300674.7046000003</v>
      </c>
      <c r="Q109" s="56"/>
    </row>
    <row r="110" spans="2:17" ht="13.5" thickTop="1">
      <c r="B110" s="55"/>
      <c r="C110" s="7"/>
      <c r="D110" s="7"/>
      <c r="E110" s="7"/>
      <c r="F110" s="7"/>
      <c r="G110" s="7"/>
      <c r="H110" s="7"/>
      <c r="I110" s="7"/>
      <c r="J110" s="18"/>
      <c r="K110" s="7"/>
      <c r="L110" s="32"/>
      <c r="M110" s="32"/>
      <c r="N110" s="50"/>
      <c r="O110" s="50"/>
      <c r="P110" s="18"/>
      <c r="Q110" s="56"/>
    </row>
    <row r="111" spans="2:17" ht="13.5" thickBot="1">
      <c r="B111" s="55">
        <v>7</v>
      </c>
      <c r="C111" s="7"/>
      <c r="D111" s="15" t="s">
        <v>43</v>
      </c>
      <c r="E111" s="7"/>
      <c r="F111" s="21">
        <f>F104+F109</f>
        <v>1</v>
      </c>
      <c r="G111" s="21"/>
      <c r="H111" s="22"/>
      <c r="I111" s="22"/>
      <c r="J111" s="37">
        <v>58392759</v>
      </c>
      <c r="K111" s="7"/>
      <c r="L111" s="38">
        <f>(L104*F104)+(L109*F109)</f>
        <v>0.07206744230429368</v>
      </c>
      <c r="M111" s="32"/>
      <c r="N111" s="7"/>
      <c r="O111" s="7"/>
      <c r="P111" s="39">
        <f>P104+P109</f>
        <v>4208216.790221026</v>
      </c>
      <c r="Q111" s="56"/>
    </row>
    <row r="112" spans="2:17" ht="13.5" thickTop="1"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3"/>
    </row>
  </sheetData>
  <sheetProtection/>
  <mergeCells count="12">
    <mergeCell ref="D10:P10"/>
    <mergeCell ref="B12:B13"/>
    <mergeCell ref="F13:J13"/>
    <mergeCell ref="D16:P16"/>
    <mergeCell ref="D35:P35"/>
    <mergeCell ref="D51:P51"/>
    <mergeCell ref="D67:P67"/>
    <mergeCell ref="D83:P83"/>
    <mergeCell ref="D99:P99"/>
    <mergeCell ref="B31:P31"/>
    <mergeCell ref="D32:P32"/>
    <mergeCell ref="D33:P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PageLayoutView="0" workbookViewId="0" topLeftCell="E1">
      <pane ySplit="9" topLeftCell="A10" activePane="bottomLeft" state="frozen"/>
      <selection pane="topLeft" activeCell="A54" sqref="A54"/>
      <selection pane="bottomLeft" activeCell="P40" sqref="P40"/>
    </sheetView>
  </sheetViews>
  <sheetFormatPr defaultColWidth="9.140625" defaultRowHeight="12.75"/>
  <cols>
    <col min="1" max="1" width="7.28125" style="176" customWidth="1"/>
    <col min="2" max="2" width="8.00390625" style="177" customWidth="1"/>
    <col min="3" max="3" width="54.8515625" style="174" bestFit="1" customWidth="1"/>
    <col min="4" max="4" width="13.00390625" style="174" customWidth="1"/>
    <col min="5" max="5" width="12.140625" style="209" customWidth="1"/>
    <col min="6" max="6" width="11.8515625" style="174" customWidth="1"/>
    <col min="7" max="7" width="10.140625" style="174" customWidth="1"/>
    <col min="8" max="8" width="13.140625" style="174" customWidth="1"/>
    <col min="9" max="9" width="1.1484375" style="174" customWidth="1"/>
    <col min="10" max="10" width="15.421875" style="174" customWidth="1"/>
    <col min="11" max="11" width="12.7109375" style="174" bestFit="1" customWidth="1"/>
    <col min="12" max="12" width="10.8515625" style="174" customWidth="1"/>
    <col min="13" max="13" width="11.28125" style="174" customWidth="1"/>
    <col min="14" max="14" width="11.8515625" style="174" customWidth="1"/>
    <col min="15" max="16" width="9.140625" style="169" customWidth="1"/>
    <col min="17" max="17" width="16.00390625" style="169" customWidth="1"/>
    <col min="18" max="18" width="15.28125" style="169" customWidth="1"/>
    <col min="19" max="16384" width="9.140625" style="169" customWidth="1"/>
  </cols>
  <sheetData>
    <row r="1" spans="1:15" ht="12.75">
      <c r="A1" s="329" t="str">
        <f>'[5]Trial Balance'!A1:H1</f>
        <v>Norfolk Power Distribution Inc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236"/>
    </row>
    <row r="2" spans="1:15" ht="12.75">
      <c r="A2" s="329" t="str">
        <f>'[5]Trial Balance'!A2:H2</f>
        <v>2011 Cost of Service Application, License Number ED-2002-0521, File Number EB-2010-0139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236"/>
    </row>
    <row r="3" spans="1:15" ht="12.75">
      <c r="A3" s="330"/>
      <c r="B3" s="330"/>
      <c r="C3" s="330"/>
      <c r="D3" s="170"/>
      <c r="E3" s="201"/>
      <c r="F3" s="171"/>
      <c r="G3" s="171"/>
      <c r="H3" s="171"/>
      <c r="I3" s="172"/>
      <c r="J3" s="173"/>
      <c r="K3" s="173"/>
      <c r="L3" s="173"/>
      <c r="M3" s="173"/>
      <c r="N3" s="173"/>
      <c r="O3" s="236"/>
    </row>
    <row r="4" spans="1:15" ht="12.75">
      <c r="A4" s="330" t="s">
        <v>245</v>
      </c>
      <c r="B4" s="330"/>
      <c r="C4" s="330"/>
      <c r="D4" s="170"/>
      <c r="E4" s="201"/>
      <c r="F4" s="171"/>
      <c r="G4" s="171"/>
      <c r="I4" s="172"/>
      <c r="J4" s="173"/>
      <c r="K4" s="173"/>
      <c r="L4" s="173"/>
      <c r="M4" s="173"/>
      <c r="N4" s="173"/>
      <c r="O4" s="236"/>
    </row>
    <row r="5" spans="1:15" ht="12.75">
      <c r="A5" s="330" t="s">
        <v>256</v>
      </c>
      <c r="B5" s="330"/>
      <c r="C5" s="330"/>
      <c r="D5" s="170"/>
      <c r="E5" s="175"/>
      <c r="F5" s="171"/>
      <c r="G5" s="171"/>
      <c r="I5" s="172"/>
      <c r="J5" s="173"/>
      <c r="K5" s="173"/>
      <c r="L5" s="173"/>
      <c r="M5" s="173"/>
      <c r="N5" s="173"/>
      <c r="O5" s="236"/>
    </row>
    <row r="6" spans="1:15" ht="12.75">
      <c r="A6" s="239"/>
      <c r="B6" s="226"/>
      <c r="C6" s="227"/>
      <c r="D6" s="227"/>
      <c r="E6" s="331" t="s">
        <v>7</v>
      </c>
      <c r="F6" s="332"/>
      <c r="G6" s="332"/>
      <c r="H6" s="333"/>
      <c r="I6" s="242"/>
      <c r="J6" s="331" t="s">
        <v>8</v>
      </c>
      <c r="K6" s="332"/>
      <c r="L6" s="332"/>
      <c r="M6" s="333"/>
      <c r="N6" s="241"/>
      <c r="O6" s="236"/>
    </row>
    <row r="7" spans="1:15" ht="12.75">
      <c r="A7" s="239"/>
      <c r="B7" s="226"/>
      <c r="C7" s="240"/>
      <c r="D7" s="240"/>
      <c r="E7" s="322"/>
      <c r="F7" s="323"/>
      <c r="G7" s="323"/>
      <c r="H7" s="324"/>
      <c r="I7" s="242"/>
      <c r="J7" s="322"/>
      <c r="K7" s="323"/>
      <c r="L7" s="323"/>
      <c r="M7" s="324"/>
      <c r="N7" s="241"/>
      <c r="O7" s="236"/>
    </row>
    <row r="8" spans="1:25" s="202" customFormat="1" ht="12.75">
      <c r="A8" s="325" t="s">
        <v>0</v>
      </c>
      <c r="B8" s="325" t="s">
        <v>1</v>
      </c>
      <c r="C8" s="325" t="s">
        <v>2</v>
      </c>
      <c r="D8" s="290" t="s">
        <v>278</v>
      </c>
      <c r="E8" s="320" t="s">
        <v>3</v>
      </c>
      <c r="F8" s="320" t="s">
        <v>4</v>
      </c>
      <c r="G8" s="320" t="s">
        <v>5</v>
      </c>
      <c r="H8" s="320" t="s">
        <v>6</v>
      </c>
      <c r="I8" s="334"/>
      <c r="J8" s="320" t="s">
        <v>3</v>
      </c>
      <c r="K8" s="320" t="s">
        <v>4</v>
      </c>
      <c r="L8" s="320" t="s">
        <v>5</v>
      </c>
      <c r="M8" s="320" t="s">
        <v>6</v>
      </c>
      <c r="N8" s="320" t="s">
        <v>49</v>
      </c>
      <c r="O8" s="243"/>
      <c r="Q8" s="169"/>
      <c r="R8" s="169"/>
      <c r="S8" s="169"/>
      <c r="T8" s="169"/>
      <c r="U8" s="169"/>
      <c r="V8" s="169"/>
      <c r="W8" s="169"/>
      <c r="X8" s="169"/>
      <c r="Y8" s="169"/>
    </row>
    <row r="9" spans="1:25" s="202" customFormat="1" ht="12.75">
      <c r="A9" s="326"/>
      <c r="B9" s="326"/>
      <c r="C9" s="326"/>
      <c r="D9" s="291" t="s">
        <v>93</v>
      </c>
      <c r="E9" s="321" t="s">
        <v>247</v>
      </c>
      <c r="F9" s="321" t="s">
        <v>4</v>
      </c>
      <c r="G9" s="321"/>
      <c r="H9" s="321"/>
      <c r="I9" s="334"/>
      <c r="J9" s="321" t="s">
        <v>247</v>
      </c>
      <c r="K9" s="321" t="s">
        <v>4</v>
      </c>
      <c r="L9" s="321"/>
      <c r="M9" s="321"/>
      <c r="N9" s="321"/>
      <c r="O9" s="243"/>
      <c r="Q9" s="169"/>
      <c r="R9" s="169"/>
      <c r="S9" s="169"/>
      <c r="T9" s="169"/>
      <c r="U9" s="169"/>
      <c r="V9" s="169"/>
      <c r="W9" s="169"/>
      <c r="X9" s="169"/>
      <c r="Y9" s="169"/>
    </row>
    <row r="10" spans="1:15" ht="12.75">
      <c r="A10" s="180" t="s">
        <v>9</v>
      </c>
      <c r="B10" s="181">
        <f>+'[5]Trial Balance'!A81</f>
        <v>1805</v>
      </c>
      <c r="C10" s="203" t="str">
        <f>+'[5]Trial Balance'!B81</f>
        <v>Land</v>
      </c>
      <c r="D10" s="222">
        <v>0</v>
      </c>
      <c r="E10" s="204">
        <f>'App. 2-B FA Continuity 2007'!H10</f>
        <v>384420.48</v>
      </c>
      <c r="F10" s="183">
        <v>695</v>
      </c>
      <c r="G10" s="183"/>
      <c r="H10" s="184">
        <f>E10+F10-G10</f>
        <v>385115.48</v>
      </c>
      <c r="I10" s="334"/>
      <c r="J10" s="204">
        <f>'App. 2-B FA Continuity 2007'!M10</f>
        <v>0</v>
      </c>
      <c r="K10" s="183">
        <f>'[2]Summary Deprec''n'!$E$8</f>
        <v>0</v>
      </c>
      <c r="L10" s="183"/>
      <c r="M10" s="184">
        <f aca="true" t="shared" si="0" ref="M10:M44">J10+K10-L10</f>
        <v>0</v>
      </c>
      <c r="N10" s="184">
        <f aca="true" t="shared" si="1" ref="N10:N45">H10-M10</f>
        <v>385115.48</v>
      </c>
      <c r="O10" s="236"/>
    </row>
    <row r="11" spans="1:15" ht="12.75">
      <c r="A11" s="180" t="s">
        <v>24</v>
      </c>
      <c r="B11" s="181">
        <f>+'[5]Trial Balance'!A82</f>
        <v>1806</v>
      </c>
      <c r="C11" s="203" t="str">
        <f>+'[5]Trial Balance'!B82</f>
        <v>Land Rights</v>
      </c>
      <c r="D11" s="222">
        <v>0</v>
      </c>
      <c r="E11" s="204">
        <f>'App. 2-B FA Continuity 2007'!H11</f>
        <v>300911</v>
      </c>
      <c r="F11" s="183">
        <v>0</v>
      </c>
      <c r="G11" s="183"/>
      <c r="H11" s="184">
        <f aca="true" t="shared" si="2" ref="H11:H45">E11+F11-G11</f>
        <v>300911</v>
      </c>
      <c r="I11" s="334"/>
      <c r="J11" s="204">
        <f>'App. 2-B FA Continuity 2007'!M11</f>
        <v>0</v>
      </c>
      <c r="K11" s="183">
        <f>'[2]Summary Deprec''n'!$E$9</f>
        <v>0</v>
      </c>
      <c r="L11" s="183"/>
      <c r="M11" s="184">
        <f t="shared" si="0"/>
        <v>0</v>
      </c>
      <c r="N11" s="184">
        <f t="shared" si="1"/>
        <v>300911</v>
      </c>
      <c r="O11" s="236"/>
    </row>
    <row r="12" spans="1:15" ht="12.75">
      <c r="A12" s="180">
        <v>47</v>
      </c>
      <c r="B12" s="181">
        <f>+'[5]Trial Balance'!A83</f>
        <v>1808</v>
      </c>
      <c r="C12" s="203" t="str">
        <f>+'[5]Trial Balance'!B83</f>
        <v>Buildings and Fixtures</v>
      </c>
      <c r="D12" s="222">
        <v>0.02</v>
      </c>
      <c r="E12" s="204">
        <f>'App. 2-B FA Continuity 2007'!H12</f>
        <v>1450870</v>
      </c>
      <c r="F12" s="183">
        <v>74090.35</v>
      </c>
      <c r="G12" s="183"/>
      <c r="H12" s="184">
        <f t="shared" si="2"/>
        <v>1524960.35</v>
      </c>
      <c r="I12" s="334"/>
      <c r="J12" s="204">
        <f>'App. 2-B FA Continuity 2007'!M12</f>
        <v>87052.41</v>
      </c>
      <c r="K12" s="183">
        <f>'[2]Summary Deprec''n'!$E$10</f>
        <v>29758.3135</v>
      </c>
      <c r="L12" s="183"/>
      <c r="M12" s="184">
        <f t="shared" si="0"/>
        <v>116810.72350000001</v>
      </c>
      <c r="N12" s="184">
        <f t="shared" si="1"/>
        <v>1408149.6265</v>
      </c>
      <c r="O12" s="236"/>
    </row>
    <row r="13" spans="1:15" ht="12.75">
      <c r="A13" s="180">
        <v>13</v>
      </c>
      <c r="B13" s="181">
        <f>+'[5]Trial Balance'!A84</f>
        <v>1810</v>
      </c>
      <c r="C13" s="203" t="str">
        <f>+'[5]Trial Balance'!B84</f>
        <v>Leasehold Improvements</v>
      </c>
      <c r="D13" s="222">
        <v>0</v>
      </c>
      <c r="E13" s="204">
        <f>'App. 2-B FA Continuity 2007'!H13</f>
        <v>0</v>
      </c>
      <c r="F13" s="183">
        <v>0</v>
      </c>
      <c r="G13" s="183"/>
      <c r="H13" s="184">
        <f t="shared" si="2"/>
        <v>0</v>
      </c>
      <c r="I13" s="334"/>
      <c r="J13" s="204">
        <f>'App. 2-B FA Continuity 2007'!M13</f>
        <v>0</v>
      </c>
      <c r="K13" s="183">
        <v>0</v>
      </c>
      <c r="L13" s="183"/>
      <c r="M13" s="184">
        <f t="shared" si="0"/>
        <v>0</v>
      </c>
      <c r="N13" s="184">
        <f t="shared" si="1"/>
        <v>0</v>
      </c>
      <c r="O13" s="236"/>
    </row>
    <row r="14" spans="1:15" ht="12.75">
      <c r="A14" s="180">
        <v>47</v>
      </c>
      <c r="B14" s="181">
        <f>+'[5]Trial Balance'!A85</f>
        <v>1815</v>
      </c>
      <c r="C14" s="203" t="str">
        <f>+'[5]Trial Balance'!B85</f>
        <v>Transformer Station Equipment - Normally Primary above 50 kV</v>
      </c>
      <c r="D14" s="222">
        <v>0.025</v>
      </c>
      <c r="E14" s="204">
        <f>'App. 2-B FA Continuity 2007'!H14</f>
        <v>3083382.54</v>
      </c>
      <c r="F14" s="183">
        <f>129776.3+2437.5</f>
        <v>132213.8</v>
      </c>
      <c r="G14" s="183"/>
      <c r="H14" s="184">
        <f t="shared" si="2"/>
        <v>3215596.34</v>
      </c>
      <c r="I14" s="334"/>
      <c r="J14" s="204">
        <f>'App. 2-B FA Continuity 2007'!M14</f>
        <v>213568.68675</v>
      </c>
      <c r="K14" s="183">
        <f>'[2]Summary Deprec'n'!$E$11+'[2]Summary Deprec'n'!$E$7</f>
        <v>78755.49725</v>
      </c>
      <c r="L14" s="183"/>
      <c r="M14" s="184">
        <f t="shared" si="0"/>
        <v>292324.184</v>
      </c>
      <c r="N14" s="184">
        <f t="shared" si="1"/>
        <v>2923272.156</v>
      </c>
      <c r="O14" s="236"/>
    </row>
    <row r="15" spans="1:15" ht="12.75">
      <c r="A15" s="180">
        <v>47</v>
      </c>
      <c r="B15" s="181">
        <f>+'[5]Trial Balance'!A86</f>
        <v>1820</v>
      </c>
      <c r="C15" s="203" t="str">
        <f>+'[5]Trial Balance'!B86</f>
        <v>Distribution Station Equipment - Normally Primary below 50 kV</v>
      </c>
      <c r="D15" s="222">
        <v>0.033</v>
      </c>
      <c r="E15" s="204">
        <f>'App. 2-B FA Continuity 2007'!H15</f>
        <v>3077513.31</v>
      </c>
      <c r="F15" s="183">
        <f>495817.63-F48</f>
        <v>807140.63</v>
      </c>
      <c r="G15" s="183"/>
      <c r="H15" s="184">
        <f t="shared" si="2"/>
        <v>3884653.94</v>
      </c>
      <c r="I15" s="334"/>
      <c r="J15" s="204">
        <f>'App. 2-B FA Continuity 2007'!M15</f>
        <v>1503791.1551666667</v>
      </c>
      <c r="K15" s="183">
        <f>'[2]Summary Deprec''n'!$E$12</f>
        <v>75819.06133333335</v>
      </c>
      <c r="L15" s="183"/>
      <c r="M15" s="184">
        <f t="shared" si="0"/>
        <v>1579610.2165</v>
      </c>
      <c r="N15" s="184">
        <f t="shared" si="1"/>
        <v>2305043.7235</v>
      </c>
      <c r="O15" s="236"/>
    </row>
    <row r="16" spans="1:15" ht="12.75">
      <c r="A16" s="180">
        <v>47</v>
      </c>
      <c r="B16" s="181">
        <f>+'[5]Trial Balance'!A87</f>
        <v>1825</v>
      </c>
      <c r="C16" s="203" t="str">
        <f>+'[5]Trial Balance'!B87</f>
        <v>Storage Battery Equipment</v>
      </c>
      <c r="D16" s="222">
        <v>0</v>
      </c>
      <c r="E16" s="204">
        <f>'App. 2-B FA Continuity 2007'!H16</f>
        <v>0</v>
      </c>
      <c r="F16" s="183">
        <v>0</v>
      </c>
      <c r="G16" s="183"/>
      <c r="H16" s="184">
        <f t="shared" si="2"/>
        <v>0</v>
      </c>
      <c r="I16" s="334"/>
      <c r="J16" s="204">
        <f>'App. 2-B FA Continuity 2007'!M16</f>
        <v>0</v>
      </c>
      <c r="K16" s="183">
        <v>0</v>
      </c>
      <c r="L16" s="183"/>
      <c r="M16" s="184">
        <f t="shared" si="0"/>
        <v>0</v>
      </c>
      <c r="N16" s="184">
        <f t="shared" si="1"/>
        <v>0</v>
      </c>
      <c r="O16" s="236"/>
    </row>
    <row r="17" spans="1:15" ht="12.75">
      <c r="A17" s="180">
        <v>47</v>
      </c>
      <c r="B17" s="181">
        <f>+'[5]Trial Balance'!A88</f>
        <v>1830</v>
      </c>
      <c r="C17" s="203" t="str">
        <f>+'[5]Trial Balance'!B88</f>
        <v>Poles, Towers and Fixtures</v>
      </c>
      <c r="D17" s="222">
        <v>0.04</v>
      </c>
      <c r="E17" s="204">
        <f>'App. 2-B FA Continuity 2007'!H17</f>
        <v>18180195.1</v>
      </c>
      <c r="F17" s="183">
        <v>824598.96</v>
      </c>
      <c r="G17" s="183"/>
      <c r="H17" s="184">
        <f t="shared" si="2"/>
        <v>19004794.060000002</v>
      </c>
      <c r="I17" s="334"/>
      <c r="J17" s="204">
        <f>'App. 2-B FA Continuity 2007'!M17</f>
        <v>4763234.152</v>
      </c>
      <c r="K17" s="183">
        <f>'[2]Summary Deprec''n'!$E$13</f>
        <v>774604.4532</v>
      </c>
      <c r="L17" s="183"/>
      <c r="M17" s="184">
        <f t="shared" si="0"/>
        <v>5537838.6052</v>
      </c>
      <c r="N17" s="184">
        <f t="shared" si="1"/>
        <v>13466955.454800002</v>
      </c>
      <c r="O17" s="244"/>
    </row>
    <row r="18" spans="1:15" ht="12.75">
      <c r="A18" s="180">
        <v>47</v>
      </c>
      <c r="B18" s="181">
        <f>+'[5]Trial Balance'!A89</f>
        <v>1835</v>
      </c>
      <c r="C18" s="203" t="str">
        <f>+'[5]Trial Balance'!B89</f>
        <v>Overhead Conductors and Devices</v>
      </c>
      <c r="D18" s="222">
        <v>0.04</v>
      </c>
      <c r="E18" s="204">
        <f>'App. 2-B FA Continuity 2007'!H18</f>
        <v>9366699.07</v>
      </c>
      <c r="F18" s="183">
        <v>866071.04</v>
      </c>
      <c r="G18" s="183"/>
      <c r="H18" s="184">
        <f t="shared" si="2"/>
        <v>10232770.11</v>
      </c>
      <c r="I18" s="334"/>
      <c r="J18" s="204">
        <f>'App. 2-B FA Continuity 2007'!M18</f>
        <v>1786418.9213999999</v>
      </c>
      <c r="K18" s="183">
        <f>'[2]Summary Deprec''n'!$E$14</f>
        <v>391989.3836</v>
      </c>
      <c r="L18" s="183"/>
      <c r="M18" s="184">
        <f t="shared" si="0"/>
        <v>2178408.3049999997</v>
      </c>
      <c r="N18" s="184">
        <f t="shared" si="1"/>
        <v>8054361.805</v>
      </c>
      <c r="O18" s="236"/>
    </row>
    <row r="19" spans="1:15" ht="12.75">
      <c r="A19" s="180">
        <v>47</v>
      </c>
      <c r="B19" s="181">
        <f>+'[5]Trial Balance'!A90</f>
        <v>1840</v>
      </c>
      <c r="C19" s="203" t="str">
        <f>+'[5]Trial Balance'!B90</f>
        <v>Underground Conduit</v>
      </c>
      <c r="D19" s="222">
        <v>0.04</v>
      </c>
      <c r="E19" s="204">
        <f>'App. 2-B FA Continuity 2007'!H19</f>
        <v>3478269.57</v>
      </c>
      <c r="F19" s="183">
        <v>54312.67</v>
      </c>
      <c r="G19" s="183"/>
      <c r="H19" s="184">
        <f t="shared" si="2"/>
        <v>3532582.2399999998</v>
      </c>
      <c r="I19" s="334"/>
      <c r="J19" s="204">
        <f>'App. 2-B FA Continuity 2007'!M19</f>
        <v>1109235.0114</v>
      </c>
      <c r="K19" s="183">
        <f>'[2]Summary Deprec''n'!$E$15</f>
        <v>122824.75619999999</v>
      </c>
      <c r="L19" s="183"/>
      <c r="M19" s="184">
        <f t="shared" si="0"/>
        <v>1232059.7676</v>
      </c>
      <c r="N19" s="184">
        <f t="shared" si="1"/>
        <v>2300522.4724</v>
      </c>
      <c r="O19" s="236"/>
    </row>
    <row r="20" spans="1:15" ht="12.75">
      <c r="A20" s="180">
        <v>47</v>
      </c>
      <c r="B20" s="181">
        <f>+'[5]Trial Balance'!A91</f>
        <v>1845</v>
      </c>
      <c r="C20" s="203" t="str">
        <f>+'[5]Trial Balance'!B91</f>
        <v>Underground Conductors and Devices</v>
      </c>
      <c r="D20" s="222">
        <v>0.04</v>
      </c>
      <c r="E20" s="204">
        <f>'App. 2-B FA Continuity 2007'!H20</f>
        <v>6944195.77</v>
      </c>
      <c r="F20" s="183">
        <v>176667.25</v>
      </c>
      <c r="G20" s="183"/>
      <c r="H20" s="184">
        <f t="shared" si="2"/>
        <v>7120863.02</v>
      </c>
      <c r="I20" s="334"/>
      <c r="J20" s="204">
        <f>'App. 2-B FA Continuity 2007'!M20</f>
        <v>2225600.1254000003</v>
      </c>
      <c r="K20" s="183">
        <f>'[2]Summary Deprec''n'!$E$16</f>
        <v>233104.16580000002</v>
      </c>
      <c r="L20" s="183"/>
      <c r="M20" s="184">
        <f t="shared" si="0"/>
        <v>2458704.2912000003</v>
      </c>
      <c r="N20" s="184">
        <f t="shared" si="1"/>
        <v>4662158.728799999</v>
      </c>
      <c r="O20" s="236"/>
    </row>
    <row r="21" spans="1:15" ht="12.75">
      <c r="A21" s="180">
        <v>47</v>
      </c>
      <c r="B21" s="181">
        <f>+'[5]Trial Balance'!A92</f>
        <v>1850</v>
      </c>
      <c r="C21" s="203" t="str">
        <f>+'[5]Trial Balance'!B92</f>
        <v>Line Transformers</v>
      </c>
      <c r="D21" s="222">
        <v>0.04</v>
      </c>
      <c r="E21" s="204">
        <f>'App. 2-B FA Continuity 2007'!H21</f>
        <v>10075469.93</v>
      </c>
      <c r="F21" s="183">
        <v>741071.77</v>
      </c>
      <c r="G21" s="183"/>
      <c r="H21" s="184">
        <f t="shared" si="2"/>
        <v>10816541.7</v>
      </c>
      <c r="I21" s="334"/>
      <c r="J21" s="204">
        <f>'App. 2-B FA Continuity 2007'!M21</f>
        <v>5153656.3386</v>
      </c>
      <c r="K21" s="183">
        <f>'[2]Summary Deprec'n'!$E$17+'[2]Summary Deprec'n'!$E$18</f>
        <v>495697.43260000006</v>
      </c>
      <c r="L21" s="183"/>
      <c r="M21" s="184">
        <f t="shared" si="0"/>
        <v>5649353.7712</v>
      </c>
      <c r="N21" s="184">
        <f t="shared" si="1"/>
        <v>5167187.928799999</v>
      </c>
      <c r="O21" s="236"/>
    </row>
    <row r="22" spans="1:15" ht="12.75">
      <c r="A22" s="180">
        <v>47</v>
      </c>
      <c r="B22" s="181">
        <f>+'[5]Trial Balance'!A93</f>
        <v>1855</v>
      </c>
      <c r="C22" s="203" t="str">
        <f>+'[5]Trial Balance'!B93</f>
        <v>Services</v>
      </c>
      <c r="D22" s="222">
        <v>0.04</v>
      </c>
      <c r="E22" s="204">
        <f>'App. 2-B FA Continuity 2007'!H22</f>
        <v>1944841.37</v>
      </c>
      <c r="F22" s="183">
        <v>285345.09</v>
      </c>
      <c r="G22" s="183"/>
      <c r="H22" s="184">
        <f t="shared" si="2"/>
        <v>2230186.46</v>
      </c>
      <c r="I22" s="334"/>
      <c r="J22" s="204">
        <f>'App. 2-B FA Continuity 2007'!M22</f>
        <v>236410.16739999998</v>
      </c>
      <c r="K22" s="183">
        <f>'[2]Summary Deprec''n'!$E$19</f>
        <v>83500.5566</v>
      </c>
      <c r="L22" s="183"/>
      <c r="M22" s="184">
        <f t="shared" si="0"/>
        <v>319910.724</v>
      </c>
      <c r="N22" s="184">
        <f t="shared" si="1"/>
        <v>1910275.736</v>
      </c>
      <c r="O22" s="236"/>
    </row>
    <row r="23" spans="1:15" ht="12.75">
      <c r="A23" s="180">
        <v>47</v>
      </c>
      <c r="B23" s="181">
        <f>+'[5]Trial Balance'!A94</f>
        <v>1860</v>
      </c>
      <c r="C23" s="203" t="str">
        <f>+'[5]Trial Balance'!B94</f>
        <v>Meters</v>
      </c>
      <c r="D23" s="224">
        <v>0.04</v>
      </c>
      <c r="E23" s="204">
        <f>'App. 2-B FA Continuity 2007'!H23</f>
        <v>3703687.52</v>
      </c>
      <c r="F23" s="183">
        <v>187841.83</v>
      </c>
      <c r="G23" s="183"/>
      <c r="H23" s="184">
        <f t="shared" si="2"/>
        <v>3891529.35</v>
      </c>
      <c r="I23" s="334"/>
      <c r="J23" s="204">
        <f>'App. 2-B FA Continuity 2007'!M23</f>
        <v>1925103.8604000001</v>
      </c>
      <c r="K23" s="183">
        <f>'[2]Summary Deprec''n'!$E$20</f>
        <v>143953.80740000002</v>
      </c>
      <c r="L23" s="183"/>
      <c r="M23" s="184">
        <f t="shared" si="0"/>
        <v>2069057.6678000002</v>
      </c>
      <c r="N23" s="184">
        <f t="shared" si="1"/>
        <v>1822471.6822</v>
      </c>
      <c r="O23" s="236"/>
    </row>
    <row r="24" spans="1:15" ht="12.75">
      <c r="A24" s="180" t="s">
        <v>9</v>
      </c>
      <c r="B24" s="181">
        <f>+'[5]Trial Balance'!A95</f>
        <v>1865</v>
      </c>
      <c r="C24" s="203" t="str">
        <f>+'[5]Trial Balance'!B95</f>
        <v>Other Installations on Customer's Premises</v>
      </c>
      <c r="D24" s="222">
        <v>0</v>
      </c>
      <c r="E24" s="204">
        <f>'App. 2-B FA Continuity 2007'!H24</f>
        <v>0</v>
      </c>
      <c r="F24" s="183">
        <v>0</v>
      </c>
      <c r="G24" s="183"/>
      <c r="H24" s="184">
        <f t="shared" si="2"/>
        <v>0</v>
      </c>
      <c r="I24" s="334"/>
      <c r="J24" s="204">
        <f>'App. 2-B FA Continuity 2007'!M24</f>
        <v>0</v>
      </c>
      <c r="K24" s="183">
        <v>0</v>
      </c>
      <c r="L24" s="183"/>
      <c r="M24" s="184">
        <f t="shared" si="0"/>
        <v>0</v>
      </c>
      <c r="N24" s="184">
        <f t="shared" si="1"/>
        <v>0</v>
      </c>
      <c r="O24" s="236"/>
    </row>
    <row r="25" spans="1:15" ht="12.75">
      <c r="A25" s="180" t="s">
        <v>9</v>
      </c>
      <c r="B25" s="181">
        <f>+'[5]Trial Balance'!A96</f>
        <v>1905</v>
      </c>
      <c r="C25" s="203" t="str">
        <f>+'[5]Trial Balance'!B96</f>
        <v>Land</v>
      </c>
      <c r="D25" s="222">
        <v>0</v>
      </c>
      <c r="E25" s="204">
        <f>'App. 2-B FA Continuity 2007'!H25</f>
        <v>242867.6</v>
      </c>
      <c r="F25" s="183">
        <v>768.45</v>
      </c>
      <c r="G25" s="183"/>
      <c r="H25" s="184">
        <f t="shared" si="2"/>
        <v>243636.05000000002</v>
      </c>
      <c r="I25" s="334"/>
      <c r="J25" s="204">
        <f>'App. 2-B FA Continuity 2007'!M25</f>
        <v>0</v>
      </c>
      <c r="K25" s="183">
        <f>'[2]Summary Deprec''n'!$E$21</f>
        <v>0</v>
      </c>
      <c r="L25" s="183"/>
      <c r="M25" s="184">
        <f t="shared" si="0"/>
        <v>0</v>
      </c>
      <c r="N25" s="184">
        <f t="shared" si="1"/>
        <v>243636.05000000002</v>
      </c>
      <c r="O25" s="236"/>
    </row>
    <row r="26" spans="1:15" ht="12.75">
      <c r="A26" s="180" t="s">
        <v>24</v>
      </c>
      <c r="B26" s="181">
        <f>+'[5]Trial Balance'!A97</f>
        <v>1906</v>
      </c>
      <c r="C26" s="203" t="str">
        <f>+'[5]Trial Balance'!B97</f>
        <v>Land Rights</v>
      </c>
      <c r="D26" s="222">
        <v>0</v>
      </c>
      <c r="E26" s="204">
        <f>'App. 2-B FA Continuity 2007'!H26</f>
        <v>0</v>
      </c>
      <c r="F26" s="183">
        <v>0</v>
      </c>
      <c r="G26" s="183"/>
      <c r="H26" s="184">
        <f t="shared" si="2"/>
        <v>0</v>
      </c>
      <c r="I26" s="334"/>
      <c r="J26" s="204">
        <f>'App. 2-B FA Continuity 2007'!M26</f>
        <v>0</v>
      </c>
      <c r="K26" s="183">
        <v>0</v>
      </c>
      <c r="L26" s="183"/>
      <c r="M26" s="184">
        <f t="shared" si="0"/>
        <v>0</v>
      </c>
      <c r="N26" s="184">
        <f t="shared" si="1"/>
        <v>0</v>
      </c>
      <c r="O26" s="236"/>
    </row>
    <row r="27" spans="1:15" ht="12.75">
      <c r="A27" s="180">
        <v>47</v>
      </c>
      <c r="B27" s="181">
        <f>+'[5]Trial Balance'!A98</f>
        <v>1908</v>
      </c>
      <c r="C27" s="203" t="str">
        <f>+'[5]Trial Balance'!B98</f>
        <v>Buildings and Fixtures</v>
      </c>
      <c r="D27" s="224" t="s">
        <v>281</v>
      </c>
      <c r="E27" s="204">
        <f>'App. 2-B FA Continuity 2007'!H27</f>
        <v>2120690.65</v>
      </c>
      <c r="F27" s="183">
        <v>68786.57</v>
      </c>
      <c r="G27" s="183"/>
      <c r="H27" s="184">
        <f t="shared" si="2"/>
        <v>2189477.2199999997</v>
      </c>
      <c r="I27" s="334"/>
      <c r="J27" s="204">
        <f>'App. 2-B FA Continuity 2007'!M27</f>
        <v>745704.3065</v>
      </c>
      <c r="K27" s="183">
        <f>'[2]Summary Deprec'n'!$E$22+'[2]Summary Deprec'n'!$E$23</f>
        <v>31088.198699999997</v>
      </c>
      <c r="L27" s="183"/>
      <c r="M27" s="184">
        <f t="shared" si="0"/>
        <v>776792.5051999999</v>
      </c>
      <c r="N27" s="184">
        <f t="shared" si="1"/>
        <v>1412684.7147999997</v>
      </c>
      <c r="O27" s="236"/>
    </row>
    <row r="28" spans="1:15" ht="12.75">
      <c r="A28" s="180">
        <v>13</v>
      </c>
      <c r="B28" s="181">
        <f>+'[5]Trial Balance'!A99</f>
        <v>1910</v>
      </c>
      <c r="C28" s="203" t="str">
        <f>+'[5]Trial Balance'!B99</f>
        <v>Leasehold Improvements</v>
      </c>
      <c r="D28" s="222">
        <v>0.1</v>
      </c>
      <c r="E28" s="204">
        <f>'App. 2-B FA Continuity 2007'!H28</f>
        <v>6177</v>
      </c>
      <c r="F28" s="183">
        <v>0</v>
      </c>
      <c r="G28" s="183"/>
      <c r="H28" s="184">
        <f t="shared" si="2"/>
        <v>6177</v>
      </c>
      <c r="I28" s="334"/>
      <c r="J28" s="204">
        <f>'App. 2-B FA Continuity 2007'!M28</f>
        <v>1943.7</v>
      </c>
      <c r="K28" s="183">
        <f>'[2]Summary Deprec''n'!$E$24</f>
        <v>639.7</v>
      </c>
      <c r="L28" s="183"/>
      <c r="M28" s="184">
        <f t="shared" si="0"/>
        <v>2583.4</v>
      </c>
      <c r="N28" s="184">
        <f t="shared" si="1"/>
        <v>3593.6</v>
      </c>
      <c r="O28" s="236"/>
    </row>
    <row r="29" spans="1:15" ht="12.75">
      <c r="A29" s="180">
        <v>8</v>
      </c>
      <c r="B29" s="181">
        <f>+'[5]Trial Balance'!A100</f>
        <v>1915</v>
      </c>
      <c r="C29" s="203" t="str">
        <f>+'[5]Trial Balance'!B100</f>
        <v>Office Furniture and Equipment</v>
      </c>
      <c r="D29" s="222">
        <v>0.1</v>
      </c>
      <c r="E29" s="204">
        <f>'App. 2-B FA Continuity 2007'!H29</f>
        <v>127469.91</v>
      </c>
      <c r="F29" s="183">
        <v>15427.18</v>
      </c>
      <c r="G29" s="183"/>
      <c r="H29" s="184">
        <f t="shared" si="2"/>
        <v>142897.09</v>
      </c>
      <c r="I29" s="334"/>
      <c r="J29" s="204">
        <f>'App. 2-B FA Continuity 2007'!M29</f>
        <v>51414.8555</v>
      </c>
      <c r="K29" s="183">
        <f>'[2]Summary Deprec''n'!$E$25</f>
        <v>13551.39</v>
      </c>
      <c r="L29" s="183"/>
      <c r="M29" s="184">
        <f t="shared" si="0"/>
        <v>64966.2455</v>
      </c>
      <c r="N29" s="184">
        <f t="shared" si="1"/>
        <v>77930.8445</v>
      </c>
      <c r="O29" s="236"/>
    </row>
    <row r="30" spans="1:15" ht="12.75">
      <c r="A30" s="180">
        <v>10</v>
      </c>
      <c r="B30" s="181">
        <f>+'[5]Trial Balance'!A101</f>
        <v>1920</v>
      </c>
      <c r="C30" s="203" t="str">
        <f>+'[5]Trial Balance'!B101</f>
        <v>Computer Equipment - Hardware</v>
      </c>
      <c r="D30" s="222">
        <v>0.2</v>
      </c>
      <c r="E30" s="204">
        <f>'App. 2-B FA Continuity 2007'!H30</f>
        <v>678201.61</v>
      </c>
      <c r="F30" s="183">
        <f>179865.6+9954.71</f>
        <v>189820.31</v>
      </c>
      <c r="G30" s="183"/>
      <c r="H30" s="184">
        <f t="shared" si="2"/>
        <v>868021.9199999999</v>
      </c>
      <c r="I30" s="334"/>
      <c r="J30" s="204">
        <f>'App. 2-B FA Continuity 2007'!M30</f>
        <v>430976.061</v>
      </c>
      <c r="K30" s="183">
        <f>'[2]Summary Deprec'n'!$E$26+'[2]Summary Deprec'n'!$E$42</f>
        <v>114088.213</v>
      </c>
      <c r="L30" s="183"/>
      <c r="M30" s="184">
        <f t="shared" si="0"/>
        <v>545064.274</v>
      </c>
      <c r="N30" s="184">
        <f t="shared" si="1"/>
        <v>322957.64599999995</v>
      </c>
      <c r="O30" s="236"/>
    </row>
    <row r="31" spans="1:15" ht="12.75">
      <c r="A31" s="219" t="s">
        <v>275</v>
      </c>
      <c r="B31" s="181">
        <f>+'[5]Trial Balance'!A102</f>
        <v>1925</v>
      </c>
      <c r="C31" s="203" t="str">
        <f>+'[5]Trial Balance'!B102</f>
        <v>Computer Software</v>
      </c>
      <c r="D31" s="222">
        <v>0.2</v>
      </c>
      <c r="E31" s="204">
        <f>'App. 2-B FA Continuity 2007'!H31</f>
        <v>254388.66</v>
      </c>
      <c r="F31" s="183">
        <f>34375.85</f>
        <v>34375.85</v>
      </c>
      <c r="G31" s="183"/>
      <c r="H31" s="184">
        <f t="shared" si="2"/>
        <v>288764.51</v>
      </c>
      <c r="I31" s="334"/>
      <c r="J31" s="204">
        <f>'App. 2-B FA Continuity 2007'!M31</f>
        <v>122219.456</v>
      </c>
      <c r="K31" s="183">
        <f>'[2]Summary Deprec''n'!$E$27</f>
        <v>45213.362</v>
      </c>
      <c r="L31" s="183"/>
      <c r="M31" s="184">
        <f>J31+K31-L31</f>
        <v>167432.818</v>
      </c>
      <c r="N31" s="184">
        <f>H31-M31</f>
        <v>121331.69200000001</v>
      </c>
      <c r="O31" s="236"/>
    </row>
    <row r="32" spans="1:15" ht="12.75">
      <c r="A32" s="180">
        <v>10</v>
      </c>
      <c r="B32" s="181">
        <f>+'[5]Trial Balance'!A103</f>
        <v>1930</v>
      </c>
      <c r="C32" s="203" t="str">
        <f>+'[5]Trial Balance'!B103</f>
        <v>Transportation Equipment</v>
      </c>
      <c r="D32" s="222" t="s">
        <v>282</v>
      </c>
      <c r="E32" s="204">
        <f>'App. 2-B FA Continuity 2007'!H32</f>
        <v>1459247.1099999999</v>
      </c>
      <c r="F32" s="183">
        <v>30285.02</v>
      </c>
      <c r="G32" s="183">
        <v>69752.93</v>
      </c>
      <c r="H32" s="184">
        <f t="shared" si="2"/>
        <v>1419779.2</v>
      </c>
      <c r="I32" s="334"/>
      <c r="J32" s="204">
        <f>'App. 2-B FA Continuity 2007'!M32</f>
        <v>535850.8705</v>
      </c>
      <c r="K32" s="183">
        <f>'[2]Summary Deprec''n'!$E$28+'[2]Summary Deprec''n'!$E$29+'[2]Summary Deprec''n'!$E$30+'[2]Summary Deprec''n'!$E$31+'[2]Summary Deprec''n'!$E$32</f>
        <v>166207.81775</v>
      </c>
      <c r="L32" s="183">
        <v>69752.93</v>
      </c>
      <c r="M32" s="184">
        <f t="shared" si="0"/>
        <v>632305.75825</v>
      </c>
      <c r="N32" s="184">
        <f t="shared" si="1"/>
        <v>787473.44175</v>
      </c>
      <c r="O32" s="236"/>
    </row>
    <row r="33" spans="1:15" ht="12.75">
      <c r="A33" s="180">
        <v>8</v>
      </c>
      <c r="B33" s="181">
        <f>+'[5]Trial Balance'!A104</f>
        <v>1935</v>
      </c>
      <c r="C33" s="203" t="str">
        <f>+'[5]Trial Balance'!B104</f>
        <v>Stores Equipment</v>
      </c>
      <c r="D33" s="222">
        <v>0.1</v>
      </c>
      <c r="E33" s="204">
        <f>'App. 2-B FA Continuity 2007'!H33</f>
        <v>37563.759999999995</v>
      </c>
      <c r="F33" s="183">
        <v>1325.67</v>
      </c>
      <c r="G33" s="183"/>
      <c r="H33" s="184">
        <f t="shared" si="2"/>
        <v>38889.42999999999</v>
      </c>
      <c r="I33" s="334"/>
      <c r="J33" s="204">
        <f>'App. 2-B FA Continuity 2007'!M33</f>
        <v>13448.588</v>
      </c>
      <c r="K33" s="183">
        <f>'[2]Summary Deprec''n'!$E$33</f>
        <v>3822.6594999999993</v>
      </c>
      <c r="L33" s="183"/>
      <c r="M33" s="184">
        <f t="shared" si="0"/>
        <v>17271.247499999998</v>
      </c>
      <c r="N33" s="184">
        <f t="shared" si="1"/>
        <v>21618.182499999995</v>
      </c>
      <c r="O33" s="236"/>
    </row>
    <row r="34" spans="1:15" ht="12.75">
      <c r="A34" s="180">
        <v>8</v>
      </c>
      <c r="B34" s="181">
        <f>+'[5]Trial Balance'!A105</f>
        <v>1940</v>
      </c>
      <c r="C34" s="203" t="str">
        <f>+'[5]Trial Balance'!B105</f>
        <v>Tools, Shop and Garage Equipment</v>
      </c>
      <c r="D34" s="222">
        <v>0.1</v>
      </c>
      <c r="E34" s="204">
        <f>'App. 2-B FA Continuity 2007'!H34</f>
        <v>229311.89</v>
      </c>
      <c r="F34" s="183">
        <f>32816.92+30503.41-6100.68</f>
        <v>57219.65</v>
      </c>
      <c r="G34" s="183"/>
      <c r="H34" s="184">
        <f t="shared" si="2"/>
        <v>286531.54000000004</v>
      </c>
      <c r="I34" s="334"/>
      <c r="J34" s="204">
        <f>'App. 2-B FA Continuity 2007'!M34</f>
        <v>88985.9245</v>
      </c>
      <c r="K34" s="183">
        <f>'[2]Summary Deprec'n'!$E$34+'[2]Summary Deprec'n'!$E$35</f>
        <v>27622.406250000004</v>
      </c>
      <c r="L34" s="183"/>
      <c r="M34" s="184">
        <f t="shared" si="0"/>
        <v>116608.33075</v>
      </c>
      <c r="N34" s="184">
        <f t="shared" si="1"/>
        <v>169923.20925000004</v>
      </c>
      <c r="O34" s="236"/>
    </row>
    <row r="35" spans="1:15" ht="12.75">
      <c r="A35" s="180">
        <v>8</v>
      </c>
      <c r="B35" s="181">
        <f>+'[5]Trial Balance'!A106</f>
        <v>1945</v>
      </c>
      <c r="C35" s="203" t="str">
        <f>+'[5]Trial Balance'!B106</f>
        <v>Measurement and Testing Equipment</v>
      </c>
      <c r="D35" s="222">
        <v>0.1</v>
      </c>
      <c r="E35" s="204">
        <f>'App. 2-B FA Continuity 2007'!H35</f>
        <v>150141.26</v>
      </c>
      <c r="F35" s="183">
        <v>12575.51</v>
      </c>
      <c r="G35" s="183"/>
      <c r="H35" s="184">
        <f t="shared" si="2"/>
        <v>162716.77000000002</v>
      </c>
      <c r="I35" s="334"/>
      <c r="J35" s="204">
        <f>'App. 2-B FA Continuity 2007'!M35</f>
        <v>59594.163</v>
      </c>
      <c r="K35" s="183">
        <f>'[2]Summary Deprec''n'!$E$36</f>
        <v>15642.951500000001</v>
      </c>
      <c r="L35" s="183"/>
      <c r="M35" s="184">
        <f t="shared" si="0"/>
        <v>75237.1145</v>
      </c>
      <c r="N35" s="184">
        <f t="shared" si="1"/>
        <v>87479.65550000002</v>
      </c>
      <c r="O35" s="236"/>
    </row>
    <row r="36" spans="1:15" ht="12.75">
      <c r="A36" s="180">
        <v>8</v>
      </c>
      <c r="B36" s="181">
        <f>+'[5]Trial Balance'!A107</f>
        <v>1950</v>
      </c>
      <c r="C36" s="203" t="str">
        <f>+'[5]Trial Balance'!B107</f>
        <v>Power Operated Equipment</v>
      </c>
      <c r="D36" s="222">
        <v>0</v>
      </c>
      <c r="E36" s="204">
        <f>'App. 2-B FA Continuity 2007'!H36</f>
        <v>0</v>
      </c>
      <c r="F36" s="183">
        <v>0</v>
      </c>
      <c r="G36" s="183"/>
      <c r="H36" s="184">
        <f t="shared" si="2"/>
        <v>0</v>
      </c>
      <c r="I36" s="334"/>
      <c r="J36" s="204">
        <f>'App. 2-B FA Continuity 2007'!M36</f>
        <v>0</v>
      </c>
      <c r="K36" s="183">
        <v>0</v>
      </c>
      <c r="L36" s="183"/>
      <c r="M36" s="184">
        <f t="shared" si="0"/>
        <v>0</v>
      </c>
      <c r="N36" s="184">
        <f t="shared" si="1"/>
        <v>0</v>
      </c>
      <c r="O36" s="236"/>
    </row>
    <row r="37" spans="1:15" ht="12.75">
      <c r="A37" s="180">
        <v>8</v>
      </c>
      <c r="B37" s="181">
        <f>+'[5]Trial Balance'!A108</f>
        <v>1955</v>
      </c>
      <c r="C37" s="203" t="str">
        <f>+'[5]Trial Balance'!B108</f>
        <v>Communication Equipment</v>
      </c>
      <c r="D37" s="222">
        <v>0.1</v>
      </c>
      <c r="E37" s="204">
        <f>'App. 2-B FA Continuity 2007'!H37</f>
        <v>67049.77</v>
      </c>
      <c r="F37" s="183">
        <v>39856.02</v>
      </c>
      <c r="G37" s="183"/>
      <c r="H37" s="184">
        <f t="shared" si="2"/>
        <v>106905.79000000001</v>
      </c>
      <c r="I37" s="334"/>
      <c r="J37" s="204">
        <f>'App. 2-B FA Continuity 2007'!M37</f>
        <v>25925.0785</v>
      </c>
      <c r="K37" s="183">
        <f>'[2]Summary Deprec''n'!$E$37</f>
        <v>8697.818</v>
      </c>
      <c r="L37" s="183"/>
      <c r="M37" s="184">
        <f t="shared" si="0"/>
        <v>34622.8965</v>
      </c>
      <c r="N37" s="184">
        <f t="shared" si="1"/>
        <v>72282.8935</v>
      </c>
      <c r="O37" s="236"/>
    </row>
    <row r="38" spans="1:15" ht="12.75">
      <c r="A38" s="180">
        <v>8</v>
      </c>
      <c r="B38" s="181">
        <f>+'[5]Trial Balance'!A109</f>
        <v>1960</v>
      </c>
      <c r="C38" s="203" t="str">
        <f>+'[5]Trial Balance'!B109</f>
        <v>Miscellaneous Equipment</v>
      </c>
      <c r="D38" s="222">
        <v>0.1</v>
      </c>
      <c r="E38" s="204">
        <f>'App. 2-B FA Continuity 2007'!H38</f>
        <v>103273.73</v>
      </c>
      <c r="F38" s="183">
        <f>57211.14-17163.42+11876.27</f>
        <v>51923.990000000005</v>
      </c>
      <c r="G38" s="183"/>
      <c r="H38" s="184">
        <f t="shared" si="2"/>
        <v>155197.72</v>
      </c>
      <c r="I38" s="334"/>
      <c r="J38" s="204">
        <f>'App. 2-B FA Continuity 2007'!M38</f>
        <v>24604.0315</v>
      </c>
      <c r="K38" s="183">
        <f>'[2]Summary Deprec'n'!$E$38+'[2]Summary Deprec'n'!$E$39</f>
        <v>20512.772214285716</v>
      </c>
      <c r="L38" s="183"/>
      <c r="M38" s="184">
        <f t="shared" si="0"/>
        <v>45116.80371428572</v>
      </c>
      <c r="N38" s="184">
        <f t="shared" si="1"/>
        <v>110080.91628571428</v>
      </c>
      <c r="O38" s="236"/>
    </row>
    <row r="39" spans="1:15" ht="12.75">
      <c r="A39" s="180">
        <v>47</v>
      </c>
      <c r="B39" s="181">
        <f>+'[5]Trial Balance'!A110</f>
        <v>1970</v>
      </c>
      <c r="C39" s="203" t="str">
        <f>+'[5]Trial Balance'!B110</f>
        <v>Load Management Controls - Customer Premises </v>
      </c>
      <c r="D39" s="222">
        <v>0.1</v>
      </c>
      <c r="E39" s="204">
        <f>'App. 2-B FA Continuity 2007'!H39</f>
        <v>16564.260000000002</v>
      </c>
      <c r="F39" s="183">
        <v>0</v>
      </c>
      <c r="G39" s="183"/>
      <c r="H39" s="184">
        <f t="shared" si="2"/>
        <v>16564.260000000002</v>
      </c>
      <c r="I39" s="334"/>
      <c r="J39" s="204">
        <f>'App. 2-B FA Continuity 2007'!M39</f>
        <v>16564.66</v>
      </c>
      <c r="K39" s="183">
        <f>'[2]Summary Deprec''n'!$E$40</f>
        <v>0</v>
      </c>
      <c r="L39" s="183"/>
      <c r="M39" s="184">
        <f t="shared" si="0"/>
        <v>16564.66</v>
      </c>
      <c r="N39" s="294">
        <f t="shared" si="1"/>
        <v>-0.3999999999978172</v>
      </c>
      <c r="O39" s="236"/>
    </row>
    <row r="40" spans="1:15" ht="12.75">
      <c r="A40" s="180">
        <v>47</v>
      </c>
      <c r="B40" s="181">
        <f>+'[5]Trial Balance'!A111</f>
        <v>1975</v>
      </c>
      <c r="C40" s="203" t="str">
        <f>+'[5]Trial Balance'!B111</f>
        <v>Load Management Controls - Utility Premises</v>
      </c>
      <c r="D40" s="222">
        <v>0.1</v>
      </c>
      <c r="E40" s="204">
        <f>'App. 2-B FA Continuity 2007'!H40</f>
        <v>0</v>
      </c>
      <c r="F40" s="183">
        <v>0</v>
      </c>
      <c r="G40" s="183"/>
      <c r="H40" s="184">
        <f t="shared" si="2"/>
        <v>0</v>
      </c>
      <c r="I40" s="334"/>
      <c r="J40" s="204">
        <f>'App. 2-B FA Continuity 2007'!M40</f>
        <v>0</v>
      </c>
      <c r="K40" s="183">
        <v>0</v>
      </c>
      <c r="L40" s="183"/>
      <c r="M40" s="184">
        <f t="shared" si="0"/>
        <v>0</v>
      </c>
      <c r="N40" s="184">
        <f t="shared" si="1"/>
        <v>0</v>
      </c>
      <c r="O40" s="236"/>
    </row>
    <row r="41" spans="1:15" ht="12.75">
      <c r="A41" s="180">
        <v>47</v>
      </c>
      <c r="B41" s="181">
        <f>+'[5]Trial Balance'!A112</f>
        <v>1980</v>
      </c>
      <c r="C41" s="203" t="str">
        <f>+'[5]Trial Balance'!B112</f>
        <v>System Supervisory Equipment</v>
      </c>
      <c r="D41" s="222">
        <v>0.067</v>
      </c>
      <c r="E41" s="204">
        <f>'App. 2-B FA Continuity 2007'!H41</f>
        <v>612081.31</v>
      </c>
      <c r="F41" s="183">
        <v>0</v>
      </c>
      <c r="G41" s="183"/>
      <c r="H41" s="184">
        <f t="shared" si="2"/>
        <v>612081.31</v>
      </c>
      <c r="I41" s="334"/>
      <c r="J41" s="204">
        <f>'App. 2-B FA Continuity 2007'!M41</f>
        <v>184972.41700000002</v>
      </c>
      <c r="K41" s="183">
        <f>'[2]Summary Deprec''n'!$E$41</f>
        <v>40805.394</v>
      </c>
      <c r="L41" s="183"/>
      <c r="M41" s="184">
        <f t="shared" si="0"/>
        <v>225777.81100000002</v>
      </c>
      <c r="N41" s="184">
        <f t="shared" si="1"/>
        <v>386303.49900000007</v>
      </c>
      <c r="O41" s="236"/>
    </row>
    <row r="42" spans="1:15" ht="12.75">
      <c r="A42" s="180">
        <v>47</v>
      </c>
      <c r="B42" s="181">
        <f>+'[5]Trial Balance'!A113</f>
        <v>1985</v>
      </c>
      <c r="C42" s="203" t="str">
        <f>+'[5]Trial Balance'!B113</f>
        <v>Sentinel Lighting Rentals</v>
      </c>
      <c r="D42" s="222">
        <v>0</v>
      </c>
      <c r="E42" s="204">
        <f>'App. 2-B FA Continuity 2007'!H42</f>
        <v>0</v>
      </c>
      <c r="F42" s="183">
        <v>0</v>
      </c>
      <c r="G42" s="183"/>
      <c r="H42" s="184">
        <f t="shared" si="2"/>
        <v>0</v>
      </c>
      <c r="I42" s="334"/>
      <c r="J42" s="204">
        <f>'App. 2-B FA Continuity 2007'!M42</f>
        <v>0</v>
      </c>
      <c r="K42" s="183">
        <v>0</v>
      </c>
      <c r="L42" s="183"/>
      <c r="M42" s="184">
        <f t="shared" si="0"/>
        <v>0</v>
      </c>
      <c r="N42" s="184">
        <f t="shared" si="1"/>
        <v>0</v>
      </c>
      <c r="O42" s="236"/>
    </row>
    <row r="43" spans="1:15" ht="12.75">
      <c r="A43" s="180">
        <v>47</v>
      </c>
      <c r="B43" s="181">
        <f>+'[5]Trial Balance'!A114</f>
        <v>1990</v>
      </c>
      <c r="C43" s="203" t="str">
        <f>+'[5]Trial Balance'!B114</f>
        <v>Other Tangible Property</v>
      </c>
      <c r="D43" s="222">
        <v>0</v>
      </c>
      <c r="E43" s="204">
        <f>'App. 2-B FA Continuity 2007'!H43</f>
        <v>0</v>
      </c>
      <c r="F43" s="183">
        <v>0</v>
      </c>
      <c r="G43" s="183"/>
      <c r="H43" s="184">
        <f t="shared" si="2"/>
        <v>0</v>
      </c>
      <c r="I43" s="334"/>
      <c r="J43" s="204">
        <f>'App. 2-B FA Continuity 2007'!M43</f>
        <v>0</v>
      </c>
      <c r="K43" s="183">
        <v>0</v>
      </c>
      <c r="L43" s="183"/>
      <c r="M43" s="184">
        <f t="shared" si="0"/>
        <v>0</v>
      </c>
      <c r="N43" s="184">
        <f t="shared" si="1"/>
        <v>0</v>
      </c>
      <c r="O43" s="236"/>
    </row>
    <row r="44" spans="1:15" ht="12.75">
      <c r="A44" s="180">
        <v>47</v>
      </c>
      <c r="B44" s="181">
        <f>+'[5]Trial Balance'!A115</f>
        <v>1995</v>
      </c>
      <c r="C44" s="203" t="str">
        <f>+'[5]Trial Balance'!B115</f>
        <v>Contributions and Grants</v>
      </c>
      <c r="D44" s="222">
        <v>0.04</v>
      </c>
      <c r="E44" s="295">
        <f>'App. 2-B FA Continuity 2007'!H44</f>
        <v>-6791145.61</v>
      </c>
      <c r="F44" s="293">
        <v>-331460.71</v>
      </c>
      <c r="G44" s="183"/>
      <c r="H44" s="294">
        <f t="shared" si="2"/>
        <v>-7122606.32</v>
      </c>
      <c r="I44" s="334"/>
      <c r="J44" s="295">
        <f>'App. 2-B FA Continuity 2007'!M44</f>
        <v>-1035481.5322</v>
      </c>
      <c r="K44" s="293">
        <f>'[2]Summary Deprec''n'!$E$45</f>
        <v>-278275.05860000005</v>
      </c>
      <c r="L44" s="183"/>
      <c r="M44" s="294">
        <f t="shared" si="0"/>
        <v>-1313756.5908000001</v>
      </c>
      <c r="N44" s="294">
        <f t="shared" si="1"/>
        <v>-5808849.7292</v>
      </c>
      <c r="O44" s="236"/>
    </row>
    <row r="45" spans="1:15" ht="12.75">
      <c r="A45" s="180">
        <v>8</v>
      </c>
      <c r="B45" s="181">
        <v>2005</v>
      </c>
      <c r="C45" s="205" t="s">
        <v>224</v>
      </c>
      <c r="D45" s="222">
        <v>0.1</v>
      </c>
      <c r="E45" s="204">
        <f>'App. 2-B FA Continuity 2007'!H45</f>
        <v>10039</v>
      </c>
      <c r="F45" s="183">
        <v>0</v>
      </c>
      <c r="G45" s="183"/>
      <c r="H45" s="184">
        <f t="shared" si="2"/>
        <v>10039</v>
      </c>
      <c r="I45" s="334"/>
      <c r="J45" s="204">
        <f>'App. 2-B FA Continuity 2007'!M45</f>
        <v>3011.86</v>
      </c>
      <c r="K45" s="183">
        <f>'[2]Summary Deprec''n'!$E$47</f>
        <v>1003.86</v>
      </c>
      <c r="L45" s="183"/>
      <c r="M45" s="184">
        <f>J45+K45-L45</f>
        <v>4015.7200000000003</v>
      </c>
      <c r="N45" s="184">
        <f t="shared" si="1"/>
        <v>6023.28</v>
      </c>
      <c r="O45" s="236"/>
    </row>
    <row r="46" spans="1:15" ht="12.75">
      <c r="A46" s="180"/>
      <c r="B46" s="187"/>
      <c r="C46" s="188" t="s">
        <v>248</v>
      </c>
      <c r="D46" s="223"/>
      <c r="E46" s="206">
        <f>SUM(E10:E45)</f>
        <v>61314377.57000001</v>
      </c>
      <c r="F46" s="189">
        <f>SUM(F10:F45)</f>
        <v>4320951.8999999985</v>
      </c>
      <c r="G46" s="189">
        <f>SUM(G10:G45)</f>
        <v>69752.93</v>
      </c>
      <c r="H46" s="189">
        <f>SUM(H10:H45)</f>
        <v>65565576.540000044</v>
      </c>
      <c r="I46" s="334"/>
      <c r="J46" s="189">
        <f>SUM(J10:J45)</f>
        <v>20273805.26831666</v>
      </c>
      <c r="K46" s="189">
        <f>SUM(K10:K45)</f>
        <v>2640628.9117976185</v>
      </c>
      <c r="L46" s="189">
        <f>SUM(L10:L45)</f>
        <v>69752.93</v>
      </c>
      <c r="M46" s="189">
        <f>SUM(M10:M45)</f>
        <v>22844681.250114284</v>
      </c>
      <c r="N46" s="189">
        <f>SUM(N10:N45)</f>
        <v>42720895.289885715</v>
      </c>
      <c r="O46" s="236"/>
    </row>
    <row r="47" spans="1:15" ht="12.75">
      <c r="A47" s="180"/>
      <c r="B47" s="187"/>
      <c r="C47" s="182"/>
      <c r="D47" s="222"/>
      <c r="E47" s="204"/>
      <c r="F47" s="184"/>
      <c r="G47" s="184"/>
      <c r="H47" s="184"/>
      <c r="I47" s="334"/>
      <c r="J47" s="184"/>
      <c r="K47" s="184"/>
      <c r="L47" s="184"/>
      <c r="M47" s="184"/>
      <c r="N47" s="184"/>
      <c r="O47" s="236"/>
    </row>
    <row r="48" spans="1:15" ht="12.75">
      <c r="A48" s="180" t="s">
        <v>257</v>
      </c>
      <c r="B48" s="187"/>
      <c r="C48" s="182" t="s">
        <v>258</v>
      </c>
      <c r="D48" s="222">
        <v>0</v>
      </c>
      <c r="E48" s="204">
        <f>'App. 2-B FA Continuity 2007'!H48</f>
        <v>311323.43</v>
      </c>
      <c r="F48" s="183">
        <v>-311323</v>
      </c>
      <c r="G48" s="183"/>
      <c r="H48" s="184">
        <f>E48+F48-G48</f>
        <v>0.4299999999930151</v>
      </c>
      <c r="I48" s="334"/>
      <c r="J48" s="204">
        <f>'App. 2-B FA Continuity 2007'!M48</f>
        <v>0</v>
      </c>
      <c r="K48" s="183">
        <v>0</v>
      </c>
      <c r="L48" s="183"/>
      <c r="M48" s="184">
        <f>J48+K48-L48</f>
        <v>0</v>
      </c>
      <c r="N48" s="184">
        <f>H48-M48</f>
        <v>0.4299999999930151</v>
      </c>
      <c r="O48" s="236"/>
    </row>
    <row r="49" spans="1:15" ht="12.75">
      <c r="A49" s="180"/>
      <c r="B49" s="187"/>
      <c r="C49" s="188" t="s">
        <v>249</v>
      </c>
      <c r="D49" s="188"/>
      <c r="E49" s="206">
        <f>SUM(E46:E48)</f>
        <v>61625701.00000001</v>
      </c>
      <c r="F49" s="189">
        <f>SUM(F46:F48)</f>
        <v>4009628.8999999985</v>
      </c>
      <c r="G49" s="189">
        <f>SUM(G46:G48)</f>
        <v>69752.93</v>
      </c>
      <c r="H49" s="189">
        <f>SUM(H46:H48)</f>
        <v>65565576.97000004</v>
      </c>
      <c r="I49" s="334"/>
      <c r="J49" s="189">
        <f>SUM(J46:J48)</f>
        <v>20273805.26831666</v>
      </c>
      <c r="K49" s="189">
        <f>SUM(K46:K48)</f>
        <v>2640628.9117976185</v>
      </c>
      <c r="L49" s="189">
        <f>SUM(L46:L48)</f>
        <v>69752.93</v>
      </c>
      <c r="M49" s="189">
        <f>SUM(M46:M48)</f>
        <v>22844681.250114284</v>
      </c>
      <c r="N49" s="189">
        <f>SUM(N46:N48)</f>
        <v>42720895.719885714</v>
      </c>
      <c r="O49" s="236"/>
    </row>
    <row r="50" spans="1:15" ht="12.75">
      <c r="A50" s="238"/>
      <c r="B50" s="226"/>
      <c r="C50" s="227"/>
      <c r="D50" s="227"/>
      <c r="E50" s="228"/>
      <c r="F50" s="228"/>
      <c r="G50" s="228"/>
      <c r="H50" s="228"/>
      <c r="I50" s="229"/>
      <c r="J50" s="229"/>
      <c r="K50" s="229"/>
      <c r="L50" s="229"/>
      <c r="M50" s="229"/>
      <c r="N50" s="229"/>
      <c r="O50" s="236"/>
    </row>
    <row r="51" spans="1:15" ht="12.75">
      <c r="A51" s="238"/>
      <c r="B51" s="226"/>
      <c r="C51" s="227"/>
      <c r="D51" s="227"/>
      <c r="E51" s="228"/>
      <c r="F51" s="228"/>
      <c r="G51" s="228"/>
      <c r="H51" s="228"/>
      <c r="I51" s="319" t="s">
        <v>250</v>
      </c>
      <c r="J51" s="319"/>
      <c r="K51" s="319"/>
      <c r="L51" s="229"/>
      <c r="M51" s="236"/>
      <c r="N51" s="229"/>
      <c r="O51" s="236"/>
    </row>
    <row r="52" spans="1:15" ht="12.75">
      <c r="A52" s="168">
        <v>10</v>
      </c>
      <c r="B52" s="71">
        <v>1930</v>
      </c>
      <c r="C52" s="167" t="s">
        <v>44</v>
      </c>
      <c r="D52" s="232"/>
      <c r="E52" s="228"/>
      <c r="F52" s="228"/>
      <c r="G52" s="228"/>
      <c r="H52" s="228"/>
      <c r="I52" s="318" t="s">
        <v>44</v>
      </c>
      <c r="J52" s="318"/>
      <c r="K52" s="190">
        <f>+K32</f>
        <v>166207.81775</v>
      </c>
      <c r="L52" s="229"/>
      <c r="M52" s="236"/>
      <c r="N52" s="229"/>
      <c r="O52" s="236"/>
    </row>
    <row r="53" spans="1:15" ht="12.75">
      <c r="A53" s="166">
        <v>10</v>
      </c>
      <c r="B53" s="71" t="s">
        <v>259</v>
      </c>
      <c r="C53" s="167" t="s">
        <v>260</v>
      </c>
      <c r="D53" s="232"/>
      <c r="E53" s="228"/>
      <c r="F53" s="228"/>
      <c r="G53" s="228"/>
      <c r="H53" s="228"/>
      <c r="I53" s="318" t="s">
        <v>251</v>
      </c>
      <c r="J53" s="318"/>
      <c r="K53" s="190">
        <f>+K33+K34+K45</f>
        <v>32448.925750000002</v>
      </c>
      <c r="L53" s="229"/>
      <c r="M53" s="236"/>
      <c r="N53" s="229"/>
      <c r="O53" s="236"/>
    </row>
    <row r="54" spans="1:15" ht="12.75">
      <c r="A54" s="220" t="s">
        <v>274</v>
      </c>
      <c r="B54" s="221" t="s">
        <v>261</v>
      </c>
      <c r="C54" s="167" t="s">
        <v>262</v>
      </c>
      <c r="D54" s="232"/>
      <c r="E54" s="228"/>
      <c r="F54" s="228"/>
      <c r="G54" s="228"/>
      <c r="H54" s="228"/>
      <c r="I54" s="234" t="s">
        <v>252</v>
      </c>
      <c r="J54" s="227"/>
      <c r="K54" s="190">
        <f>K30+K31-'[2]Summary Deprec''n'!$E$42</f>
        <v>158306.10400000002</v>
      </c>
      <c r="L54" s="229"/>
      <c r="M54" s="236"/>
      <c r="N54" s="229"/>
      <c r="O54" s="236"/>
    </row>
    <row r="55" spans="1:15" ht="13.5" thickBot="1">
      <c r="A55" s="226"/>
      <c r="B55" s="226"/>
      <c r="C55" s="227"/>
      <c r="D55" s="227"/>
      <c r="E55" s="228"/>
      <c r="F55" s="228"/>
      <c r="G55" s="228"/>
      <c r="H55" s="228"/>
      <c r="I55" s="319" t="s">
        <v>45</v>
      </c>
      <c r="J55" s="319"/>
      <c r="K55" s="191">
        <f>K49-K52-K53-K54</f>
        <v>2283666.064297619</v>
      </c>
      <c r="L55" s="229"/>
      <c r="M55" s="236"/>
      <c r="N55" s="229"/>
      <c r="O55" s="236"/>
    </row>
    <row r="56" spans="1:16" ht="13.5" thickTop="1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</row>
    <row r="57" spans="1:16" ht="12.75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</row>
    <row r="58" spans="1:15" ht="12.75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169"/>
      <c r="L58" s="236"/>
      <c r="M58" s="236"/>
      <c r="N58" s="236"/>
      <c r="O58" s="236"/>
    </row>
    <row r="59" spans="1:15" ht="12.75">
      <c r="A59" s="169"/>
      <c r="B59" s="169"/>
      <c r="C59" s="169"/>
      <c r="D59" s="169"/>
      <c r="E59" s="207"/>
      <c r="F59" s="169"/>
      <c r="G59" s="169"/>
      <c r="H59" s="169"/>
      <c r="I59" s="169"/>
      <c r="J59" s="169"/>
      <c r="K59" s="169"/>
      <c r="L59" s="236"/>
      <c r="M59" s="236"/>
      <c r="N59" s="236"/>
      <c r="O59" s="236"/>
    </row>
    <row r="60" spans="5:14" ht="12.75">
      <c r="E60" s="208"/>
      <c r="F60" s="192"/>
      <c r="G60" s="192"/>
      <c r="H60" s="192"/>
      <c r="I60" s="172"/>
      <c r="J60" s="172"/>
      <c r="K60" s="172"/>
      <c r="L60" s="172"/>
      <c r="M60" s="172"/>
      <c r="N60" s="172"/>
    </row>
    <row r="61" spans="5:14" ht="12.75">
      <c r="E61" s="208"/>
      <c r="F61" s="192"/>
      <c r="G61" s="192"/>
      <c r="H61" s="192"/>
      <c r="I61" s="172"/>
      <c r="J61" s="172"/>
      <c r="K61" s="172"/>
      <c r="L61" s="172"/>
      <c r="M61" s="172"/>
      <c r="N61" s="172"/>
    </row>
    <row r="62" spans="3:14" ht="12.75">
      <c r="C62" s="178"/>
      <c r="D62" s="178"/>
      <c r="E62" s="201"/>
      <c r="F62" s="171"/>
      <c r="G62" s="171"/>
      <c r="H62" s="171"/>
      <c r="I62" s="172"/>
      <c r="J62" s="173"/>
      <c r="K62" s="173"/>
      <c r="L62" s="173"/>
      <c r="M62" s="173"/>
      <c r="N62" s="173"/>
    </row>
    <row r="63" spans="3:14" ht="12.75">
      <c r="C63" s="178"/>
      <c r="D63" s="178"/>
      <c r="E63" s="201"/>
      <c r="F63" s="171"/>
      <c r="G63" s="171"/>
      <c r="H63" s="171"/>
      <c r="I63" s="172"/>
      <c r="J63" s="173"/>
      <c r="K63" s="173"/>
      <c r="L63" s="173"/>
      <c r="M63" s="173"/>
      <c r="N63" s="173"/>
    </row>
    <row r="64" spans="3:14" ht="12.75">
      <c r="C64" s="178"/>
      <c r="D64" s="178"/>
      <c r="E64" s="201"/>
      <c r="F64" s="171"/>
      <c r="G64" s="171"/>
      <c r="H64" s="171"/>
      <c r="I64" s="172"/>
      <c r="J64" s="173"/>
      <c r="K64" s="173"/>
      <c r="L64" s="173"/>
      <c r="M64" s="173"/>
      <c r="N64" s="173"/>
    </row>
    <row r="65" spans="3:14" ht="12.75">
      <c r="C65" s="178"/>
      <c r="D65" s="178"/>
      <c r="E65" s="201"/>
      <c r="F65" s="171"/>
      <c r="G65" s="171"/>
      <c r="H65" s="171"/>
      <c r="I65" s="172"/>
      <c r="J65" s="173"/>
      <c r="K65" s="173"/>
      <c r="L65" s="173"/>
      <c r="M65" s="173"/>
      <c r="N65" s="173"/>
    </row>
  </sheetData>
  <sheetProtection/>
  <mergeCells count="26">
    <mergeCell ref="G8:G9"/>
    <mergeCell ref="H8:H9"/>
    <mergeCell ref="I8:I49"/>
    <mergeCell ref="A1:N1"/>
    <mergeCell ref="A2:N2"/>
    <mergeCell ref="A3:C3"/>
    <mergeCell ref="A4:C4"/>
    <mergeCell ref="A5:C5"/>
    <mergeCell ref="E6:H6"/>
    <mergeCell ref="J6:M6"/>
    <mergeCell ref="M8:M9"/>
    <mergeCell ref="N8:N9"/>
    <mergeCell ref="I51:K51"/>
    <mergeCell ref="E7:H7"/>
    <mergeCell ref="J7:M7"/>
    <mergeCell ref="A8:A9"/>
    <mergeCell ref="B8:B9"/>
    <mergeCell ref="C8:C9"/>
    <mergeCell ref="E8:E9"/>
    <mergeCell ref="F8:F9"/>
    <mergeCell ref="I52:J52"/>
    <mergeCell ref="I53:J53"/>
    <mergeCell ref="I55:J55"/>
    <mergeCell ref="J8:J9"/>
    <mergeCell ref="K8:K9"/>
    <mergeCell ref="L8:L9"/>
  </mergeCells>
  <printOptions/>
  <pageMargins left="0.35433070866141736" right="0.35433070866141736" top="0.7874015748031497" bottom="0.7874015748031497" header="0.5118110236220472" footer="0.5118110236220472"/>
  <pageSetup fitToHeight="1" fitToWidth="1" horizontalDpi="355" verticalDpi="355" orientation="landscape" scale="69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zoomScalePageLayoutView="0" workbookViewId="0" topLeftCell="A1">
      <pane ySplit="9" topLeftCell="A19" activePane="bottomLeft" state="frozen"/>
      <selection pane="topLeft" activeCell="A54" sqref="A54"/>
      <selection pane="bottomLeft" activeCell="O44" sqref="O44"/>
    </sheetView>
  </sheetViews>
  <sheetFormatPr defaultColWidth="9.140625" defaultRowHeight="12.75"/>
  <cols>
    <col min="1" max="1" width="7.140625" style="176" customWidth="1"/>
    <col min="2" max="2" width="7.421875" style="177" customWidth="1"/>
    <col min="3" max="3" width="56.00390625" style="174" bestFit="1" customWidth="1"/>
    <col min="4" max="4" width="14.57421875" style="174" customWidth="1"/>
    <col min="5" max="5" width="13.7109375" style="174" customWidth="1"/>
    <col min="6" max="7" width="11.7109375" style="174" customWidth="1"/>
    <col min="8" max="8" width="13.28125" style="174" customWidth="1"/>
    <col min="9" max="9" width="0.85546875" style="174" customWidth="1"/>
    <col min="10" max="10" width="15.8515625" style="174" customWidth="1"/>
    <col min="11" max="11" width="12.7109375" style="174" customWidth="1"/>
    <col min="12" max="12" width="11.00390625" style="174" customWidth="1"/>
    <col min="13" max="13" width="12.57421875" style="174" customWidth="1"/>
    <col min="14" max="14" width="12.28125" style="174" customWidth="1"/>
    <col min="15" max="15" width="13.7109375" style="169" customWidth="1"/>
    <col min="16" max="16384" width="9.140625" style="169" customWidth="1"/>
  </cols>
  <sheetData>
    <row r="1" spans="1:14" ht="12.75">
      <c r="A1" s="329" t="str">
        <f>'[5]Trial Balance'!A1:H1</f>
        <v>Norfolk Power Distribution Inc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ht="12.75">
      <c r="A2" s="329" t="str">
        <f>'[5]Trial Balance'!A2:H2</f>
        <v>2011 Cost of Service Application, License Number ED-2002-0521, File Number EB-2010-0139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.75">
      <c r="A3" s="330"/>
      <c r="B3" s="330"/>
      <c r="C3" s="330"/>
      <c r="D3" s="170"/>
      <c r="E3" s="171"/>
      <c r="F3" s="171"/>
      <c r="G3" s="171"/>
      <c r="H3" s="171"/>
      <c r="I3" s="172"/>
      <c r="J3" s="173"/>
      <c r="K3" s="173"/>
      <c r="L3" s="173"/>
      <c r="M3" s="173"/>
      <c r="N3" s="173"/>
    </row>
    <row r="4" spans="1:14" ht="12.75">
      <c r="A4" s="330" t="s">
        <v>245</v>
      </c>
      <c r="B4" s="330"/>
      <c r="C4" s="330"/>
      <c r="D4" s="170"/>
      <c r="E4" s="171"/>
      <c r="F4" s="171"/>
      <c r="G4" s="171"/>
      <c r="I4" s="172"/>
      <c r="J4" s="173"/>
      <c r="K4" s="173"/>
      <c r="L4" s="173"/>
      <c r="M4" s="173"/>
      <c r="N4" s="173"/>
    </row>
    <row r="5" spans="1:14" ht="12.75">
      <c r="A5" s="330" t="s">
        <v>263</v>
      </c>
      <c r="B5" s="330"/>
      <c r="C5" s="330"/>
      <c r="D5" s="170"/>
      <c r="E5" s="171"/>
      <c r="F5" s="171"/>
      <c r="G5" s="171"/>
      <c r="I5" s="172"/>
      <c r="J5" s="173"/>
      <c r="K5" s="173"/>
      <c r="L5" s="173"/>
      <c r="M5" s="173"/>
      <c r="N5" s="173"/>
    </row>
    <row r="6" spans="1:18" ht="12.75">
      <c r="A6" s="239"/>
      <c r="B6" s="226"/>
      <c r="C6" s="227"/>
      <c r="D6" s="227"/>
      <c r="E6" s="331" t="s">
        <v>7</v>
      </c>
      <c r="F6" s="332"/>
      <c r="G6" s="332"/>
      <c r="H6" s="333"/>
      <c r="I6" s="242"/>
      <c r="J6" s="331" t="s">
        <v>8</v>
      </c>
      <c r="K6" s="332"/>
      <c r="L6" s="332"/>
      <c r="M6" s="333"/>
      <c r="N6" s="241"/>
      <c r="O6" s="236"/>
      <c r="P6" s="236"/>
      <c r="Q6" s="236"/>
      <c r="R6" s="236"/>
    </row>
    <row r="7" spans="1:18" ht="12.75">
      <c r="A7" s="239"/>
      <c r="B7" s="226"/>
      <c r="C7" s="240"/>
      <c r="D7" s="240"/>
      <c r="E7" s="322"/>
      <c r="F7" s="323"/>
      <c r="G7" s="323"/>
      <c r="H7" s="324"/>
      <c r="I7" s="242"/>
      <c r="J7" s="322"/>
      <c r="K7" s="323"/>
      <c r="L7" s="323"/>
      <c r="M7" s="324"/>
      <c r="N7" s="241"/>
      <c r="O7" s="236"/>
      <c r="P7" s="236"/>
      <c r="Q7" s="236"/>
      <c r="R7" s="236"/>
    </row>
    <row r="8" spans="1:15" s="202" customFormat="1" ht="12.75">
      <c r="A8" s="325" t="s">
        <v>0</v>
      </c>
      <c r="B8" s="325" t="s">
        <v>1</v>
      </c>
      <c r="C8" s="325" t="s">
        <v>2</v>
      </c>
      <c r="D8" s="290" t="s">
        <v>278</v>
      </c>
      <c r="E8" s="320" t="s">
        <v>3</v>
      </c>
      <c r="F8" s="320" t="s">
        <v>4</v>
      </c>
      <c r="G8" s="320" t="s">
        <v>5</v>
      </c>
      <c r="H8" s="320" t="s">
        <v>6</v>
      </c>
      <c r="I8" s="334"/>
      <c r="J8" s="320" t="s">
        <v>3</v>
      </c>
      <c r="K8" s="320" t="s">
        <v>4</v>
      </c>
      <c r="L8" s="320" t="s">
        <v>5</v>
      </c>
      <c r="M8" s="320" t="s">
        <v>6</v>
      </c>
      <c r="N8" s="320" t="s">
        <v>49</v>
      </c>
      <c r="O8" s="243"/>
    </row>
    <row r="9" spans="1:15" s="202" customFormat="1" ht="12.75">
      <c r="A9" s="326"/>
      <c r="B9" s="326"/>
      <c r="C9" s="326"/>
      <c r="D9" s="291" t="s">
        <v>93</v>
      </c>
      <c r="E9" s="321" t="s">
        <v>247</v>
      </c>
      <c r="F9" s="321" t="s">
        <v>4</v>
      </c>
      <c r="G9" s="321"/>
      <c r="H9" s="321"/>
      <c r="I9" s="334"/>
      <c r="J9" s="321" t="s">
        <v>247</v>
      </c>
      <c r="K9" s="321" t="s">
        <v>4</v>
      </c>
      <c r="L9" s="321"/>
      <c r="M9" s="321"/>
      <c r="N9" s="321"/>
      <c r="O9" s="243"/>
    </row>
    <row r="10" spans="1:15" ht="12.75">
      <c r="A10" s="180" t="s">
        <v>9</v>
      </c>
      <c r="B10" s="181">
        <v>1805</v>
      </c>
      <c r="C10" s="182" t="s">
        <v>10</v>
      </c>
      <c r="D10" s="222">
        <v>0</v>
      </c>
      <c r="E10" s="184">
        <f>'App. 2-B FA Continuity 2008'!H10</f>
        <v>385115.48</v>
      </c>
      <c r="F10" s="183">
        <f>'[2]Summary Additions'!$G$7</f>
        <v>6143.65</v>
      </c>
      <c r="G10" s="183"/>
      <c r="H10" s="184">
        <f aca="true" t="shared" si="0" ref="H10:H45">E10+F10-G10</f>
        <v>391259.13</v>
      </c>
      <c r="I10" s="334"/>
      <c r="J10" s="184">
        <f>SUMIF('App. 2-B FA Continuity 2008'!B:B,B10,'App. 2-B FA Continuity 2008'!M:M)</f>
        <v>0</v>
      </c>
      <c r="K10" s="183">
        <f>'[2]Summary Deprec''n'!$G$8</f>
        <v>0</v>
      </c>
      <c r="L10" s="183"/>
      <c r="M10" s="184">
        <f aca="true" t="shared" si="1" ref="M10:M45">J10+K10-L10</f>
        <v>0</v>
      </c>
      <c r="N10" s="184">
        <f aca="true" t="shared" si="2" ref="N10:N45">H10-M10</f>
        <v>391259.13</v>
      </c>
      <c r="O10" s="245"/>
    </row>
    <row r="11" spans="1:15" ht="12.75">
      <c r="A11" s="180" t="s">
        <v>24</v>
      </c>
      <c r="B11" s="181">
        <v>1806</v>
      </c>
      <c r="C11" s="182" t="s">
        <v>25</v>
      </c>
      <c r="D11" s="222">
        <v>0</v>
      </c>
      <c r="E11" s="184">
        <f>'App. 2-B FA Continuity 2008'!H11</f>
        <v>300911</v>
      </c>
      <c r="F11" s="183">
        <f>'[2]Summary Additions'!$G$8</f>
        <v>1873.45</v>
      </c>
      <c r="G11" s="183"/>
      <c r="H11" s="184">
        <f t="shared" si="0"/>
        <v>302784.45</v>
      </c>
      <c r="I11" s="334"/>
      <c r="J11" s="184">
        <f>SUMIF('App. 2-B FA Continuity 2008'!B:B,B11,'App. 2-B FA Continuity 2008'!M:M)</f>
        <v>0</v>
      </c>
      <c r="K11" s="183">
        <f>'[2]Summary Deprec''n'!$G$9</f>
        <v>0</v>
      </c>
      <c r="L11" s="183"/>
      <c r="M11" s="184">
        <f t="shared" si="1"/>
        <v>0</v>
      </c>
      <c r="N11" s="184">
        <f t="shared" si="2"/>
        <v>302784.45</v>
      </c>
      <c r="O11" s="245"/>
    </row>
    <row r="12" spans="1:15" ht="12.75">
      <c r="A12" s="180">
        <v>47</v>
      </c>
      <c r="B12" s="181">
        <v>1808</v>
      </c>
      <c r="C12" s="182" t="s">
        <v>205</v>
      </c>
      <c r="D12" s="222">
        <v>0.02</v>
      </c>
      <c r="E12" s="184">
        <f>'App. 2-B FA Continuity 2008'!H12</f>
        <v>1524960.35</v>
      </c>
      <c r="F12" s="183">
        <f>'[2]Summary Additions'!$G$9</f>
        <v>90756.64</v>
      </c>
      <c r="G12" s="183"/>
      <c r="H12" s="184">
        <f t="shared" si="0"/>
        <v>1615716.99</v>
      </c>
      <c r="I12" s="334"/>
      <c r="J12" s="184">
        <f>SUMIF('App. 2-B FA Continuity 2008'!B:B,B12,'App. 2-B FA Continuity 2008'!M:M)</f>
        <v>116810.72350000001</v>
      </c>
      <c r="K12" s="183">
        <f>'[2]Summary Deprec''n'!$G$10</f>
        <v>31406.7834</v>
      </c>
      <c r="L12" s="183"/>
      <c r="M12" s="184">
        <f t="shared" si="1"/>
        <v>148217.5069</v>
      </c>
      <c r="N12" s="184">
        <f t="shared" si="2"/>
        <v>1467499.4831</v>
      </c>
      <c r="O12" s="245"/>
    </row>
    <row r="13" spans="1:15" ht="12.75">
      <c r="A13" s="180">
        <v>13</v>
      </c>
      <c r="B13" s="181">
        <v>1810</v>
      </c>
      <c r="C13" s="182" t="s">
        <v>47</v>
      </c>
      <c r="D13" s="222">
        <v>0</v>
      </c>
      <c r="E13" s="184">
        <f>'App. 2-B FA Continuity 2008'!H13</f>
        <v>0</v>
      </c>
      <c r="F13" s="183">
        <f>0</f>
        <v>0</v>
      </c>
      <c r="G13" s="183"/>
      <c r="H13" s="184">
        <f t="shared" si="0"/>
        <v>0</v>
      </c>
      <c r="I13" s="334"/>
      <c r="J13" s="184">
        <f>SUMIF('App. 2-B FA Continuity 2008'!B:B,B13,'App. 2-B FA Continuity 2008'!M:M)</f>
        <v>0</v>
      </c>
      <c r="K13" s="183">
        <v>0</v>
      </c>
      <c r="L13" s="183"/>
      <c r="M13" s="184">
        <f t="shared" si="1"/>
        <v>0</v>
      </c>
      <c r="N13" s="184">
        <f t="shared" si="2"/>
        <v>0</v>
      </c>
      <c r="O13" s="236"/>
    </row>
    <row r="14" spans="1:15" ht="12.75">
      <c r="A14" s="180">
        <v>47</v>
      </c>
      <c r="B14" s="181">
        <v>1815</v>
      </c>
      <c r="C14" s="182" t="s">
        <v>206</v>
      </c>
      <c r="D14" s="222">
        <v>0.025</v>
      </c>
      <c r="E14" s="184">
        <f>'App. 2-B FA Continuity 2008'!H14</f>
        <v>3215596.34</v>
      </c>
      <c r="F14" s="183">
        <f>'[2]Summary Additions'!$G$10</f>
        <v>0</v>
      </c>
      <c r="G14" s="183"/>
      <c r="H14" s="184">
        <f t="shared" si="0"/>
        <v>3215596.34</v>
      </c>
      <c r="I14" s="334"/>
      <c r="J14" s="184">
        <f>SUMIF('App. 2-B FA Continuity 2008'!B:B,B14,'App. 2-B FA Continuity 2008'!M:M)</f>
        <v>292324.184</v>
      </c>
      <c r="K14" s="183">
        <f>'[2]Summary Deprec'n'!$G$11+'[2]Summary Deprec'n'!$G$7</f>
        <v>80426.451</v>
      </c>
      <c r="L14" s="183"/>
      <c r="M14" s="184">
        <f t="shared" si="1"/>
        <v>372750.635</v>
      </c>
      <c r="N14" s="184">
        <f t="shared" si="2"/>
        <v>2842845.705</v>
      </c>
      <c r="O14" s="245"/>
    </row>
    <row r="15" spans="1:15" ht="12.75">
      <c r="A15" s="180">
        <v>47</v>
      </c>
      <c r="B15" s="181">
        <v>1820</v>
      </c>
      <c r="C15" s="182" t="s">
        <v>207</v>
      </c>
      <c r="D15" s="222">
        <v>0.033</v>
      </c>
      <c r="E15" s="184">
        <f>'App. 2-B FA Continuity 2008'!H15</f>
        <v>3884653.94</v>
      </c>
      <c r="F15" s="183">
        <f>'[2]Summary Additions'!$G$11</f>
        <v>236273.7</v>
      </c>
      <c r="G15" s="183"/>
      <c r="H15" s="184">
        <f t="shared" si="0"/>
        <v>4120927.64</v>
      </c>
      <c r="I15" s="334"/>
      <c r="J15" s="184">
        <f>SUMIF('App. 2-B FA Continuity 2008'!B:B,B15,'App. 2-B FA Continuity 2008'!M:M)</f>
        <v>1579610.2165</v>
      </c>
      <c r="K15" s="183">
        <f>'[2]Summary Deprec''n'!$G$12</f>
        <v>82803.85733333335</v>
      </c>
      <c r="L15" s="183"/>
      <c r="M15" s="184">
        <f t="shared" si="1"/>
        <v>1662414.0738333333</v>
      </c>
      <c r="N15" s="184">
        <f t="shared" si="2"/>
        <v>2458513.566166667</v>
      </c>
      <c r="O15" s="236"/>
    </row>
    <row r="16" spans="1:15" ht="12.75">
      <c r="A16" s="180">
        <v>47</v>
      </c>
      <c r="B16" s="181">
        <v>1825</v>
      </c>
      <c r="C16" s="182" t="s">
        <v>14</v>
      </c>
      <c r="D16" s="222">
        <v>0</v>
      </c>
      <c r="E16" s="184">
        <f>'App. 2-B FA Continuity 2008'!H16</f>
        <v>0</v>
      </c>
      <c r="F16" s="183">
        <v>0</v>
      </c>
      <c r="G16" s="183"/>
      <c r="H16" s="184">
        <f t="shared" si="0"/>
        <v>0</v>
      </c>
      <c r="I16" s="334"/>
      <c r="J16" s="184">
        <f>SUMIF('App. 2-B FA Continuity 2008'!B:B,B16,'App. 2-B FA Continuity 2008'!M:M)</f>
        <v>0</v>
      </c>
      <c r="K16" s="183">
        <v>0</v>
      </c>
      <c r="L16" s="183"/>
      <c r="M16" s="184">
        <f t="shared" si="1"/>
        <v>0</v>
      </c>
      <c r="N16" s="184">
        <f t="shared" si="2"/>
        <v>0</v>
      </c>
      <c r="O16" s="245"/>
    </row>
    <row r="17" spans="1:15" ht="12.75">
      <c r="A17" s="180">
        <v>47</v>
      </c>
      <c r="B17" s="181">
        <v>1830</v>
      </c>
      <c r="C17" s="182" t="s">
        <v>208</v>
      </c>
      <c r="D17" s="222">
        <v>0.04</v>
      </c>
      <c r="E17" s="184">
        <f>'App. 2-B FA Continuity 2008'!H17</f>
        <v>19004794.060000002</v>
      </c>
      <c r="F17" s="183">
        <f>'[2]Summary Additions'!$G$12</f>
        <v>1006528.47</v>
      </c>
      <c r="G17" s="183"/>
      <c r="H17" s="184">
        <f t="shared" si="0"/>
        <v>20011322.53</v>
      </c>
      <c r="I17" s="334"/>
      <c r="J17" s="184">
        <f>SUMIF('App. 2-B FA Continuity 2008'!B:B,B17,'App. 2-B FA Continuity 2008'!M:M)</f>
        <v>5537838.6052</v>
      </c>
      <c r="K17" s="183">
        <f>'[2]Summary Deprec''n'!$G$13</f>
        <v>811227.0018000001</v>
      </c>
      <c r="L17" s="183"/>
      <c r="M17" s="184">
        <f t="shared" si="1"/>
        <v>6349065.607</v>
      </c>
      <c r="N17" s="184">
        <f t="shared" si="2"/>
        <v>13662256.923</v>
      </c>
      <c r="O17" s="245"/>
    </row>
    <row r="18" spans="1:15" ht="12.75">
      <c r="A18" s="180">
        <v>47</v>
      </c>
      <c r="B18" s="181">
        <v>1835</v>
      </c>
      <c r="C18" s="182" t="s">
        <v>209</v>
      </c>
      <c r="D18" s="222">
        <v>0.04</v>
      </c>
      <c r="E18" s="184">
        <f>'App. 2-B FA Continuity 2008'!H18</f>
        <v>10232770.11</v>
      </c>
      <c r="F18" s="183">
        <f>'[2]Summary Additions'!$G$13</f>
        <v>732544.18</v>
      </c>
      <c r="G18" s="183"/>
      <c r="H18" s="184">
        <f t="shared" si="0"/>
        <v>10965314.29</v>
      </c>
      <c r="I18" s="334"/>
      <c r="J18" s="184">
        <f>SUMIF('App. 2-B FA Continuity 2008'!B:B,B18,'App. 2-B FA Continuity 2008'!M:M)</f>
        <v>2178408.3049999997</v>
      </c>
      <c r="K18" s="183">
        <f>'[2]Summary Deprec''n'!$G$14</f>
        <v>423961.68799999997</v>
      </c>
      <c r="L18" s="183"/>
      <c r="M18" s="184">
        <f t="shared" si="1"/>
        <v>2602369.993</v>
      </c>
      <c r="N18" s="184">
        <f t="shared" si="2"/>
        <v>8362944.296999999</v>
      </c>
      <c r="O18" s="245"/>
    </row>
    <row r="19" spans="1:15" ht="12.75">
      <c r="A19" s="180">
        <v>47</v>
      </c>
      <c r="B19" s="181">
        <v>1840</v>
      </c>
      <c r="C19" s="182" t="s">
        <v>210</v>
      </c>
      <c r="D19" s="222">
        <v>0.04</v>
      </c>
      <c r="E19" s="184">
        <f>'App. 2-B FA Continuity 2008'!H19</f>
        <v>3532582.2399999998</v>
      </c>
      <c r="F19" s="183">
        <f>'[2]Summary Additions'!$G$14</f>
        <v>312483.83</v>
      </c>
      <c r="G19" s="183"/>
      <c r="H19" s="184">
        <f t="shared" si="0"/>
        <v>3845066.07</v>
      </c>
      <c r="I19" s="334"/>
      <c r="J19" s="184">
        <f>SUMIF('App. 2-B FA Continuity 2008'!B:B,B19,'App. 2-B FA Continuity 2008'!M:M)</f>
        <v>1232059.7676</v>
      </c>
      <c r="K19" s="183">
        <f>'[2]Summary Deprec''n'!$G$15</f>
        <v>130160.6862</v>
      </c>
      <c r="L19" s="183"/>
      <c r="M19" s="184">
        <f t="shared" si="1"/>
        <v>1362220.4537999998</v>
      </c>
      <c r="N19" s="184">
        <f t="shared" si="2"/>
        <v>2482845.6162</v>
      </c>
      <c r="O19" s="245"/>
    </row>
    <row r="20" spans="1:15" ht="12.75">
      <c r="A20" s="180">
        <v>47</v>
      </c>
      <c r="B20" s="181">
        <v>1845</v>
      </c>
      <c r="C20" s="182" t="s">
        <v>211</v>
      </c>
      <c r="D20" s="222">
        <v>0.04</v>
      </c>
      <c r="E20" s="184">
        <f>'App. 2-B FA Continuity 2008'!H20</f>
        <v>7120863.02</v>
      </c>
      <c r="F20" s="183">
        <f>'[2]Summary Additions'!$G$15</f>
        <v>515163.25</v>
      </c>
      <c r="G20" s="183"/>
      <c r="H20" s="184">
        <f t="shared" si="0"/>
        <v>7636026.27</v>
      </c>
      <c r="I20" s="334"/>
      <c r="J20" s="184">
        <f>SUMIF('App. 2-B FA Continuity 2008'!B:B,B20,'App. 2-B FA Continuity 2008'!M:M)</f>
        <v>2458704.2912000003</v>
      </c>
      <c r="K20" s="183">
        <f>'[2]Summary Deprec''n'!$G$16</f>
        <v>246940.7758</v>
      </c>
      <c r="L20" s="183"/>
      <c r="M20" s="184">
        <f t="shared" si="1"/>
        <v>2705645.0670000003</v>
      </c>
      <c r="N20" s="184">
        <f t="shared" si="2"/>
        <v>4930381.203</v>
      </c>
      <c r="O20" s="245"/>
    </row>
    <row r="21" spans="1:15" ht="12.75">
      <c r="A21" s="180">
        <v>47</v>
      </c>
      <c r="B21" s="181">
        <v>1850</v>
      </c>
      <c r="C21" s="182" t="s">
        <v>19</v>
      </c>
      <c r="D21" s="222">
        <v>0.04</v>
      </c>
      <c r="E21" s="184">
        <f>'App. 2-B FA Continuity 2008'!H21</f>
        <v>10816541.7</v>
      </c>
      <c r="F21" s="183">
        <f>'[2]Summary Additions'!$G$16+'[2]Summary Additions'!$G$17</f>
        <v>421375.28</v>
      </c>
      <c r="G21" s="183"/>
      <c r="H21" s="184">
        <f t="shared" si="0"/>
        <v>11237916.979999999</v>
      </c>
      <c r="I21" s="334"/>
      <c r="J21" s="184">
        <f>SUMIF('App. 2-B FA Continuity 2008'!B:B,B21,'App. 2-B FA Continuity 2008'!M:M)</f>
        <v>5649353.7712</v>
      </c>
      <c r="K21" s="183">
        <f>'[2]Summary Deprec'n'!$G$17+'[2]Summary Deprec'n'!$G$18</f>
        <v>518946.37360000005</v>
      </c>
      <c r="L21" s="183"/>
      <c r="M21" s="184">
        <f t="shared" si="1"/>
        <v>6168300.1448</v>
      </c>
      <c r="N21" s="184">
        <f t="shared" si="2"/>
        <v>5069616.835199999</v>
      </c>
      <c r="O21" s="245"/>
    </row>
    <row r="22" spans="1:15" ht="12.75">
      <c r="A22" s="180">
        <v>47</v>
      </c>
      <c r="B22" s="181">
        <v>1855</v>
      </c>
      <c r="C22" s="182" t="s">
        <v>169</v>
      </c>
      <c r="D22" s="222">
        <v>0.04</v>
      </c>
      <c r="E22" s="184">
        <f>'App. 2-B FA Continuity 2008'!H22</f>
        <v>2230186.46</v>
      </c>
      <c r="F22" s="183">
        <f>'[2]Summary Additions'!$G$18</f>
        <v>277121.35</v>
      </c>
      <c r="G22" s="183"/>
      <c r="H22" s="184">
        <f t="shared" si="0"/>
        <v>2507307.81</v>
      </c>
      <c r="I22" s="334"/>
      <c r="J22" s="184">
        <f>SUMIF('App. 2-B FA Continuity 2008'!B:B,B22,'App. 2-B FA Continuity 2008'!M:M)</f>
        <v>319910.724</v>
      </c>
      <c r="K22" s="183">
        <f>'[2]Summary Deprec''n'!$G$19</f>
        <v>94749.88539999998</v>
      </c>
      <c r="L22" s="183"/>
      <c r="M22" s="184">
        <f t="shared" si="1"/>
        <v>414660.60939999996</v>
      </c>
      <c r="N22" s="184">
        <f t="shared" si="2"/>
        <v>2092647.2006</v>
      </c>
      <c r="O22" s="245"/>
    </row>
    <row r="23" spans="1:15" ht="12.75">
      <c r="A23" s="180">
        <v>47</v>
      </c>
      <c r="B23" s="181">
        <v>1860</v>
      </c>
      <c r="C23" s="182" t="s">
        <v>21</v>
      </c>
      <c r="D23" s="224">
        <v>0.04</v>
      </c>
      <c r="E23" s="184">
        <f>'App. 2-B FA Continuity 2008'!H23</f>
        <v>3891529.35</v>
      </c>
      <c r="F23" s="183">
        <f>'[2]Summary Additions'!$G$19</f>
        <v>133635.55000000002</v>
      </c>
      <c r="G23" s="183"/>
      <c r="H23" s="184">
        <f t="shared" si="0"/>
        <v>4025164.9</v>
      </c>
      <c r="I23" s="334"/>
      <c r="J23" s="184">
        <f>SUMIF('App. 2-B FA Continuity 2008'!B:B,B23,'App. 2-B FA Continuity 2008'!M:M)</f>
        <v>2069057.6678000002</v>
      </c>
      <c r="K23" s="183">
        <f>'[2]Summary Deprec''n'!$G$20</f>
        <v>150383.355</v>
      </c>
      <c r="L23" s="183"/>
      <c r="M23" s="184">
        <f t="shared" si="1"/>
        <v>2219441.0228000004</v>
      </c>
      <c r="N23" s="184">
        <f t="shared" si="2"/>
        <v>1805723.8771999995</v>
      </c>
      <c r="O23" s="245"/>
    </row>
    <row r="24" spans="1:15" ht="12.75">
      <c r="A24" s="180" t="s">
        <v>9</v>
      </c>
      <c r="B24" s="181">
        <v>1865</v>
      </c>
      <c r="C24" s="182" t="s">
        <v>212</v>
      </c>
      <c r="D24" s="222">
        <v>0</v>
      </c>
      <c r="E24" s="184">
        <f>'App. 2-B FA Continuity 2008'!H24</f>
        <v>0</v>
      </c>
      <c r="F24" s="183">
        <v>0</v>
      </c>
      <c r="G24" s="183"/>
      <c r="H24" s="184">
        <f t="shared" si="0"/>
        <v>0</v>
      </c>
      <c r="I24" s="334"/>
      <c r="J24" s="184">
        <f>SUMIF('App. 2-B FA Continuity 2008'!B:B,B24,'App. 2-B FA Continuity 2008'!M:M)</f>
        <v>0</v>
      </c>
      <c r="K24" s="183">
        <v>0</v>
      </c>
      <c r="L24" s="183"/>
      <c r="M24" s="184">
        <f t="shared" si="1"/>
        <v>0</v>
      </c>
      <c r="N24" s="184">
        <f t="shared" si="2"/>
        <v>0</v>
      </c>
      <c r="O24" s="245"/>
    </row>
    <row r="25" spans="1:15" ht="12.75">
      <c r="A25" s="180" t="s">
        <v>9</v>
      </c>
      <c r="B25" s="181">
        <v>1905</v>
      </c>
      <c r="C25" s="182" t="s">
        <v>10</v>
      </c>
      <c r="D25" s="222">
        <v>0</v>
      </c>
      <c r="E25" s="184">
        <f>'App. 2-B FA Continuity 2008'!H25</f>
        <v>243636.05000000002</v>
      </c>
      <c r="F25" s="183">
        <f>'[2]Summary Additions'!$G$20</f>
        <v>0</v>
      </c>
      <c r="G25" s="183"/>
      <c r="H25" s="184">
        <f t="shared" si="0"/>
        <v>243636.05000000002</v>
      </c>
      <c r="I25" s="334"/>
      <c r="J25" s="184">
        <f>SUMIF('App. 2-B FA Continuity 2008'!B:B,B25,'App. 2-B FA Continuity 2008'!M:M)</f>
        <v>0</v>
      </c>
      <c r="K25" s="183">
        <f>'[2]Summary Deprec''n'!$G$21</f>
        <v>0</v>
      </c>
      <c r="L25" s="183"/>
      <c r="M25" s="184">
        <f t="shared" si="1"/>
        <v>0</v>
      </c>
      <c r="N25" s="184">
        <f t="shared" si="2"/>
        <v>243636.05000000002</v>
      </c>
      <c r="O25" s="245"/>
    </row>
    <row r="26" spans="1:15" ht="12.75">
      <c r="A26" s="180" t="s">
        <v>24</v>
      </c>
      <c r="B26" s="181">
        <v>1906</v>
      </c>
      <c r="C26" s="182" t="s">
        <v>25</v>
      </c>
      <c r="D26" s="222">
        <v>0</v>
      </c>
      <c r="E26" s="184">
        <f>'App. 2-B FA Continuity 2008'!H26</f>
        <v>0</v>
      </c>
      <c r="F26" s="183">
        <v>0</v>
      </c>
      <c r="G26" s="183"/>
      <c r="H26" s="184">
        <f t="shared" si="0"/>
        <v>0</v>
      </c>
      <c r="I26" s="334"/>
      <c r="J26" s="184">
        <f>SUMIF('App. 2-B FA Continuity 2008'!B:B,B26,'App. 2-B FA Continuity 2008'!M:M)</f>
        <v>0</v>
      </c>
      <c r="K26" s="183">
        <v>0</v>
      </c>
      <c r="L26" s="183"/>
      <c r="M26" s="184">
        <f t="shared" si="1"/>
        <v>0</v>
      </c>
      <c r="N26" s="184">
        <f t="shared" si="2"/>
        <v>0</v>
      </c>
      <c r="O26" s="245"/>
    </row>
    <row r="27" spans="1:15" ht="12.75">
      <c r="A27" s="180">
        <v>47</v>
      </c>
      <c r="B27" s="181">
        <v>1908</v>
      </c>
      <c r="C27" s="182" t="s">
        <v>205</v>
      </c>
      <c r="D27" s="224" t="s">
        <v>281</v>
      </c>
      <c r="E27" s="184">
        <f>'App. 2-B FA Continuity 2008'!H27</f>
        <v>2189477.2199999997</v>
      </c>
      <c r="F27" s="183">
        <f>'[2]Summary Additions'!$G$21+'[2]Summary Additions'!$G$22</f>
        <v>26160.5</v>
      </c>
      <c r="G27" s="183"/>
      <c r="H27" s="184">
        <f t="shared" si="0"/>
        <v>2215637.7199999997</v>
      </c>
      <c r="I27" s="334"/>
      <c r="J27" s="184">
        <f>SUMIF('App. 2-B FA Continuity 2008'!B:B,B27,'App. 2-B FA Continuity 2008'!M:M)</f>
        <v>776792.5051999999</v>
      </c>
      <c r="K27" s="183">
        <f>'[2]Summary Deprec'n'!$G$22+'[2]Summary Deprec'n'!$G$23</f>
        <v>32037.6694</v>
      </c>
      <c r="L27" s="183"/>
      <c r="M27" s="184">
        <f t="shared" si="1"/>
        <v>808830.1745999999</v>
      </c>
      <c r="N27" s="184">
        <f t="shared" si="2"/>
        <v>1406807.5453999997</v>
      </c>
      <c r="O27" s="245"/>
    </row>
    <row r="28" spans="1:15" ht="12.75">
      <c r="A28" s="180">
        <v>13</v>
      </c>
      <c r="B28" s="181">
        <v>1910</v>
      </c>
      <c r="C28" s="182" t="s">
        <v>47</v>
      </c>
      <c r="D28" s="222">
        <v>0.1</v>
      </c>
      <c r="E28" s="184">
        <f>'App. 2-B FA Continuity 2008'!H28</f>
        <v>6177</v>
      </c>
      <c r="F28" s="183">
        <f>'[2]Summary Additions'!$G$23</f>
        <v>0</v>
      </c>
      <c r="G28" s="183"/>
      <c r="H28" s="184">
        <f t="shared" si="0"/>
        <v>6177</v>
      </c>
      <c r="I28" s="334"/>
      <c r="J28" s="184">
        <f>SUMIF('App. 2-B FA Continuity 2008'!B:B,B28,'App. 2-B FA Continuity 2008'!M:M)</f>
        <v>2583.4</v>
      </c>
      <c r="K28" s="183">
        <f>'[2]Summary Deprec''n'!$G$24</f>
        <v>639.7</v>
      </c>
      <c r="L28" s="183"/>
      <c r="M28" s="184">
        <f t="shared" si="1"/>
        <v>3223.1000000000004</v>
      </c>
      <c r="N28" s="184">
        <f t="shared" si="2"/>
        <v>2953.8999999999996</v>
      </c>
      <c r="O28" s="245"/>
    </row>
    <row r="29" spans="1:15" ht="12.75">
      <c r="A29" s="180">
        <v>8</v>
      </c>
      <c r="B29" s="181">
        <v>1915</v>
      </c>
      <c r="C29" s="182" t="s">
        <v>213</v>
      </c>
      <c r="D29" s="222">
        <v>0.1</v>
      </c>
      <c r="E29" s="184">
        <f>'App. 2-B FA Continuity 2008'!H29</f>
        <v>142897.09</v>
      </c>
      <c r="F29" s="183">
        <f>'[2]Summary Additions'!$G$24</f>
        <v>4074.53</v>
      </c>
      <c r="G29" s="183"/>
      <c r="H29" s="184">
        <f t="shared" si="0"/>
        <v>146971.62</v>
      </c>
      <c r="I29" s="334"/>
      <c r="J29" s="184">
        <f>SUMIF('App. 2-B FA Continuity 2008'!B:B,B29,'App. 2-B FA Continuity 2008'!M:M)</f>
        <v>64966.2455</v>
      </c>
      <c r="K29" s="183">
        <f>'[2]Summary Deprec''n'!$G$25</f>
        <v>14526.4755</v>
      </c>
      <c r="L29" s="183"/>
      <c r="M29" s="184">
        <f>J29+K29-L29</f>
        <v>79492.72099999999</v>
      </c>
      <c r="N29" s="184">
        <f>H29-M29</f>
        <v>67478.899</v>
      </c>
      <c r="O29" s="245"/>
    </row>
    <row r="30" spans="1:15" ht="12.75">
      <c r="A30" s="180">
        <v>10</v>
      </c>
      <c r="B30" s="181">
        <v>1920</v>
      </c>
      <c r="C30" s="182" t="s">
        <v>214</v>
      </c>
      <c r="D30" s="222">
        <v>0.2</v>
      </c>
      <c r="E30" s="184">
        <f>'App. 2-B FA Continuity 2008'!H30</f>
        <v>868021.9199999999</v>
      </c>
      <c r="F30" s="183">
        <f>'[2]Summary Additions'!$G$25+'[2]Summary Additions'!$G$41</f>
        <v>26697.63</v>
      </c>
      <c r="G30" s="183"/>
      <c r="H30" s="184">
        <f t="shared" si="0"/>
        <v>894719.5499999999</v>
      </c>
      <c r="I30" s="334"/>
      <c r="J30" s="184">
        <f>SUMIF('App. 2-B FA Continuity 2008'!B:B,B30,'App. 2-B FA Continuity 2008'!M:M)</f>
        <v>545064.274</v>
      </c>
      <c r="K30" s="183">
        <f>'[2]Summary Deprec'n'!$G$26+'[2]Summary Deprec'n'!$G$42</f>
        <v>113681.167</v>
      </c>
      <c r="L30" s="183"/>
      <c r="M30" s="184">
        <f t="shared" si="1"/>
        <v>658745.441</v>
      </c>
      <c r="N30" s="184">
        <f t="shared" si="2"/>
        <v>235974.10899999994</v>
      </c>
      <c r="O30" s="245"/>
    </row>
    <row r="31" spans="1:15" ht="12.75">
      <c r="A31" s="219" t="s">
        <v>275</v>
      </c>
      <c r="B31" s="181">
        <v>1925</v>
      </c>
      <c r="C31" s="182" t="s">
        <v>32</v>
      </c>
      <c r="D31" s="222">
        <v>0.2</v>
      </c>
      <c r="E31" s="184">
        <f>'App. 2-B FA Continuity 2008'!H31</f>
        <v>288764.51</v>
      </c>
      <c r="F31" s="183">
        <f>'[2]Summary Additions'!$G$26</f>
        <v>56033.86</v>
      </c>
      <c r="G31" s="183"/>
      <c r="H31" s="184">
        <f t="shared" si="0"/>
        <v>344798.37</v>
      </c>
      <c r="I31" s="334"/>
      <c r="J31" s="184">
        <f>SUMIF('App. 2-B FA Continuity 2008'!B:B,B31,'App. 2-B FA Continuity 2008'!M:M)</f>
        <v>167432.818</v>
      </c>
      <c r="K31" s="183">
        <f>'[2]Summary Deprec''n'!$G$27</f>
        <v>45906.375</v>
      </c>
      <c r="L31" s="183"/>
      <c r="M31" s="184">
        <f t="shared" si="1"/>
        <v>213339.193</v>
      </c>
      <c r="N31" s="184">
        <f t="shared" si="2"/>
        <v>131459.177</v>
      </c>
      <c r="O31" s="245"/>
    </row>
    <row r="32" spans="1:15" ht="12.75">
      <c r="A32" s="180">
        <v>10</v>
      </c>
      <c r="B32" s="181">
        <v>1930</v>
      </c>
      <c r="C32" s="182" t="s">
        <v>33</v>
      </c>
      <c r="D32" s="222" t="s">
        <v>282</v>
      </c>
      <c r="E32" s="184">
        <f>'App. 2-B FA Continuity 2008'!H32</f>
        <v>1419779.2</v>
      </c>
      <c r="F32" s="183">
        <f>'[2]Summary Additions'!$G$27+'[2]Summary Additions'!$G$28+'[2]Summary Additions'!$G$29+'[2]Summary Additions'!$G$30+'[2]Summary Additions'!$G$31</f>
        <v>0</v>
      </c>
      <c r="G32" s="183">
        <v>144439</v>
      </c>
      <c r="H32" s="184">
        <f t="shared" si="0"/>
        <v>1275340.2</v>
      </c>
      <c r="I32" s="334"/>
      <c r="J32" s="184">
        <f>SUMIF('App. 2-B FA Continuity 2008'!B:B,B32,'App. 2-B FA Continuity 2008'!M:M)</f>
        <v>632305.75825</v>
      </c>
      <c r="K32" s="183">
        <f>'[2]Summary Deprec''n'!$G$28+'[2]Summary Deprec''n'!$G$29+'[2]Summary Deprec''n'!$G$30+'[2]Summary Deprec''n'!$G$31+'[2]Summary Deprec''n'!$G$32</f>
        <v>167077.41525</v>
      </c>
      <c r="L32" s="183">
        <v>137591.94</v>
      </c>
      <c r="M32" s="184">
        <f t="shared" si="1"/>
        <v>661791.2334999999</v>
      </c>
      <c r="N32" s="184">
        <f t="shared" si="2"/>
        <v>613548.9665000001</v>
      </c>
      <c r="O32" s="245"/>
    </row>
    <row r="33" spans="1:15" ht="12.75">
      <c r="A33" s="180">
        <v>8</v>
      </c>
      <c r="B33" s="181">
        <v>1935</v>
      </c>
      <c r="C33" s="182" t="s">
        <v>34</v>
      </c>
      <c r="D33" s="222">
        <v>0.1</v>
      </c>
      <c r="E33" s="184">
        <f>'App. 2-B FA Continuity 2008'!H33</f>
        <v>38889.42999999999</v>
      </c>
      <c r="F33" s="183">
        <f>'[2]Summary Additions'!$G$32</f>
        <v>314.28</v>
      </c>
      <c r="G33" s="183"/>
      <c r="H33" s="184">
        <f t="shared" si="0"/>
        <v>39203.70999999999</v>
      </c>
      <c r="I33" s="334"/>
      <c r="J33" s="184">
        <f>SUMIF('App. 2-B FA Continuity 2008'!B:B,B33,'App. 2-B FA Continuity 2008'!M:M)</f>
        <v>17271.247499999998</v>
      </c>
      <c r="K33" s="183">
        <f>'[2]Summary Deprec''n'!$G$33</f>
        <v>3904.6569999999992</v>
      </c>
      <c r="L33" s="183"/>
      <c r="M33" s="184">
        <f t="shared" si="1"/>
        <v>21175.904499999997</v>
      </c>
      <c r="N33" s="184">
        <f t="shared" si="2"/>
        <v>18027.805499999995</v>
      </c>
      <c r="O33" s="245"/>
    </row>
    <row r="34" spans="1:15" ht="12.75">
      <c r="A34" s="180">
        <v>8</v>
      </c>
      <c r="B34" s="181">
        <v>1940</v>
      </c>
      <c r="C34" s="182" t="s">
        <v>215</v>
      </c>
      <c r="D34" s="222">
        <v>0.1</v>
      </c>
      <c r="E34" s="184">
        <f>'App. 2-B FA Continuity 2008'!H34</f>
        <v>286531.54000000004</v>
      </c>
      <c r="F34" s="183">
        <f>'[2]Summary Additions'!$G$33+'[2]Summary Additions'!$G$34</f>
        <v>18145.61</v>
      </c>
      <c r="G34" s="183"/>
      <c r="H34" s="184">
        <f t="shared" si="0"/>
        <v>304677.15</v>
      </c>
      <c r="I34" s="334"/>
      <c r="J34" s="184">
        <f>SUMIF('App. 2-B FA Continuity 2008'!B:B,B34,'App. 2-B FA Continuity 2008'!M:M)</f>
        <v>116608.33075</v>
      </c>
      <c r="K34" s="183">
        <f>'[2]Summary Deprec'n'!$G$34+'[2]Summary Deprec'n'!$G$35</f>
        <v>30170.532750000002</v>
      </c>
      <c r="L34" s="183"/>
      <c r="M34" s="184">
        <f t="shared" si="1"/>
        <v>146778.8635</v>
      </c>
      <c r="N34" s="184">
        <f t="shared" si="2"/>
        <v>157898.28650000002</v>
      </c>
      <c r="O34" s="245"/>
    </row>
    <row r="35" spans="1:15" ht="12.75">
      <c r="A35" s="180">
        <v>8</v>
      </c>
      <c r="B35" s="181">
        <v>1945</v>
      </c>
      <c r="C35" s="182" t="s">
        <v>216</v>
      </c>
      <c r="D35" s="222">
        <v>0.1</v>
      </c>
      <c r="E35" s="184">
        <f>'App. 2-B FA Continuity 2008'!H35</f>
        <v>162716.77000000002</v>
      </c>
      <c r="F35" s="183">
        <f>'[2]Summary Additions'!$G$35</f>
        <v>16256.04</v>
      </c>
      <c r="G35" s="183"/>
      <c r="H35" s="184">
        <f t="shared" si="0"/>
        <v>178972.81000000003</v>
      </c>
      <c r="I35" s="334"/>
      <c r="J35" s="184">
        <f>SUMIF('App. 2-B FA Continuity 2008'!B:B,B35,'App. 2-B FA Continuity 2008'!M:M)</f>
        <v>75237.1145</v>
      </c>
      <c r="K35" s="183">
        <f>'[2]Summary Deprec''n'!$G$36</f>
        <v>17084.529000000002</v>
      </c>
      <c r="L35" s="183"/>
      <c r="M35" s="184">
        <f t="shared" si="1"/>
        <v>92321.6435</v>
      </c>
      <c r="N35" s="184">
        <f t="shared" si="2"/>
        <v>86651.16650000002</v>
      </c>
      <c r="O35" s="245"/>
    </row>
    <row r="36" spans="1:15" ht="12.75">
      <c r="A36" s="180">
        <v>8</v>
      </c>
      <c r="B36" s="181">
        <v>1950</v>
      </c>
      <c r="C36" s="182" t="s">
        <v>217</v>
      </c>
      <c r="D36" s="222">
        <v>0</v>
      </c>
      <c r="E36" s="184">
        <f>'App. 2-B FA Continuity 2008'!H36</f>
        <v>0</v>
      </c>
      <c r="F36" s="183">
        <f>0</f>
        <v>0</v>
      </c>
      <c r="G36" s="183"/>
      <c r="H36" s="184">
        <f t="shared" si="0"/>
        <v>0</v>
      </c>
      <c r="I36" s="334"/>
      <c r="J36" s="184">
        <f>SUMIF('App. 2-B FA Continuity 2008'!B:B,B36,'App. 2-B FA Continuity 2008'!M:M)</f>
        <v>0</v>
      </c>
      <c r="K36" s="183">
        <v>0</v>
      </c>
      <c r="L36" s="183"/>
      <c r="M36" s="184">
        <f t="shared" si="1"/>
        <v>0</v>
      </c>
      <c r="N36" s="184">
        <f t="shared" si="2"/>
        <v>0</v>
      </c>
      <c r="O36" s="245"/>
    </row>
    <row r="37" spans="1:15" ht="12.75">
      <c r="A37" s="180">
        <v>8</v>
      </c>
      <c r="B37" s="181">
        <v>1955</v>
      </c>
      <c r="C37" s="182" t="s">
        <v>218</v>
      </c>
      <c r="D37" s="222">
        <v>0.1</v>
      </c>
      <c r="E37" s="184">
        <f>'App. 2-B FA Continuity 2008'!H37</f>
        <v>106905.79000000001</v>
      </c>
      <c r="F37" s="183">
        <f>'[2]Summary Additions'!$G$36</f>
        <v>0</v>
      </c>
      <c r="G37" s="183"/>
      <c r="H37" s="184">
        <f t="shared" si="0"/>
        <v>106905.79000000001</v>
      </c>
      <c r="I37" s="334"/>
      <c r="J37" s="184">
        <f>SUMIF('App. 2-B FA Continuity 2008'!B:B,B37,'App. 2-B FA Continuity 2008'!M:M)</f>
        <v>34622.8965</v>
      </c>
      <c r="K37" s="183">
        <f>'[2]Summary Deprec''n'!$G$37</f>
        <v>10690.618999999999</v>
      </c>
      <c r="L37" s="183"/>
      <c r="M37" s="184">
        <f t="shared" si="1"/>
        <v>45313.5155</v>
      </c>
      <c r="N37" s="184">
        <f t="shared" si="2"/>
        <v>61592.27450000001</v>
      </c>
      <c r="O37" s="245"/>
    </row>
    <row r="38" spans="1:15" ht="12.75">
      <c r="A38" s="180">
        <v>8</v>
      </c>
      <c r="B38" s="181">
        <v>1960</v>
      </c>
      <c r="C38" s="182" t="s">
        <v>96</v>
      </c>
      <c r="D38" s="222">
        <v>0.1</v>
      </c>
      <c r="E38" s="184">
        <f>'App. 2-B FA Continuity 2008'!H38</f>
        <v>155197.72</v>
      </c>
      <c r="F38" s="183">
        <f>'[2]Summary Additions'!$G$37+'[2]Summary Additions'!$G$38</f>
        <v>244273.4</v>
      </c>
      <c r="G38" s="183"/>
      <c r="H38" s="184">
        <f t="shared" si="0"/>
        <v>399471.12</v>
      </c>
      <c r="I38" s="334"/>
      <c r="J38" s="184">
        <f>SUMIF('App. 2-B FA Continuity 2008'!B:B,B38,'App. 2-B FA Continuity 2008'!M:M)</f>
        <v>45116.80371428572</v>
      </c>
      <c r="K38" s="183">
        <f>'[2]Summary Deprec'n'!$G$38+'[2]Summary Deprec'n'!$G$39</f>
        <v>29019.75571428571</v>
      </c>
      <c r="L38" s="183"/>
      <c r="M38" s="184">
        <f>J38+K38-L38</f>
        <v>74136.55942857143</v>
      </c>
      <c r="N38" s="184">
        <f>H38-M38</f>
        <v>325334.56057142856</v>
      </c>
      <c r="O38" s="245"/>
    </row>
    <row r="39" spans="1:15" ht="12.75">
      <c r="A39" s="180">
        <v>47</v>
      </c>
      <c r="B39" s="181">
        <v>1970</v>
      </c>
      <c r="C39" s="182" t="s">
        <v>219</v>
      </c>
      <c r="D39" s="222">
        <v>0.1</v>
      </c>
      <c r="E39" s="184">
        <f>'App. 2-B FA Continuity 2008'!H39</f>
        <v>16564.260000000002</v>
      </c>
      <c r="F39" s="183">
        <f>'[2]Summary Additions'!$G$39</f>
        <v>0</v>
      </c>
      <c r="G39" s="183"/>
      <c r="H39" s="184">
        <f t="shared" si="0"/>
        <v>16564.260000000002</v>
      </c>
      <c r="I39" s="334"/>
      <c r="J39" s="184">
        <f>SUMIF('App. 2-B FA Continuity 2008'!B:B,B39,'App. 2-B FA Continuity 2008'!M:M)</f>
        <v>16564.66</v>
      </c>
      <c r="K39" s="183">
        <f>'[2]Summary Deprec''n'!$G$40</f>
        <v>0</v>
      </c>
      <c r="L39" s="183"/>
      <c r="M39" s="184">
        <f>J39+K39-L39</f>
        <v>16564.66</v>
      </c>
      <c r="N39" s="294">
        <f>H39-M39</f>
        <v>-0.3999999999978172</v>
      </c>
      <c r="O39" s="245"/>
    </row>
    <row r="40" spans="1:15" ht="12.75">
      <c r="A40" s="180">
        <v>47</v>
      </c>
      <c r="B40" s="181">
        <v>1975</v>
      </c>
      <c r="C40" s="182" t="s">
        <v>220</v>
      </c>
      <c r="D40" s="222">
        <v>0.1</v>
      </c>
      <c r="E40" s="184">
        <f>'App. 2-B FA Continuity 2008'!H40</f>
        <v>0</v>
      </c>
      <c r="F40" s="183">
        <v>0</v>
      </c>
      <c r="G40" s="183"/>
      <c r="H40" s="184">
        <f t="shared" si="0"/>
        <v>0</v>
      </c>
      <c r="I40" s="334"/>
      <c r="J40" s="184">
        <f>SUMIF('App. 2-B FA Continuity 2008'!B:B,B40,'App. 2-B FA Continuity 2008'!M:M)</f>
        <v>0</v>
      </c>
      <c r="K40" s="183">
        <v>0</v>
      </c>
      <c r="L40" s="183"/>
      <c r="M40" s="184">
        <f>J40+K40-L40</f>
        <v>0</v>
      </c>
      <c r="N40" s="184">
        <f>H40-M40</f>
        <v>0</v>
      </c>
      <c r="O40" s="245"/>
    </row>
    <row r="41" spans="1:15" ht="12.75">
      <c r="A41" s="180">
        <v>47</v>
      </c>
      <c r="B41" s="181">
        <v>1980</v>
      </c>
      <c r="C41" s="182" t="s">
        <v>97</v>
      </c>
      <c r="D41" s="222">
        <v>0.067</v>
      </c>
      <c r="E41" s="184">
        <f>'App. 2-B FA Continuity 2008'!H41</f>
        <v>612081.31</v>
      </c>
      <c r="F41" s="183">
        <f>'[2]Summary Additions'!$G$40</f>
        <v>1875.46</v>
      </c>
      <c r="G41" s="183"/>
      <c r="H41" s="184">
        <f t="shared" si="0"/>
        <v>613956.77</v>
      </c>
      <c r="I41" s="334"/>
      <c r="J41" s="184">
        <f>SUMIF('App. 2-B FA Continuity 2008'!B:B,B41,'App. 2-B FA Continuity 2008'!M:M)</f>
        <v>225777.81100000002</v>
      </c>
      <c r="K41" s="183">
        <f>'[2]Summary Deprec''n'!$G$41</f>
        <v>40867.90933333334</v>
      </c>
      <c r="L41" s="183"/>
      <c r="M41" s="184">
        <f>J41+K41-L41</f>
        <v>266645.72033333336</v>
      </c>
      <c r="N41" s="184">
        <f>H41-M41</f>
        <v>347311.04966666666</v>
      </c>
      <c r="O41" s="245"/>
    </row>
    <row r="42" spans="1:15" ht="12.75">
      <c r="A42" s="180">
        <v>47</v>
      </c>
      <c r="B42" s="181">
        <v>1985</v>
      </c>
      <c r="C42" s="182" t="s">
        <v>221</v>
      </c>
      <c r="D42" s="222">
        <v>0</v>
      </c>
      <c r="E42" s="184">
        <f>'App. 2-B FA Continuity 2008'!H42</f>
        <v>0</v>
      </c>
      <c r="F42" s="183">
        <v>0</v>
      </c>
      <c r="G42" s="183"/>
      <c r="H42" s="184">
        <f t="shared" si="0"/>
        <v>0</v>
      </c>
      <c r="I42" s="334"/>
      <c r="J42" s="184">
        <f>SUMIF('App. 2-B FA Continuity 2008'!B:B,B42,'App. 2-B FA Continuity 2008'!M:M)</f>
        <v>0</v>
      </c>
      <c r="K42" s="183">
        <v>0</v>
      </c>
      <c r="L42" s="183"/>
      <c r="M42" s="184">
        <f>J42+K42-L42</f>
        <v>0</v>
      </c>
      <c r="N42" s="184">
        <f>H42-M42</f>
        <v>0</v>
      </c>
      <c r="O42" s="245"/>
    </row>
    <row r="43" spans="1:15" ht="12.75">
      <c r="A43" s="180">
        <v>47</v>
      </c>
      <c r="B43" s="181">
        <v>1990</v>
      </c>
      <c r="C43" s="182" t="s">
        <v>222</v>
      </c>
      <c r="D43" s="222">
        <v>0</v>
      </c>
      <c r="E43" s="184">
        <f>'App. 2-B FA Continuity 2008'!H43</f>
        <v>0</v>
      </c>
      <c r="F43" s="183">
        <v>0</v>
      </c>
      <c r="G43" s="183"/>
      <c r="H43" s="184">
        <f t="shared" si="0"/>
        <v>0</v>
      </c>
      <c r="I43" s="334"/>
      <c r="J43" s="184">
        <f>SUMIF('App. 2-B FA Continuity 2008'!B:B,B43,'App. 2-B FA Continuity 2008'!M:M)</f>
        <v>0</v>
      </c>
      <c r="K43" s="183">
        <v>0</v>
      </c>
      <c r="L43" s="183"/>
      <c r="M43" s="184">
        <f t="shared" si="1"/>
        <v>0</v>
      </c>
      <c r="N43" s="184">
        <f t="shared" si="2"/>
        <v>0</v>
      </c>
      <c r="O43" s="245"/>
    </row>
    <row r="44" spans="1:15" ht="12.75">
      <c r="A44" s="180">
        <v>47</v>
      </c>
      <c r="B44" s="181">
        <v>1995</v>
      </c>
      <c r="C44" s="182" t="s">
        <v>223</v>
      </c>
      <c r="D44" s="222">
        <v>0.04</v>
      </c>
      <c r="E44" s="294">
        <f>'App. 2-B FA Continuity 2008'!H44</f>
        <v>-7122606.32</v>
      </c>
      <c r="F44" s="293">
        <f>'[2]Summary Additions'!$G$44</f>
        <v>-531414.03</v>
      </c>
      <c r="G44" s="183"/>
      <c r="H44" s="294">
        <f t="shared" si="0"/>
        <v>-7654020.350000001</v>
      </c>
      <c r="I44" s="334"/>
      <c r="J44" s="294">
        <f>SUMIF('App. 2-B FA Continuity 2008'!B:B,B44,'App. 2-B FA Continuity 2008'!M:M)</f>
        <v>-1313756.5908000001</v>
      </c>
      <c r="K44" s="293">
        <f>'[2]Summary Deprec''n'!$G$45</f>
        <v>-295532.55340000003</v>
      </c>
      <c r="L44" s="183"/>
      <c r="M44" s="294">
        <f t="shared" si="1"/>
        <v>-1609289.1442000002</v>
      </c>
      <c r="N44" s="294">
        <f t="shared" si="2"/>
        <v>-6044731.205800001</v>
      </c>
      <c r="O44" s="245"/>
    </row>
    <row r="45" spans="1:15" ht="12.75">
      <c r="A45" s="180">
        <f>'App. 2-B FA Continuity 2008'!A45</f>
        <v>8</v>
      </c>
      <c r="B45" s="181">
        <f>'App. 2-B FA Continuity 2008'!B45</f>
        <v>2005</v>
      </c>
      <c r="C45" s="182" t="str">
        <f>'App. 2-B FA Continuity 2008'!C45</f>
        <v>Property under Capital Lease</v>
      </c>
      <c r="D45" s="222">
        <v>0.1</v>
      </c>
      <c r="E45" s="184">
        <f>'App. 2-B FA Continuity 2008'!H45</f>
        <v>10039</v>
      </c>
      <c r="F45" s="183">
        <f>'[2]Summary Additions'!$G$46</f>
        <v>0</v>
      </c>
      <c r="G45" s="183"/>
      <c r="H45" s="184">
        <f t="shared" si="0"/>
        <v>10039</v>
      </c>
      <c r="I45" s="334"/>
      <c r="J45" s="184">
        <f>SUMIF('App. 2-B FA Continuity 2008'!B:B,B45,'App. 2-B FA Continuity 2008'!M:M)</f>
        <v>4015.7200000000003</v>
      </c>
      <c r="K45" s="183">
        <f>'[2]Summary Deprec''n'!$G$47</f>
        <v>1003.86</v>
      </c>
      <c r="L45" s="183"/>
      <c r="M45" s="184">
        <f t="shared" si="1"/>
        <v>5019.58</v>
      </c>
      <c r="N45" s="184">
        <f t="shared" si="2"/>
        <v>5019.42</v>
      </c>
      <c r="O45" s="245"/>
    </row>
    <row r="46" spans="1:15" ht="12.75">
      <c r="A46" s="180"/>
      <c r="B46" s="187"/>
      <c r="C46" s="188" t="s">
        <v>248</v>
      </c>
      <c r="D46" s="223"/>
      <c r="E46" s="189">
        <f>SUM(E10:E45)</f>
        <v>65565576.540000044</v>
      </c>
      <c r="F46" s="189">
        <f aca="true" t="shared" si="3" ref="F46:N46">SUM(F10:F45)</f>
        <v>3596316.629999999</v>
      </c>
      <c r="G46" s="189">
        <f t="shared" si="3"/>
        <v>144439</v>
      </c>
      <c r="H46" s="189">
        <f t="shared" si="3"/>
        <v>69017454.17000003</v>
      </c>
      <c r="I46" s="334"/>
      <c r="J46" s="189">
        <f>SUM(J10:J45)</f>
        <v>22844681.250114284</v>
      </c>
      <c r="K46" s="189">
        <f>SUM(K10:K45)</f>
        <v>2782084.9690809525</v>
      </c>
      <c r="L46" s="189">
        <f t="shared" si="3"/>
        <v>137591.94</v>
      </c>
      <c r="M46" s="189">
        <f>SUM(M10:M45)</f>
        <v>25489174.27919524</v>
      </c>
      <c r="N46" s="189">
        <f t="shared" si="3"/>
        <v>43528279.89080475</v>
      </c>
      <c r="O46" s="245"/>
    </row>
    <row r="47" spans="1:15" ht="12.75">
      <c r="A47" s="180"/>
      <c r="B47" s="187"/>
      <c r="C47" s="182"/>
      <c r="D47" s="222"/>
      <c r="E47" s="184"/>
      <c r="F47" s="184"/>
      <c r="G47" s="184"/>
      <c r="H47" s="184"/>
      <c r="I47" s="334"/>
      <c r="J47" s="184"/>
      <c r="K47" s="184"/>
      <c r="L47" s="184"/>
      <c r="M47" s="184"/>
      <c r="N47" s="184"/>
      <c r="O47" s="245"/>
    </row>
    <row r="48" spans="1:15" ht="12.75">
      <c r="A48" s="180" t="s">
        <v>257</v>
      </c>
      <c r="B48" s="187"/>
      <c r="C48" s="182" t="s">
        <v>258</v>
      </c>
      <c r="D48" s="222">
        <v>0</v>
      </c>
      <c r="E48" s="184">
        <f>'App. 2-B FA Continuity 2008'!H48</f>
        <v>0.4299999999930151</v>
      </c>
      <c r="F48" s="183">
        <f>'[2]Summary Additions'!$G$48</f>
        <v>5472038.35</v>
      </c>
      <c r="G48" s="183"/>
      <c r="H48" s="184">
        <f>E48+F48-G48</f>
        <v>5472038.779999999</v>
      </c>
      <c r="I48" s="334"/>
      <c r="J48" s="184">
        <f>'App. 2-B FA Continuity 2008'!M48</f>
        <v>0</v>
      </c>
      <c r="K48" s="183">
        <v>0</v>
      </c>
      <c r="L48" s="183"/>
      <c r="M48" s="184">
        <f>J48+K48-L48</f>
        <v>0</v>
      </c>
      <c r="N48" s="184">
        <f>H48-M48</f>
        <v>5472038.779999999</v>
      </c>
      <c r="O48" s="245"/>
    </row>
    <row r="49" spans="1:15" ht="12.75">
      <c r="A49" s="180"/>
      <c r="B49" s="187"/>
      <c r="C49" s="188" t="s">
        <v>249</v>
      </c>
      <c r="D49" s="188"/>
      <c r="E49" s="189">
        <f>SUM(E46:E48)</f>
        <v>65565576.97000004</v>
      </c>
      <c r="F49" s="189">
        <f>SUM(F46:F48)</f>
        <v>9068354.979999999</v>
      </c>
      <c r="G49" s="189">
        <f>SUM(G46:G48)</f>
        <v>144439</v>
      </c>
      <c r="H49" s="189">
        <f>SUM(H46:H48)</f>
        <v>74489492.95000003</v>
      </c>
      <c r="I49" s="334"/>
      <c r="J49" s="189">
        <f>SUM(J46:J48)</f>
        <v>22844681.250114284</v>
      </c>
      <c r="K49" s="189">
        <f>SUM(K46:K48)</f>
        <v>2782084.9690809525</v>
      </c>
      <c r="L49" s="189">
        <f>SUM(L46:L48)</f>
        <v>137591.94</v>
      </c>
      <c r="M49" s="189">
        <f>SUM(M46:M48)</f>
        <v>25489174.27919524</v>
      </c>
      <c r="N49" s="189">
        <f>SUM(N46:N48)</f>
        <v>49000318.670804754</v>
      </c>
      <c r="O49" s="245"/>
    </row>
    <row r="50" spans="1:15" ht="12.75">
      <c r="A50" s="239"/>
      <c r="B50" s="226"/>
      <c r="C50" s="227"/>
      <c r="D50" s="227"/>
      <c r="E50" s="228"/>
      <c r="F50" s="228"/>
      <c r="G50" s="228"/>
      <c r="H50" s="228"/>
      <c r="I50" s="229"/>
      <c r="J50" s="229"/>
      <c r="K50" s="229"/>
      <c r="L50" s="229"/>
      <c r="M50" s="229"/>
      <c r="N50" s="229"/>
      <c r="O50" s="236"/>
    </row>
    <row r="51" spans="1:15" ht="12.75">
      <c r="A51" s="226"/>
      <c r="B51" s="226"/>
      <c r="C51" s="227"/>
      <c r="D51" s="227"/>
      <c r="E51" s="228"/>
      <c r="F51" s="228"/>
      <c r="G51" s="228"/>
      <c r="H51" s="228"/>
      <c r="I51" s="319" t="s">
        <v>250</v>
      </c>
      <c r="J51" s="319"/>
      <c r="K51" s="319"/>
      <c r="L51" s="229"/>
      <c r="M51" s="236"/>
      <c r="N51" s="229"/>
      <c r="O51" s="236"/>
    </row>
    <row r="52" spans="1:15" ht="12.75">
      <c r="A52" s="168">
        <v>10</v>
      </c>
      <c r="B52" s="71">
        <v>1930</v>
      </c>
      <c r="C52" s="167" t="s">
        <v>44</v>
      </c>
      <c r="D52" s="232"/>
      <c r="E52" s="228"/>
      <c r="F52" s="228"/>
      <c r="G52" s="228"/>
      <c r="H52" s="228"/>
      <c r="I52" s="335" t="s">
        <v>44</v>
      </c>
      <c r="J52" s="335"/>
      <c r="K52" s="190">
        <f>K32</f>
        <v>167077.41525</v>
      </c>
      <c r="L52" s="229"/>
      <c r="M52" s="236"/>
      <c r="N52" s="229"/>
      <c r="O52" s="236"/>
    </row>
    <row r="53" spans="1:15" ht="12.75">
      <c r="A53" s="166">
        <v>10</v>
      </c>
      <c r="B53" s="71" t="s">
        <v>259</v>
      </c>
      <c r="C53" s="167" t="s">
        <v>260</v>
      </c>
      <c r="D53" s="232"/>
      <c r="E53" s="228"/>
      <c r="F53" s="228"/>
      <c r="G53" s="228"/>
      <c r="H53" s="228"/>
      <c r="I53" s="335" t="s">
        <v>251</v>
      </c>
      <c r="J53" s="335"/>
      <c r="K53" s="190">
        <f>K33+K34+K45</f>
        <v>35079.049750000006</v>
      </c>
      <c r="L53" s="229"/>
      <c r="M53" s="236"/>
      <c r="N53" s="229"/>
      <c r="O53" s="236"/>
    </row>
    <row r="54" spans="1:15" ht="12.75">
      <c r="A54" s="220" t="s">
        <v>274</v>
      </c>
      <c r="B54" s="221" t="s">
        <v>261</v>
      </c>
      <c r="C54" s="167" t="s">
        <v>262</v>
      </c>
      <c r="D54" s="232"/>
      <c r="E54" s="228"/>
      <c r="F54" s="228"/>
      <c r="G54" s="228"/>
      <c r="H54" s="228"/>
      <c r="I54" s="246" t="s">
        <v>264</v>
      </c>
      <c r="J54" s="246"/>
      <c r="K54" s="190">
        <f>K30+K31-'[2]Summary Deprec''n'!$G$42</f>
        <v>157326.76900000003</v>
      </c>
      <c r="L54" s="229"/>
      <c r="M54" s="236"/>
      <c r="N54" s="229"/>
      <c r="O54" s="236"/>
    </row>
    <row r="55" spans="1:15" ht="13.5" thickBot="1">
      <c r="A55" s="226"/>
      <c r="B55" s="226"/>
      <c r="C55" s="227"/>
      <c r="D55" s="227"/>
      <c r="E55" s="228"/>
      <c r="F55" s="228"/>
      <c r="G55" s="228"/>
      <c r="H55" s="228"/>
      <c r="I55" s="319" t="s">
        <v>45</v>
      </c>
      <c r="J55" s="319"/>
      <c r="K55" s="191">
        <f>K49-K52-K53-K54</f>
        <v>2422601.7350809523</v>
      </c>
      <c r="L55" s="229"/>
      <c r="M55" s="236"/>
      <c r="N55" s="229"/>
      <c r="O55" s="236"/>
    </row>
    <row r="56" spans="1:15" ht="13.5" thickTop="1">
      <c r="A56" s="226"/>
      <c r="B56" s="226"/>
      <c r="C56" s="227"/>
      <c r="D56" s="227"/>
      <c r="E56" s="228"/>
      <c r="F56" s="228"/>
      <c r="G56" s="228"/>
      <c r="H56" s="228"/>
      <c r="I56" s="229"/>
      <c r="J56" s="229"/>
      <c r="K56" s="229"/>
      <c r="L56" s="229"/>
      <c r="M56" s="236"/>
      <c r="N56" s="229"/>
      <c r="O56" s="236"/>
    </row>
    <row r="57" spans="1:15" ht="12.75">
      <c r="A57" s="236"/>
      <c r="B57" s="236"/>
      <c r="C57" s="236"/>
      <c r="D57" s="236"/>
      <c r="E57" s="236"/>
      <c r="F57" s="236"/>
      <c r="G57" s="236"/>
      <c r="H57" s="236"/>
      <c r="I57" s="169"/>
      <c r="J57" s="236"/>
      <c r="K57" s="236"/>
      <c r="L57" s="236"/>
      <c r="M57" s="236"/>
      <c r="N57" s="236"/>
      <c r="O57" s="236"/>
    </row>
    <row r="58" spans="1:15" ht="12.75">
      <c r="A58" s="236"/>
      <c r="B58" s="236"/>
      <c r="C58" s="236"/>
      <c r="D58" s="236"/>
      <c r="E58" s="236"/>
      <c r="F58" s="236"/>
      <c r="G58" s="236"/>
      <c r="H58" s="236"/>
      <c r="I58" s="169"/>
      <c r="J58" s="236"/>
      <c r="K58" s="236"/>
      <c r="L58" s="236"/>
      <c r="M58" s="236"/>
      <c r="N58" s="236"/>
      <c r="O58" s="236"/>
    </row>
    <row r="59" spans="1:15" ht="12.75">
      <c r="A59" s="236"/>
      <c r="B59" s="236"/>
      <c r="C59" s="236"/>
      <c r="D59" s="236"/>
      <c r="E59" s="236"/>
      <c r="F59" s="236"/>
      <c r="G59" s="236"/>
      <c r="H59" s="236"/>
      <c r="I59" s="169"/>
      <c r="J59" s="236"/>
      <c r="K59" s="236"/>
      <c r="L59" s="236"/>
      <c r="M59" s="236"/>
      <c r="N59" s="236"/>
      <c r="O59" s="236"/>
    </row>
    <row r="60" spans="1:15" ht="12.75">
      <c r="A60" s="236"/>
      <c r="B60" s="236"/>
      <c r="C60" s="236"/>
      <c r="D60" s="236"/>
      <c r="E60" s="236"/>
      <c r="F60" s="236"/>
      <c r="G60" s="236"/>
      <c r="H60" s="236"/>
      <c r="I60" s="169"/>
      <c r="J60" s="236"/>
      <c r="K60" s="236"/>
      <c r="L60" s="236"/>
      <c r="M60" s="236"/>
      <c r="N60" s="236"/>
      <c r="O60" s="236"/>
    </row>
    <row r="61" spans="1:15" ht="12.75">
      <c r="A61" s="169"/>
      <c r="B61" s="169"/>
      <c r="C61" s="169"/>
      <c r="D61" s="169"/>
      <c r="E61" s="169"/>
      <c r="F61" s="169"/>
      <c r="G61" s="169"/>
      <c r="H61" s="236"/>
      <c r="I61" s="169"/>
      <c r="J61" s="236"/>
      <c r="K61" s="236"/>
      <c r="L61" s="236"/>
      <c r="M61" s="236"/>
      <c r="N61" s="236"/>
      <c r="O61" s="236"/>
    </row>
    <row r="62" spans="1:14" ht="12.75">
      <c r="A62" s="169"/>
      <c r="B62" s="169"/>
      <c r="C62" s="169"/>
      <c r="D62" s="169"/>
      <c r="E62" s="169"/>
      <c r="F62" s="169"/>
      <c r="G62" s="169"/>
      <c r="H62" s="236"/>
      <c r="I62" s="169"/>
      <c r="J62" s="236"/>
      <c r="K62" s="236"/>
      <c r="L62" s="236"/>
      <c r="M62" s="236"/>
      <c r="N62" s="236"/>
    </row>
    <row r="63" spans="1:14" ht="12.75">
      <c r="A63" s="169"/>
      <c r="B63" s="169"/>
      <c r="C63" s="169"/>
      <c r="D63" s="169"/>
      <c r="E63" s="169"/>
      <c r="F63" s="169"/>
      <c r="G63" s="169"/>
      <c r="H63" s="169"/>
      <c r="I63" s="169"/>
      <c r="J63" s="236"/>
      <c r="K63" s="236"/>
      <c r="L63" s="236"/>
      <c r="M63" s="236"/>
      <c r="N63" s="236"/>
    </row>
    <row r="64" spans="3:14" ht="12.75">
      <c r="C64" s="178"/>
      <c r="D64" s="178"/>
      <c r="E64" s="171"/>
      <c r="F64" s="171"/>
      <c r="G64" s="171"/>
      <c r="H64" s="171"/>
      <c r="I64" s="172"/>
      <c r="J64" s="241"/>
      <c r="K64" s="241"/>
      <c r="L64" s="241"/>
      <c r="M64" s="241"/>
      <c r="N64" s="241"/>
    </row>
    <row r="65" spans="3:14" ht="12.75">
      <c r="C65" s="178"/>
      <c r="D65" s="178"/>
      <c r="E65" s="171"/>
      <c r="F65" s="171"/>
      <c r="G65" s="171"/>
      <c r="H65" s="171"/>
      <c r="I65" s="172"/>
      <c r="J65" s="173"/>
      <c r="K65" s="173"/>
      <c r="L65" s="241"/>
      <c r="M65" s="241"/>
      <c r="N65" s="241"/>
    </row>
  </sheetData>
  <sheetProtection/>
  <mergeCells count="26">
    <mergeCell ref="G8:G9"/>
    <mergeCell ref="H8:H9"/>
    <mergeCell ref="I8:I49"/>
    <mergeCell ref="A1:N1"/>
    <mergeCell ref="A2:N2"/>
    <mergeCell ref="A3:C3"/>
    <mergeCell ref="A4:C4"/>
    <mergeCell ref="A5:C5"/>
    <mergeCell ref="E6:H6"/>
    <mergeCell ref="J6:M6"/>
    <mergeCell ref="M8:M9"/>
    <mergeCell ref="N8:N9"/>
    <mergeCell ref="I51:K51"/>
    <mergeCell ref="E7:H7"/>
    <mergeCell ref="J7:M7"/>
    <mergeCell ref="A8:A9"/>
    <mergeCell ref="B8:B9"/>
    <mergeCell ref="C8:C9"/>
    <mergeCell ref="E8:E9"/>
    <mergeCell ref="F8:F9"/>
    <mergeCell ref="I52:J52"/>
    <mergeCell ref="I53:J53"/>
    <mergeCell ref="I55:J55"/>
    <mergeCell ref="J8:J9"/>
    <mergeCell ref="K8:K9"/>
    <mergeCell ref="L8:L9"/>
  </mergeCells>
  <printOptions/>
  <pageMargins left="0.35433070866141736" right="0.35433070866141736" top="0.7874015748031497" bottom="0.7874015748031497" header="0.5118110236220472" footer="0.5118110236220472"/>
  <pageSetup fitToHeight="1" fitToWidth="1" horizontalDpi="355" verticalDpi="355" orientation="landscape" scale="66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pane ySplit="9" topLeftCell="A10" activePane="bottomLeft" state="frozen"/>
      <selection pane="topLeft" activeCell="A54" sqref="A54"/>
      <selection pane="bottomLeft" activeCell="A6" sqref="A6:N56"/>
    </sheetView>
  </sheetViews>
  <sheetFormatPr defaultColWidth="9.140625" defaultRowHeight="12.75"/>
  <cols>
    <col min="1" max="1" width="7.140625" style="176" customWidth="1"/>
    <col min="2" max="2" width="7.421875" style="177" customWidth="1"/>
    <col min="3" max="3" width="49.421875" style="174" customWidth="1"/>
    <col min="4" max="4" width="13.8515625" style="174" customWidth="1"/>
    <col min="5" max="5" width="15.7109375" style="174" customWidth="1"/>
    <col min="6" max="6" width="14.8515625" style="174" customWidth="1"/>
    <col min="7" max="7" width="12.8515625" style="174" customWidth="1"/>
    <col min="8" max="8" width="15.7109375" style="174" customWidth="1"/>
    <col min="9" max="9" width="0.85546875" style="174" customWidth="1"/>
    <col min="10" max="10" width="16.8515625" style="174" customWidth="1"/>
    <col min="11" max="11" width="12.57421875" style="174" customWidth="1"/>
    <col min="12" max="12" width="11.00390625" style="174" customWidth="1"/>
    <col min="13" max="14" width="14.00390625" style="174" customWidth="1"/>
    <col min="15" max="15" width="15.28125" style="169" customWidth="1"/>
    <col min="16" max="16" width="9.57421875" style="169" bestFit="1" customWidth="1"/>
    <col min="17" max="16384" width="9.140625" style="169" customWidth="1"/>
  </cols>
  <sheetData>
    <row r="1" spans="1:14" ht="12.75">
      <c r="A1" s="329" t="str">
        <f>'[5]Trial Balance'!A1:H1</f>
        <v>Norfolk Power Distribution Inc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ht="12.75">
      <c r="A2" s="329" t="str">
        <f>'[5]Trial Balance'!A2:H2</f>
        <v>2011 Cost of Service Application, License Number ED-2002-0521, File Number EB-2010-0139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.75">
      <c r="A3" s="330"/>
      <c r="B3" s="330"/>
      <c r="C3" s="330"/>
      <c r="D3" s="170"/>
      <c r="E3" s="171"/>
      <c r="F3" s="171"/>
      <c r="G3" s="171"/>
      <c r="H3" s="171"/>
      <c r="I3" s="172"/>
      <c r="J3" s="173"/>
      <c r="K3" s="173"/>
      <c r="L3" s="173"/>
      <c r="M3" s="173"/>
      <c r="N3" s="173"/>
    </row>
    <row r="4" spans="1:14" ht="12.75">
      <c r="A4" s="330" t="s">
        <v>245</v>
      </c>
      <c r="B4" s="330"/>
      <c r="C4" s="330"/>
      <c r="D4" s="170"/>
      <c r="E4" s="171"/>
      <c r="F4" s="171"/>
      <c r="G4" s="171"/>
      <c r="I4" s="172"/>
      <c r="J4" s="173"/>
      <c r="K4" s="173"/>
      <c r="L4" s="173"/>
      <c r="M4" s="173"/>
      <c r="N4" s="173"/>
    </row>
    <row r="5" spans="1:14" ht="12.75">
      <c r="A5" s="330" t="s">
        <v>265</v>
      </c>
      <c r="B5" s="330"/>
      <c r="C5" s="330"/>
      <c r="D5" s="170"/>
      <c r="E5" s="171"/>
      <c r="F5" s="171"/>
      <c r="G5" s="171"/>
      <c r="I5" s="172"/>
      <c r="J5" s="173"/>
      <c r="K5" s="173"/>
      <c r="L5" s="173"/>
      <c r="M5" s="173"/>
      <c r="N5" s="173"/>
    </row>
    <row r="6" spans="1:15" ht="12.75">
      <c r="A6" s="239"/>
      <c r="B6" s="226"/>
      <c r="C6" s="227"/>
      <c r="D6" s="227"/>
      <c r="E6" s="331" t="s">
        <v>7</v>
      </c>
      <c r="F6" s="332"/>
      <c r="G6" s="332"/>
      <c r="H6" s="333"/>
      <c r="I6" s="242"/>
      <c r="J6" s="331" t="s">
        <v>8</v>
      </c>
      <c r="K6" s="332"/>
      <c r="L6" s="332"/>
      <c r="M6" s="333"/>
      <c r="N6" s="241"/>
      <c r="O6" s="236"/>
    </row>
    <row r="7" spans="1:15" ht="12.75">
      <c r="A7" s="239"/>
      <c r="B7" s="226"/>
      <c r="C7" s="240"/>
      <c r="D7" s="240"/>
      <c r="E7" s="322"/>
      <c r="F7" s="323"/>
      <c r="G7" s="323"/>
      <c r="H7" s="324"/>
      <c r="I7" s="242"/>
      <c r="J7" s="322"/>
      <c r="K7" s="323"/>
      <c r="L7" s="323"/>
      <c r="M7" s="324"/>
      <c r="N7" s="241"/>
      <c r="O7" s="236"/>
    </row>
    <row r="8" spans="1:15" s="202" customFormat="1" ht="12.75">
      <c r="A8" s="325" t="s">
        <v>0</v>
      </c>
      <c r="B8" s="325" t="s">
        <v>1</v>
      </c>
      <c r="C8" s="320" t="s">
        <v>2</v>
      </c>
      <c r="D8" s="288" t="s">
        <v>278</v>
      </c>
      <c r="E8" s="320" t="s">
        <v>3</v>
      </c>
      <c r="F8" s="320" t="s">
        <v>4</v>
      </c>
      <c r="G8" s="320" t="s">
        <v>5</v>
      </c>
      <c r="H8" s="320" t="s">
        <v>6</v>
      </c>
      <c r="I8" s="334"/>
      <c r="J8" s="320" t="s">
        <v>3</v>
      </c>
      <c r="K8" s="320" t="s">
        <v>4</v>
      </c>
      <c r="L8" s="320" t="s">
        <v>5</v>
      </c>
      <c r="M8" s="320" t="s">
        <v>6</v>
      </c>
      <c r="N8" s="320" t="s">
        <v>49</v>
      </c>
      <c r="O8" s="243"/>
    </row>
    <row r="9" spans="1:15" s="202" customFormat="1" ht="12.75">
      <c r="A9" s="326"/>
      <c r="B9" s="326"/>
      <c r="C9" s="321"/>
      <c r="D9" s="289" t="s">
        <v>93</v>
      </c>
      <c r="E9" s="321" t="s">
        <v>247</v>
      </c>
      <c r="F9" s="321" t="s">
        <v>4</v>
      </c>
      <c r="G9" s="321"/>
      <c r="H9" s="321"/>
      <c r="I9" s="334"/>
      <c r="J9" s="321" t="s">
        <v>247</v>
      </c>
      <c r="K9" s="321" t="s">
        <v>4</v>
      </c>
      <c r="L9" s="321"/>
      <c r="M9" s="321"/>
      <c r="N9" s="321"/>
      <c r="O9" s="243"/>
    </row>
    <row r="10" spans="1:15" ht="12.75">
      <c r="A10" s="180" t="s">
        <v>9</v>
      </c>
      <c r="B10" s="181">
        <v>1805</v>
      </c>
      <c r="C10" s="210" t="s">
        <v>10</v>
      </c>
      <c r="D10" s="222">
        <v>0</v>
      </c>
      <c r="E10" s="211">
        <f>'App 2-B FA Continuity 2009'!H10</f>
        <v>391259.13</v>
      </c>
      <c r="F10" s="183">
        <f>'[2]Summary Additions'!$I$7</f>
        <v>0</v>
      </c>
      <c r="G10" s="183">
        <v>0</v>
      </c>
      <c r="H10" s="184">
        <f aca="true" t="shared" si="0" ref="H10:H45">E10+F10-G10</f>
        <v>391259.13</v>
      </c>
      <c r="I10" s="334"/>
      <c r="J10" s="184">
        <f>'App 2-B FA Continuity 2009'!M10</f>
        <v>0</v>
      </c>
      <c r="K10" s="183">
        <f>'[2]Summary Deprec''n'!$I$8</f>
        <v>0</v>
      </c>
      <c r="L10" s="183">
        <v>0</v>
      </c>
      <c r="M10" s="184">
        <f aca="true" t="shared" si="1" ref="M10:M44">J10+K10-L10</f>
        <v>0</v>
      </c>
      <c r="N10" s="184">
        <f aca="true" t="shared" si="2" ref="N10:N44">H10-M10</f>
        <v>391259.13</v>
      </c>
      <c r="O10" s="245"/>
    </row>
    <row r="11" spans="1:15" ht="12.75">
      <c r="A11" s="180" t="s">
        <v>24</v>
      </c>
      <c r="B11" s="181">
        <v>1806</v>
      </c>
      <c r="C11" s="210" t="s">
        <v>25</v>
      </c>
      <c r="D11" s="222">
        <v>0</v>
      </c>
      <c r="E11" s="211">
        <f>'App 2-B FA Continuity 2009'!H11</f>
        <v>302784.45</v>
      </c>
      <c r="F11" s="183">
        <f>'[2]Summary Additions'!$I$8</f>
        <v>1000</v>
      </c>
      <c r="G11" s="183">
        <v>0</v>
      </c>
      <c r="H11" s="184">
        <f t="shared" si="0"/>
        <v>303784.45</v>
      </c>
      <c r="I11" s="334"/>
      <c r="J11" s="184">
        <f>'App 2-B FA Continuity 2009'!M11</f>
        <v>0</v>
      </c>
      <c r="K11" s="183">
        <f>'[2]Summary Deprec''n'!$I$9</f>
        <v>0</v>
      </c>
      <c r="L11" s="183">
        <v>0</v>
      </c>
      <c r="M11" s="184">
        <f t="shared" si="1"/>
        <v>0</v>
      </c>
      <c r="N11" s="184">
        <f t="shared" si="2"/>
        <v>303784.45</v>
      </c>
      <c r="O11" s="245"/>
    </row>
    <row r="12" spans="1:15" ht="12.75">
      <c r="A12" s="180">
        <v>47</v>
      </c>
      <c r="B12" s="181">
        <v>1808</v>
      </c>
      <c r="C12" s="210" t="s">
        <v>205</v>
      </c>
      <c r="D12" s="222">
        <v>0.02</v>
      </c>
      <c r="E12" s="211">
        <f>'App 2-B FA Continuity 2009'!H12</f>
        <v>1615716.99</v>
      </c>
      <c r="F12" s="183">
        <f>'[2]Summary Additions'!$I$9</f>
        <v>0</v>
      </c>
      <c r="G12" s="183">
        <v>0</v>
      </c>
      <c r="H12" s="184">
        <f t="shared" si="0"/>
        <v>1615716.99</v>
      </c>
      <c r="I12" s="334"/>
      <c r="J12" s="184">
        <f>'App 2-B FA Continuity 2009'!M12</f>
        <v>148217.5069</v>
      </c>
      <c r="K12" s="183">
        <f>'[2]Summary Deprec''n'!$I$10</f>
        <v>32314.3498</v>
      </c>
      <c r="L12" s="183">
        <v>0</v>
      </c>
      <c r="M12" s="184">
        <f t="shared" si="1"/>
        <v>180531.8567</v>
      </c>
      <c r="N12" s="184">
        <f t="shared" si="2"/>
        <v>1435185.1332999999</v>
      </c>
      <c r="O12" s="245"/>
    </row>
    <row r="13" spans="1:15" ht="12.75">
      <c r="A13" s="180">
        <v>13</v>
      </c>
      <c r="B13" s="181">
        <v>1810</v>
      </c>
      <c r="C13" s="210" t="s">
        <v>47</v>
      </c>
      <c r="D13" s="222">
        <v>0</v>
      </c>
      <c r="E13" s="211">
        <f>'App 2-B FA Continuity 2009'!H13</f>
        <v>0</v>
      </c>
      <c r="F13" s="183">
        <v>0</v>
      </c>
      <c r="G13" s="183">
        <v>0</v>
      </c>
      <c r="H13" s="184">
        <f t="shared" si="0"/>
        <v>0</v>
      </c>
      <c r="I13" s="334"/>
      <c r="J13" s="184">
        <f>'App 2-B FA Continuity 2009'!M13</f>
        <v>0</v>
      </c>
      <c r="K13" s="183">
        <v>0</v>
      </c>
      <c r="L13" s="183">
        <v>0</v>
      </c>
      <c r="M13" s="184">
        <f t="shared" si="1"/>
        <v>0</v>
      </c>
      <c r="N13" s="184">
        <f t="shared" si="2"/>
        <v>0</v>
      </c>
      <c r="O13" s="236"/>
    </row>
    <row r="14" spans="1:15" ht="12.75">
      <c r="A14" s="180">
        <v>47</v>
      </c>
      <c r="B14" s="181">
        <v>1815</v>
      </c>
      <c r="C14" s="210" t="s">
        <v>276</v>
      </c>
      <c r="D14" s="222">
        <v>0.025</v>
      </c>
      <c r="E14" s="211">
        <f>'App 2-B FA Continuity 2009'!H14</f>
        <v>3215596.34</v>
      </c>
      <c r="F14" s="183">
        <f>-F48+'[2]Summary Additions'!$I$10</f>
        <v>5697038.779999999</v>
      </c>
      <c r="G14" s="183">
        <v>0</v>
      </c>
      <c r="H14" s="184">
        <f t="shared" si="0"/>
        <v>8912635.12</v>
      </c>
      <c r="I14" s="334"/>
      <c r="J14" s="184">
        <f>'App 2-B FA Continuity 2009'!M14</f>
        <v>372750.635</v>
      </c>
      <c r="K14" s="183">
        <f>'[2]Summary Deprec'n'!$I$11+'[2]Summary Deprec'n'!$I$7</f>
        <v>151639.430375</v>
      </c>
      <c r="L14" s="183">
        <v>0</v>
      </c>
      <c r="M14" s="184">
        <f t="shared" si="1"/>
        <v>524390.065375</v>
      </c>
      <c r="N14" s="184">
        <f t="shared" si="2"/>
        <v>8388245.054624999</v>
      </c>
      <c r="O14" s="245"/>
    </row>
    <row r="15" spans="1:16" ht="12.75">
      <c r="A15" s="180">
        <v>47</v>
      </c>
      <c r="B15" s="181">
        <v>1820</v>
      </c>
      <c r="C15" s="210" t="s">
        <v>277</v>
      </c>
      <c r="D15" s="222">
        <v>0.033</v>
      </c>
      <c r="E15" s="211">
        <f>'App 2-B FA Continuity 2009'!H15</f>
        <v>4120927.64</v>
      </c>
      <c r="F15" s="183">
        <f>'[2]Summary Additions'!$I$11</f>
        <v>45000</v>
      </c>
      <c r="G15" s="183">
        <v>0</v>
      </c>
      <c r="H15" s="184">
        <f t="shared" si="0"/>
        <v>4165927.64</v>
      </c>
      <c r="I15" s="334"/>
      <c r="J15" s="184">
        <f>'App 2-B FA Continuity 2009'!M15</f>
        <v>1662414.0738333333</v>
      </c>
      <c r="K15" s="183">
        <f>'[2]Summary Deprec''n'!$I$12</f>
        <v>87491.75233333334</v>
      </c>
      <c r="L15" s="183">
        <v>0</v>
      </c>
      <c r="M15" s="184">
        <f t="shared" si="1"/>
        <v>1749905.8261666666</v>
      </c>
      <c r="N15" s="184">
        <f t="shared" si="2"/>
        <v>2416021.8138333336</v>
      </c>
      <c r="O15" s="236"/>
      <c r="P15" s="186"/>
    </row>
    <row r="16" spans="1:15" ht="12.75">
      <c r="A16" s="180">
        <v>47</v>
      </c>
      <c r="B16" s="181">
        <v>1825</v>
      </c>
      <c r="C16" s="210" t="s">
        <v>14</v>
      </c>
      <c r="D16" s="222">
        <v>0</v>
      </c>
      <c r="E16" s="211">
        <f>'App 2-B FA Continuity 2009'!H16</f>
        <v>0</v>
      </c>
      <c r="F16" s="183">
        <v>0</v>
      </c>
      <c r="G16" s="183">
        <v>0</v>
      </c>
      <c r="H16" s="184">
        <f t="shared" si="0"/>
        <v>0</v>
      </c>
      <c r="I16" s="334"/>
      <c r="J16" s="184">
        <f>'App 2-B FA Continuity 2009'!M16</f>
        <v>0</v>
      </c>
      <c r="K16" s="183">
        <v>0</v>
      </c>
      <c r="L16" s="183">
        <v>0</v>
      </c>
      <c r="M16" s="184">
        <f t="shared" si="1"/>
        <v>0</v>
      </c>
      <c r="N16" s="184">
        <f t="shared" si="2"/>
        <v>0</v>
      </c>
      <c r="O16" s="245"/>
    </row>
    <row r="17" spans="1:15" ht="12.75">
      <c r="A17" s="180">
        <v>47</v>
      </c>
      <c r="B17" s="181">
        <v>1830</v>
      </c>
      <c r="C17" s="210" t="s">
        <v>208</v>
      </c>
      <c r="D17" s="222">
        <v>0.04</v>
      </c>
      <c r="E17" s="211">
        <f>'App 2-B FA Continuity 2009'!H17</f>
        <v>20011322.53</v>
      </c>
      <c r="F17" s="183">
        <f>'[2]Summary Additions'!$I$12</f>
        <v>1162000</v>
      </c>
      <c r="G17" s="183">
        <v>0</v>
      </c>
      <c r="H17" s="184">
        <f t="shared" si="0"/>
        <v>21173322.53</v>
      </c>
      <c r="I17" s="334"/>
      <c r="J17" s="184">
        <f>'App 2-B FA Continuity 2009'!M17</f>
        <v>6349065.607</v>
      </c>
      <c r="K17" s="183">
        <f>'[2]Summary Deprec''n'!$I$13</f>
        <v>854597.5712</v>
      </c>
      <c r="L17" s="183">
        <v>0</v>
      </c>
      <c r="M17" s="184">
        <f t="shared" si="1"/>
        <v>7203663.1782</v>
      </c>
      <c r="N17" s="184">
        <f t="shared" si="2"/>
        <v>13969659.351800002</v>
      </c>
      <c r="O17" s="245"/>
    </row>
    <row r="18" spans="1:15" ht="12.75">
      <c r="A18" s="180">
        <v>47</v>
      </c>
      <c r="B18" s="181">
        <v>1835</v>
      </c>
      <c r="C18" s="210" t="s">
        <v>209</v>
      </c>
      <c r="D18" s="222">
        <v>0.04</v>
      </c>
      <c r="E18" s="211">
        <f>'App 2-B FA Continuity 2009'!H18</f>
        <v>10965314.29</v>
      </c>
      <c r="F18" s="183">
        <f>'[2]Summary Additions'!$I$13</f>
        <v>1468000</v>
      </c>
      <c r="G18" s="183">
        <v>0</v>
      </c>
      <c r="H18" s="184">
        <f t="shared" si="0"/>
        <v>12433314.29</v>
      </c>
      <c r="I18" s="334"/>
      <c r="J18" s="184">
        <f>'App 2-B FA Continuity 2009'!M18</f>
        <v>2602369.993</v>
      </c>
      <c r="K18" s="183">
        <f>'[2]Summary Deprec''n'!$I$14</f>
        <v>467972.57159999997</v>
      </c>
      <c r="L18" s="183">
        <v>0</v>
      </c>
      <c r="M18" s="184">
        <f t="shared" si="1"/>
        <v>3070342.5645999997</v>
      </c>
      <c r="N18" s="184">
        <f t="shared" si="2"/>
        <v>9362971.725399999</v>
      </c>
      <c r="O18" s="245"/>
    </row>
    <row r="19" spans="1:15" ht="12.75">
      <c r="A19" s="180">
        <v>47</v>
      </c>
      <c r="B19" s="181">
        <v>1840</v>
      </c>
      <c r="C19" s="210" t="s">
        <v>210</v>
      </c>
      <c r="D19" s="222">
        <v>0.04</v>
      </c>
      <c r="E19" s="211">
        <f>'App 2-B FA Continuity 2009'!H19</f>
        <v>3845066.07</v>
      </c>
      <c r="F19" s="183">
        <f>'[2]Summary Additions'!$I$14</f>
        <v>120000</v>
      </c>
      <c r="G19" s="183">
        <v>0</v>
      </c>
      <c r="H19" s="184">
        <f t="shared" si="0"/>
        <v>3965066.07</v>
      </c>
      <c r="I19" s="334"/>
      <c r="J19" s="184">
        <f>'App 2-B FA Continuity 2009'!M19</f>
        <v>1362220.4537999998</v>
      </c>
      <c r="K19" s="183">
        <f>'[2]Summary Deprec''n'!$I$15</f>
        <v>138810.3628</v>
      </c>
      <c r="L19" s="183">
        <v>0</v>
      </c>
      <c r="M19" s="184">
        <f t="shared" si="1"/>
        <v>1501030.8165999998</v>
      </c>
      <c r="N19" s="184">
        <f t="shared" si="2"/>
        <v>2464035.2534</v>
      </c>
      <c r="O19" s="245"/>
    </row>
    <row r="20" spans="1:15" ht="12.75">
      <c r="A20" s="180">
        <v>47</v>
      </c>
      <c r="B20" s="181">
        <v>1845</v>
      </c>
      <c r="C20" s="210" t="s">
        <v>211</v>
      </c>
      <c r="D20" s="222">
        <v>0.04</v>
      </c>
      <c r="E20" s="211">
        <f>'App 2-B FA Continuity 2009'!H20</f>
        <v>7636026.27</v>
      </c>
      <c r="F20" s="183">
        <f>'[2]Summary Additions'!$I$15</f>
        <v>250000</v>
      </c>
      <c r="G20" s="183">
        <v>0</v>
      </c>
      <c r="H20" s="184">
        <f t="shared" si="0"/>
        <v>7886026.27</v>
      </c>
      <c r="I20" s="334"/>
      <c r="J20" s="184">
        <f>'App 2-B FA Continuity 2009'!M20</f>
        <v>2705645.0670000003</v>
      </c>
      <c r="K20" s="183">
        <f>'[2]Summary Deprec''n'!$I$16</f>
        <v>262244.0408</v>
      </c>
      <c r="L20" s="183">
        <v>0</v>
      </c>
      <c r="M20" s="184">
        <f t="shared" si="1"/>
        <v>2967889.1078000003</v>
      </c>
      <c r="N20" s="184">
        <f t="shared" si="2"/>
        <v>4918137.162199999</v>
      </c>
      <c r="O20" s="245"/>
    </row>
    <row r="21" spans="1:15" ht="12.75">
      <c r="A21" s="180">
        <v>47</v>
      </c>
      <c r="B21" s="181">
        <v>1850</v>
      </c>
      <c r="C21" s="210" t="s">
        <v>19</v>
      </c>
      <c r="D21" s="222">
        <v>0.04</v>
      </c>
      <c r="E21" s="211">
        <f>'App 2-B FA Continuity 2009'!H21</f>
        <v>11237916.979999999</v>
      </c>
      <c r="F21" s="183">
        <f>'[2]Summary Additions'!$I$16+'[2]Summary Additions'!$I$17</f>
        <v>670000</v>
      </c>
      <c r="G21" s="183">
        <v>0</v>
      </c>
      <c r="H21" s="184">
        <f t="shared" si="0"/>
        <v>11907916.979999999</v>
      </c>
      <c r="I21" s="334"/>
      <c r="J21" s="184">
        <f>'App 2-B FA Continuity 2009'!M21</f>
        <v>6168300.1448</v>
      </c>
      <c r="K21" s="183">
        <f>'[2]Summary Deprec'n'!$I$17+'[2]Summary Deprec'n'!$I$18</f>
        <v>540773.8792000001</v>
      </c>
      <c r="L21" s="183">
        <v>0</v>
      </c>
      <c r="M21" s="184">
        <f t="shared" si="1"/>
        <v>6709074.024</v>
      </c>
      <c r="N21" s="184">
        <f t="shared" si="2"/>
        <v>5198842.955999998</v>
      </c>
      <c r="O21" s="245"/>
    </row>
    <row r="22" spans="1:15" ht="12.75">
      <c r="A22" s="180">
        <v>47</v>
      </c>
      <c r="B22" s="181">
        <v>1855</v>
      </c>
      <c r="C22" s="210" t="s">
        <v>169</v>
      </c>
      <c r="D22" s="222">
        <v>0.04</v>
      </c>
      <c r="E22" s="211">
        <f>'App 2-B FA Continuity 2009'!H22</f>
        <v>2507307.81</v>
      </c>
      <c r="F22" s="183">
        <f>'[2]Summary Additions'!$I$18</f>
        <v>264000</v>
      </c>
      <c r="G22" s="183">
        <v>0</v>
      </c>
      <c r="H22" s="184">
        <f t="shared" si="0"/>
        <v>2771307.81</v>
      </c>
      <c r="I22" s="334"/>
      <c r="J22" s="184">
        <f>'App 2-B FA Continuity 2009'!M22</f>
        <v>414660.60939999996</v>
      </c>
      <c r="K22" s="183">
        <f>'[2]Summary Deprec''n'!$I$19</f>
        <v>105572.3124</v>
      </c>
      <c r="L22" s="183">
        <v>0</v>
      </c>
      <c r="M22" s="184">
        <f t="shared" si="1"/>
        <v>520232.92179999995</v>
      </c>
      <c r="N22" s="184">
        <f t="shared" si="2"/>
        <v>2251074.8882</v>
      </c>
      <c r="O22" s="245"/>
    </row>
    <row r="23" spans="1:15" ht="12.75">
      <c r="A23" s="180">
        <v>47</v>
      </c>
      <c r="B23" s="181">
        <v>1860</v>
      </c>
      <c r="C23" s="210" t="s">
        <v>21</v>
      </c>
      <c r="D23" s="224">
        <v>0.04</v>
      </c>
      <c r="E23" s="211">
        <f>'App 2-B FA Continuity 2009'!H23</f>
        <v>4025164.9</v>
      </c>
      <c r="F23" s="183">
        <f>'[2]Summary Additions'!$I$19</f>
        <v>98000</v>
      </c>
      <c r="G23" s="183">
        <v>0</v>
      </c>
      <c r="H23" s="184">
        <f t="shared" si="0"/>
        <v>4123164.9</v>
      </c>
      <c r="I23" s="334"/>
      <c r="J23" s="184">
        <f>'App 2-B FA Continuity 2009'!M23</f>
        <v>2219441.0228000004</v>
      </c>
      <c r="K23" s="183">
        <f>'[2]Summary Deprec''n'!$I$20</f>
        <v>155016.066</v>
      </c>
      <c r="L23" s="183">
        <v>0</v>
      </c>
      <c r="M23" s="184">
        <f t="shared" si="1"/>
        <v>2374457.0888000005</v>
      </c>
      <c r="N23" s="184">
        <f t="shared" si="2"/>
        <v>1748707.8111999994</v>
      </c>
      <c r="O23" s="245"/>
    </row>
    <row r="24" spans="1:15" ht="12.75">
      <c r="A24" s="180" t="s">
        <v>9</v>
      </c>
      <c r="B24" s="181">
        <v>1865</v>
      </c>
      <c r="C24" s="210" t="s">
        <v>212</v>
      </c>
      <c r="D24" s="222">
        <v>0</v>
      </c>
      <c r="E24" s="211">
        <f>'App 2-B FA Continuity 2009'!H24</f>
        <v>0</v>
      </c>
      <c r="F24" s="183">
        <v>0</v>
      </c>
      <c r="G24" s="183">
        <v>0</v>
      </c>
      <c r="H24" s="184">
        <f t="shared" si="0"/>
        <v>0</v>
      </c>
      <c r="I24" s="334"/>
      <c r="J24" s="184">
        <f>'App 2-B FA Continuity 2009'!M24</f>
        <v>0</v>
      </c>
      <c r="K24" s="183">
        <v>0</v>
      </c>
      <c r="L24" s="183">
        <v>0</v>
      </c>
      <c r="M24" s="184">
        <f t="shared" si="1"/>
        <v>0</v>
      </c>
      <c r="N24" s="184">
        <f t="shared" si="2"/>
        <v>0</v>
      </c>
      <c r="O24" s="245"/>
    </row>
    <row r="25" spans="1:15" ht="12.75">
      <c r="A25" s="180" t="s">
        <v>9</v>
      </c>
      <c r="B25" s="181">
        <v>1905</v>
      </c>
      <c r="C25" s="210" t="s">
        <v>10</v>
      </c>
      <c r="D25" s="222">
        <v>0</v>
      </c>
      <c r="E25" s="211">
        <f>'App 2-B FA Continuity 2009'!H25</f>
        <v>243636.05000000002</v>
      </c>
      <c r="F25" s="183">
        <f>'[2]Summary Additions'!$I$20</f>
        <v>0</v>
      </c>
      <c r="G25" s="183">
        <v>0</v>
      </c>
      <c r="H25" s="184">
        <f t="shared" si="0"/>
        <v>243636.05000000002</v>
      </c>
      <c r="I25" s="334"/>
      <c r="J25" s="184">
        <f>'App 2-B FA Continuity 2009'!M25</f>
        <v>0</v>
      </c>
      <c r="K25" s="183">
        <f>'[2]Summary Deprec''n'!$I$21</f>
        <v>0</v>
      </c>
      <c r="L25" s="183">
        <v>0</v>
      </c>
      <c r="M25" s="184">
        <f t="shared" si="1"/>
        <v>0</v>
      </c>
      <c r="N25" s="184">
        <f t="shared" si="2"/>
        <v>243636.05000000002</v>
      </c>
      <c r="O25" s="245"/>
    </row>
    <row r="26" spans="1:15" ht="12.75">
      <c r="A26" s="180" t="s">
        <v>24</v>
      </c>
      <c r="B26" s="181">
        <v>1906</v>
      </c>
      <c r="C26" s="210" t="s">
        <v>25</v>
      </c>
      <c r="D26" s="222">
        <v>0</v>
      </c>
      <c r="E26" s="211">
        <f>'App 2-B FA Continuity 2009'!H26</f>
        <v>0</v>
      </c>
      <c r="F26" s="183">
        <v>0</v>
      </c>
      <c r="G26" s="183">
        <v>0</v>
      </c>
      <c r="H26" s="184">
        <f t="shared" si="0"/>
        <v>0</v>
      </c>
      <c r="I26" s="334"/>
      <c r="J26" s="184">
        <f>'App 2-B FA Continuity 2009'!M26</f>
        <v>0</v>
      </c>
      <c r="K26" s="183">
        <v>0</v>
      </c>
      <c r="L26" s="183">
        <v>0</v>
      </c>
      <c r="M26" s="184">
        <f t="shared" si="1"/>
        <v>0</v>
      </c>
      <c r="N26" s="184">
        <f t="shared" si="2"/>
        <v>0</v>
      </c>
      <c r="O26" s="245"/>
    </row>
    <row r="27" spans="1:15" ht="12.75">
      <c r="A27" s="180">
        <v>47</v>
      </c>
      <c r="B27" s="181">
        <v>1908</v>
      </c>
      <c r="C27" s="210" t="s">
        <v>205</v>
      </c>
      <c r="D27" s="224" t="s">
        <v>281</v>
      </c>
      <c r="E27" s="211">
        <f>'App 2-B FA Continuity 2009'!H27</f>
        <v>2215637.7199999997</v>
      </c>
      <c r="F27" s="183">
        <f>'[2]Summary Additions'!$I$21</f>
        <v>100000</v>
      </c>
      <c r="G27" s="183">
        <v>0</v>
      </c>
      <c r="H27" s="184">
        <f t="shared" si="0"/>
        <v>2315637.7199999997</v>
      </c>
      <c r="I27" s="334"/>
      <c r="J27" s="184">
        <f>'App 2-B FA Continuity 2009'!M27</f>
        <v>808830.1745999999</v>
      </c>
      <c r="K27" s="183">
        <f>'[2]Summary Deprec'n'!$I$22+'[2]Summary Deprec'n'!$I$23</f>
        <v>33299.2744</v>
      </c>
      <c r="L27" s="183">
        <v>0</v>
      </c>
      <c r="M27" s="184">
        <f t="shared" si="1"/>
        <v>842129.4489999999</v>
      </c>
      <c r="N27" s="184">
        <f t="shared" si="2"/>
        <v>1473508.2709999997</v>
      </c>
      <c r="O27" s="245"/>
    </row>
    <row r="28" spans="1:15" ht="12.75">
      <c r="A28" s="180">
        <v>13</v>
      </c>
      <c r="B28" s="181">
        <v>1910</v>
      </c>
      <c r="C28" s="210" t="s">
        <v>47</v>
      </c>
      <c r="D28" s="222">
        <v>0.1</v>
      </c>
      <c r="E28" s="211">
        <f>'App 2-B FA Continuity 2009'!H28</f>
        <v>6177</v>
      </c>
      <c r="F28" s="183">
        <f>'[2]Summary Additions'!$I$23</f>
        <v>0</v>
      </c>
      <c r="G28" s="183">
        <v>0</v>
      </c>
      <c r="H28" s="184">
        <f t="shared" si="0"/>
        <v>6177</v>
      </c>
      <c r="I28" s="334"/>
      <c r="J28" s="184">
        <f>'App 2-B FA Continuity 2009'!M28</f>
        <v>3223.1000000000004</v>
      </c>
      <c r="K28" s="183">
        <f>'[2]Summary Deprec''n'!$I$24</f>
        <v>639.7</v>
      </c>
      <c r="L28" s="183">
        <v>0</v>
      </c>
      <c r="M28" s="184">
        <f t="shared" si="1"/>
        <v>3862.8</v>
      </c>
      <c r="N28" s="184">
        <f t="shared" si="2"/>
        <v>2314.2</v>
      </c>
      <c r="O28" s="245"/>
    </row>
    <row r="29" spans="1:15" ht="12.75">
      <c r="A29" s="180">
        <v>8</v>
      </c>
      <c r="B29" s="181">
        <v>1915</v>
      </c>
      <c r="C29" s="210" t="s">
        <v>213</v>
      </c>
      <c r="D29" s="222">
        <v>0.1</v>
      </c>
      <c r="E29" s="211">
        <f>'App 2-B FA Continuity 2009'!H29</f>
        <v>146971.62</v>
      </c>
      <c r="F29" s="183">
        <f>'[2]Summary Additions'!$I$24</f>
        <v>30000</v>
      </c>
      <c r="G29" s="183">
        <v>0</v>
      </c>
      <c r="H29" s="184">
        <f t="shared" si="0"/>
        <v>176971.62</v>
      </c>
      <c r="I29" s="334"/>
      <c r="J29" s="184">
        <f>'App 2-B FA Continuity 2009'!M29</f>
        <v>79492.72099999999</v>
      </c>
      <c r="K29" s="183">
        <f>'[2]Summary Deprec''n'!$I$25</f>
        <v>16230.231999999998</v>
      </c>
      <c r="L29" s="183">
        <v>0</v>
      </c>
      <c r="M29" s="184">
        <f t="shared" si="1"/>
        <v>95722.953</v>
      </c>
      <c r="N29" s="184">
        <f t="shared" si="2"/>
        <v>81248.667</v>
      </c>
      <c r="O29" s="245"/>
    </row>
    <row r="30" spans="1:15" ht="12.75">
      <c r="A30" s="180">
        <v>10</v>
      </c>
      <c r="B30" s="181">
        <v>1920</v>
      </c>
      <c r="C30" s="210" t="s">
        <v>214</v>
      </c>
      <c r="D30" s="222">
        <v>0.2</v>
      </c>
      <c r="E30" s="211">
        <f>'App 2-B FA Continuity 2009'!H30</f>
        <v>894719.5499999999</v>
      </c>
      <c r="F30" s="183">
        <f>'[2]Summary Additions'!$I$25+'[2]Summary Additions'!$I$41</f>
        <v>115800</v>
      </c>
      <c r="G30" s="183">
        <v>0</v>
      </c>
      <c r="H30" s="184">
        <f t="shared" si="0"/>
        <v>1010519.5499999999</v>
      </c>
      <c r="I30" s="334"/>
      <c r="J30" s="184">
        <f>'App 2-B FA Continuity 2009'!M30</f>
        <v>658745.441</v>
      </c>
      <c r="K30" s="183">
        <f>'[2]Summary Deprec'n'!$I$26+'[2]Summary Deprec'n'!$I$42</f>
        <v>113000.51000000001</v>
      </c>
      <c r="L30" s="183">
        <v>0</v>
      </c>
      <c r="M30" s="184">
        <f t="shared" si="1"/>
        <v>771745.951</v>
      </c>
      <c r="N30" s="184">
        <f t="shared" si="2"/>
        <v>238773.59899999993</v>
      </c>
      <c r="O30" s="245"/>
    </row>
    <row r="31" spans="1:15" ht="12.75">
      <c r="A31" s="219" t="s">
        <v>275</v>
      </c>
      <c r="B31" s="181">
        <v>1925</v>
      </c>
      <c r="C31" s="210" t="s">
        <v>32</v>
      </c>
      <c r="D31" s="222">
        <v>0.2</v>
      </c>
      <c r="E31" s="211">
        <f>'App 2-B FA Continuity 2009'!H31</f>
        <v>344798.37</v>
      </c>
      <c r="F31" s="183">
        <f>'[2]Summary Additions'!$I$26</f>
        <v>52500</v>
      </c>
      <c r="G31" s="183">
        <v>0</v>
      </c>
      <c r="H31" s="184">
        <f t="shared" si="0"/>
        <v>397298.37</v>
      </c>
      <c r="I31" s="334"/>
      <c r="J31" s="184">
        <f>'App 2-B FA Continuity 2009'!M31</f>
        <v>213339.193</v>
      </c>
      <c r="K31" s="183">
        <f>'[2]Summary Deprec''n'!$I$27</f>
        <v>46232.888</v>
      </c>
      <c r="L31" s="183">
        <v>0</v>
      </c>
      <c r="M31" s="184">
        <f t="shared" si="1"/>
        <v>259572.081</v>
      </c>
      <c r="N31" s="184">
        <f t="shared" si="2"/>
        <v>137726.289</v>
      </c>
      <c r="O31" s="245"/>
    </row>
    <row r="32" spans="1:15" ht="12.75">
      <c r="A32" s="180">
        <v>10</v>
      </c>
      <c r="B32" s="181">
        <v>1930</v>
      </c>
      <c r="C32" s="210" t="s">
        <v>33</v>
      </c>
      <c r="D32" s="222" t="s">
        <v>282</v>
      </c>
      <c r="E32" s="211">
        <f>'App 2-B FA Continuity 2009'!H32</f>
        <v>1275340.2</v>
      </c>
      <c r="F32" s="183">
        <f>'[2]Summary Additions'!$I$27+'[2]Summary Additions'!$I$28+'[2]Summary Additions'!$I$29+'[2]Summary Additions'!$I$30+'[2]Summary Additions'!$I$31</f>
        <v>0</v>
      </c>
      <c r="G32" s="183">
        <v>0</v>
      </c>
      <c r="H32" s="184">
        <f t="shared" si="0"/>
        <v>1275340.2</v>
      </c>
      <c r="I32" s="334"/>
      <c r="J32" s="184">
        <f>'App 2-B FA Continuity 2009'!M32</f>
        <v>661791.2334999999</v>
      </c>
      <c r="K32" s="183">
        <f>'[2]Summary Deprec''n'!$I$28+'[2]Summary Deprec''n'!$I$29+'[2]Summary Deprec''n'!$I$30+'[2]Summary Deprec''n'!$I$31+'[2]Summary Deprec''n'!$I$32</f>
        <v>178166.40524999998</v>
      </c>
      <c r="L32" s="183">
        <v>0</v>
      </c>
      <c r="M32" s="184">
        <f t="shared" si="1"/>
        <v>839957.6387499998</v>
      </c>
      <c r="N32" s="184">
        <f t="shared" si="2"/>
        <v>435382.56125000014</v>
      </c>
      <c r="O32" s="245"/>
    </row>
    <row r="33" spans="1:15" ht="12.75">
      <c r="A33" s="180">
        <v>8</v>
      </c>
      <c r="B33" s="181">
        <v>1935</v>
      </c>
      <c r="C33" s="210" t="s">
        <v>34</v>
      </c>
      <c r="D33" s="222">
        <v>0.1</v>
      </c>
      <c r="E33" s="211">
        <f>'App 2-B FA Continuity 2009'!H33</f>
        <v>39203.70999999999</v>
      </c>
      <c r="F33" s="183">
        <f>'[2]Summary Additions'!$I$32</f>
        <v>1000</v>
      </c>
      <c r="G33" s="183">
        <v>0</v>
      </c>
      <c r="H33" s="184">
        <f t="shared" si="0"/>
        <v>40203.70999999999</v>
      </c>
      <c r="I33" s="334"/>
      <c r="J33" s="184">
        <f>'App 2-B FA Continuity 2009'!M33</f>
        <v>21175.904499999997</v>
      </c>
      <c r="K33" s="183">
        <f>'[2]Summary Deprec''n'!$I$33</f>
        <v>3970.370999999999</v>
      </c>
      <c r="L33" s="183">
        <v>0</v>
      </c>
      <c r="M33" s="184">
        <f t="shared" si="1"/>
        <v>25146.275499999996</v>
      </c>
      <c r="N33" s="184">
        <f t="shared" si="2"/>
        <v>15057.434499999996</v>
      </c>
      <c r="O33" s="245"/>
    </row>
    <row r="34" spans="1:15" ht="12.75">
      <c r="A34" s="180">
        <v>8</v>
      </c>
      <c r="B34" s="181">
        <v>1940</v>
      </c>
      <c r="C34" s="210" t="s">
        <v>215</v>
      </c>
      <c r="D34" s="222">
        <v>0.1</v>
      </c>
      <c r="E34" s="211">
        <f>'App 2-B FA Continuity 2009'!H34</f>
        <v>304677.15</v>
      </c>
      <c r="F34" s="183">
        <f>'[2]Summary Additions'!$I$33</f>
        <v>4000</v>
      </c>
      <c r="G34" s="183">
        <v>0</v>
      </c>
      <c r="H34" s="184">
        <f t="shared" si="0"/>
        <v>308677.15</v>
      </c>
      <c r="I34" s="334"/>
      <c r="J34" s="184">
        <f>'App 2-B FA Continuity 2009'!M34</f>
        <v>146778.8635</v>
      </c>
      <c r="K34" s="183">
        <f>'[2]Summary Deprec'n'!$I$34+'[2]Summary Deprec'n'!$I$35</f>
        <v>31277.833250000003</v>
      </c>
      <c r="L34" s="183">
        <v>0</v>
      </c>
      <c r="M34" s="184">
        <f t="shared" si="1"/>
        <v>178056.69675</v>
      </c>
      <c r="N34" s="184">
        <f t="shared" si="2"/>
        <v>130620.45325000002</v>
      </c>
      <c r="O34" s="245"/>
    </row>
    <row r="35" spans="1:15" ht="12.75">
      <c r="A35" s="180">
        <v>8</v>
      </c>
      <c r="B35" s="181">
        <v>1945</v>
      </c>
      <c r="C35" s="210" t="s">
        <v>216</v>
      </c>
      <c r="D35" s="222">
        <v>0.1</v>
      </c>
      <c r="E35" s="211">
        <f>'App 2-B FA Continuity 2009'!H35</f>
        <v>178972.81000000003</v>
      </c>
      <c r="F35" s="183">
        <f>'[2]Summary Additions'!$I$35</f>
        <v>5000</v>
      </c>
      <c r="G35" s="183">
        <v>0</v>
      </c>
      <c r="H35" s="184">
        <f t="shared" si="0"/>
        <v>183972.81000000003</v>
      </c>
      <c r="I35" s="334"/>
      <c r="J35" s="184">
        <f>'App 2-B FA Continuity 2009'!M35</f>
        <v>92321.6435</v>
      </c>
      <c r="K35" s="183">
        <f>'[2]Summary Deprec''n'!$I$36</f>
        <v>18147.331000000002</v>
      </c>
      <c r="L35" s="183">
        <v>0</v>
      </c>
      <c r="M35" s="184">
        <f t="shared" si="1"/>
        <v>110468.97450000001</v>
      </c>
      <c r="N35" s="184">
        <f t="shared" si="2"/>
        <v>73503.83550000002</v>
      </c>
      <c r="O35" s="245"/>
    </row>
    <row r="36" spans="1:15" ht="12.75">
      <c r="A36" s="180">
        <v>8</v>
      </c>
      <c r="B36" s="181">
        <v>1950</v>
      </c>
      <c r="C36" s="210" t="s">
        <v>217</v>
      </c>
      <c r="D36" s="222">
        <v>0</v>
      </c>
      <c r="E36" s="211">
        <f>'App 2-B FA Continuity 2009'!H36</f>
        <v>0</v>
      </c>
      <c r="F36" s="183">
        <f>0</f>
        <v>0</v>
      </c>
      <c r="G36" s="183">
        <v>0</v>
      </c>
      <c r="H36" s="184">
        <f t="shared" si="0"/>
        <v>0</v>
      </c>
      <c r="I36" s="334"/>
      <c r="J36" s="184">
        <f>'App 2-B FA Continuity 2009'!M36</f>
        <v>0</v>
      </c>
      <c r="K36" s="183">
        <v>0</v>
      </c>
      <c r="L36" s="183">
        <v>0</v>
      </c>
      <c r="M36" s="184">
        <f t="shared" si="1"/>
        <v>0</v>
      </c>
      <c r="N36" s="184">
        <f t="shared" si="2"/>
        <v>0</v>
      </c>
      <c r="O36" s="245"/>
    </row>
    <row r="37" spans="1:15" ht="12.75">
      <c r="A37" s="180">
        <v>8</v>
      </c>
      <c r="B37" s="181">
        <v>1955</v>
      </c>
      <c r="C37" s="210" t="s">
        <v>218</v>
      </c>
      <c r="D37" s="222">
        <v>0.1</v>
      </c>
      <c r="E37" s="211">
        <f>'App 2-B FA Continuity 2009'!H37</f>
        <v>106905.79000000001</v>
      </c>
      <c r="F37" s="183">
        <f>'[2]Summary Additions'!$I$36</f>
        <v>10000</v>
      </c>
      <c r="G37" s="183">
        <v>0</v>
      </c>
      <c r="H37" s="184">
        <f t="shared" si="0"/>
        <v>116905.79000000001</v>
      </c>
      <c r="I37" s="334"/>
      <c r="J37" s="184">
        <f>'App 2-B FA Continuity 2009'!M37</f>
        <v>45313.5155</v>
      </c>
      <c r="K37" s="183">
        <f>'[2]Summary Deprec''n'!$I$37</f>
        <v>11190.618999999999</v>
      </c>
      <c r="L37" s="183">
        <v>0</v>
      </c>
      <c r="M37" s="184">
        <f t="shared" si="1"/>
        <v>56504.1345</v>
      </c>
      <c r="N37" s="184">
        <f t="shared" si="2"/>
        <v>60401.65550000001</v>
      </c>
      <c r="O37" s="245"/>
    </row>
    <row r="38" spans="1:15" ht="12.75">
      <c r="A38" s="180">
        <v>8</v>
      </c>
      <c r="B38" s="181">
        <v>1960</v>
      </c>
      <c r="C38" s="210" t="s">
        <v>96</v>
      </c>
      <c r="D38" s="222">
        <v>0.1</v>
      </c>
      <c r="E38" s="211">
        <f>'App 2-B FA Continuity 2009'!H38</f>
        <v>399471.12</v>
      </c>
      <c r="F38" s="183">
        <f>'[2]Summary Additions'!$I$37</f>
        <v>58000</v>
      </c>
      <c r="G38" s="183">
        <v>0</v>
      </c>
      <c r="H38" s="184">
        <f t="shared" si="0"/>
        <v>457471.12</v>
      </c>
      <c r="I38" s="334"/>
      <c r="J38" s="184">
        <f>'App 2-B FA Continuity 2009'!M38</f>
        <v>74136.55942857143</v>
      </c>
      <c r="K38" s="183">
        <f>'[2]Summary Deprec''n'!$I$38</f>
        <v>44133.42571428571</v>
      </c>
      <c r="L38" s="183">
        <v>0</v>
      </c>
      <c r="M38" s="184">
        <f t="shared" si="1"/>
        <v>118269.98514285714</v>
      </c>
      <c r="N38" s="184">
        <f t="shared" si="2"/>
        <v>339201.13485714287</v>
      </c>
      <c r="O38" s="245"/>
    </row>
    <row r="39" spans="1:15" ht="12.75">
      <c r="A39" s="180">
        <v>47</v>
      </c>
      <c r="B39" s="181">
        <v>1970</v>
      </c>
      <c r="C39" s="210" t="s">
        <v>219</v>
      </c>
      <c r="D39" s="222">
        <v>0.1</v>
      </c>
      <c r="E39" s="211">
        <f>'App 2-B FA Continuity 2009'!H39</f>
        <v>16564.260000000002</v>
      </c>
      <c r="F39" s="183">
        <f>'[2]Summary Additions'!$I$39</f>
        <v>0</v>
      </c>
      <c r="G39" s="183">
        <v>0</v>
      </c>
      <c r="H39" s="184">
        <f t="shared" si="0"/>
        <v>16564.260000000002</v>
      </c>
      <c r="I39" s="334"/>
      <c r="J39" s="184">
        <f>'App 2-B FA Continuity 2009'!M39</f>
        <v>16564.66</v>
      </c>
      <c r="K39" s="183">
        <f>'[2]Summary Deprec''n'!$I$40</f>
        <v>0</v>
      </c>
      <c r="L39" s="183">
        <v>0</v>
      </c>
      <c r="M39" s="184">
        <f t="shared" si="1"/>
        <v>16564.66</v>
      </c>
      <c r="N39" s="294">
        <f t="shared" si="2"/>
        <v>-0.3999999999978172</v>
      </c>
      <c r="O39" s="245"/>
    </row>
    <row r="40" spans="1:15" ht="12.75">
      <c r="A40" s="180">
        <v>47</v>
      </c>
      <c r="B40" s="181">
        <v>1975</v>
      </c>
      <c r="C40" s="210" t="s">
        <v>220</v>
      </c>
      <c r="D40" s="222">
        <v>0.1</v>
      </c>
      <c r="E40" s="211">
        <f>'App 2-B FA Continuity 2009'!H40</f>
        <v>0</v>
      </c>
      <c r="F40" s="183">
        <v>0</v>
      </c>
      <c r="G40" s="183">
        <v>0</v>
      </c>
      <c r="H40" s="184">
        <f t="shared" si="0"/>
        <v>0</v>
      </c>
      <c r="I40" s="334"/>
      <c r="J40" s="184">
        <f>'App 2-B FA Continuity 2009'!M40</f>
        <v>0</v>
      </c>
      <c r="K40" s="183">
        <v>0</v>
      </c>
      <c r="L40" s="183">
        <v>0</v>
      </c>
      <c r="M40" s="184">
        <f t="shared" si="1"/>
        <v>0</v>
      </c>
      <c r="N40" s="184">
        <f t="shared" si="2"/>
        <v>0</v>
      </c>
      <c r="O40" s="245"/>
    </row>
    <row r="41" spans="1:15" ht="12.75">
      <c r="A41" s="180">
        <v>47</v>
      </c>
      <c r="B41" s="181">
        <v>1980</v>
      </c>
      <c r="C41" s="210" t="s">
        <v>97</v>
      </c>
      <c r="D41" s="222">
        <v>0.067</v>
      </c>
      <c r="E41" s="211">
        <f>'App 2-B FA Continuity 2009'!H41</f>
        <v>613956.77</v>
      </c>
      <c r="F41" s="183">
        <f>'[2]Summary Additions'!$I$40+'[2]Summary Additions'!$I$41-'[2]Summary Additions'!$I$41</f>
        <v>575000</v>
      </c>
      <c r="G41" s="183">
        <v>0</v>
      </c>
      <c r="H41" s="184">
        <f t="shared" si="0"/>
        <v>1188956.77</v>
      </c>
      <c r="I41" s="334"/>
      <c r="J41" s="184">
        <f>'App 2-B FA Continuity 2009'!M41</f>
        <v>266645.72033333336</v>
      </c>
      <c r="K41" s="183">
        <f>'[2]Summary Deprec''n'!$I$41</f>
        <v>60097.09133333333</v>
      </c>
      <c r="L41" s="183">
        <v>0</v>
      </c>
      <c r="M41" s="184">
        <f t="shared" si="1"/>
        <v>326742.8116666667</v>
      </c>
      <c r="N41" s="184">
        <f t="shared" si="2"/>
        <v>862213.9583333333</v>
      </c>
      <c r="O41" s="245"/>
    </row>
    <row r="42" spans="1:15" ht="12.75">
      <c r="A42" s="180">
        <v>47</v>
      </c>
      <c r="B42" s="181">
        <v>1985</v>
      </c>
      <c r="C42" s="210" t="s">
        <v>221</v>
      </c>
      <c r="D42" s="222">
        <v>0</v>
      </c>
      <c r="E42" s="211">
        <f>'App 2-B FA Continuity 2009'!H42</f>
        <v>0</v>
      </c>
      <c r="F42" s="183">
        <v>0</v>
      </c>
      <c r="G42" s="183">
        <v>0</v>
      </c>
      <c r="H42" s="184">
        <f t="shared" si="0"/>
        <v>0</v>
      </c>
      <c r="I42" s="334"/>
      <c r="J42" s="184">
        <f>'App 2-B FA Continuity 2009'!M42</f>
        <v>0</v>
      </c>
      <c r="K42" s="183">
        <v>0</v>
      </c>
      <c r="L42" s="183">
        <v>0</v>
      </c>
      <c r="M42" s="184">
        <f t="shared" si="1"/>
        <v>0</v>
      </c>
      <c r="N42" s="184">
        <f t="shared" si="2"/>
        <v>0</v>
      </c>
      <c r="O42" s="245"/>
    </row>
    <row r="43" spans="1:15" ht="12.75">
      <c r="A43" s="180">
        <v>47</v>
      </c>
      <c r="B43" s="181">
        <v>1990</v>
      </c>
      <c r="C43" s="210" t="s">
        <v>222</v>
      </c>
      <c r="D43" s="222">
        <v>0</v>
      </c>
      <c r="E43" s="211">
        <f>'App 2-B FA Continuity 2009'!H43</f>
        <v>0</v>
      </c>
      <c r="F43" s="183">
        <v>0</v>
      </c>
      <c r="G43" s="183">
        <v>0</v>
      </c>
      <c r="H43" s="184">
        <f t="shared" si="0"/>
        <v>0</v>
      </c>
      <c r="I43" s="334"/>
      <c r="J43" s="184">
        <f>'App 2-B FA Continuity 2009'!M43</f>
        <v>0</v>
      </c>
      <c r="K43" s="183">
        <v>0</v>
      </c>
      <c r="L43" s="183">
        <v>0</v>
      </c>
      <c r="M43" s="184">
        <f t="shared" si="1"/>
        <v>0</v>
      </c>
      <c r="N43" s="184">
        <f t="shared" si="2"/>
        <v>0</v>
      </c>
      <c r="O43" s="245"/>
    </row>
    <row r="44" spans="1:15" ht="12.75">
      <c r="A44" s="180">
        <v>47</v>
      </c>
      <c r="B44" s="181">
        <v>1995</v>
      </c>
      <c r="C44" s="210" t="s">
        <v>223</v>
      </c>
      <c r="D44" s="222">
        <v>0.04</v>
      </c>
      <c r="E44" s="292">
        <f>'App 2-B FA Continuity 2009'!H44</f>
        <v>-7654020.350000001</v>
      </c>
      <c r="F44" s="293">
        <f>'[2]Summary Additions'!$I$44</f>
        <v>-1160000</v>
      </c>
      <c r="G44" s="183">
        <v>0</v>
      </c>
      <c r="H44" s="294">
        <f t="shared" si="0"/>
        <v>-8814020.350000001</v>
      </c>
      <c r="I44" s="334"/>
      <c r="J44" s="294">
        <f>'App 2-B FA Continuity 2009'!M44</f>
        <v>-1609289.1442000002</v>
      </c>
      <c r="K44" s="293">
        <f>'[2]Summary Deprec''n'!$I$45</f>
        <v>-329360.83400000003</v>
      </c>
      <c r="L44" s="183">
        <v>0</v>
      </c>
      <c r="M44" s="294">
        <f t="shared" si="1"/>
        <v>-1938649.9782000002</v>
      </c>
      <c r="N44" s="294">
        <f t="shared" si="2"/>
        <v>-6875370.371800002</v>
      </c>
      <c r="O44" s="245"/>
    </row>
    <row r="45" spans="1:15" ht="12.75">
      <c r="A45" s="180">
        <v>8</v>
      </c>
      <c r="B45" s="181">
        <v>2005</v>
      </c>
      <c r="C45" s="212" t="str">
        <f>'App. 2-B FA Continuity 2008'!C45</f>
        <v>Property under Capital Lease</v>
      </c>
      <c r="D45" s="222">
        <v>0.1</v>
      </c>
      <c r="E45" s="210">
        <f>'App. 2-B FA Continuity 2008'!E45</f>
        <v>10039</v>
      </c>
      <c r="F45" s="183">
        <v>0</v>
      </c>
      <c r="G45" s="183">
        <v>0</v>
      </c>
      <c r="H45" s="184">
        <f t="shared" si="0"/>
        <v>10039</v>
      </c>
      <c r="I45" s="334"/>
      <c r="J45" s="184">
        <f>'App 2-B FA Continuity 2009'!M45</f>
        <v>5019.58</v>
      </c>
      <c r="K45" s="183">
        <f>'[2]Summary Deprec''n'!$I$47</f>
        <v>1003.86</v>
      </c>
      <c r="L45" s="183">
        <v>0</v>
      </c>
      <c r="M45" s="184">
        <f>J45+K45-L45</f>
        <v>6023.44</v>
      </c>
      <c r="N45" s="184">
        <f>H45-M45</f>
        <v>4015.5600000000004</v>
      </c>
      <c r="O45" s="245"/>
    </row>
    <row r="46" spans="1:15" ht="12.75">
      <c r="A46" s="180"/>
      <c r="B46" s="187"/>
      <c r="C46" s="213" t="s">
        <v>248</v>
      </c>
      <c r="D46" s="223"/>
      <c r="E46" s="189">
        <f>SUM(E10:E45)</f>
        <v>69017454.17000003</v>
      </c>
      <c r="F46" s="189">
        <f>SUM(F10:F45)</f>
        <v>9566338.78</v>
      </c>
      <c r="G46" s="189">
        <f>SUM(G10:G45)</f>
        <v>0</v>
      </c>
      <c r="H46" s="189">
        <f>SUM(H10:H45)</f>
        <v>78583792.95000002</v>
      </c>
      <c r="I46" s="334"/>
      <c r="J46" s="189">
        <f>SUM(J10:J45)</f>
        <v>25489174.27919524</v>
      </c>
      <c r="K46" s="189">
        <f>SUM(K10:K45)</f>
        <v>3024461.0434559523</v>
      </c>
      <c r="L46" s="189">
        <f>SUM(L10:L45)</f>
        <v>0</v>
      </c>
      <c r="M46" s="189">
        <f>SUM(M10:M45)</f>
        <v>28513635.322651196</v>
      </c>
      <c r="N46" s="189">
        <f>SUM(N10:N45)</f>
        <v>50070157.62734881</v>
      </c>
      <c r="O46" s="245"/>
    </row>
    <row r="47" spans="1:15" ht="12.75">
      <c r="A47" s="180"/>
      <c r="B47" s="187"/>
      <c r="C47" s="210"/>
      <c r="D47" s="222"/>
      <c r="E47" s="184"/>
      <c r="F47" s="184"/>
      <c r="G47" s="184"/>
      <c r="H47" s="184"/>
      <c r="I47" s="334"/>
      <c r="J47" s="184"/>
      <c r="K47" s="184"/>
      <c r="L47" s="184"/>
      <c r="M47" s="184"/>
      <c r="N47" s="184"/>
      <c r="O47" s="245"/>
    </row>
    <row r="48" spans="1:15" ht="12.75">
      <c r="A48" s="180" t="s">
        <v>257</v>
      </c>
      <c r="B48" s="187"/>
      <c r="C48" s="210" t="s">
        <v>258</v>
      </c>
      <c r="D48" s="222">
        <v>0</v>
      </c>
      <c r="E48" s="184">
        <f>'App 2-B FA Continuity 2009'!H48</f>
        <v>5472038.779999999</v>
      </c>
      <c r="F48" s="293">
        <f>-E48</f>
        <v>-5472038.779999999</v>
      </c>
      <c r="G48" s="183"/>
      <c r="H48" s="184">
        <f>E48+F48-G48</f>
        <v>0</v>
      </c>
      <c r="I48" s="334"/>
      <c r="J48" s="184">
        <f>'App 2-B FA Continuity 2009'!M48</f>
        <v>0</v>
      </c>
      <c r="K48" s="183">
        <v>0</v>
      </c>
      <c r="L48" s="183">
        <v>0</v>
      </c>
      <c r="M48" s="184">
        <f>J48+K48-L48</f>
        <v>0</v>
      </c>
      <c r="N48" s="184">
        <f>H48-M48</f>
        <v>0</v>
      </c>
      <c r="O48" s="245"/>
    </row>
    <row r="49" spans="1:15" ht="12.75">
      <c r="A49" s="180"/>
      <c r="B49" s="187"/>
      <c r="C49" s="213" t="s">
        <v>249</v>
      </c>
      <c r="D49" s="213"/>
      <c r="E49" s="189">
        <f>SUM(E46:E48)</f>
        <v>74489492.95000003</v>
      </c>
      <c r="F49" s="189">
        <f>SUM(F46:F48)</f>
        <v>4094300</v>
      </c>
      <c r="G49" s="189">
        <f>SUM(G46:G48)</f>
        <v>0</v>
      </c>
      <c r="H49" s="189">
        <f>SUM(H46:H48)</f>
        <v>78583792.95000002</v>
      </c>
      <c r="I49" s="334"/>
      <c r="J49" s="189">
        <f>SUM(J46:J48)</f>
        <v>25489174.27919524</v>
      </c>
      <c r="K49" s="189">
        <f>SUM(K46:K48)</f>
        <v>3024461.0434559523</v>
      </c>
      <c r="L49" s="189">
        <f>SUM(L46:L48)</f>
        <v>0</v>
      </c>
      <c r="M49" s="189">
        <f>SUM(M46:M48)</f>
        <v>28513635.322651196</v>
      </c>
      <c r="N49" s="189">
        <f>SUM(N46:N48)</f>
        <v>50070157.62734881</v>
      </c>
      <c r="O49" s="245"/>
    </row>
    <row r="50" spans="1:15" ht="12.75">
      <c r="A50" s="239"/>
      <c r="B50" s="226"/>
      <c r="C50" s="227"/>
      <c r="D50" s="227"/>
      <c r="E50" s="250"/>
      <c r="F50" s="250"/>
      <c r="G50" s="250"/>
      <c r="H50" s="250"/>
      <c r="I50" s="242"/>
      <c r="J50" s="242"/>
      <c r="K50" s="242"/>
      <c r="L50" s="242"/>
      <c r="M50" s="242"/>
      <c r="N50" s="249"/>
      <c r="O50" s="236"/>
    </row>
    <row r="51" spans="1:15" ht="12.75">
      <c r="A51" s="226"/>
      <c r="B51" s="226"/>
      <c r="C51" s="227"/>
      <c r="D51" s="227"/>
      <c r="E51" s="250"/>
      <c r="F51" s="228"/>
      <c r="G51" s="228"/>
      <c r="H51" s="228"/>
      <c r="I51" s="319" t="s">
        <v>250</v>
      </c>
      <c r="J51" s="319"/>
      <c r="K51" s="319"/>
      <c r="L51" s="229"/>
      <c r="M51" s="236"/>
      <c r="N51" s="249"/>
      <c r="O51" s="245"/>
    </row>
    <row r="52" spans="1:15" ht="12.75">
      <c r="A52" s="168">
        <v>10</v>
      </c>
      <c r="B52" s="230">
        <v>1930</v>
      </c>
      <c r="C52" s="231" t="s">
        <v>44</v>
      </c>
      <c r="D52" s="232"/>
      <c r="E52" s="250"/>
      <c r="F52" s="228"/>
      <c r="G52" s="228"/>
      <c r="H52" s="228"/>
      <c r="I52" s="318" t="s">
        <v>44</v>
      </c>
      <c r="J52" s="318"/>
      <c r="K52" s="190">
        <f>K32</f>
        <v>178166.40524999998</v>
      </c>
      <c r="L52" s="229"/>
      <c r="M52" s="236"/>
      <c r="N52" s="249"/>
      <c r="O52" s="247"/>
    </row>
    <row r="53" spans="1:15" ht="12.75">
      <c r="A53" s="166">
        <v>10</v>
      </c>
      <c r="B53" s="230" t="s">
        <v>259</v>
      </c>
      <c r="C53" s="231" t="s">
        <v>260</v>
      </c>
      <c r="D53" s="232"/>
      <c r="E53" s="250"/>
      <c r="F53" s="228"/>
      <c r="G53" s="228"/>
      <c r="H53" s="228"/>
      <c r="I53" s="318" t="s">
        <v>251</v>
      </c>
      <c r="J53" s="318"/>
      <c r="K53" s="190">
        <f>K33+K34+K45-3050</f>
        <v>33202.06425</v>
      </c>
      <c r="L53" s="229"/>
      <c r="M53" s="236"/>
      <c r="N53" s="249"/>
      <c r="O53" s="247"/>
    </row>
    <row r="54" spans="1:15" ht="12.75">
      <c r="A54" s="220" t="s">
        <v>274</v>
      </c>
      <c r="B54" s="233" t="s">
        <v>261</v>
      </c>
      <c r="C54" s="231" t="s">
        <v>262</v>
      </c>
      <c r="D54" s="232"/>
      <c r="E54" s="250"/>
      <c r="F54" s="228"/>
      <c r="G54" s="228"/>
      <c r="H54" s="228"/>
      <c r="I54" s="234" t="s">
        <v>266</v>
      </c>
      <c r="J54" s="234"/>
      <c r="K54" s="190">
        <f>K30+K31-'[2]Summary Deprec''n'!$I$42</f>
        <v>149202.79400000002</v>
      </c>
      <c r="L54" s="229"/>
      <c r="M54" s="236"/>
      <c r="N54" s="242"/>
      <c r="O54" s="247"/>
    </row>
    <row r="55" spans="1:15" ht="13.5" thickBot="1">
      <c r="A55" s="226"/>
      <c r="B55" s="226"/>
      <c r="C55" s="227"/>
      <c r="D55" s="227"/>
      <c r="E55" s="250"/>
      <c r="F55" s="228"/>
      <c r="G55" s="228"/>
      <c r="H55" s="228"/>
      <c r="I55" s="319" t="s">
        <v>45</v>
      </c>
      <c r="J55" s="319"/>
      <c r="K55" s="191">
        <f>K49-K52-K53-K54</f>
        <v>2663889.7799559524</v>
      </c>
      <c r="L55" s="229"/>
      <c r="M55" s="236"/>
      <c r="N55" s="242"/>
      <c r="O55" s="248"/>
    </row>
    <row r="56" spans="1:15" ht="13.5" thickTop="1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</row>
    <row r="57" spans="1:15" ht="12.75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</row>
    <row r="58" spans="1:15" ht="12.75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</row>
    <row r="59" spans="1:15" ht="12.75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</row>
    <row r="60" spans="1:14" ht="12.75">
      <c r="A60" s="236"/>
      <c r="B60" s="169"/>
      <c r="C60" s="169"/>
      <c r="D60" s="169"/>
      <c r="E60" s="169"/>
      <c r="F60" s="169"/>
      <c r="G60" s="169"/>
      <c r="H60" s="169"/>
      <c r="I60" s="236"/>
      <c r="J60" s="236"/>
      <c r="K60" s="236"/>
      <c r="L60" s="236"/>
      <c r="M60" s="236"/>
      <c r="N60" s="236"/>
    </row>
    <row r="61" spans="1:14" ht="12.75">
      <c r="A61" s="236"/>
      <c r="B61" s="169"/>
      <c r="C61" s="169"/>
      <c r="D61" s="169"/>
      <c r="E61" s="169"/>
      <c r="F61" s="169"/>
      <c r="G61" s="169"/>
      <c r="H61" s="169"/>
      <c r="I61" s="169"/>
      <c r="J61" s="236"/>
      <c r="K61" s="236"/>
      <c r="L61" s="236"/>
      <c r="M61" s="236"/>
      <c r="N61" s="236"/>
    </row>
    <row r="62" spans="1:14" ht="12.75">
      <c r="A62" s="239"/>
      <c r="C62" s="178"/>
      <c r="D62" s="178"/>
      <c r="E62" s="171"/>
      <c r="F62" s="171"/>
      <c r="G62" s="171"/>
      <c r="H62" s="171"/>
      <c r="I62" s="172"/>
      <c r="J62" s="241"/>
      <c r="K62" s="241"/>
      <c r="L62" s="241"/>
      <c r="M62" s="241"/>
      <c r="N62" s="241"/>
    </row>
    <row r="63" spans="3:14" ht="12.75">
      <c r="C63" s="178"/>
      <c r="D63" s="178"/>
      <c r="E63" s="171"/>
      <c r="F63" s="171"/>
      <c r="G63" s="171"/>
      <c r="H63" s="171"/>
      <c r="I63" s="172"/>
      <c r="J63" s="173"/>
      <c r="K63" s="173"/>
      <c r="L63" s="241"/>
      <c r="M63" s="241"/>
      <c r="N63" s="241"/>
    </row>
    <row r="64" spans="3:14" ht="12.75">
      <c r="C64" s="178"/>
      <c r="D64" s="178"/>
      <c r="E64" s="171"/>
      <c r="F64" s="171"/>
      <c r="G64" s="171"/>
      <c r="H64" s="171"/>
      <c r="I64" s="172"/>
      <c r="J64" s="173"/>
      <c r="K64" s="173"/>
      <c r="L64" s="241"/>
      <c r="M64" s="241"/>
      <c r="N64" s="241"/>
    </row>
    <row r="65" spans="3:14" ht="12.75">
      <c r="C65" s="178"/>
      <c r="D65" s="178"/>
      <c r="E65" s="171"/>
      <c r="F65" s="171"/>
      <c r="G65" s="171"/>
      <c r="H65" s="171"/>
      <c r="I65" s="172"/>
      <c r="J65" s="173"/>
      <c r="K65" s="173"/>
      <c r="L65" s="241"/>
      <c r="M65" s="241"/>
      <c r="N65" s="241"/>
    </row>
  </sheetData>
  <sheetProtection/>
  <mergeCells count="26">
    <mergeCell ref="G8:G9"/>
    <mergeCell ref="H8:H9"/>
    <mergeCell ref="I8:I49"/>
    <mergeCell ref="A1:N1"/>
    <mergeCell ref="A2:N2"/>
    <mergeCell ref="A3:C3"/>
    <mergeCell ref="A4:C4"/>
    <mergeCell ref="A5:C5"/>
    <mergeCell ref="E6:H6"/>
    <mergeCell ref="J6:M6"/>
    <mergeCell ref="M8:M9"/>
    <mergeCell ref="N8:N9"/>
    <mergeCell ref="I51:K51"/>
    <mergeCell ref="E7:H7"/>
    <mergeCell ref="J7:M7"/>
    <mergeCell ref="A8:A9"/>
    <mergeCell ref="B8:B9"/>
    <mergeCell ref="C8:C9"/>
    <mergeCell ref="E8:E9"/>
    <mergeCell ref="F8:F9"/>
    <mergeCell ref="I52:J52"/>
    <mergeCell ref="I53:J53"/>
    <mergeCell ref="I55:J55"/>
    <mergeCell ref="J8:J9"/>
    <mergeCell ref="K8:K9"/>
    <mergeCell ref="L8:L9"/>
  </mergeCells>
  <printOptions/>
  <pageMargins left="0.35433070866141736" right="0.35433070866141736" top="0.7874015748031497" bottom="0.7874015748031497" header="0.5118110236220472" footer="0.5118110236220472"/>
  <pageSetup fitToHeight="1" fitToWidth="1" horizontalDpi="355" verticalDpi="355" orientation="landscape" scale="64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65"/>
  <sheetViews>
    <sheetView zoomScalePageLayoutView="0" workbookViewId="0" topLeftCell="A1">
      <pane ySplit="9" topLeftCell="A10" activePane="bottomLeft" state="frozen"/>
      <selection pane="topLeft" activeCell="A54" sqref="A54"/>
      <selection pane="bottomLeft" activeCell="A6" sqref="A6"/>
    </sheetView>
  </sheetViews>
  <sheetFormatPr defaultColWidth="9.140625" defaultRowHeight="12.75"/>
  <cols>
    <col min="1" max="1" width="7.140625" style="176" customWidth="1"/>
    <col min="2" max="2" width="7.421875" style="177" customWidth="1"/>
    <col min="3" max="3" width="51.421875" style="174" customWidth="1"/>
    <col min="4" max="4" width="12.57421875" style="174" bestFit="1" customWidth="1"/>
    <col min="5" max="5" width="13.8515625" style="174" customWidth="1"/>
    <col min="6" max="6" width="13.140625" style="174" customWidth="1"/>
    <col min="7" max="7" width="11.140625" style="174" customWidth="1"/>
    <col min="8" max="8" width="13.57421875" style="174" customWidth="1"/>
    <col min="9" max="9" width="0.85546875" style="174" customWidth="1"/>
    <col min="10" max="10" width="16.8515625" style="174" customWidth="1"/>
    <col min="11" max="11" width="12.7109375" style="174" customWidth="1"/>
    <col min="12" max="12" width="11.28125" style="174" customWidth="1"/>
    <col min="13" max="13" width="11.7109375" style="174" customWidth="1"/>
    <col min="14" max="14" width="12.28125" style="174" customWidth="1"/>
    <col min="15" max="15" width="15.28125" style="169" customWidth="1"/>
    <col min="16" max="16" width="12.57421875" style="169" customWidth="1"/>
    <col min="17" max="17" width="15.7109375" style="169" customWidth="1"/>
    <col min="18" max="16384" width="9.140625" style="169" customWidth="1"/>
  </cols>
  <sheetData>
    <row r="1" spans="1:14" ht="12.75">
      <c r="A1" s="329" t="str">
        <f>'[5]Trial Balance'!A1:H1</f>
        <v>Norfolk Power Distribution Inc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4" ht="12.75">
      <c r="A2" s="329" t="str">
        <f>'[5]Trial Balance'!A2:H2</f>
        <v>2011 Cost of Service Application, License Number ED-2002-0521, File Number EB-2010-0139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</row>
    <row r="3" spans="1:14" ht="12.75">
      <c r="A3" s="330"/>
      <c r="B3" s="330"/>
      <c r="C3" s="330"/>
      <c r="D3" s="170"/>
      <c r="E3" s="171"/>
      <c r="F3" s="171"/>
      <c r="G3" s="171"/>
      <c r="H3" s="171"/>
      <c r="I3" s="172"/>
      <c r="J3" s="173"/>
      <c r="K3" s="173"/>
      <c r="L3" s="173"/>
      <c r="M3" s="173"/>
      <c r="N3" s="173"/>
    </row>
    <row r="4" spans="1:14" ht="12.75">
      <c r="A4" s="330" t="s">
        <v>245</v>
      </c>
      <c r="B4" s="330"/>
      <c r="C4" s="330"/>
      <c r="D4" s="170"/>
      <c r="E4" s="171"/>
      <c r="F4" s="171"/>
      <c r="G4" s="171"/>
      <c r="I4" s="172"/>
      <c r="J4" s="173"/>
      <c r="K4" s="173"/>
      <c r="L4" s="173"/>
      <c r="M4" s="173"/>
      <c r="N4" s="173"/>
    </row>
    <row r="5" spans="1:15" ht="12.75">
      <c r="A5" s="330" t="s">
        <v>267</v>
      </c>
      <c r="B5" s="330"/>
      <c r="C5" s="330"/>
      <c r="D5" s="170"/>
      <c r="E5" s="171"/>
      <c r="F5" s="171"/>
      <c r="G5" s="171"/>
      <c r="I5" s="172"/>
      <c r="J5" s="173"/>
      <c r="K5" s="214"/>
      <c r="L5" s="214"/>
      <c r="M5" s="173"/>
      <c r="N5" s="173"/>
      <c r="O5" s="236"/>
    </row>
    <row r="6" spans="1:19" ht="12.75">
      <c r="A6" s="239"/>
      <c r="B6" s="226"/>
      <c r="C6" s="227"/>
      <c r="D6" s="227"/>
      <c r="E6" s="331" t="s">
        <v>7</v>
      </c>
      <c r="F6" s="332"/>
      <c r="G6" s="332"/>
      <c r="H6" s="333"/>
      <c r="I6" s="242"/>
      <c r="J6" s="331" t="s">
        <v>8</v>
      </c>
      <c r="K6" s="332"/>
      <c r="L6" s="332"/>
      <c r="M6" s="333"/>
      <c r="N6" s="241"/>
      <c r="O6" s="236"/>
      <c r="P6" s="236"/>
      <c r="Q6" s="236"/>
      <c r="R6" s="236"/>
      <c r="S6" s="236"/>
    </row>
    <row r="7" spans="1:19" ht="12.75">
      <c r="A7" s="239"/>
      <c r="B7" s="226"/>
      <c r="C7" s="240"/>
      <c r="D7" s="240"/>
      <c r="E7" s="322"/>
      <c r="F7" s="323"/>
      <c r="G7" s="323"/>
      <c r="H7" s="324"/>
      <c r="I7" s="242"/>
      <c r="J7" s="322"/>
      <c r="K7" s="323"/>
      <c r="L7" s="323"/>
      <c r="M7" s="324"/>
      <c r="N7" s="241"/>
      <c r="O7" s="236"/>
      <c r="P7" s="236"/>
      <c r="Q7" s="236"/>
      <c r="R7" s="236"/>
      <c r="S7" s="236"/>
    </row>
    <row r="8" spans="1:15" s="202" customFormat="1" ht="12.75">
      <c r="A8" s="325" t="s">
        <v>0</v>
      </c>
      <c r="B8" s="325" t="s">
        <v>1</v>
      </c>
      <c r="C8" s="325" t="s">
        <v>2</v>
      </c>
      <c r="D8" s="290" t="s">
        <v>278</v>
      </c>
      <c r="E8" s="320" t="s">
        <v>3</v>
      </c>
      <c r="F8" s="320" t="s">
        <v>4</v>
      </c>
      <c r="G8" s="320" t="s">
        <v>5</v>
      </c>
      <c r="H8" s="320" t="s">
        <v>6</v>
      </c>
      <c r="I8" s="334"/>
      <c r="J8" s="320" t="s">
        <v>3</v>
      </c>
      <c r="K8" s="320" t="s">
        <v>4</v>
      </c>
      <c r="L8" s="320" t="s">
        <v>5</v>
      </c>
      <c r="M8" s="320" t="s">
        <v>6</v>
      </c>
      <c r="N8" s="320" t="s">
        <v>49</v>
      </c>
      <c r="O8" s="243"/>
    </row>
    <row r="9" spans="1:101" s="202" customFormat="1" ht="12.75">
      <c r="A9" s="326"/>
      <c r="B9" s="326"/>
      <c r="C9" s="326"/>
      <c r="D9" s="291" t="s">
        <v>93</v>
      </c>
      <c r="E9" s="321" t="s">
        <v>247</v>
      </c>
      <c r="F9" s="321" t="s">
        <v>4</v>
      </c>
      <c r="G9" s="321"/>
      <c r="H9" s="321"/>
      <c r="I9" s="334"/>
      <c r="J9" s="321" t="s">
        <v>247</v>
      </c>
      <c r="K9" s="321" t="s">
        <v>4</v>
      </c>
      <c r="L9" s="321"/>
      <c r="M9" s="321"/>
      <c r="N9" s="321"/>
      <c r="O9" s="251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</row>
    <row r="10" spans="1:15" ht="12.75">
      <c r="A10" s="180" t="s">
        <v>9</v>
      </c>
      <c r="B10" s="181">
        <v>1805</v>
      </c>
      <c r="C10" s="182" t="s">
        <v>10</v>
      </c>
      <c r="D10" s="222">
        <v>0</v>
      </c>
      <c r="E10" s="211">
        <f>'App 2-BFA Continuity 2010'!H10</f>
        <v>391259.13</v>
      </c>
      <c r="F10" s="183">
        <f>'[2]Summary Additions'!$K$7</f>
        <v>0</v>
      </c>
      <c r="G10" s="215"/>
      <c r="H10" s="184">
        <f aca="true" t="shared" si="0" ref="H10:H45">E10+F10-G10</f>
        <v>391259.13</v>
      </c>
      <c r="I10" s="334"/>
      <c r="J10" s="184">
        <f>'App 2-BFA Continuity 2010'!M10</f>
        <v>0</v>
      </c>
      <c r="K10" s="183">
        <f>'[2]Summary Deprec''n'!$K$8</f>
        <v>0</v>
      </c>
      <c r="L10" s="183"/>
      <c r="M10" s="184">
        <f aca="true" t="shared" si="1" ref="M10:M45">J10+K10-L10</f>
        <v>0</v>
      </c>
      <c r="N10" s="184">
        <f aca="true" t="shared" si="2" ref="N10:N45">H10-M10</f>
        <v>391259.13</v>
      </c>
      <c r="O10" s="245"/>
    </row>
    <row r="11" spans="1:15" ht="12.75">
      <c r="A11" s="180" t="s">
        <v>24</v>
      </c>
      <c r="B11" s="181">
        <v>1806</v>
      </c>
      <c r="C11" s="182" t="s">
        <v>25</v>
      </c>
      <c r="D11" s="222">
        <v>0</v>
      </c>
      <c r="E11" s="211">
        <f>'App 2-BFA Continuity 2010'!H11</f>
        <v>303784.45</v>
      </c>
      <c r="F11" s="183">
        <f>'[2]Summary Additions'!$K$8</f>
        <v>1000</v>
      </c>
      <c r="G11" s="215"/>
      <c r="H11" s="184">
        <f t="shared" si="0"/>
        <v>304784.45</v>
      </c>
      <c r="I11" s="334"/>
      <c r="J11" s="184">
        <f>'App 2-BFA Continuity 2010'!M11</f>
        <v>0</v>
      </c>
      <c r="K11" s="183">
        <f>'[2]Summary Deprec''n'!$K$9</f>
        <v>0</v>
      </c>
      <c r="L11" s="183"/>
      <c r="M11" s="184">
        <f t="shared" si="1"/>
        <v>0</v>
      </c>
      <c r="N11" s="184">
        <f t="shared" si="2"/>
        <v>304784.45</v>
      </c>
      <c r="O11" s="245"/>
    </row>
    <row r="12" spans="1:15" ht="12.75">
      <c r="A12" s="180">
        <v>47</v>
      </c>
      <c r="B12" s="181">
        <v>1808</v>
      </c>
      <c r="C12" s="182" t="s">
        <v>205</v>
      </c>
      <c r="D12" s="222">
        <v>0.02</v>
      </c>
      <c r="E12" s="211">
        <f>'App 2-BFA Continuity 2010'!H12</f>
        <v>1615716.99</v>
      </c>
      <c r="F12" s="183">
        <f>'[2]Summary Additions'!$K$9</f>
        <v>0</v>
      </c>
      <c r="G12" s="215"/>
      <c r="H12" s="184">
        <f t="shared" si="0"/>
        <v>1615716.99</v>
      </c>
      <c r="I12" s="334"/>
      <c r="J12" s="184">
        <f>'App 2-BFA Continuity 2010'!M12</f>
        <v>180531.8567</v>
      </c>
      <c r="K12" s="183">
        <f>'[2]Summary Deprec''n'!$K$10</f>
        <v>32314.3498</v>
      </c>
      <c r="L12" s="183"/>
      <c r="M12" s="184">
        <f t="shared" si="1"/>
        <v>212846.2065</v>
      </c>
      <c r="N12" s="184">
        <f t="shared" si="2"/>
        <v>1402870.7835</v>
      </c>
      <c r="O12" s="245"/>
    </row>
    <row r="13" spans="1:15" ht="12.75">
      <c r="A13" s="180">
        <v>13</v>
      </c>
      <c r="B13" s="181">
        <v>1810</v>
      </c>
      <c r="C13" s="182" t="s">
        <v>47</v>
      </c>
      <c r="D13" s="222">
        <v>0</v>
      </c>
      <c r="E13" s="211">
        <f>'App 2-BFA Continuity 2010'!H13</f>
        <v>0</v>
      </c>
      <c r="F13" s="183">
        <v>0</v>
      </c>
      <c r="G13" s="215"/>
      <c r="H13" s="184">
        <f t="shared" si="0"/>
        <v>0</v>
      </c>
      <c r="I13" s="334"/>
      <c r="J13" s="184">
        <f>'App 2-BFA Continuity 2010'!M13</f>
        <v>0</v>
      </c>
      <c r="K13" s="183">
        <v>0</v>
      </c>
      <c r="L13" s="183"/>
      <c r="M13" s="184">
        <f t="shared" si="1"/>
        <v>0</v>
      </c>
      <c r="N13" s="184">
        <f t="shared" si="2"/>
        <v>0</v>
      </c>
      <c r="O13" s="236"/>
    </row>
    <row r="14" spans="1:15" ht="12.75">
      <c r="A14" s="180">
        <v>47</v>
      </c>
      <c r="B14" s="181">
        <v>1815</v>
      </c>
      <c r="C14" s="217" t="s">
        <v>206</v>
      </c>
      <c r="D14" s="222">
        <v>0.025</v>
      </c>
      <c r="E14" s="211">
        <f>'App 2-BFA Continuity 2010'!H14</f>
        <v>8912635.12</v>
      </c>
      <c r="F14" s="183">
        <f>-F48+'[2]Summary Additions'!$K$10</f>
        <v>100000</v>
      </c>
      <c r="G14" s="215"/>
      <c r="H14" s="184">
        <f t="shared" si="0"/>
        <v>9012635.12</v>
      </c>
      <c r="I14" s="334"/>
      <c r="J14" s="184">
        <f>'App 2-BFA Continuity 2010'!M14</f>
        <v>524390.065375</v>
      </c>
      <c r="K14" s="183">
        <f>'[2]Summary Deprec'n'!$K$11+'[2]Summary Deprec'n'!$K$7</f>
        <v>224102.40975</v>
      </c>
      <c r="L14" s="183"/>
      <c r="M14" s="184">
        <f t="shared" si="1"/>
        <v>748492.475125</v>
      </c>
      <c r="N14" s="184">
        <f t="shared" si="2"/>
        <v>8264142.644874999</v>
      </c>
      <c r="O14" s="245"/>
    </row>
    <row r="15" spans="1:15" ht="12.75">
      <c r="A15" s="180">
        <v>47</v>
      </c>
      <c r="B15" s="181">
        <v>1820</v>
      </c>
      <c r="C15" s="217" t="s">
        <v>207</v>
      </c>
      <c r="D15" s="222">
        <v>0.033</v>
      </c>
      <c r="E15" s="211">
        <f>'App 2-BFA Continuity 2010'!H15</f>
        <v>4165927.64</v>
      </c>
      <c r="F15" s="183">
        <f>'[2]Summary Additions'!$K$11</f>
        <v>75000</v>
      </c>
      <c r="G15" s="215"/>
      <c r="H15" s="184">
        <f t="shared" si="0"/>
        <v>4240927.640000001</v>
      </c>
      <c r="I15" s="334"/>
      <c r="J15" s="184">
        <f>'App 2-BFA Continuity 2010'!M15</f>
        <v>1749905.8261666666</v>
      </c>
      <c r="K15" s="183">
        <f>'[2]Summary Deprec''n'!$K$12</f>
        <v>89491.75233333334</v>
      </c>
      <c r="L15" s="183"/>
      <c r="M15" s="184">
        <f t="shared" si="1"/>
        <v>1839397.5784999998</v>
      </c>
      <c r="N15" s="184">
        <f t="shared" si="2"/>
        <v>2401530.061500001</v>
      </c>
      <c r="O15" s="236"/>
    </row>
    <row r="16" spans="1:15" ht="12.75">
      <c r="A16" s="180">
        <v>47</v>
      </c>
      <c r="B16" s="181">
        <v>1825</v>
      </c>
      <c r="C16" s="182" t="s">
        <v>14</v>
      </c>
      <c r="D16" s="222">
        <v>0</v>
      </c>
      <c r="E16" s="211">
        <f>'App 2-BFA Continuity 2010'!H16</f>
        <v>0</v>
      </c>
      <c r="F16" s="183">
        <v>0</v>
      </c>
      <c r="G16" s="215"/>
      <c r="H16" s="184">
        <f t="shared" si="0"/>
        <v>0</v>
      </c>
      <c r="I16" s="334"/>
      <c r="J16" s="184">
        <f>'App 2-BFA Continuity 2010'!M16</f>
        <v>0</v>
      </c>
      <c r="K16" s="183">
        <v>0</v>
      </c>
      <c r="L16" s="183"/>
      <c r="M16" s="184">
        <f t="shared" si="1"/>
        <v>0</v>
      </c>
      <c r="N16" s="184">
        <f t="shared" si="2"/>
        <v>0</v>
      </c>
      <c r="O16" s="245"/>
    </row>
    <row r="17" spans="1:15" ht="12.75">
      <c r="A17" s="180">
        <v>47</v>
      </c>
      <c r="B17" s="181">
        <v>1830</v>
      </c>
      <c r="C17" s="182" t="s">
        <v>208</v>
      </c>
      <c r="D17" s="222">
        <v>0.04</v>
      </c>
      <c r="E17" s="211">
        <f>'App 2-BFA Continuity 2010'!H17</f>
        <v>21173322.53</v>
      </c>
      <c r="F17" s="183">
        <f>'[2]Summary Additions'!$K$12</f>
        <v>1132000</v>
      </c>
      <c r="G17" s="183"/>
      <c r="H17" s="184">
        <f t="shared" si="0"/>
        <v>22305322.53</v>
      </c>
      <c r="I17" s="334"/>
      <c r="J17" s="184">
        <f>'App 2-BFA Continuity 2010'!M17</f>
        <v>7203663.1782</v>
      </c>
      <c r="K17" s="183">
        <f>'[2]Summary Deprec''n'!$K$13</f>
        <v>923117.5712</v>
      </c>
      <c r="L17" s="183"/>
      <c r="M17" s="184">
        <f t="shared" si="1"/>
        <v>8126780.7494</v>
      </c>
      <c r="N17" s="184">
        <f t="shared" si="2"/>
        <v>14178541.7806</v>
      </c>
      <c r="O17" s="245"/>
    </row>
    <row r="18" spans="1:15" ht="12.75">
      <c r="A18" s="180">
        <v>47</v>
      </c>
      <c r="B18" s="181">
        <v>1835</v>
      </c>
      <c r="C18" s="182" t="s">
        <v>209</v>
      </c>
      <c r="D18" s="222">
        <v>0.04</v>
      </c>
      <c r="E18" s="211">
        <f>'App 2-BFA Continuity 2010'!H18</f>
        <v>12433314.29</v>
      </c>
      <c r="F18" s="183">
        <f>'[2]Summary Additions'!$K$13</f>
        <v>688000</v>
      </c>
      <c r="G18" s="183"/>
      <c r="H18" s="184">
        <f t="shared" si="0"/>
        <v>13121314.29</v>
      </c>
      <c r="I18" s="334"/>
      <c r="J18" s="184">
        <f>'App 2-BFA Continuity 2010'!M18</f>
        <v>3070342.5645999997</v>
      </c>
      <c r="K18" s="183">
        <f>'[2]Summary Deprec''n'!$K$14</f>
        <v>511092.57159999997</v>
      </c>
      <c r="L18" s="183"/>
      <c r="M18" s="184">
        <f t="shared" si="1"/>
        <v>3581435.1361999996</v>
      </c>
      <c r="N18" s="184">
        <f t="shared" si="2"/>
        <v>9539879.1538</v>
      </c>
      <c r="O18" s="245"/>
    </row>
    <row r="19" spans="1:15" ht="12.75">
      <c r="A19" s="180">
        <v>47</v>
      </c>
      <c r="B19" s="181">
        <v>1840</v>
      </c>
      <c r="C19" s="182" t="s">
        <v>210</v>
      </c>
      <c r="D19" s="222">
        <v>0.04</v>
      </c>
      <c r="E19" s="211">
        <f>'App 2-BFA Continuity 2010'!H19</f>
        <v>3965066.07</v>
      </c>
      <c r="F19" s="183">
        <f>'[2]Summary Additions'!$K$14</f>
        <v>220000</v>
      </c>
      <c r="G19" s="183"/>
      <c r="H19" s="184">
        <f t="shared" si="0"/>
        <v>4185066.07</v>
      </c>
      <c r="I19" s="334"/>
      <c r="J19" s="184">
        <f>'App 2-BFA Continuity 2010'!M19</f>
        <v>1501030.8165999998</v>
      </c>
      <c r="K19" s="183">
        <f>'[2]Summary Deprec''n'!$K$15</f>
        <v>145610.3628</v>
      </c>
      <c r="L19" s="183"/>
      <c r="M19" s="184">
        <f t="shared" si="1"/>
        <v>1646641.1793999998</v>
      </c>
      <c r="N19" s="184">
        <f t="shared" si="2"/>
        <v>2538424.8906</v>
      </c>
      <c r="O19" s="245"/>
    </row>
    <row r="20" spans="1:15" ht="12.75">
      <c r="A20" s="180">
        <v>47</v>
      </c>
      <c r="B20" s="181">
        <v>1845</v>
      </c>
      <c r="C20" s="182" t="s">
        <v>211</v>
      </c>
      <c r="D20" s="222">
        <v>0.04</v>
      </c>
      <c r="E20" s="211">
        <f>'App 2-BFA Continuity 2010'!H20</f>
        <v>7886026.27</v>
      </c>
      <c r="F20" s="183">
        <f>'[2]Summary Additions'!$K$15</f>
        <v>303000</v>
      </c>
      <c r="G20" s="183"/>
      <c r="H20" s="184">
        <f t="shared" si="0"/>
        <v>8189026.27</v>
      </c>
      <c r="I20" s="334"/>
      <c r="J20" s="184">
        <f>'App 2-BFA Continuity 2010'!M20</f>
        <v>2967889.1078000003</v>
      </c>
      <c r="K20" s="183">
        <f>'[2]Summary Deprec''n'!$K$16</f>
        <v>273304.0408</v>
      </c>
      <c r="L20" s="183"/>
      <c r="M20" s="184">
        <f t="shared" si="1"/>
        <v>3241193.1486000004</v>
      </c>
      <c r="N20" s="184">
        <f t="shared" si="2"/>
        <v>4947833.121399999</v>
      </c>
      <c r="O20" s="245"/>
    </row>
    <row r="21" spans="1:15" ht="12.75">
      <c r="A21" s="180">
        <v>47</v>
      </c>
      <c r="B21" s="181">
        <v>1850</v>
      </c>
      <c r="C21" s="182" t="s">
        <v>19</v>
      </c>
      <c r="D21" s="222">
        <v>0.04</v>
      </c>
      <c r="E21" s="211">
        <f>'App 2-BFA Continuity 2010'!H21</f>
        <v>11907916.979999999</v>
      </c>
      <c r="F21" s="183">
        <f>'[2]Summary Additions'!$K$16+'[2]Summary Additions'!$K$17</f>
        <v>865000</v>
      </c>
      <c r="G21" s="183"/>
      <c r="H21" s="184">
        <f t="shared" si="0"/>
        <v>12772916.979999999</v>
      </c>
      <c r="I21" s="334"/>
      <c r="J21" s="184">
        <f>'App 2-BFA Continuity 2010'!M21</f>
        <v>6709074.024</v>
      </c>
      <c r="K21" s="183">
        <f>'[2]Summary Deprec'n'!$K$17+'[2]Summary Deprec'n'!$K$18</f>
        <v>348523.49919999996</v>
      </c>
      <c r="L21" s="183"/>
      <c r="M21" s="184">
        <f t="shared" si="1"/>
        <v>7057597.5232</v>
      </c>
      <c r="N21" s="184">
        <f t="shared" si="2"/>
        <v>5715319.456799999</v>
      </c>
      <c r="O21" s="245"/>
    </row>
    <row r="22" spans="1:15" ht="12.75">
      <c r="A22" s="180">
        <v>47</v>
      </c>
      <c r="B22" s="181">
        <v>1855</v>
      </c>
      <c r="C22" s="182" t="s">
        <v>169</v>
      </c>
      <c r="D22" s="222">
        <v>0.04</v>
      </c>
      <c r="E22" s="211">
        <f>'App 2-BFA Continuity 2010'!H22</f>
        <v>2771307.81</v>
      </c>
      <c r="F22" s="183">
        <f>'[2]Summary Additions'!$K$18</f>
        <v>266000</v>
      </c>
      <c r="G22" s="183"/>
      <c r="H22" s="184">
        <f t="shared" si="0"/>
        <v>3037307.81</v>
      </c>
      <c r="I22" s="334"/>
      <c r="J22" s="184">
        <f>'App 2-BFA Continuity 2010'!M22</f>
        <v>520232.92179999995</v>
      </c>
      <c r="K22" s="183">
        <f>'[2]Summary Deprec''n'!$K$19</f>
        <v>116172.3124</v>
      </c>
      <c r="L22" s="183"/>
      <c r="M22" s="184">
        <f t="shared" si="1"/>
        <v>636405.2342</v>
      </c>
      <c r="N22" s="184">
        <f t="shared" si="2"/>
        <v>2400902.5758</v>
      </c>
      <c r="O22" s="245"/>
    </row>
    <row r="23" spans="1:15" ht="12.75">
      <c r="A23" s="180">
        <v>47</v>
      </c>
      <c r="B23" s="181">
        <v>1860</v>
      </c>
      <c r="C23" s="182" t="s">
        <v>270</v>
      </c>
      <c r="D23" s="224" t="s">
        <v>279</v>
      </c>
      <c r="E23" s="225">
        <f>'App 2-BFA Continuity 2010'!H23+2383070.68</f>
        <v>6506235.58</v>
      </c>
      <c r="F23" s="183">
        <f>'[2]Summary Additions'!$K$19</f>
        <v>50000</v>
      </c>
      <c r="G23" s="183"/>
      <c r="H23" s="184">
        <f t="shared" si="0"/>
        <v>6556235.58</v>
      </c>
      <c r="I23" s="334"/>
      <c r="J23" s="204">
        <f>'App 2-BFA Continuity 2010'!M23+247728.51</f>
        <v>2622185.5988000007</v>
      </c>
      <c r="K23" s="183">
        <f>'[2]Summary Deprec''n'!$K$20</f>
        <v>316847.4446666667</v>
      </c>
      <c r="L23" s="183"/>
      <c r="M23" s="184">
        <f t="shared" si="1"/>
        <v>2939033.0434666676</v>
      </c>
      <c r="N23" s="184">
        <f t="shared" si="2"/>
        <v>3617202.5365333324</v>
      </c>
      <c r="O23" s="245"/>
    </row>
    <row r="24" spans="1:15" ht="12.75">
      <c r="A24" s="180" t="s">
        <v>9</v>
      </c>
      <c r="B24" s="181">
        <v>1865</v>
      </c>
      <c r="C24" s="182" t="s">
        <v>212</v>
      </c>
      <c r="D24" s="222">
        <v>0</v>
      </c>
      <c r="E24" s="211">
        <f>'App 2-BFA Continuity 2010'!H24</f>
        <v>0</v>
      </c>
      <c r="F24" s="183">
        <v>0</v>
      </c>
      <c r="G24" s="183"/>
      <c r="H24" s="184">
        <f t="shared" si="0"/>
        <v>0</v>
      </c>
      <c r="I24" s="334"/>
      <c r="J24" s="184">
        <f>'App 2-BFA Continuity 2010'!M24</f>
        <v>0</v>
      </c>
      <c r="K24" s="183">
        <v>0</v>
      </c>
      <c r="L24" s="183"/>
      <c r="M24" s="184">
        <f t="shared" si="1"/>
        <v>0</v>
      </c>
      <c r="N24" s="184">
        <f t="shared" si="2"/>
        <v>0</v>
      </c>
      <c r="O24" s="245"/>
    </row>
    <row r="25" spans="1:15" ht="12.75">
      <c r="A25" s="180" t="s">
        <v>9</v>
      </c>
      <c r="B25" s="181">
        <v>1905</v>
      </c>
      <c r="C25" s="182" t="s">
        <v>10</v>
      </c>
      <c r="D25" s="222">
        <v>0</v>
      </c>
      <c r="E25" s="211">
        <f>'App 2-BFA Continuity 2010'!H25</f>
        <v>243636.05000000002</v>
      </c>
      <c r="F25" s="183">
        <f>'[2]Summary Additions'!$K$20</f>
        <v>0</v>
      </c>
      <c r="G25" s="183"/>
      <c r="H25" s="184">
        <f t="shared" si="0"/>
        <v>243636.05000000002</v>
      </c>
      <c r="I25" s="334"/>
      <c r="J25" s="184">
        <f>'App 2-BFA Continuity 2010'!M25</f>
        <v>0</v>
      </c>
      <c r="K25" s="183">
        <f>'[2]Summary Deprec''n'!$K$21</f>
        <v>0</v>
      </c>
      <c r="L25" s="183"/>
      <c r="M25" s="184">
        <f t="shared" si="1"/>
        <v>0</v>
      </c>
      <c r="N25" s="184">
        <f t="shared" si="2"/>
        <v>243636.05000000002</v>
      </c>
      <c r="O25" s="245"/>
    </row>
    <row r="26" spans="1:15" ht="12.75">
      <c r="A26" s="180" t="s">
        <v>24</v>
      </c>
      <c r="B26" s="181">
        <v>1906</v>
      </c>
      <c r="C26" s="182" t="s">
        <v>25</v>
      </c>
      <c r="D26" s="222">
        <v>0</v>
      </c>
      <c r="E26" s="211">
        <f>'App 2-BFA Continuity 2010'!H26</f>
        <v>0</v>
      </c>
      <c r="F26" s="183">
        <v>0</v>
      </c>
      <c r="G26" s="183"/>
      <c r="H26" s="184">
        <f t="shared" si="0"/>
        <v>0</v>
      </c>
      <c r="I26" s="334"/>
      <c r="J26" s="184">
        <f>'App 2-BFA Continuity 2010'!M26</f>
        <v>0</v>
      </c>
      <c r="K26" s="183">
        <v>0</v>
      </c>
      <c r="L26" s="183"/>
      <c r="M26" s="184">
        <f t="shared" si="1"/>
        <v>0</v>
      </c>
      <c r="N26" s="184">
        <f t="shared" si="2"/>
        <v>0</v>
      </c>
      <c r="O26" s="245"/>
    </row>
    <row r="27" spans="1:15" ht="12.75">
      <c r="A27" s="180">
        <v>47</v>
      </c>
      <c r="B27" s="181">
        <v>1908</v>
      </c>
      <c r="C27" s="182" t="s">
        <v>205</v>
      </c>
      <c r="D27" s="224" t="s">
        <v>281</v>
      </c>
      <c r="E27" s="211">
        <f>'App 2-BFA Continuity 2010'!H27</f>
        <v>2315637.7199999997</v>
      </c>
      <c r="F27" s="183">
        <f>'[2]Summary Additions'!$K$21+'[2]Summary Additions'!$K$22</f>
        <v>10000</v>
      </c>
      <c r="G27" s="183"/>
      <c r="H27" s="184">
        <f t="shared" si="0"/>
        <v>2325637.7199999997</v>
      </c>
      <c r="I27" s="334"/>
      <c r="J27" s="184">
        <f>'App 2-BFA Continuity 2010'!M27</f>
        <v>842129.4489999999</v>
      </c>
      <c r="K27" s="183">
        <f>'[2]Summary Deprec'n'!$K$22+'[2]Summary Deprec'n'!$K$23</f>
        <v>34399.2744</v>
      </c>
      <c r="L27" s="183"/>
      <c r="M27" s="184">
        <f t="shared" si="1"/>
        <v>876528.7233999999</v>
      </c>
      <c r="N27" s="184">
        <f t="shared" si="2"/>
        <v>1449108.9965999997</v>
      </c>
      <c r="O27" s="245"/>
    </row>
    <row r="28" spans="1:15" ht="12.75">
      <c r="A28" s="180">
        <v>13</v>
      </c>
      <c r="B28" s="181">
        <v>1910</v>
      </c>
      <c r="C28" s="182" t="s">
        <v>47</v>
      </c>
      <c r="D28" s="222">
        <v>0.1</v>
      </c>
      <c r="E28" s="211">
        <f>'App 2-BFA Continuity 2010'!H28</f>
        <v>6177</v>
      </c>
      <c r="F28" s="183">
        <f>'[2]Summary Additions'!$K$23</f>
        <v>0</v>
      </c>
      <c r="G28" s="183"/>
      <c r="H28" s="184">
        <f t="shared" si="0"/>
        <v>6177</v>
      </c>
      <c r="I28" s="334"/>
      <c r="J28" s="184">
        <f>'App 2-BFA Continuity 2010'!M28</f>
        <v>3862.8</v>
      </c>
      <c r="K28" s="183">
        <f>'[2]Summary Deprec''n'!$K$24</f>
        <v>639.7</v>
      </c>
      <c r="L28" s="183"/>
      <c r="M28" s="184">
        <f t="shared" si="1"/>
        <v>4502.5</v>
      </c>
      <c r="N28" s="184">
        <f t="shared" si="2"/>
        <v>1674.5</v>
      </c>
      <c r="O28" s="245"/>
    </row>
    <row r="29" spans="1:15" ht="12.75">
      <c r="A29" s="180">
        <v>8</v>
      </c>
      <c r="B29" s="181">
        <v>1915</v>
      </c>
      <c r="C29" s="182" t="s">
        <v>213</v>
      </c>
      <c r="D29" s="222">
        <v>0.1</v>
      </c>
      <c r="E29" s="211">
        <f>'App 2-BFA Continuity 2010'!H29</f>
        <v>176971.62</v>
      </c>
      <c r="F29" s="183">
        <f>'[2]Summary Additions'!$K$24</f>
        <v>15000</v>
      </c>
      <c r="G29" s="183"/>
      <c r="H29" s="184">
        <f t="shared" si="0"/>
        <v>191971.62</v>
      </c>
      <c r="I29" s="334"/>
      <c r="J29" s="184">
        <f>'App 2-BFA Continuity 2010'!M29</f>
        <v>95722.953</v>
      </c>
      <c r="K29" s="183">
        <f>'[2]Summary Deprec''n'!$K$25</f>
        <v>16921.722</v>
      </c>
      <c r="L29" s="183"/>
      <c r="M29" s="184">
        <f t="shared" si="1"/>
        <v>112644.67499999999</v>
      </c>
      <c r="N29" s="184">
        <f t="shared" si="2"/>
        <v>79326.945</v>
      </c>
      <c r="O29" s="245"/>
    </row>
    <row r="30" spans="1:15" ht="12.75">
      <c r="A30" s="180">
        <v>10</v>
      </c>
      <c r="B30" s="181">
        <v>1920</v>
      </c>
      <c r="C30" s="182" t="s">
        <v>214</v>
      </c>
      <c r="D30" s="222">
        <v>0.2</v>
      </c>
      <c r="E30" s="211">
        <f>'App 2-BFA Continuity 2010'!H30</f>
        <v>1010519.5499999999</v>
      </c>
      <c r="F30" s="183">
        <f>'[2]Summary Additions'!$K$25+'[2]Summary Additions'!$K$41</f>
        <v>134000</v>
      </c>
      <c r="G30" s="183"/>
      <c r="H30" s="184">
        <f t="shared" si="0"/>
        <v>1144519.5499999998</v>
      </c>
      <c r="I30" s="334"/>
      <c r="J30" s="184">
        <f>'App 2-BFA Continuity 2010'!M30</f>
        <v>771745.951</v>
      </c>
      <c r="K30" s="183">
        <f>'[2]Summary Deprec'n'!$K$26+'[2]Summary Deprec'n'!$K$42</f>
        <v>93833.91</v>
      </c>
      <c r="L30" s="183"/>
      <c r="M30" s="184">
        <f t="shared" si="1"/>
        <v>865579.861</v>
      </c>
      <c r="N30" s="184">
        <f t="shared" si="2"/>
        <v>278939.6889999998</v>
      </c>
      <c r="O30" s="245"/>
    </row>
    <row r="31" spans="1:15" ht="12.75">
      <c r="A31" s="219" t="s">
        <v>275</v>
      </c>
      <c r="B31" s="181">
        <v>1925</v>
      </c>
      <c r="C31" s="182" t="s">
        <v>269</v>
      </c>
      <c r="D31" s="222">
        <v>0.2</v>
      </c>
      <c r="E31" s="225">
        <f>'App 2-BFA Continuity 2010'!H31+132742.57</f>
        <v>530040.94</v>
      </c>
      <c r="F31" s="183">
        <f>'[2]Summary Additions'!$K$26</f>
        <v>215000</v>
      </c>
      <c r="G31" s="183"/>
      <c r="H31" s="184">
        <f t="shared" si="0"/>
        <v>745040.94</v>
      </c>
      <c r="I31" s="334"/>
      <c r="J31" s="204">
        <f>'App 2-BFA Continuity 2010'!M31+48871.5</f>
        <v>308443.581</v>
      </c>
      <c r="K31" s="183">
        <f>'[2]Summary Deprec''n'!$K$27</f>
        <v>81209.133</v>
      </c>
      <c r="L31" s="183"/>
      <c r="M31" s="184">
        <f t="shared" si="1"/>
        <v>389652.71400000004</v>
      </c>
      <c r="N31" s="184">
        <f t="shared" si="2"/>
        <v>355388.2259999999</v>
      </c>
      <c r="O31" s="245"/>
    </row>
    <row r="32" spans="1:15" ht="12.75">
      <c r="A32" s="180">
        <v>10</v>
      </c>
      <c r="B32" s="181">
        <v>1930</v>
      </c>
      <c r="C32" s="182" t="s">
        <v>33</v>
      </c>
      <c r="D32" s="222" t="s">
        <v>282</v>
      </c>
      <c r="E32" s="211">
        <f>'App 2-BFA Continuity 2010'!H32</f>
        <v>1275340.2</v>
      </c>
      <c r="F32" s="183">
        <f>'[2]Summary Additions'!$K$27+'[2]Summary Additions'!$K$28+'[2]Summary Additions'!$K$29+'[2]Summary Additions'!$K$30+'[2]Summary Additions'!$K$31</f>
        <v>400000</v>
      </c>
      <c r="G32" s="183"/>
      <c r="H32" s="184">
        <f t="shared" si="0"/>
        <v>1675340.2</v>
      </c>
      <c r="I32" s="334"/>
      <c r="J32" s="184">
        <f>'App 2-BFA Continuity 2010'!M32</f>
        <v>839957.6387499998</v>
      </c>
      <c r="K32" s="183">
        <f>'[2]Summary Deprec''n'!$K$28+'[2]Summary Deprec''n'!$K$29+'[2]Summary Deprec''n'!$K$30+'[2]Summary Deprec''n'!$K$31+'[2]Summary Deprec''n'!$K$32</f>
        <v>198316.69374999998</v>
      </c>
      <c r="L32" s="183"/>
      <c r="M32" s="184">
        <f t="shared" si="1"/>
        <v>1038274.3324999998</v>
      </c>
      <c r="N32" s="184">
        <f t="shared" si="2"/>
        <v>637065.8675000002</v>
      </c>
      <c r="O32" s="245"/>
    </row>
    <row r="33" spans="1:15" ht="12.75">
      <c r="A33" s="180">
        <v>8</v>
      </c>
      <c r="B33" s="181">
        <v>1935</v>
      </c>
      <c r="C33" s="182" t="s">
        <v>34</v>
      </c>
      <c r="D33" s="222">
        <v>0.1</v>
      </c>
      <c r="E33" s="211">
        <f>'App 2-BFA Continuity 2010'!H33</f>
        <v>40203.70999999999</v>
      </c>
      <c r="F33" s="183">
        <f>'[2]Summary Additions'!$K$32</f>
        <v>1000</v>
      </c>
      <c r="G33" s="183"/>
      <c r="H33" s="184">
        <f t="shared" si="0"/>
        <v>41203.70999999999</v>
      </c>
      <c r="I33" s="334"/>
      <c r="J33" s="184">
        <f>'App 2-BFA Continuity 2010'!M33</f>
        <v>25146.275499999996</v>
      </c>
      <c r="K33" s="183">
        <f>'[2]Summary Deprec''n'!$K$33</f>
        <v>4070.370999999999</v>
      </c>
      <c r="L33" s="183"/>
      <c r="M33" s="184">
        <f t="shared" si="1"/>
        <v>29216.646499999995</v>
      </c>
      <c r="N33" s="184">
        <f t="shared" si="2"/>
        <v>11987.063499999997</v>
      </c>
      <c r="O33" s="245"/>
    </row>
    <row r="34" spans="1:15" ht="12.75">
      <c r="A34" s="180">
        <v>8</v>
      </c>
      <c r="B34" s="181">
        <v>1940</v>
      </c>
      <c r="C34" s="182" t="s">
        <v>215</v>
      </c>
      <c r="D34" s="222">
        <v>0.1</v>
      </c>
      <c r="E34" s="211">
        <f>'App 2-BFA Continuity 2010'!H34</f>
        <v>308677.15</v>
      </c>
      <c r="F34" s="183">
        <f>'[2]Summary Additions'!$K$33</f>
        <v>23000</v>
      </c>
      <c r="G34" s="183"/>
      <c r="H34" s="184">
        <f t="shared" si="0"/>
        <v>331677.15</v>
      </c>
      <c r="I34" s="334"/>
      <c r="J34" s="184">
        <f>'App 2-BFA Continuity 2010'!M34</f>
        <v>178056.69675</v>
      </c>
      <c r="K34" s="183">
        <f>'[2]Summary Deprec'n'!$K$34+'[2]Summary Deprec'n'!$K$35</f>
        <v>31722.423250000003</v>
      </c>
      <c r="L34" s="183"/>
      <c r="M34" s="184">
        <f t="shared" si="1"/>
        <v>209779.12</v>
      </c>
      <c r="N34" s="184">
        <f t="shared" si="2"/>
        <v>121898.03000000003</v>
      </c>
      <c r="O34" s="245"/>
    </row>
    <row r="35" spans="1:15" ht="12.75">
      <c r="A35" s="180">
        <v>8</v>
      </c>
      <c r="B35" s="181">
        <v>1945</v>
      </c>
      <c r="C35" s="182" t="s">
        <v>216</v>
      </c>
      <c r="D35" s="222">
        <v>0.1</v>
      </c>
      <c r="E35" s="211">
        <f>'App 2-BFA Continuity 2010'!H35</f>
        <v>183972.81000000003</v>
      </c>
      <c r="F35" s="183">
        <f>'[2]Summary Additions'!$K$35</f>
        <v>6000</v>
      </c>
      <c r="G35" s="183"/>
      <c r="H35" s="184">
        <f t="shared" si="0"/>
        <v>189972.81000000003</v>
      </c>
      <c r="I35" s="334"/>
      <c r="J35" s="184">
        <f>'App 2-BFA Continuity 2010'!M35</f>
        <v>110468.97450000001</v>
      </c>
      <c r="K35" s="183">
        <f>'[2]Summary Deprec''n'!$K$36</f>
        <v>18697.351000000002</v>
      </c>
      <c r="L35" s="183"/>
      <c r="M35" s="184">
        <f t="shared" si="1"/>
        <v>129166.3255</v>
      </c>
      <c r="N35" s="184">
        <f t="shared" si="2"/>
        <v>60806.48450000002</v>
      </c>
      <c r="O35" s="245"/>
    </row>
    <row r="36" spans="1:15" ht="12.75">
      <c r="A36" s="180">
        <v>8</v>
      </c>
      <c r="B36" s="181">
        <v>1950</v>
      </c>
      <c r="C36" s="182" t="s">
        <v>217</v>
      </c>
      <c r="D36" s="222">
        <v>0</v>
      </c>
      <c r="E36" s="211">
        <f>'App 2-BFA Continuity 2010'!H36</f>
        <v>0</v>
      </c>
      <c r="F36" s="183">
        <f>0</f>
        <v>0</v>
      </c>
      <c r="G36" s="183"/>
      <c r="H36" s="184">
        <f t="shared" si="0"/>
        <v>0</v>
      </c>
      <c r="I36" s="334"/>
      <c r="J36" s="184">
        <f>'App 2-BFA Continuity 2010'!M36</f>
        <v>0</v>
      </c>
      <c r="K36" s="183">
        <v>0</v>
      </c>
      <c r="L36" s="183"/>
      <c r="M36" s="184">
        <f t="shared" si="1"/>
        <v>0</v>
      </c>
      <c r="N36" s="184">
        <f t="shared" si="2"/>
        <v>0</v>
      </c>
      <c r="O36" s="245"/>
    </row>
    <row r="37" spans="1:15" ht="12.75">
      <c r="A37" s="180">
        <v>8</v>
      </c>
      <c r="B37" s="181">
        <v>1955</v>
      </c>
      <c r="C37" s="182" t="s">
        <v>218</v>
      </c>
      <c r="D37" s="222">
        <v>0.1</v>
      </c>
      <c r="E37" s="211">
        <f>'App 2-BFA Continuity 2010'!H37</f>
        <v>116905.79000000001</v>
      </c>
      <c r="F37" s="183">
        <f>'[2]Summary Additions'!$K$36</f>
        <v>8000</v>
      </c>
      <c r="G37" s="183"/>
      <c r="H37" s="184">
        <f t="shared" si="0"/>
        <v>124905.79000000001</v>
      </c>
      <c r="I37" s="334"/>
      <c r="J37" s="184">
        <f>'App 2-BFA Continuity 2010'!M37</f>
        <v>56504.1345</v>
      </c>
      <c r="K37" s="183">
        <f>'[2]Summary Deprec''n'!$K$37</f>
        <v>12090.618999999999</v>
      </c>
      <c r="L37" s="183"/>
      <c r="M37" s="184">
        <f t="shared" si="1"/>
        <v>68594.75349999999</v>
      </c>
      <c r="N37" s="184">
        <f t="shared" si="2"/>
        <v>56311.03650000002</v>
      </c>
      <c r="O37" s="245"/>
    </row>
    <row r="38" spans="1:15" ht="12.75">
      <c r="A38" s="180">
        <v>8</v>
      </c>
      <c r="B38" s="181">
        <v>1960</v>
      </c>
      <c r="C38" s="182" t="s">
        <v>96</v>
      </c>
      <c r="D38" s="222">
        <v>0.1</v>
      </c>
      <c r="E38" s="211">
        <f>'App 2-BFA Continuity 2010'!H38</f>
        <v>457471.12</v>
      </c>
      <c r="F38" s="183">
        <f>'[2]Summary Additions'!$K$37</f>
        <v>5000</v>
      </c>
      <c r="G38" s="183"/>
      <c r="H38" s="184">
        <f t="shared" si="0"/>
        <v>462471.12</v>
      </c>
      <c r="I38" s="334"/>
      <c r="J38" s="184">
        <f>'App 2-BFA Continuity 2010'!M38</f>
        <v>118269.98514285714</v>
      </c>
      <c r="K38" s="183">
        <f>'[2]Summary Deprec''n'!$K$38</f>
        <v>47283.42571428571</v>
      </c>
      <c r="L38" s="183"/>
      <c r="M38" s="184">
        <f t="shared" si="1"/>
        <v>165553.41085714285</v>
      </c>
      <c r="N38" s="184">
        <f t="shared" si="2"/>
        <v>296917.7091428571</v>
      </c>
      <c r="O38" s="245"/>
    </row>
    <row r="39" spans="1:15" ht="12.75">
      <c r="A39" s="180">
        <v>47</v>
      </c>
      <c r="B39" s="181">
        <v>1970</v>
      </c>
      <c r="C39" s="182" t="s">
        <v>219</v>
      </c>
      <c r="D39" s="222">
        <v>0.1</v>
      </c>
      <c r="E39" s="211">
        <f>'App 2-BFA Continuity 2010'!H39</f>
        <v>16564.260000000002</v>
      </c>
      <c r="F39" s="183">
        <f>'[2]Summary Additions'!$K$39</f>
        <v>0</v>
      </c>
      <c r="G39" s="183"/>
      <c r="H39" s="184">
        <f t="shared" si="0"/>
        <v>16564.260000000002</v>
      </c>
      <c r="I39" s="334"/>
      <c r="J39" s="184">
        <f>'App 2-BFA Continuity 2010'!M39</f>
        <v>16564.66</v>
      </c>
      <c r="K39" s="183">
        <f>'[2]Summary Deprec''n'!$K$40</f>
        <v>0</v>
      </c>
      <c r="L39" s="183"/>
      <c r="M39" s="184">
        <f t="shared" si="1"/>
        <v>16564.66</v>
      </c>
      <c r="N39" s="294">
        <f t="shared" si="2"/>
        <v>-0.3999999999978172</v>
      </c>
      <c r="O39" s="245"/>
    </row>
    <row r="40" spans="1:15" ht="12.75">
      <c r="A40" s="180">
        <v>47</v>
      </c>
      <c r="B40" s="181">
        <v>1975</v>
      </c>
      <c r="C40" s="182" t="s">
        <v>220</v>
      </c>
      <c r="D40" s="222">
        <v>0.1</v>
      </c>
      <c r="E40" s="211">
        <f>'App 2-BFA Continuity 2010'!H40</f>
        <v>0</v>
      </c>
      <c r="F40" s="183">
        <v>0</v>
      </c>
      <c r="G40" s="183"/>
      <c r="H40" s="184">
        <f t="shared" si="0"/>
        <v>0</v>
      </c>
      <c r="I40" s="334"/>
      <c r="J40" s="184">
        <f>'App 2-BFA Continuity 2010'!M40</f>
        <v>0</v>
      </c>
      <c r="K40" s="183">
        <v>0</v>
      </c>
      <c r="L40" s="183"/>
      <c r="M40" s="184">
        <f t="shared" si="1"/>
        <v>0</v>
      </c>
      <c r="N40" s="184">
        <f t="shared" si="2"/>
        <v>0</v>
      </c>
      <c r="O40" s="245"/>
    </row>
    <row r="41" spans="1:15" ht="12.75">
      <c r="A41" s="180">
        <v>47</v>
      </c>
      <c r="B41" s="181">
        <v>1980</v>
      </c>
      <c r="C41" s="182" t="s">
        <v>97</v>
      </c>
      <c r="D41" s="222">
        <v>0.067</v>
      </c>
      <c r="E41" s="211">
        <f>'App 2-BFA Continuity 2010'!H41</f>
        <v>1188956.77</v>
      </c>
      <c r="F41" s="183">
        <f>'[2]Summary Additions'!$K$40</f>
        <v>225000</v>
      </c>
      <c r="G41" s="183"/>
      <c r="H41" s="184">
        <f t="shared" si="0"/>
        <v>1413956.77</v>
      </c>
      <c r="I41" s="334"/>
      <c r="J41" s="184">
        <f>'App 2-BFA Continuity 2010'!M41</f>
        <v>326742.8116666667</v>
      </c>
      <c r="K41" s="183">
        <f>'[2]Summary Deprec''n'!$K$41</f>
        <v>86763.758</v>
      </c>
      <c r="L41" s="183"/>
      <c r="M41" s="184">
        <f t="shared" si="1"/>
        <v>413506.5696666667</v>
      </c>
      <c r="N41" s="184">
        <f t="shared" si="2"/>
        <v>1000450.2003333333</v>
      </c>
      <c r="O41" s="245"/>
    </row>
    <row r="42" spans="1:15" ht="12.75">
      <c r="A42" s="180">
        <v>47</v>
      </c>
      <c r="B42" s="181">
        <v>1985</v>
      </c>
      <c r="C42" s="182" t="s">
        <v>221</v>
      </c>
      <c r="D42" s="222">
        <v>0</v>
      </c>
      <c r="E42" s="211">
        <f>'App 2-BFA Continuity 2010'!H42</f>
        <v>0</v>
      </c>
      <c r="F42" s="183">
        <v>0</v>
      </c>
      <c r="G42" s="183"/>
      <c r="H42" s="184">
        <f t="shared" si="0"/>
        <v>0</v>
      </c>
      <c r="I42" s="334"/>
      <c r="J42" s="184">
        <f>'App 2-BFA Continuity 2010'!M42</f>
        <v>0</v>
      </c>
      <c r="K42" s="183">
        <v>0</v>
      </c>
      <c r="L42" s="183"/>
      <c r="M42" s="184">
        <f t="shared" si="1"/>
        <v>0</v>
      </c>
      <c r="N42" s="184">
        <f t="shared" si="2"/>
        <v>0</v>
      </c>
      <c r="O42" s="245"/>
    </row>
    <row r="43" spans="1:15" ht="12.75">
      <c r="A43" s="180">
        <v>47</v>
      </c>
      <c r="B43" s="181">
        <v>1990</v>
      </c>
      <c r="C43" s="182" t="s">
        <v>222</v>
      </c>
      <c r="D43" s="222">
        <v>0</v>
      </c>
      <c r="E43" s="211">
        <f>'App 2-BFA Continuity 2010'!H43</f>
        <v>0</v>
      </c>
      <c r="F43" s="183">
        <v>0</v>
      </c>
      <c r="G43" s="183"/>
      <c r="H43" s="184">
        <f t="shared" si="0"/>
        <v>0</v>
      </c>
      <c r="I43" s="334"/>
      <c r="J43" s="184">
        <f>'App 2-BFA Continuity 2010'!M43</f>
        <v>0</v>
      </c>
      <c r="K43" s="183">
        <v>0</v>
      </c>
      <c r="L43" s="183"/>
      <c r="M43" s="184">
        <f t="shared" si="1"/>
        <v>0</v>
      </c>
      <c r="N43" s="184">
        <f t="shared" si="2"/>
        <v>0</v>
      </c>
      <c r="O43" s="245"/>
    </row>
    <row r="44" spans="1:15" ht="12.75">
      <c r="A44" s="180">
        <v>47</v>
      </c>
      <c r="B44" s="181">
        <v>1995</v>
      </c>
      <c r="C44" s="182" t="s">
        <v>223</v>
      </c>
      <c r="D44" s="222">
        <v>0.04</v>
      </c>
      <c r="E44" s="292">
        <f>'App 2-BFA Continuity 2010'!H44</f>
        <v>-8814020.350000001</v>
      </c>
      <c r="F44" s="293">
        <f>'[2]Summary Additions'!$K$44</f>
        <v>-510000</v>
      </c>
      <c r="G44" s="183"/>
      <c r="H44" s="294">
        <f t="shared" si="0"/>
        <v>-9324020.350000001</v>
      </c>
      <c r="I44" s="334"/>
      <c r="J44" s="294">
        <f>'App 2-BFA Continuity 2010'!M44</f>
        <v>-1938649.9782000002</v>
      </c>
      <c r="K44" s="293">
        <f>'[2]Summary Deprec''n'!$K$45</f>
        <v>-362760.83400000003</v>
      </c>
      <c r="L44" s="183"/>
      <c r="M44" s="294">
        <f t="shared" si="1"/>
        <v>-2301410.8122000005</v>
      </c>
      <c r="N44" s="294">
        <f t="shared" si="2"/>
        <v>-7022609.537800001</v>
      </c>
      <c r="O44" s="245"/>
    </row>
    <row r="45" spans="1:15" ht="12.75">
      <c r="A45" s="180">
        <v>8</v>
      </c>
      <c r="B45" s="181">
        <v>2005</v>
      </c>
      <c r="C45" s="203" t="str">
        <f>'App. 2-B FA Continuity 2008'!C45</f>
        <v>Property under Capital Lease</v>
      </c>
      <c r="D45" s="222">
        <v>0.1</v>
      </c>
      <c r="E45" s="210">
        <f>'App. 2-B FA Continuity 2008'!E45</f>
        <v>10039</v>
      </c>
      <c r="F45" s="183">
        <v>0</v>
      </c>
      <c r="G45" s="183"/>
      <c r="H45" s="184">
        <f t="shared" si="0"/>
        <v>10039</v>
      </c>
      <c r="I45" s="334"/>
      <c r="J45" s="184">
        <f>'App 2-BFA Continuity 2010'!M45</f>
        <v>6023.44</v>
      </c>
      <c r="K45" s="183">
        <f>'[2]Summary Deprec''n'!$K$47</f>
        <v>1003.86</v>
      </c>
      <c r="L45" s="183"/>
      <c r="M45" s="184">
        <f t="shared" si="1"/>
        <v>7027.299999999999</v>
      </c>
      <c r="N45" s="184">
        <f t="shared" si="2"/>
        <v>3011.7000000000007</v>
      </c>
      <c r="O45" s="245"/>
    </row>
    <row r="46" spans="1:15" ht="12.75">
      <c r="A46" s="180"/>
      <c r="B46" s="187"/>
      <c r="C46" s="188" t="s">
        <v>248</v>
      </c>
      <c r="D46" s="223"/>
      <c r="E46" s="189">
        <f>SUM(E10:E45)</f>
        <v>81099606.20000002</v>
      </c>
      <c r="F46" s="189">
        <f>SUM(F10:F45)</f>
        <v>4232000</v>
      </c>
      <c r="G46" s="189">
        <f>SUM(G10:G45)</f>
        <v>0</v>
      </c>
      <c r="H46" s="189">
        <f>SUM(H10:H45)</f>
        <v>85331606.20000002</v>
      </c>
      <c r="I46" s="334"/>
      <c r="J46" s="189">
        <f>SUM(J10:J45)</f>
        <v>28810235.332651194</v>
      </c>
      <c r="K46" s="189">
        <f>SUM(K10:K45)</f>
        <v>3244767.7216642858</v>
      </c>
      <c r="L46" s="189">
        <f>SUM(L10:L45)</f>
        <v>0</v>
      </c>
      <c r="M46" s="189">
        <f>SUM(M10:M45)</f>
        <v>32055003.054315474</v>
      </c>
      <c r="N46" s="189">
        <f>SUM(N10:N45)</f>
        <v>53276603.14568454</v>
      </c>
      <c r="O46" s="245"/>
    </row>
    <row r="47" spans="1:15" ht="12.75">
      <c r="A47" s="180"/>
      <c r="B47" s="187"/>
      <c r="C47" s="182"/>
      <c r="D47" s="222"/>
      <c r="E47" s="184"/>
      <c r="F47" s="184"/>
      <c r="G47" s="184"/>
      <c r="H47" s="184"/>
      <c r="I47" s="334"/>
      <c r="J47" s="184"/>
      <c r="K47" s="184"/>
      <c r="L47" s="184"/>
      <c r="M47" s="184"/>
      <c r="N47" s="184"/>
      <c r="O47" s="245"/>
    </row>
    <row r="48" spans="1:15" ht="12.75">
      <c r="A48" s="180" t="s">
        <v>257</v>
      </c>
      <c r="B48" s="187"/>
      <c r="C48" s="182" t="s">
        <v>258</v>
      </c>
      <c r="D48" s="222">
        <v>0</v>
      </c>
      <c r="E48" s="184">
        <f>'App 2-BFA Continuity 2010'!H48</f>
        <v>0</v>
      </c>
      <c r="F48" s="183"/>
      <c r="G48" s="183"/>
      <c r="H48" s="184">
        <f>E48+F48-G48</f>
        <v>0</v>
      </c>
      <c r="I48" s="334"/>
      <c r="J48" s="184">
        <f>'App 2-BFA Continuity 2010'!M48</f>
        <v>0</v>
      </c>
      <c r="K48" s="183"/>
      <c r="L48" s="183"/>
      <c r="M48" s="184">
        <f>J48+K48-L48</f>
        <v>0</v>
      </c>
      <c r="N48" s="184">
        <f>H48-M48</f>
        <v>0</v>
      </c>
      <c r="O48" s="245"/>
    </row>
    <row r="49" spans="1:15" ht="12.75">
      <c r="A49" s="180"/>
      <c r="B49" s="187"/>
      <c r="C49" s="188" t="s">
        <v>249</v>
      </c>
      <c r="D49" s="188"/>
      <c r="E49" s="189">
        <f>SUM(E46:E48)</f>
        <v>81099606.20000002</v>
      </c>
      <c r="F49" s="189">
        <f>SUM(F46:F48)</f>
        <v>4232000</v>
      </c>
      <c r="G49" s="189">
        <f>SUM(G46:G48)</f>
        <v>0</v>
      </c>
      <c r="H49" s="189">
        <f>SUM(H46:H48)</f>
        <v>85331606.20000002</v>
      </c>
      <c r="I49" s="334"/>
      <c r="J49" s="189">
        <f>SUM(J46:J48)</f>
        <v>28810235.332651194</v>
      </c>
      <c r="K49" s="189">
        <f>SUM(K46:K48)</f>
        <v>3244767.7216642858</v>
      </c>
      <c r="L49" s="189">
        <f>SUM(L46:L48)</f>
        <v>0</v>
      </c>
      <c r="M49" s="189">
        <f>SUM(M46:M48)</f>
        <v>32055003.054315474</v>
      </c>
      <c r="N49" s="189">
        <f>SUM(N46:N48)</f>
        <v>53276603.14568454</v>
      </c>
      <c r="O49" s="245"/>
    </row>
    <row r="50" spans="1:15" ht="12.75">
      <c r="A50" s="239"/>
      <c r="B50" s="226"/>
      <c r="C50" s="227"/>
      <c r="D50" s="227"/>
      <c r="E50" s="228"/>
      <c r="F50" s="228"/>
      <c r="G50" s="228"/>
      <c r="H50" s="179"/>
      <c r="I50" s="229"/>
      <c r="J50" s="229"/>
      <c r="K50" s="229"/>
      <c r="L50" s="229"/>
      <c r="M50" s="229"/>
      <c r="N50" s="249"/>
      <c r="O50" s="236"/>
    </row>
    <row r="51" spans="1:15" ht="12.75">
      <c r="A51" s="226"/>
      <c r="B51" s="226"/>
      <c r="C51" s="227"/>
      <c r="D51" s="227"/>
      <c r="E51" s="228"/>
      <c r="F51" s="228"/>
      <c r="G51" s="228"/>
      <c r="H51" s="228"/>
      <c r="I51" s="319" t="s">
        <v>250</v>
      </c>
      <c r="J51" s="319"/>
      <c r="K51" s="319"/>
      <c r="L51" s="229"/>
      <c r="M51" s="229"/>
      <c r="N51" s="249"/>
      <c r="O51" s="245"/>
    </row>
    <row r="52" spans="1:15" ht="12.75">
      <c r="A52" s="168">
        <v>10</v>
      </c>
      <c r="B52" s="71">
        <v>1930</v>
      </c>
      <c r="C52" s="167" t="s">
        <v>44</v>
      </c>
      <c r="D52" s="232"/>
      <c r="E52" s="228"/>
      <c r="F52" s="228"/>
      <c r="G52" s="228"/>
      <c r="H52" s="228"/>
      <c r="I52" s="318" t="s">
        <v>44</v>
      </c>
      <c r="J52" s="318"/>
      <c r="K52" s="190">
        <f>K32</f>
        <v>198316.69374999998</v>
      </c>
      <c r="L52" s="229"/>
      <c r="M52" s="229"/>
      <c r="N52" s="249"/>
      <c r="O52" s="252"/>
    </row>
    <row r="53" spans="1:15" ht="12.75">
      <c r="A53" s="166">
        <v>10</v>
      </c>
      <c r="B53" s="71" t="s">
        <v>259</v>
      </c>
      <c r="C53" s="167" t="s">
        <v>260</v>
      </c>
      <c r="D53" s="232"/>
      <c r="E53" s="228"/>
      <c r="F53" s="228"/>
      <c r="G53" s="228"/>
      <c r="H53" s="228"/>
      <c r="I53" s="318" t="s">
        <v>251</v>
      </c>
      <c r="J53" s="318"/>
      <c r="K53" s="190">
        <f>K33+K34+K45-3050</f>
        <v>33746.65425000001</v>
      </c>
      <c r="L53" s="229"/>
      <c r="M53" s="229"/>
      <c r="N53" s="249"/>
      <c r="O53" s="252"/>
    </row>
    <row r="54" spans="1:15" ht="12.75">
      <c r="A54" s="166">
        <v>45</v>
      </c>
      <c r="B54" s="71" t="s">
        <v>261</v>
      </c>
      <c r="C54" s="167" t="s">
        <v>262</v>
      </c>
      <c r="D54" s="232"/>
      <c r="E54" s="228"/>
      <c r="F54" s="228"/>
      <c r="G54" s="228"/>
      <c r="H54" s="228"/>
      <c r="I54" s="234" t="s">
        <v>268</v>
      </c>
      <c r="J54" s="234"/>
      <c r="K54" s="190">
        <f>K30+K31-'[2]Summary Deprec''n'!$K$42</f>
        <v>155512.439</v>
      </c>
      <c r="L54" s="229"/>
      <c r="M54" s="229"/>
      <c r="N54" s="229"/>
      <c r="O54" s="252"/>
    </row>
    <row r="55" spans="1:15" ht="13.5" thickBot="1">
      <c r="A55" s="226"/>
      <c r="B55" s="226"/>
      <c r="C55" s="227"/>
      <c r="D55" s="227"/>
      <c r="E55" s="228"/>
      <c r="F55" s="228"/>
      <c r="G55" s="228"/>
      <c r="H55" s="228"/>
      <c r="I55" s="319" t="s">
        <v>45</v>
      </c>
      <c r="J55" s="319"/>
      <c r="K55" s="191">
        <f>K49-K52-K53-K54</f>
        <v>2857191.9346642857</v>
      </c>
      <c r="L55" s="229"/>
      <c r="M55" s="236"/>
      <c r="N55" s="229"/>
      <c r="O55" s="248"/>
    </row>
    <row r="56" spans="1:22" ht="13.5" thickTop="1">
      <c r="A56" s="226"/>
      <c r="B56" s="226"/>
      <c r="C56" s="227"/>
      <c r="D56" s="227"/>
      <c r="E56" s="228"/>
      <c r="F56" s="228"/>
      <c r="G56" s="228"/>
      <c r="H56" s="228"/>
      <c r="I56" s="229"/>
      <c r="J56" s="229"/>
      <c r="K56" s="229"/>
      <c r="L56" s="229"/>
      <c r="M56" s="229"/>
      <c r="N56" s="229"/>
      <c r="O56" s="248"/>
      <c r="P56" s="236"/>
      <c r="Q56" s="236"/>
      <c r="R56" s="236"/>
      <c r="S56" s="236"/>
      <c r="T56" s="236"/>
      <c r="U56" s="236"/>
      <c r="V56" s="236"/>
    </row>
    <row r="57" spans="1:22" ht="12.75">
      <c r="A57" s="236" t="s">
        <v>158</v>
      </c>
      <c r="B57" s="236"/>
      <c r="C57" s="236" t="s">
        <v>271</v>
      </c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42"/>
      <c r="O57" s="236"/>
      <c r="P57" s="236"/>
      <c r="Q57" s="236"/>
      <c r="R57" s="236"/>
      <c r="S57" s="236"/>
      <c r="T57" s="236"/>
      <c r="U57" s="236"/>
      <c r="V57" s="236"/>
    </row>
    <row r="58" spans="1:22" ht="12.75">
      <c r="A58" s="236" t="s">
        <v>159</v>
      </c>
      <c r="B58" s="236"/>
      <c r="C58" s="236" t="s">
        <v>272</v>
      </c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42"/>
      <c r="O58" s="236"/>
      <c r="P58" s="236"/>
      <c r="Q58" s="236"/>
      <c r="R58" s="236"/>
      <c r="S58" s="236"/>
      <c r="T58" s="236"/>
      <c r="U58" s="236"/>
      <c r="V58" s="236"/>
    </row>
    <row r="59" spans="1:22" ht="12.75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42"/>
      <c r="O59" s="236"/>
      <c r="P59" s="236"/>
      <c r="Q59" s="236"/>
      <c r="R59" s="236"/>
      <c r="S59" s="236"/>
      <c r="T59" s="236"/>
      <c r="U59" s="236"/>
      <c r="V59" s="236"/>
    </row>
    <row r="60" spans="1:22" ht="12.75">
      <c r="A60" s="239"/>
      <c r="B60" s="226"/>
      <c r="C60" s="227"/>
      <c r="D60" s="227"/>
      <c r="E60" s="250"/>
      <c r="F60" s="250"/>
      <c r="G60" s="250"/>
      <c r="H60" s="250"/>
      <c r="I60" s="242"/>
      <c r="J60" s="242"/>
      <c r="K60" s="242"/>
      <c r="L60" s="242"/>
      <c r="M60" s="242"/>
      <c r="N60" s="242"/>
      <c r="O60" s="236"/>
      <c r="P60" s="236"/>
      <c r="Q60" s="236"/>
      <c r="R60" s="236"/>
      <c r="S60" s="236"/>
      <c r="T60" s="236"/>
      <c r="U60" s="236"/>
      <c r="V60" s="236"/>
    </row>
    <row r="61" spans="5:22" ht="12.75">
      <c r="E61" s="192"/>
      <c r="F61" s="192"/>
      <c r="G61" s="192"/>
      <c r="H61" s="250"/>
      <c r="I61" s="242"/>
      <c r="J61" s="242"/>
      <c r="K61" s="242"/>
      <c r="L61" s="242"/>
      <c r="M61" s="242"/>
      <c r="N61" s="242"/>
      <c r="O61" s="236"/>
      <c r="P61" s="236"/>
      <c r="Q61" s="236"/>
      <c r="R61" s="236"/>
      <c r="S61" s="236"/>
      <c r="T61" s="236"/>
      <c r="U61" s="236"/>
      <c r="V61" s="236"/>
    </row>
    <row r="62" spans="3:15" ht="12.75">
      <c r="C62" s="178"/>
      <c r="D62" s="178"/>
      <c r="E62" s="171"/>
      <c r="F62" s="171"/>
      <c r="G62" s="171"/>
      <c r="H62" s="171"/>
      <c r="I62" s="172"/>
      <c r="J62" s="173"/>
      <c r="K62" s="173"/>
      <c r="L62" s="241"/>
      <c r="M62" s="241"/>
      <c r="N62" s="241"/>
      <c r="O62" s="236"/>
    </row>
    <row r="63" spans="3:14" ht="12.75">
      <c r="C63" s="178"/>
      <c r="D63" s="178"/>
      <c r="E63" s="171"/>
      <c r="F63" s="171"/>
      <c r="G63" s="171"/>
      <c r="H63" s="171"/>
      <c r="I63" s="172"/>
      <c r="J63" s="173"/>
      <c r="K63" s="173"/>
      <c r="L63" s="173"/>
      <c r="M63" s="173"/>
      <c r="N63" s="173"/>
    </row>
    <row r="64" spans="3:14" ht="12.75">
      <c r="C64" s="178"/>
      <c r="D64" s="178"/>
      <c r="E64" s="171"/>
      <c r="F64" s="171"/>
      <c r="G64" s="171"/>
      <c r="H64" s="171"/>
      <c r="I64" s="172"/>
      <c r="J64" s="173"/>
      <c r="K64" s="173"/>
      <c r="L64" s="173"/>
      <c r="M64" s="173"/>
      <c r="N64" s="173"/>
    </row>
    <row r="65" spans="3:14" ht="12.75">
      <c r="C65" s="178"/>
      <c r="D65" s="178"/>
      <c r="E65" s="171"/>
      <c r="F65" s="171"/>
      <c r="G65" s="171"/>
      <c r="H65" s="171"/>
      <c r="I65" s="172"/>
      <c r="J65" s="173"/>
      <c r="K65" s="173"/>
      <c r="L65" s="173"/>
      <c r="M65" s="173"/>
      <c r="N65" s="173"/>
    </row>
  </sheetData>
  <sheetProtection/>
  <mergeCells count="26">
    <mergeCell ref="G8:G9"/>
    <mergeCell ref="H8:H9"/>
    <mergeCell ref="I8:I49"/>
    <mergeCell ref="A1:N1"/>
    <mergeCell ref="A2:N2"/>
    <mergeCell ref="A3:C3"/>
    <mergeCell ref="A4:C4"/>
    <mergeCell ref="A5:C5"/>
    <mergeCell ref="E6:H6"/>
    <mergeCell ref="J6:M6"/>
    <mergeCell ref="M8:M9"/>
    <mergeCell ref="N8:N9"/>
    <mergeCell ref="I51:K51"/>
    <mergeCell ref="E7:H7"/>
    <mergeCell ref="J7:M7"/>
    <mergeCell ref="A8:A9"/>
    <mergeCell ref="B8:B9"/>
    <mergeCell ref="C8:C9"/>
    <mergeCell ref="E8:E9"/>
    <mergeCell ref="F8:F9"/>
    <mergeCell ref="I52:J52"/>
    <mergeCell ref="I53:J53"/>
    <mergeCell ref="I55:J55"/>
    <mergeCell ref="J8:J9"/>
    <mergeCell ref="K8:K9"/>
    <mergeCell ref="L8:L9"/>
  </mergeCells>
  <printOptions/>
  <pageMargins left="0.35433070866141736" right="0.35433070866141736" top="0.7874015748031497" bottom="0.7874015748031497" header="0.5118110236220472" footer="0.5118110236220472"/>
  <pageSetup fitToHeight="1" fitToWidth="1" horizontalDpi="355" verticalDpi="355" orientation="landscape" scale="68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0" bestFit="1" customWidth="1"/>
    <col min="2" max="6" width="15.7109375" style="0" customWidth="1"/>
  </cols>
  <sheetData>
    <row r="1" spans="1:8" ht="12.75">
      <c r="A1" s="296"/>
      <c r="B1" s="296"/>
      <c r="C1" s="296"/>
      <c r="D1" s="296"/>
      <c r="E1" s="296"/>
      <c r="F1" s="297"/>
      <c r="G1" s="298"/>
      <c r="H1" s="298"/>
    </row>
    <row r="2" spans="1:8" ht="12.75">
      <c r="A2" s="296"/>
      <c r="B2" s="296"/>
      <c r="C2" s="296"/>
      <c r="D2" s="296"/>
      <c r="E2" s="296"/>
      <c r="F2" s="297"/>
      <c r="G2" s="298"/>
      <c r="H2" s="298"/>
    </row>
    <row r="3" spans="1:8" ht="12.75">
      <c r="A3" s="296"/>
      <c r="B3" s="296"/>
      <c r="C3" s="296"/>
      <c r="D3" s="296"/>
      <c r="E3" s="296"/>
      <c r="F3" s="297"/>
      <c r="G3" s="298"/>
      <c r="H3" s="298"/>
    </row>
    <row r="4" spans="1:8" ht="12.75">
      <c r="A4" s="296"/>
      <c r="B4" s="296"/>
      <c r="C4" s="296"/>
      <c r="D4" s="296"/>
      <c r="E4" s="296"/>
      <c r="F4" s="297"/>
      <c r="G4" s="298"/>
      <c r="H4" s="298"/>
    </row>
    <row r="5" spans="1:8" ht="12.75">
      <c r="A5" s="296"/>
      <c r="B5" s="296"/>
      <c r="C5" s="296"/>
      <c r="D5" s="296"/>
      <c r="E5" s="296"/>
      <c r="F5" s="297"/>
      <c r="G5" s="298"/>
      <c r="H5" s="298"/>
    </row>
    <row r="6" spans="1:8" ht="12.75">
      <c r="A6" s="296"/>
      <c r="B6" s="296"/>
      <c r="C6" s="296"/>
      <c r="D6" s="296"/>
      <c r="E6" s="296"/>
      <c r="F6" s="297"/>
      <c r="G6" s="298"/>
      <c r="H6" s="298"/>
    </row>
    <row r="7" spans="1:8" ht="12.75">
      <c r="A7" s="296"/>
      <c r="B7" s="296"/>
      <c r="C7" s="296"/>
      <c r="D7" s="296"/>
      <c r="E7" s="296"/>
      <c r="F7" s="299"/>
      <c r="G7" s="298"/>
      <c r="H7" s="298"/>
    </row>
    <row r="8" spans="1:8" ht="12.75">
      <c r="A8" s="296"/>
      <c r="B8" s="296"/>
      <c r="C8" s="296"/>
      <c r="D8" s="296"/>
      <c r="E8" s="296"/>
      <c r="F8" s="296"/>
      <c r="G8" s="298"/>
      <c r="H8" s="298"/>
    </row>
    <row r="9" spans="1:8" ht="18">
      <c r="A9" s="336"/>
      <c r="B9" s="336"/>
      <c r="C9" s="336"/>
      <c r="D9" s="336"/>
      <c r="E9" s="336"/>
      <c r="F9" s="336"/>
      <c r="G9" s="298"/>
      <c r="H9" s="298"/>
    </row>
    <row r="10" spans="1:8" ht="12.75">
      <c r="A10" s="296"/>
      <c r="B10" s="296"/>
      <c r="C10" s="296"/>
      <c r="D10" s="296"/>
      <c r="E10" s="296"/>
      <c r="F10" s="296"/>
      <c r="G10" s="298"/>
      <c r="H10" s="298"/>
    </row>
    <row r="11" spans="1:8" ht="12.75">
      <c r="A11" s="300"/>
      <c r="B11" s="301"/>
      <c r="C11" s="301"/>
      <c r="D11" s="301"/>
      <c r="E11" s="301"/>
      <c r="F11" s="301"/>
      <c r="G11" s="298"/>
      <c r="H11" s="298"/>
    </row>
    <row r="12" spans="1:8" ht="12.75">
      <c r="A12" s="302"/>
      <c r="B12" s="302"/>
      <c r="C12" s="296"/>
      <c r="D12" s="296"/>
      <c r="E12" s="296"/>
      <c r="F12" s="296"/>
      <c r="G12" s="298"/>
      <c r="H12" s="298"/>
    </row>
    <row r="13" spans="1:8" ht="12.75">
      <c r="A13" s="296"/>
      <c r="B13" s="296"/>
      <c r="C13" s="303"/>
      <c r="D13" s="303"/>
      <c r="E13" s="303"/>
      <c r="F13" s="303"/>
      <c r="G13" s="298"/>
      <c r="H13" s="298"/>
    </row>
    <row r="14" spans="1:8" ht="12.75">
      <c r="A14" s="304"/>
      <c r="B14" s="305"/>
      <c r="C14" s="306"/>
      <c r="D14" s="306"/>
      <c r="E14" s="306"/>
      <c r="F14" s="306"/>
      <c r="G14" s="298"/>
      <c r="H14" s="298"/>
    </row>
    <row r="15" spans="1:8" ht="12.75">
      <c r="A15" s="296"/>
      <c r="B15" s="307"/>
      <c r="C15" s="306"/>
      <c r="D15" s="306"/>
      <c r="E15" s="306"/>
      <c r="F15" s="306"/>
      <c r="G15" s="298"/>
      <c r="H15" s="298"/>
    </row>
    <row r="16" spans="1:8" ht="12.75">
      <c r="A16" s="296"/>
      <c r="B16" s="307"/>
      <c r="C16" s="306"/>
      <c r="D16" s="306"/>
      <c r="E16" s="306"/>
      <c r="F16" s="306"/>
      <c r="G16" s="298"/>
      <c r="H16" s="298"/>
    </row>
    <row r="17" spans="1:8" ht="12.75">
      <c r="A17" s="302"/>
      <c r="B17" s="308"/>
      <c r="C17" s="309"/>
      <c r="D17" s="309"/>
      <c r="E17" s="309"/>
      <c r="F17" s="309"/>
      <c r="G17" s="298"/>
      <c r="H17" s="298"/>
    </row>
    <row r="18" spans="1:8" ht="12.75">
      <c r="A18" s="302"/>
      <c r="B18" s="308"/>
      <c r="C18" s="307"/>
      <c r="D18" s="307"/>
      <c r="E18" s="307"/>
      <c r="F18" s="307"/>
      <c r="G18" s="298"/>
      <c r="H18" s="298"/>
    </row>
    <row r="19" spans="1:8" ht="12.75">
      <c r="A19" s="296"/>
      <c r="B19" s="307"/>
      <c r="C19" s="310"/>
      <c r="D19" s="310"/>
      <c r="E19" s="310"/>
      <c r="F19" s="310"/>
      <c r="G19" s="298"/>
      <c r="H19" s="298"/>
    </row>
    <row r="20" spans="1:8" ht="12.75">
      <c r="A20" s="304"/>
      <c r="B20" s="305"/>
      <c r="C20" s="306"/>
      <c r="D20" s="306"/>
      <c r="E20" s="306"/>
      <c r="F20" s="306"/>
      <c r="G20" s="298"/>
      <c r="H20" s="298"/>
    </row>
    <row r="21" spans="1:8" ht="12.75">
      <c r="A21" s="296"/>
      <c r="B21" s="307"/>
      <c r="C21" s="306"/>
      <c r="D21" s="306"/>
      <c r="E21" s="306"/>
      <c r="F21" s="306"/>
      <c r="G21" s="298"/>
      <c r="H21" s="298"/>
    </row>
    <row r="22" spans="1:8" ht="12.75">
      <c r="A22" s="296"/>
      <c r="B22" s="307"/>
      <c r="C22" s="306"/>
      <c r="D22" s="306"/>
      <c r="E22" s="306"/>
      <c r="F22" s="306"/>
      <c r="G22" s="298"/>
      <c r="H22" s="298"/>
    </row>
    <row r="23" spans="1:8" ht="12.75">
      <c r="A23" s="302"/>
      <c r="B23" s="308"/>
      <c r="C23" s="309"/>
      <c r="D23" s="309"/>
      <c r="E23" s="309"/>
      <c r="F23" s="309"/>
      <c r="G23" s="298"/>
      <c r="H23" s="298"/>
    </row>
    <row r="24" spans="1:8" ht="12.75">
      <c r="A24" s="302"/>
      <c r="B24" s="308"/>
      <c r="C24" s="307"/>
      <c r="D24" s="307"/>
      <c r="E24" s="307"/>
      <c r="F24" s="307"/>
      <c r="G24" s="298"/>
      <c r="H24" s="298"/>
    </row>
    <row r="25" spans="1:8" ht="12.75">
      <c r="A25" s="296"/>
      <c r="B25" s="296"/>
      <c r="C25" s="311"/>
      <c r="D25" s="311"/>
      <c r="E25" s="311"/>
      <c r="F25" s="311"/>
      <c r="G25" s="298"/>
      <c r="H25" s="298"/>
    </row>
    <row r="26" spans="1:8" ht="12.75">
      <c r="A26" s="304"/>
      <c r="B26" s="312"/>
      <c r="C26" s="311"/>
      <c r="D26" s="311"/>
      <c r="E26" s="311"/>
      <c r="F26" s="311"/>
      <c r="G26" s="298"/>
      <c r="H26" s="298"/>
    </row>
    <row r="27" spans="1:8" ht="12.75">
      <c r="A27" s="296"/>
      <c r="B27" s="313"/>
      <c r="C27" s="311"/>
      <c r="D27" s="311"/>
      <c r="E27" s="311"/>
      <c r="F27" s="311"/>
      <c r="G27" s="298"/>
      <c r="H27" s="298"/>
    </row>
    <row r="28" spans="1:8" ht="12.75">
      <c r="A28" s="296"/>
      <c r="B28" s="313"/>
      <c r="C28" s="311"/>
      <c r="D28" s="311"/>
      <c r="E28" s="311"/>
      <c r="F28" s="311"/>
      <c r="G28" s="298"/>
      <c r="H28" s="298"/>
    </row>
    <row r="29" spans="1:8" ht="12.75">
      <c r="A29" s="302"/>
      <c r="B29" s="314"/>
      <c r="C29" s="315"/>
      <c r="D29" s="315"/>
      <c r="E29" s="315"/>
      <c r="F29" s="315"/>
      <c r="G29" s="298"/>
      <c r="H29" s="298"/>
    </row>
    <row r="30" spans="1:8" ht="12.75">
      <c r="A30" s="302"/>
      <c r="B30" s="302"/>
      <c r="C30" s="296"/>
      <c r="D30" s="296"/>
      <c r="E30" s="296"/>
      <c r="F30" s="296"/>
      <c r="G30" s="298"/>
      <c r="H30" s="298"/>
    </row>
    <row r="31" spans="1:8" ht="12.75">
      <c r="A31" s="296"/>
      <c r="B31" s="296"/>
      <c r="C31" s="311"/>
      <c r="D31" s="311"/>
      <c r="E31" s="311"/>
      <c r="F31" s="311"/>
      <c r="G31" s="298"/>
      <c r="H31" s="298"/>
    </row>
    <row r="32" spans="1:8" ht="12.75">
      <c r="A32" s="304"/>
      <c r="B32" s="311"/>
      <c r="C32" s="311"/>
      <c r="D32" s="311"/>
      <c r="E32" s="311"/>
      <c r="F32" s="311"/>
      <c r="G32" s="298"/>
      <c r="H32" s="298"/>
    </row>
    <row r="33" spans="1:8" ht="12.75">
      <c r="A33" s="296"/>
      <c r="B33" s="311"/>
      <c r="C33" s="311"/>
      <c r="D33" s="311"/>
      <c r="E33" s="311"/>
      <c r="F33" s="311"/>
      <c r="G33" s="298"/>
      <c r="H33" s="298"/>
    </row>
    <row r="34" spans="1:8" ht="12.75">
      <c r="A34" s="296"/>
      <c r="B34" s="311"/>
      <c r="C34" s="311"/>
      <c r="D34" s="311"/>
      <c r="E34" s="311"/>
      <c r="F34" s="311"/>
      <c r="G34" s="298"/>
      <c r="H34" s="298"/>
    </row>
    <row r="35" spans="1:8" ht="12.75">
      <c r="A35" s="302"/>
      <c r="B35" s="315"/>
      <c r="C35" s="315"/>
      <c r="D35" s="315"/>
      <c r="E35" s="315"/>
      <c r="F35" s="315"/>
      <c r="G35" s="298"/>
      <c r="H35" s="298"/>
    </row>
    <row r="36" spans="1:8" ht="12.75">
      <c r="A36" s="302"/>
      <c r="B36" s="302"/>
      <c r="C36" s="296"/>
      <c r="D36" s="296"/>
      <c r="E36" s="296"/>
      <c r="F36" s="296"/>
      <c r="G36" s="298"/>
      <c r="H36" s="298"/>
    </row>
    <row r="37" spans="1:8" ht="12.75">
      <c r="A37" s="296"/>
      <c r="B37" s="296"/>
      <c r="C37" s="311"/>
      <c r="D37" s="311"/>
      <c r="E37" s="311"/>
      <c r="F37" s="311"/>
      <c r="G37" s="298"/>
      <c r="H37" s="298"/>
    </row>
    <row r="38" spans="1:8" ht="12.75">
      <c r="A38" s="304"/>
      <c r="B38" s="304"/>
      <c r="C38" s="311"/>
      <c r="D38" s="311"/>
      <c r="E38" s="311"/>
      <c r="F38" s="311"/>
      <c r="G38" s="298"/>
      <c r="H38" s="298"/>
    </row>
    <row r="39" spans="1:8" ht="12.75">
      <c r="A39" s="296"/>
      <c r="B39" s="296"/>
      <c r="C39" s="311"/>
      <c r="D39" s="311"/>
      <c r="E39" s="311"/>
      <c r="F39" s="311"/>
      <c r="G39" s="298"/>
      <c r="H39" s="298"/>
    </row>
    <row r="40" spans="1:8" ht="12.75">
      <c r="A40" s="296"/>
      <c r="B40" s="296"/>
      <c r="C40" s="311"/>
      <c r="D40" s="311"/>
      <c r="E40" s="311"/>
      <c r="F40" s="311"/>
      <c r="G40" s="298"/>
      <c r="H40" s="298"/>
    </row>
    <row r="41" spans="1:8" ht="12.75">
      <c r="A41" s="302"/>
      <c r="B41" s="315"/>
      <c r="C41" s="315"/>
      <c r="D41" s="315"/>
      <c r="E41" s="315"/>
      <c r="F41" s="315"/>
      <c r="G41" s="298"/>
      <c r="H41" s="298"/>
    </row>
    <row r="42" spans="1:8" ht="12.75">
      <c r="A42" s="302"/>
      <c r="B42" s="302"/>
      <c r="C42" s="296"/>
      <c r="D42" s="296"/>
      <c r="E42" s="296"/>
      <c r="F42" s="296"/>
      <c r="G42" s="298"/>
      <c r="H42" s="298"/>
    </row>
    <row r="43" spans="1:8" ht="12.75">
      <c r="A43" s="296"/>
      <c r="B43" s="296"/>
      <c r="C43" s="311"/>
      <c r="D43" s="311"/>
      <c r="E43" s="311"/>
      <c r="F43" s="311"/>
      <c r="G43" s="298"/>
      <c r="H43" s="298"/>
    </row>
    <row r="44" spans="1:8" ht="12.75">
      <c r="A44" s="304"/>
      <c r="B44" s="311"/>
      <c r="C44" s="311"/>
      <c r="D44" s="311"/>
      <c r="E44" s="311"/>
      <c r="F44" s="311"/>
      <c r="G44" s="298"/>
      <c r="H44" s="298"/>
    </row>
    <row r="45" spans="1:8" ht="12.75">
      <c r="A45" s="296"/>
      <c r="B45" s="311"/>
      <c r="C45" s="311"/>
      <c r="D45" s="311"/>
      <c r="E45" s="311"/>
      <c r="F45" s="311"/>
      <c r="G45" s="298"/>
      <c r="H45" s="298"/>
    </row>
    <row r="46" spans="1:8" ht="12.75">
      <c r="A46" s="296"/>
      <c r="B46" s="311"/>
      <c r="C46" s="311"/>
      <c r="D46" s="311"/>
      <c r="E46" s="311"/>
      <c r="F46" s="311"/>
      <c r="G46" s="298"/>
      <c r="H46" s="298"/>
    </row>
    <row r="47" spans="1:8" ht="12.75">
      <c r="A47" s="302"/>
      <c r="B47" s="315"/>
      <c r="C47" s="315"/>
      <c r="D47" s="315"/>
      <c r="E47" s="315"/>
      <c r="F47" s="315"/>
      <c r="G47" s="298"/>
      <c r="H47" s="298"/>
    </row>
    <row r="48" spans="1:8" ht="12.75">
      <c r="A48" s="302"/>
      <c r="B48" s="302"/>
      <c r="C48" s="296"/>
      <c r="D48" s="296"/>
      <c r="E48" s="296"/>
      <c r="F48" s="296"/>
      <c r="G48" s="298"/>
      <c r="H48" s="298"/>
    </row>
    <row r="49" spans="1:8" ht="12.75">
      <c r="A49" s="296"/>
      <c r="B49" s="296"/>
      <c r="C49" s="311"/>
      <c r="D49" s="311"/>
      <c r="E49" s="311"/>
      <c r="F49" s="311"/>
      <c r="G49" s="298"/>
      <c r="H49" s="298"/>
    </row>
    <row r="50" spans="1:8" ht="12.75">
      <c r="A50" s="304"/>
      <c r="B50" s="311"/>
      <c r="C50" s="311"/>
      <c r="D50" s="311"/>
      <c r="E50" s="311"/>
      <c r="F50" s="311"/>
      <c r="G50" s="298"/>
      <c r="H50" s="298"/>
    </row>
    <row r="51" spans="1:8" ht="12.75">
      <c r="A51" s="296"/>
      <c r="B51" s="311"/>
      <c r="C51" s="311"/>
      <c r="D51" s="311"/>
      <c r="E51" s="311"/>
      <c r="F51" s="311"/>
      <c r="G51" s="298"/>
      <c r="H51" s="298"/>
    </row>
    <row r="52" spans="1:8" ht="12.75">
      <c r="A52" s="296"/>
      <c r="B52" s="311"/>
      <c r="C52" s="311"/>
      <c r="D52" s="311"/>
      <c r="E52" s="311"/>
      <c r="F52" s="311"/>
      <c r="G52" s="298"/>
      <c r="H52" s="298"/>
    </row>
    <row r="53" spans="1:8" ht="12.75">
      <c r="A53" s="302"/>
      <c r="B53" s="315"/>
      <c r="C53" s="315"/>
      <c r="D53" s="315"/>
      <c r="E53" s="315"/>
      <c r="F53" s="315"/>
      <c r="G53" s="298"/>
      <c r="H53" s="298"/>
    </row>
    <row r="54" spans="1:8" ht="12.75">
      <c r="A54" s="302"/>
      <c r="B54" s="302"/>
      <c r="C54" s="296"/>
      <c r="D54" s="296"/>
      <c r="E54" s="296"/>
      <c r="F54" s="296"/>
      <c r="G54" s="298"/>
      <c r="H54" s="298"/>
    </row>
    <row r="55" spans="1:8" ht="12.75">
      <c r="A55" s="296"/>
      <c r="B55" s="296"/>
      <c r="C55" s="311"/>
      <c r="D55" s="311"/>
      <c r="E55" s="311"/>
      <c r="F55" s="311"/>
      <c r="G55" s="298"/>
      <c r="H55" s="298"/>
    </row>
    <row r="56" spans="1:8" ht="12.75">
      <c r="A56" s="304"/>
      <c r="B56" s="311"/>
      <c r="C56" s="311"/>
      <c r="D56" s="311"/>
      <c r="E56" s="311"/>
      <c r="F56" s="311"/>
      <c r="G56" s="298"/>
      <c r="H56" s="298"/>
    </row>
    <row r="57" spans="1:8" ht="12.75">
      <c r="A57" s="296"/>
      <c r="B57" s="311"/>
      <c r="C57" s="311"/>
      <c r="D57" s="311"/>
      <c r="E57" s="311"/>
      <c r="F57" s="311"/>
      <c r="G57" s="298"/>
      <c r="H57" s="298"/>
    </row>
    <row r="58" spans="1:8" ht="12.75">
      <c r="A58" s="296"/>
      <c r="B58" s="311"/>
      <c r="C58" s="311"/>
      <c r="D58" s="311"/>
      <c r="E58" s="311"/>
      <c r="F58" s="311"/>
      <c r="G58" s="298"/>
      <c r="H58" s="298"/>
    </row>
    <row r="59" spans="1:8" ht="12.75">
      <c r="A59" s="302"/>
      <c r="B59" s="315"/>
      <c r="C59" s="315"/>
      <c r="D59" s="315"/>
      <c r="E59" s="315"/>
      <c r="F59" s="315"/>
      <c r="G59" s="298"/>
      <c r="H59" s="298"/>
    </row>
    <row r="60" spans="1:8" ht="12.75">
      <c r="A60" s="302"/>
      <c r="B60" s="302"/>
      <c r="C60" s="296"/>
      <c r="D60" s="296"/>
      <c r="E60" s="296"/>
      <c r="F60" s="296"/>
      <c r="G60" s="298"/>
      <c r="H60" s="298"/>
    </row>
    <row r="61" spans="1:8" ht="12.75">
      <c r="A61" s="296"/>
      <c r="B61" s="296"/>
      <c r="C61" s="311"/>
      <c r="D61" s="311"/>
      <c r="E61" s="311"/>
      <c r="F61" s="311"/>
      <c r="G61" s="298"/>
      <c r="H61" s="298"/>
    </row>
    <row r="62" spans="1:8" ht="12.75">
      <c r="A62" s="304"/>
      <c r="B62" s="316"/>
      <c r="C62" s="316"/>
      <c r="D62" s="316"/>
      <c r="E62" s="316"/>
      <c r="F62" s="316"/>
      <c r="G62" s="298"/>
      <c r="H62" s="298"/>
    </row>
    <row r="63" spans="1:8" ht="12.75">
      <c r="A63" s="296"/>
      <c r="B63" s="316"/>
      <c r="C63" s="316"/>
      <c r="D63" s="316"/>
      <c r="E63" s="316"/>
      <c r="F63" s="316"/>
      <c r="G63" s="298"/>
      <c r="H63" s="298"/>
    </row>
    <row r="64" spans="1:8" ht="12.75">
      <c r="A64" s="296"/>
      <c r="B64" s="316"/>
      <c r="C64" s="316"/>
      <c r="D64" s="316"/>
      <c r="E64" s="316"/>
      <c r="F64" s="316"/>
      <c r="G64" s="298"/>
      <c r="H64" s="298"/>
    </row>
    <row r="65" spans="1:8" ht="12.75">
      <c r="A65" s="302"/>
      <c r="B65" s="317"/>
      <c r="C65" s="317"/>
      <c r="D65" s="317"/>
      <c r="E65" s="317"/>
      <c r="F65" s="317"/>
      <c r="G65" s="298"/>
      <c r="H65" s="298"/>
    </row>
    <row r="66" spans="1:8" ht="12.75">
      <c r="A66" s="302"/>
      <c r="B66" s="302"/>
      <c r="C66" s="296"/>
      <c r="D66" s="296"/>
      <c r="E66" s="296"/>
      <c r="F66" s="296"/>
      <c r="G66" s="298"/>
      <c r="H66" s="298"/>
    </row>
    <row r="67" spans="1:8" ht="12.75">
      <c r="A67" s="296"/>
      <c r="B67" s="296"/>
      <c r="C67" s="311"/>
      <c r="D67" s="311"/>
      <c r="E67" s="311"/>
      <c r="F67" s="311"/>
      <c r="G67" s="298"/>
      <c r="H67" s="298"/>
    </row>
    <row r="68" spans="1:8" ht="12.75">
      <c r="A68" s="304"/>
      <c r="B68" s="311"/>
      <c r="C68" s="311"/>
      <c r="D68" s="311"/>
      <c r="E68" s="311"/>
      <c r="F68" s="311"/>
      <c r="G68" s="298"/>
      <c r="H68" s="298"/>
    </row>
    <row r="69" spans="1:8" ht="12.75">
      <c r="A69" s="296"/>
      <c r="B69" s="311"/>
      <c r="C69" s="311"/>
      <c r="D69" s="311"/>
      <c r="E69" s="311"/>
      <c r="F69" s="311"/>
      <c r="G69" s="298"/>
      <c r="H69" s="298"/>
    </row>
    <row r="70" spans="1:8" ht="12.75">
      <c r="A70" s="296"/>
      <c r="B70" s="311"/>
      <c r="C70" s="311"/>
      <c r="D70" s="311"/>
      <c r="E70" s="311"/>
      <c r="F70" s="311"/>
      <c r="G70" s="298"/>
      <c r="H70" s="298"/>
    </row>
    <row r="71" spans="1:8" ht="12.75">
      <c r="A71" s="302"/>
      <c r="B71" s="315"/>
      <c r="C71" s="315"/>
      <c r="D71" s="315"/>
      <c r="E71" s="315"/>
      <c r="F71" s="315"/>
      <c r="G71" s="298"/>
      <c r="H71" s="298"/>
    </row>
    <row r="72" spans="1:8" ht="12.75">
      <c r="A72" s="302"/>
      <c r="B72" s="302"/>
      <c r="C72" s="296"/>
      <c r="D72" s="296"/>
      <c r="E72" s="296"/>
      <c r="F72" s="296"/>
      <c r="G72" s="298"/>
      <c r="H72" s="298"/>
    </row>
    <row r="73" spans="1:8" ht="12.75">
      <c r="A73" s="296"/>
      <c r="B73" s="296"/>
      <c r="C73" s="311"/>
      <c r="D73" s="311"/>
      <c r="E73" s="311"/>
      <c r="F73" s="311"/>
      <c r="G73" s="298"/>
      <c r="H73" s="298"/>
    </row>
    <row r="74" spans="1:8" ht="12.75">
      <c r="A74" s="304"/>
      <c r="B74" s="311"/>
      <c r="C74" s="311"/>
      <c r="D74" s="311"/>
      <c r="E74" s="311"/>
      <c r="F74" s="311"/>
      <c r="G74" s="298"/>
      <c r="H74" s="298"/>
    </row>
    <row r="75" spans="1:8" ht="12.75">
      <c r="A75" s="304"/>
      <c r="B75" s="311"/>
      <c r="C75" s="311"/>
      <c r="D75" s="311"/>
      <c r="E75" s="311"/>
      <c r="F75" s="311"/>
      <c r="G75" s="298"/>
      <c r="H75" s="298"/>
    </row>
    <row r="76" spans="1:8" ht="12.75">
      <c r="A76" s="296"/>
      <c r="B76" s="311"/>
      <c r="C76" s="311"/>
      <c r="D76" s="311"/>
      <c r="E76" s="311"/>
      <c r="F76" s="311"/>
      <c r="G76" s="298"/>
      <c r="H76" s="298"/>
    </row>
    <row r="77" spans="1:8" ht="12.75">
      <c r="A77" s="302"/>
      <c r="B77" s="315"/>
      <c r="C77" s="315"/>
      <c r="D77" s="315"/>
      <c r="E77" s="315"/>
      <c r="F77" s="315"/>
      <c r="G77" s="298"/>
      <c r="H77" s="298"/>
    </row>
    <row r="78" spans="1:8" ht="12.75">
      <c r="A78" s="296"/>
      <c r="B78" s="296"/>
      <c r="C78" s="296"/>
      <c r="D78" s="296"/>
      <c r="E78" s="296"/>
      <c r="F78" s="296"/>
      <c r="G78" s="298"/>
      <c r="H78" s="298"/>
    </row>
    <row r="79" spans="1:8" ht="12.75">
      <c r="A79" s="302"/>
      <c r="B79" s="311"/>
      <c r="C79" s="311"/>
      <c r="D79" s="311"/>
      <c r="E79" s="311"/>
      <c r="F79" s="311"/>
      <c r="G79" s="298"/>
      <c r="H79" s="298"/>
    </row>
    <row r="80" spans="1:8" ht="12.75">
      <c r="A80" s="302"/>
      <c r="B80" s="311"/>
      <c r="C80" s="311"/>
      <c r="D80" s="311"/>
      <c r="E80" s="311"/>
      <c r="F80" s="311"/>
      <c r="G80" s="298"/>
      <c r="H80" s="298"/>
    </row>
    <row r="81" spans="1:8" ht="12.75">
      <c r="A81" s="302"/>
      <c r="B81" s="311"/>
      <c r="C81" s="311"/>
      <c r="D81" s="311"/>
      <c r="E81" s="311"/>
      <c r="F81" s="311"/>
      <c r="G81" s="298"/>
      <c r="H81" s="298"/>
    </row>
    <row r="82" spans="1:8" ht="12.75">
      <c r="A82" s="298"/>
      <c r="B82" s="298"/>
      <c r="C82" s="298"/>
      <c r="D82" s="298"/>
      <c r="E82" s="298"/>
      <c r="F82" s="298"/>
      <c r="G82" s="298"/>
      <c r="H82" s="298"/>
    </row>
    <row r="83" spans="1:8" ht="12.75">
      <c r="A83" s="298"/>
      <c r="B83" s="298"/>
      <c r="C83" s="298"/>
      <c r="D83" s="298"/>
      <c r="E83" s="298"/>
      <c r="F83" s="298"/>
      <c r="G83" s="298"/>
      <c r="H83" s="298"/>
    </row>
    <row r="84" spans="1:8" ht="12.75">
      <c r="A84" s="298"/>
      <c r="B84" s="298"/>
      <c r="C84" s="298"/>
      <c r="D84" s="298"/>
      <c r="E84" s="298"/>
      <c r="F84" s="298"/>
      <c r="G84" s="298"/>
      <c r="H84" s="298"/>
    </row>
    <row r="85" spans="1:8" ht="12.75">
      <c r="A85" s="298"/>
      <c r="B85" s="298"/>
      <c r="C85" s="298"/>
      <c r="D85" s="298"/>
      <c r="E85" s="298"/>
      <c r="F85" s="298"/>
      <c r="G85" s="298"/>
      <c r="H85" s="298"/>
    </row>
    <row r="86" spans="1:8" ht="12.75">
      <c r="A86" s="298"/>
      <c r="B86" s="298"/>
      <c r="C86" s="298"/>
      <c r="D86" s="298"/>
      <c r="E86" s="298"/>
      <c r="F86" s="298"/>
      <c r="G86" s="298"/>
      <c r="H86" s="298"/>
    </row>
    <row r="87" spans="1:8" ht="12.75">
      <c r="A87" s="298"/>
      <c r="B87" s="298"/>
      <c r="C87" s="298"/>
      <c r="D87" s="298"/>
      <c r="E87" s="298"/>
      <c r="F87" s="298"/>
      <c r="G87" s="298"/>
      <c r="H87" s="298"/>
    </row>
    <row r="88" spans="1:8" ht="12.75">
      <c r="A88" s="298"/>
      <c r="B88" s="298"/>
      <c r="C88" s="298"/>
      <c r="D88" s="298"/>
      <c r="E88" s="298"/>
      <c r="F88" s="298"/>
      <c r="G88" s="298"/>
      <c r="H88" s="298"/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zoomScalePageLayoutView="0" workbookViewId="0" topLeftCell="A1">
      <selection activeCell="L8" sqref="L8"/>
    </sheetView>
  </sheetViews>
  <sheetFormatPr defaultColWidth="9.140625" defaultRowHeight="12.75"/>
  <cols>
    <col min="2" max="2" width="39.00390625" style="0" customWidth="1"/>
    <col min="3" max="3" width="15.28125" style="0" customWidth="1"/>
    <col min="4" max="4" width="12.140625" style="0" customWidth="1"/>
    <col min="5" max="5" width="12.421875" style="0" customWidth="1"/>
    <col min="6" max="6" width="10.00390625" style="0" customWidth="1"/>
    <col min="7" max="7" width="12.421875" style="0" customWidth="1"/>
    <col min="8" max="8" width="6.57421875" style="0" customWidth="1"/>
    <col min="9" max="9" width="12.28125" style="0" customWidth="1"/>
    <col min="10" max="10" width="12.7109375" style="0" customWidth="1"/>
    <col min="11" max="11" width="12.8515625" style="0" bestFit="1" customWidth="1"/>
    <col min="12" max="12" width="9.421875" style="0" customWidth="1"/>
    <col min="13" max="13" width="5.57421875" style="0" customWidth="1"/>
  </cols>
  <sheetData>
    <row r="1" spans="10:12" ht="12.75">
      <c r="J1" s="40" t="s">
        <v>50</v>
      </c>
      <c r="L1" s="68" t="s">
        <v>94</v>
      </c>
    </row>
    <row r="2" spans="10:12" ht="12.75">
      <c r="J2" s="40" t="s">
        <v>51</v>
      </c>
      <c r="L2" s="68">
        <v>4</v>
      </c>
    </row>
    <row r="3" spans="10:12" ht="12.75">
      <c r="J3" s="40" t="s">
        <v>52</v>
      </c>
      <c r="L3" s="68">
        <v>2</v>
      </c>
    </row>
    <row r="4" spans="10:12" ht="12.75">
      <c r="J4" s="40" t="s">
        <v>53</v>
      </c>
      <c r="L4" s="68">
        <v>7</v>
      </c>
    </row>
    <row r="5" spans="10:12" ht="12.75">
      <c r="J5" s="40" t="s">
        <v>54</v>
      </c>
      <c r="L5" s="68" t="s">
        <v>292</v>
      </c>
    </row>
    <row r="6" spans="10:12" ht="12.75">
      <c r="J6" s="40"/>
      <c r="L6" s="68"/>
    </row>
    <row r="7" spans="10:12" ht="12.75">
      <c r="J7" s="40" t="s">
        <v>55</v>
      </c>
      <c r="L7" s="69" t="s">
        <v>291</v>
      </c>
    </row>
    <row r="9" spans="1:10" ht="15.75">
      <c r="A9" s="339" t="s">
        <v>233</v>
      </c>
      <c r="B9" s="339"/>
      <c r="C9" s="339"/>
      <c r="D9" s="339"/>
      <c r="E9" s="339"/>
      <c r="F9" s="339"/>
      <c r="G9" s="339"/>
      <c r="H9" s="339"/>
      <c r="I9" s="339"/>
      <c r="J9" s="339"/>
    </row>
    <row r="11" spans="1:13" ht="39" customHeight="1">
      <c r="A11" s="337" t="s">
        <v>77</v>
      </c>
      <c r="B11" s="337" t="s">
        <v>2</v>
      </c>
      <c r="C11" s="43" t="s">
        <v>3</v>
      </c>
      <c r="D11" s="43" t="s">
        <v>88</v>
      </c>
      <c r="E11" s="43" t="s">
        <v>80</v>
      </c>
      <c r="F11" s="43" t="s">
        <v>4</v>
      </c>
      <c r="G11" s="43" t="s">
        <v>82</v>
      </c>
      <c r="H11" s="43" t="s">
        <v>83</v>
      </c>
      <c r="I11" s="43" t="s">
        <v>46</v>
      </c>
      <c r="J11" s="43" t="s">
        <v>86</v>
      </c>
      <c r="K11" s="90" t="s">
        <v>109</v>
      </c>
      <c r="L11" s="75"/>
      <c r="M11" s="118"/>
    </row>
    <row r="12" spans="1:13" ht="27">
      <c r="A12" s="338"/>
      <c r="B12" s="338"/>
      <c r="C12" s="42" t="s">
        <v>78</v>
      </c>
      <c r="D12" s="42" t="s">
        <v>79</v>
      </c>
      <c r="E12" s="42" t="s">
        <v>90</v>
      </c>
      <c r="F12" s="42" t="s">
        <v>81</v>
      </c>
      <c r="G12" s="44" t="s">
        <v>91</v>
      </c>
      <c r="H12" s="42" t="s">
        <v>84</v>
      </c>
      <c r="I12" s="42" t="s">
        <v>85</v>
      </c>
      <c r="J12" s="42" t="s">
        <v>87</v>
      </c>
      <c r="K12" s="91" t="s">
        <v>110</v>
      </c>
      <c r="L12" s="107" t="s">
        <v>122</v>
      </c>
      <c r="M12" s="107" t="s">
        <v>121</v>
      </c>
    </row>
    <row r="13" spans="1:13" ht="12.75">
      <c r="A13" s="5">
        <v>1805</v>
      </c>
      <c r="B13" s="2" t="s">
        <v>95</v>
      </c>
      <c r="C13" s="70">
        <f>'[5]FA Continuity 2007'!$D$10</f>
        <v>380064</v>
      </c>
      <c r="D13" s="70">
        <v>0</v>
      </c>
      <c r="E13" s="70">
        <f>C13-D13</f>
        <v>380064</v>
      </c>
      <c r="F13" s="70">
        <f>'[5]FA Continuity 2007'!$E$10</f>
        <v>4356.48</v>
      </c>
      <c r="G13" s="70">
        <v>0</v>
      </c>
      <c r="H13" s="5">
        <v>0</v>
      </c>
      <c r="I13" s="72">
        <v>0</v>
      </c>
      <c r="J13" s="70">
        <v>0</v>
      </c>
      <c r="K13" s="70">
        <f>J13</f>
        <v>0</v>
      </c>
      <c r="L13" s="148">
        <f>K13-J13</f>
        <v>0</v>
      </c>
      <c r="M13" s="109"/>
    </row>
    <row r="14" spans="1:13" ht="12.75">
      <c r="A14" s="5">
        <v>1806</v>
      </c>
      <c r="B14" s="67" t="s">
        <v>25</v>
      </c>
      <c r="C14" s="70">
        <f>'[5]FA Continuity 2007'!$D$11</f>
        <v>300911</v>
      </c>
      <c r="D14" s="70">
        <v>0</v>
      </c>
      <c r="E14" s="70">
        <f>C14-D14</f>
        <v>300911</v>
      </c>
      <c r="F14" s="70">
        <f>'[5]FA Continuity 2007'!$E$11</f>
        <v>0</v>
      </c>
      <c r="G14" s="70">
        <v>0</v>
      </c>
      <c r="H14" s="5">
        <v>0</v>
      </c>
      <c r="I14" s="72">
        <v>0</v>
      </c>
      <c r="J14" s="70">
        <v>0</v>
      </c>
      <c r="K14" s="70">
        <f>J14</f>
        <v>0</v>
      </c>
      <c r="L14" s="148">
        <f aca="true" t="shared" si="0" ref="L14:L58">K14-J14</f>
        <v>0</v>
      </c>
      <c r="M14" s="109"/>
    </row>
    <row r="15" spans="1:13" ht="12.75">
      <c r="A15" s="5">
        <v>1808</v>
      </c>
      <c r="B15" s="2" t="s">
        <v>11</v>
      </c>
      <c r="C15" s="70">
        <f>'[5]FA Continuity 2007'!$D$12</f>
        <v>1450870</v>
      </c>
      <c r="D15" s="70">
        <v>0</v>
      </c>
      <c r="E15" s="70">
        <f aca="true" t="shared" si="1" ref="E15:E57">C15-D15</f>
        <v>1450870</v>
      </c>
      <c r="F15" s="70">
        <f>'[5]FA Continuity 2007'!$E$12</f>
        <v>0</v>
      </c>
      <c r="G15" s="70">
        <f aca="true" t="shared" si="2" ref="G15:G56">E15+(F15*0.5)</f>
        <v>1450870</v>
      </c>
      <c r="H15" s="5">
        <v>50</v>
      </c>
      <c r="I15" s="72">
        <f aca="true" t="shared" si="3" ref="I15:I56">1/H15</f>
        <v>0.02</v>
      </c>
      <c r="J15" s="70">
        <f aca="true" t="shared" si="4" ref="J15:J56">G15/H15</f>
        <v>29017.4</v>
      </c>
      <c r="K15" s="70">
        <f>J15</f>
        <v>29017.4</v>
      </c>
      <c r="L15" s="148">
        <f t="shared" si="0"/>
        <v>0</v>
      </c>
      <c r="M15" s="109"/>
    </row>
    <row r="16" spans="1:14" ht="12.75">
      <c r="A16" s="5">
        <v>1810</v>
      </c>
      <c r="B16" s="2" t="s">
        <v>47</v>
      </c>
      <c r="C16" s="70">
        <f>'[5]FA Continuity 2007'!$D$13</f>
        <v>0</v>
      </c>
      <c r="D16" s="70">
        <v>0</v>
      </c>
      <c r="E16" s="70">
        <f t="shared" si="1"/>
        <v>0</v>
      </c>
      <c r="F16" s="70">
        <f>'[5]FA Continuity 2007'!$E$13</f>
        <v>0</v>
      </c>
      <c r="G16" s="70">
        <f t="shared" si="2"/>
        <v>0</v>
      </c>
      <c r="H16" s="5">
        <v>0</v>
      </c>
      <c r="I16" s="72">
        <v>0</v>
      </c>
      <c r="J16" s="70">
        <v>0</v>
      </c>
      <c r="K16" s="70">
        <f>J16</f>
        <v>0</v>
      </c>
      <c r="L16" s="148">
        <f t="shared" si="0"/>
        <v>0</v>
      </c>
      <c r="M16" s="109"/>
      <c r="N16" s="76"/>
    </row>
    <row r="17" spans="1:14" ht="12.75">
      <c r="A17" s="5">
        <v>1815</v>
      </c>
      <c r="B17" s="2" t="s">
        <v>12</v>
      </c>
      <c r="C17" s="70">
        <f>'[5]FA Continuity 2007'!$D$14</f>
        <v>2802994</v>
      </c>
      <c r="D17" s="70">
        <v>0</v>
      </c>
      <c r="E17" s="70">
        <f t="shared" si="1"/>
        <v>2802994</v>
      </c>
      <c r="F17" s="70">
        <f>'[5]FA Continuity 2007'!$E$14</f>
        <v>280388.54</v>
      </c>
      <c r="G17" s="70">
        <f t="shared" si="2"/>
        <v>2943188.27</v>
      </c>
      <c r="H17" s="5">
        <v>40</v>
      </c>
      <c r="I17" s="72">
        <f t="shared" si="3"/>
        <v>0.025</v>
      </c>
      <c r="J17" s="70">
        <f t="shared" si="4"/>
        <v>73579.70675</v>
      </c>
      <c r="K17" s="70">
        <f>J17</f>
        <v>73579.70675</v>
      </c>
      <c r="L17" s="148">
        <f t="shared" si="0"/>
        <v>0</v>
      </c>
      <c r="M17" s="109"/>
      <c r="N17" s="76"/>
    </row>
    <row r="18" spans="1:14" ht="12.75">
      <c r="A18" s="5">
        <v>1820</v>
      </c>
      <c r="B18" s="2" t="s">
        <v>13</v>
      </c>
      <c r="C18" s="70">
        <f>'[5]FA Continuity 2007'!$D$15</f>
        <v>2388347</v>
      </c>
      <c r="D18" s="70">
        <v>0</v>
      </c>
      <c r="E18" s="70">
        <f t="shared" si="1"/>
        <v>2388347</v>
      </c>
      <c r="F18" s="70">
        <f>'[5]FA Continuity 2007'!$E$15</f>
        <v>689166.31</v>
      </c>
      <c r="G18" s="70">
        <f t="shared" si="2"/>
        <v>2732930.1550000003</v>
      </c>
      <c r="H18" s="5">
        <v>30</v>
      </c>
      <c r="I18" s="72">
        <f t="shared" si="3"/>
        <v>0.03333333333333333</v>
      </c>
      <c r="J18" s="70">
        <f t="shared" si="4"/>
        <v>91097.67183333334</v>
      </c>
      <c r="K18" s="70">
        <v>99660.16</v>
      </c>
      <c r="L18" s="148">
        <f t="shared" si="0"/>
        <v>8562.488166666662</v>
      </c>
      <c r="M18" s="109">
        <v>1</v>
      </c>
      <c r="N18" s="76"/>
    </row>
    <row r="19" spans="1:14" ht="12.75">
      <c r="A19" s="5">
        <v>1825</v>
      </c>
      <c r="B19" s="2" t="s">
        <v>14</v>
      </c>
      <c r="C19" s="70">
        <f>'[5]FA Continuity 2007'!$D$16</f>
        <v>0</v>
      </c>
      <c r="D19" s="70">
        <v>0</v>
      </c>
      <c r="E19" s="70">
        <f t="shared" si="1"/>
        <v>0</v>
      </c>
      <c r="F19" s="70">
        <f>'[5]FA Continuity 2007'!$E$16</f>
        <v>0</v>
      </c>
      <c r="G19" s="70">
        <f t="shared" si="2"/>
        <v>0</v>
      </c>
      <c r="H19" s="5">
        <v>0</v>
      </c>
      <c r="I19" s="72">
        <v>0</v>
      </c>
      <c r="J19" s="70">
        <v>0</v>
      </c>
      <c r="K19" s="70">
        <f>J19</f>
        <v>0</v>
      </c>
      <c r="L19" s="148">
        <f t="shared" si="0"/>
        <v>0</v>
      </c>
      <c r="M19" s="109"/>
      <c r="N19" s="76"/>
    </row>
    <row r="20" spans="1:14" ht="12.75">
      <c r="A20" s="5">
        <v>1830</v>
      </c>
      <c r="B20" s="2" t="s">
        <v>15</v>
      </c>
      <c r="C20" s="70">
        <f>'[5]FA Continuity 2007'!$D$17</f>
        <v>16915729</v>
      </c>
      <c r="D20" s="70">
        <v>0</v>
      </c>
      <c r="E20" s="70">
        <f t="shared" si="1"/>
        <v>16915729</v>
      </c>
      <c r="F20" s="70">
        <f>'[5]FA Continuity 2007'!$E$17</f>
        <v>1264466.1</v>
      </c>
      <c r="G20" s="70">
        <f t="shared" si="2"/>
        <v>17547962.05</v>
      </c>
      <c r="H20" s="5">
        <v>25</v>
      </c>
      <c r="I20" s="72">
        <f t="shared" si="3"/>
        <v>0.04</v>
      </c>
      <c r="J20" s="70">
        <f t="shared" si="4"/>
        <v>701918.4820000001</v>
      </c>
      <c r="K20" s="70">
        <v>732823.1520000001</v>
      </c>
      <c r="L20" s="148">
        <f t="shared" si="0"/>
        <v>30904.670000000042</v>
      </c>
      <c r="M20" s="109">
        <v>2</v>
      </c>
      <c r="N20" s="76"/>
    </row>
    <row r="21" spans="1:14" ht="12.75">
      <c r="A21" s="5">
        <v>1835</v>
      </c>
      <c r="B21" s="2" t="s">
        <v>18</v>
      </c>
      <c r="C21" s="70">
        <f>'[5]FA Continuity 2007'!$D$18</f>
        <v>8333597</v>
      </c>
      <c r="D21" s="70">
        <v>0</v>
      </c>
      <c r="E21" s="70">
        <f t="shared" si="1"/>
        <v>8333597</v>
      </c>
      <c r="F21" s="70">
        <f>'[5]FA Continuity 2007'!$E$18</f>
        <v>1033102.07</v>
      </c>
      <c r="G21" s="70">
        <f t="shared" si="2"/>
        <v>8850148.035</v>
      </c>
      <c r="H21" s="5">
        <v>25</v>
      </c>
      <c r="I21" s="72">
        <f t="shared" si="3"/>
        <v>0.04</v>
      </c>
      <c r="J21" s="70">
        <f t="shared" si="4"/>
        <v>354005.9214</v>
      </c>
      <c r="K21" s="70">
        <v>354005.9214</v>
      </c>
      <c r="L21" s="148">
        <f t="shared" si="0"/>
        <v>0</v>
      </c>
      <c r="M21" s="109"/>
      <c r="N21" s="76"/>
    </row>
    <row r="22" spans="1:14" ht="12.75">
      <c r="A22" s="5">
        <v>1840</v>
      </c>
      <c r="B22" s="2" t="s">
        <v>16</v>
      </c>
      <c r="C22" s="70">
        <f>'[5]FA Continuity 2007'!$D$19</f>
        <v>3266245</v>
      </c>
      <c r="D22" s="70">
        <v>0</v>
      </c>
      <c r="E22" s="70">
        <f t="shared" si="1"/>
        <v>3266245</v>
      </c>
      <c r="F22" s="70">
        <f>'[5]FA Continuity 2007'!$E$19</f>
        <v>212024.57</v>
      </c>
      <c r="G22" s="70">
        <f t="shared" si="2"/>
        <v>3372257.285</v>
      </c>
      <c r="H22" s="5">
        <v>25</v>
      </c>
      <c r="I22" s="72">
        <f t="shared" si="3"/>
        <v>0.04</v>
      </c>
      <c r="J22" s="70">
        <f t="shared" si="4"/>
        <v>134890.29140000002</v>
      </c>
      <c r="K22" s="70">
        <v>117498.01139999999</v>
      </c>
      <c r="L22" s="148">
        <f t="shared" si="0"/>
        <v>-17392.280000000028</v>
      </c>
      <c r="M22" s="109">
        <v>3</v>
      </c>
      <c r="N22" s="76"/>
    </row>
    <row r="23" spans="1:14" ht="12.75">
      <c r="A23" s="5">
        <v>1845</v>
      </c>
      <c r="B23" s="2" t="s">
        <v>17</v>
      </c>
      <c r="C23" s="70">
        <f>'[5]FA Continuity 2007'!$D$20</f>
        <v>6436211</v>
      </c>
      <c r="D23" s="70">
        <v>1204925</v>
      </c>
      <c r="E23" s="70">
        <f t="shared" si="1"/>
        <v>5231286</v>
      </c>
      <c r="F23" s="70">
        <f>'[5]FA Continuity 2007'!$E$20</f>
        <v>507984.77</v>
      </c>
      <c r="G23" s="70">
        <f t="shared" si="2"/>
        <v>5485278.385</v>
      </c>
      <c r="H23" s="5">
        <v>25</v>
      </c>
      <c r="I23" s="72">
        <f t="shared" si="3"/>
        <v>0.04</v>
      </c>
      <c r="J23" s="70">
        <f t="shared" si="4"/>
        <v>219411.1354</v>
      </c>
      <c r="K23" s="70">
        <v>219411.12540000002</v>
      </c>
      <c r="L23" s="148">
        <v>0</v>
      </c>
      <c r="M23" s="109"/>
      <c r="N23" s="76"/>
    </row>
    <row r="24" spans="1:14" ht="12.75">
      <c r="A24" s="5">
        <v>1850</v>
      </c>
      <c r="B24" s="2" t="s">
        <v>19</v>
      </c>
      <c r="C24" s="70">
        <f>'[5]FA Continuity 2007'!$D$21</f>
        <v>9035687</v>
      </c>
      <c r="D24" s="70">
        <v>0</v>
      </c>
      <c r="E24" s="70">
        <f t="shared" si="1"/>
        <v>9035687</v>
      </c>
      <c r="F24" s="70">
        <f>'[5]FA Continuity 2007'!$E$21</f>
        <v>1039782.9299999999</v>
      </c>
      <c r="G24" s="70">
        <f t="shared" si="2"/>
        <v>9555578.465</v>
      </c>
      <c r="H24" s="5">
        <v>25</v>
      </c>
      <c r="I24" s="72">
        <f t="shared" si="3"/>
        <v>0.04</v>
      </c>
      <c r="J24" s="70">
        <f t="shared" si="4"/>
        <v>382223.1386</v>
      </c>
      <c r="K24" s="70">
        <v>460080.34</v>
      </c>
      <c r="L24" s="148">
        <f t="shared" si="0"/>
        <v>77857.20140000002</v>
      </c>
      <c r="M24" s="109">
        <v>4</v>
      </c>
      <c r="N24" s="76"/>
    </row>
    <row r="25" spans="1:14" ht="12.75">
      <c r="A25" s="5">
        <v>1855</v>
      </c>
      <c r="B25" s="2" t="s">
        <v>20</v>
      </c>
      <c r="C25" s="70">
        <f>'[5]FA Continuity 2007'!$D$22</f>
        <v>1612317</v>
      </c>
      <c r="D25" s="70">
        <v>0</v>
      </c>
      <c r="E25" s="70">
        <f t="shared" si="1"/>
        <v>1612317</v>
      </c>
      <c r="F25" s="70">
        <f>'[5]FA Continuity 2007'!$E$22</f>
        <v>332524.37</v>
      </c>
      <c r="G25" s="70">
        <f t="shared" si="2"/>
        <v>1778579.185</v>
      </c>
      <c r="H25" s="5">
        <v>25</v>
      </c>
      <c r="I25" s="72">
        <f t="shared" si="3"/>
        <v>0.04</v>
      </c>
      <c r="J25" s="70">
        <f t="shared" si="4"/>
        <v>71143.1674</v>
      </c>
      <c r="K25" s="70">
        <f>J25</f>
        <v>71143.1674</v>
      </c>
      <c r="L25" s="148">
        <f t="shared" si="0"/>
        <v>0</v>
      </c>
      <c r="M25" s="109"/>
      <c r="N25" s="76"/>
    </row>
    <row r="26" spans="1:14" ht="12.75">
      <c r="A26" s="5">
        <v>1860</v>
      </c>
      <c r="B26" s="2" t="s">
        <v>21</v>
      </c>
      <c r="C26" s="106">
        <f>'[5]FA Continuity 2007'!$D$23</f>
        <v>3516132</v>
      </c>
      <c r="D26" s="119">
        <v>0</v>
      </c>
      <c r="E26" s="70">
        <f t="shared" si="1"/>
        <v>3516132</v>
      </c>
      <c r="F26" s="70">
        <f>'[5]FA Continuity 2007'!$E$23</f>
        <v>187555.52</v>
      </c>
      <c r="G26" s="70">
        <f t="shared" si="2"/>
        <v>3609909.76</v>
      </c>
      <c r="H26" s="5">
        <v>25</v>
      </c>
      <c r="I26" s="72">
        <f t="shared" si="3"/>
        <v>0.04</v>
      </c>
      <c r="J26" s="70">
        <f t="shared" si="4"/>
        <v>144396.3904</v>
      </c>
      <c r="K26" s="70">
        <v>136445.86</v>
      </c>
      <c r="L26" s="148">
        <f t="shared" si="0"/>
        <v>-7950.530400000018</v>
      </c>
      <c r="M26" s="109">
        <v>5</v>
      </c>
      <c r="N26" s="76"/>
    </row>
    <row r="27" spans="1:14" ht="12.75">
      <c r="A27" s="5">
        <v>1861</v>
      </c>
      <c r="B27" s="2" t="s">
        <v>22</v>
      </c>
      <c r="C27" s="119">
        <v>0</v>
      </c>
      <c r="D27" s="119">
        <v>0</v>
      </c>
      <c r="E27" s="70">
        <f t="shared" si="1"/>
        <v>0</v>
      </c>
      <c r="F27" s="70">
        <v>0</v>
      </c>
      <c r="G27" s="70">
        <f t="shared" si="2"/>
        <v>0</v>
      </c>
      <c r="H27" s="5">
        <v>15</v>
      </c>
      <c r="I27" s="72">
        <f t="shared" si="3"/>
        <v>0.06666666666666667</v>
      </c>
      <c r="J27" s="70">
        <f t="shared" si="4"/>
        <v>0</v>
      </c>
      <c r="K27" s="70">
        <f>J27</f>
        <v>0</v>
      </c>
      <c r="L27" s="148">
        <f t="shared" si="0"/>
        <v>0</v>
      </c>
      <c r="M27" s="109"/>
      <c r="N27" s="76"/>
    </row>
    <row r="28" spans="1:14" ht="12.75">
      <c r="A28" s="5">
        <v>1861</v>
      </c>
      <c r="B28" s="2" t="s">
        <v>23</v>
      </c>
      <c r="C28" s="119">
        <v>0</v>
      </c>
      <c r="D28" s="119">
        <v>0</v>
      </c>
      <c r="E28" s="70">
        <f t="shared" si="1"/>
        <v>0</v>
      </c>
      <c r="F28" s="70">
        <v>0</v>
      </c>
      <c r="G28" s="70">
        <f t="shared" si="2"/>
        <v>0</v>
      </c>
      <c r="H28" s="5">
        <v>5</v>
      </c>
      <c r="I28" s="72">
        <f t="shared" si="3"/>
        <v>0.2</v>
      </c>
      <c r="J28" s="70">
        <f t="shared" si="4"/>
        <v>0</v>
      </c>
      <c r="K28" s="70">
        <f>J28</f>
        <v>0</v>
      </c>
      <c r="L28" s="148">
        <f t="shared" si="0"/>
        <v>0</v>
      </c>
      <c r="M28" s="109"/>
      <c r="N28" s="76"/>
    </row>
    <row r="29" spans="1:14" ht="12.75">
      <c r="A29" s="5">
        <v>1905</v>
      </c>
      <c r="B29" s="2" t="s">
        <v>10</v>
      </c>
      <c r="C29" s="119">
        <f>'[5]FA Continuity 2007'!$D$25</f>
        <v>211830</v>
      </c>
      <c r="D29" s="119">
        <v>0</v>
      </c>
      <c r="E29" s="70">
        <f t="shared" si="1"/>
        <v>211830</v>
      </c>
      <c r="F29" s="70">
        <f>'[5]FA Continuity 2007'!$E$25</f>
        <v>41037.6</v>
      </c>
      <c r="G29" s="70">
        <v>0</v>
      </c>
      <c r="H29" s="5">
        <v>0</v>
      </c>
      <c r="I29" s="72">
        <v>0</v>
      </c>
      <c r="J29" s="70">
        <v>0</v>
      </c>
      <c r="K29" s="70">
        <f>J29</f>
        <v>0</v>
      </c>
      <c r="L29" s="148">
        <f t="shared" si="0"/>
        <v>0</v>
      </c>
      <c r="M29" s="109"/>
      <c r="N29" s="76"/>
    </row>
    <row r="30" spans="1:14" ht="12.75">
      <c r="A30" s="5">
        <v>1906</v>
      </c>
      <c r="B30" s="2" t="s">
        <v>25</v>
      </c>
      <c r="C30" s="119">
        <f>'[5]FA Continuity 2007'!$D$26</f>
        <v>0</v>
      </c>
      <c r="D30" s="119">
        <v>0</v>
      </c>
      <c r="E30" s="70">
        <f t="shared" si="1"/>
        <v>0</v>
      </c>
      <c r="F30" s="70">
        <f>'[5]FA Continuity 2007'!$E$26</f>
        <v>0</v>
      </c>
      <c r="G30" s="70">
        <f t="shared" si="2"/>
        <v>0</v>
      </c>
      <c r="H30" s="5">
        <v>0</v>
      </c>
      <c r="I30" s="72">
        <v>0</v>
      </c>
      <c r="J30" s="70">
        <v>0</v>
      </c>
      <c r="K30" s="70">
        <f>J30</f>
        <v>0</v>
      </c>
      <c r="L30" s="148">
        <f t="shared" si="0"/>
        <v>0</v>
      </c>
      <c r="M30" s="109"/>
      <c r="N30" s="76"/>
    </row>
    <row r="31" spans="1:14" ht="12.75">
      <c r="A31" s="5">
        <v>1908</v>
      </c>
      <c r="B31" s="2" t="s">
        <v>26</v>
      </c>
      <c r="C31" s="119">
        <f>'[5]FA Continuity 2007'!$D$27</f>
        <v>1947788</v>
      </c>
      <c r="D31" s="119">
        <v>0</v>
      </c>
      <c r="E31" s="70">
        <f t="shared" si="1"/>
        <v>1947788</v>
      </c>
      <c r="F31" s="70">
        <f>'[5]FA Continuity 2007'!$E$27</f>
        <v>172902.65</v>
      </c>
      <c r="G31" s="70">
        <f t="shared" si="2"/>
        <v>2034239.325</v>
      </c>
      <c r="H31" s="5">
        <v>50</v>
      </c>
      <c r="I31" s="72">
        <f t="shared" si="3"/>
        <v>0.02</v>
      </c>
      <c r="J31" s="70">
        <f t="shared" si="4"/>
        <v>40684.7865</v>
      </c>
      <c r="K31" s="70">
        <v>28671.31</v>
      </c>
      <c r="L31" s="148">
        <f t="shared" si="0"/>
        <v>-12013.4765</v>
      </c>
      <c r="M31" s="109" t="s">
        <v>141</v>
      </c>
      <c r="N31" s="76"/>
    </row>
    <row r="32" spans="1:14" ht="12.75">
      <c r="A32" s="5">
        <v>1910</v>
      </c>
      <c r="B32" s="2" t="s">
        <v>47</v>
      </c>
      <c r="C32" s="119">
        <f>'[5]FA Continuity 2007'!$D$28</f>
        <v>6177</v>
      </c>
      <c r="D32" s="119">
        <v>0</v>
      </c>
      <c r="E32" s="70">
        <f t="shared" si="1"/>
        <v>6177</v>
      </c>
      <c r="F32" s="70">
        <f>'[5]FA Continuity 2007'!$E$28</f>
        <v>0</v>
      </c>
      <c r="G32" s="70">
        <f t="shared" si="2"/>
        <v>6177</v>
      </c>
      <c r="H32" s="5">
        <v>10</v>
      </c>
      <c r="I32" s="72">
        <f t="shared" si="3"/>
        <v>0.1</v>
      </c>
      <c r="J32" s="70">
        <f t="shared" si="4"/>
        <v>617.7</v>
      </c>
      <c r="K32" s="70">
        <v>639.7</v>
      </c>
      <c r="L32" s="148">
        <f t="shared" si="0"/>
        <v>22</v>
      </c>
      <c r="M32" s="109"/>
      <c r="N32" s="76"/>
    </row>
    <row r="33" spans="1:14" ht="12.75">
      <c r="A33" s="5">
        <v>1915</v>
      </c>
      <c r="B33" s="2" t="s">
        <v>27</v>
      </c>
      <c r="C33" s="119">
        <f>'[5]FA Continuity 2007'!$D$29</f>
        <v>111706</v>
      </c>
      <c r="D33" s="119">
        <v>0</v>
      </c>
      <c r="E33" s="70">
        <f t="shared" si="1"/>
        <v>111706</v>
      </c>
      <c r="F33" s="70">
        <f>'[5]FA Continuity 2007'!$E$29</f>
        <v>15763.91</v>
      </c>
      <c r="G33" s="70">
        <f t="shared" si="2"/>
        <v>119587.955</v>
      </c>
      <c r="H33" s="5">
        <v>10</v>
      </c>
      <c r="I33" s="72">
        <f t="shared" si="3"/>
        <v>0.1</v>
      </c>
      <c r="J33" s="70">
        <f t="shared" si="4"/>
        <v>11958.7955</v>
      </c>
      <c r="K33" s="70">
        <v>11793.86</v>
      </c>
      <c r="L33" s="148">
        <f t="shared" si="0"/>
        <v>-164.9354999999996</v>
      </c>
      <c r="M33" s="109"/>
      <c r="N33" s="76"/>
    </row>
    <row r="34" spans="1:14" ht="12.75">
      <c r="A34" s="5">
        <v>1915</v>
      </c>
      <c r="B34" s="2" t="s">
        <v>28</v>
      </c>
      <c r="C34" s="119">
        <v>0</v>
      </c>
      <c r="D34" s="119">
        <v>0</v>
      </c>
      <c r="E34" s="70">
        <f t="shared" si="1"/>
        <v>0</v>
      </c>
      <c r="F34" s="70">
        <v>0</v>
      </c>
      <c r="G34" s="70">
        <f t="shared" si="2"/>
        <v>0</v>
      </c>
      <c r="H34" s="5">
        <v>5</v>
      </c>
      <c r="I34" s="72">
        <f t="shared" si="3"/>
        <v>0.2</v>
      </c>
      <c r="J34" s="70">
        <f t="shared" si="4"/>
        <v>0</v>
      </c>
      <c r="K34" s="70">
        <f>J34</f>
        <v>0</v>
      </c>
      <c r="L34" s="148">
        <f t="shared" si="0"/>
        <v>0</v>
      </c>
      <c r="M34" s="109"/>
      <c r="N34" s="76"/>
    </row>
    <row r="35" spans="1:14" ht="12.75">
      <c r="A35" s="5">
        <v>1920</v>
      </c>
      <c r="B35" s="2" t="s">
        <v>29</v>
      </c>
      <c r="C35" s="119">
        <f>'[5]FA Continuity 2007'!$D$30-C36</f>
        <v>379501.62</v>
      </c>
      <c r="D35" s="106">
        <v>379502</v>
      </c>
      <c r="E35" s="70">
        <f t="shared" si="1"/>
        <v>-0.3800000000046566</v>
      </c>
      <c r="F35" s="70">
        <v>0</v>
      </c>
      <c r="G35" s="70">
        <f t="shared" si="2"/>
        <v>-0.3800000000046566</v>
      </c>
      <c r="H35" s="5">
        <v>5</v>
      </c>
      <c r="I35" s="72">
        <f t="shared" si="3"/>
        <v>0.2</v>
      </c>
      <c r="J35" s="70">
        <f>G35/H35</f>
        <v>-0.07600000000093132</v>
      </c>
      <c r="K35" s="70">
        <f>J35</f>
        <v>-0.07600000000093132</v>
      </c>
      <c r="L35" s="148">
        <f t="shared" si="0"/>
        <v>0</v>
      </c>
      <c r="M35" s="109"/>
      <c r="N35" s="76"/>
    </row>
    <row r="36" spans="1:14" ht="12.75">
      <c r="A36" s="5">
        <v>1921</v>
      </c>
      <c r="B36" s="2" t="s">
        <v>30</v>
      </c>
      <c r="C36" s="119">
        <v>228848.38</v>
      </c>
      <c r="D36" s="106"/>
      <c r="E36" s="70">
        <f t="shared" si="1"/>
        <v>228848.38</v>
      </c>
      <c r="F36" s="70">
        <v>0</v>
      </c>
      <c r="G36" s="70">
        <f t="shared" si="2"/>
        <v>228848.38</v>
      </c>
      <c r="H36" s="5">
        <v>5</v>
      </c>
      <c r="I36" s="72">
        <f t="shared" si="3"/>
        <v>0.2</v>
      </c>
      <c r="J36" s="70">
        <f t="shared" si="4"/>
        <v>45769.676</v>
      </c>
      <c r="K36" s="70">
        <f>93289.06-K37</f>
        <v>86304.06</v>
      </c>
      <c r="L36" s="148">
        <f t="shared" si="0"/>
        <v>40534.384</v>
      </c>
      <c r="M36" s="109" t="s">
        <v>134</v>
      </c>
      <c r="N36" s="76"/>
    </row>
    <row r="37" spans="1:14" ht="12.75">
      <c r="A37" s="5">
        <v>1921</v>
      </c>
      <c r="B37" s="2" t="s">
        <v>31</v>
      </c>
      <c r="C37" s="119">
        <v>0</v>
      </c>
      <c r="D37" s="119">
        <v>0</v>
      </c>
      <c r="E37" s="70">
        <f t="shared" si="1"/>
        <v>0</v>
      </c>
      <c r="F37" s="70">
        <f>'[5]FA Continuity 2007'!$E$30</f>
        <v>69851.61</v>
      </c>
      <c r="G37" s="70">
        <f t="shared" si="2"/>
        <v>34925.805</v>
      </c>
      <c r="H37" s="5">
        <v>5</v>
      </c>
      <c r="I37" s="72">
        <f t="shared" si="3"/>
        <v>0.2</v>
      </c>
      <c r="J37" s="70">
        <f t="shared" si="4"/>
        <v>6985.161</v>
      </c>
      <c r="K37" s="70">
        <v>6985</v>
      </c>
      <c r="L37" s="148">
        <f t="shared" si="0"/>
        <v>-0.1610000000000582</v>
      </c>
      <c r="M37" s="109"/>
      <c r="N37" s="76"/>
    </row>
    <row r="38" spans="1:14" ht="12.75">
      <c r="A38" s="5">
        <v>1925</v>
      </c>
      <c r="B38" s="2" t="s">
        <v>32</v>
      </c>
      <c r="C38" s="119">
        <f>'[5]FA Continuity 2007'!$D$31</f>
        <v>198446</v>
      </c>
      <c r="D38" s="119">
        <v>0</v>
      </c>
      <c r="E38" s="70">
        <f t="shared" si="1"/>
        <v>198446</v>
      </c>
      <c r="F38" s="70">
        <f>'[5]FA Continuity 2007'!$E$31</f>
        <v>55942.66</v>
      </c>
      <c r="G38" s="70">
        <f t="shared" si="2"/>
        <v>226417.33000000002</v>
      </c>
      <c r="H38" s="5">
        <v>5</v>
      </c>
      <c r="I38" s="72">
        <f t="shared" si="3"/>
        <v>0.2</v>
      </c>
      <c r="J38" s="70">
        <f t="shared" si="4"/>
        <v>45283.466</v>
      </c>
      <c r="K38" s="70">
        <f>J38</f>
        <v>45283.466</v>
      </c>
      <c r="L38" s="148">
        <f t="shared" si="0"/>
        <v>0</v>
      </c>
      <c r="M38" s="109"/>
      <c r="N38" s="76"/>
    </row>
    <row r="39" spans="1:14" ht="12.75">
      <c r="A39" s="5">
        <v>1930</v>
      </c>
      <c r="B39" s="67" t="s">
        <v>100</v>
      </c>
      <c r="C39" s="106">
        <f>'[5]FA Continuity 2007'!$D$32-SUM(C40:C43)</f>
        <v>959621.0700000001</v>
      </c>
      <c r="D39" s="106">
        <v>0</v>
      </c>
      <c r="E39" s="70">
        <f t="shared" si="1"/>
        <v>959621.0700000001</v>
      </c>
      <c r="F39" s="70">
        <v>0</v>
      </c>
      <c r="G39" s="70">
        <f t="shared" si="2"/>
        <v>959621.0700000001</v>
      </c>
      <c r="H39" s="5">
        <v>10</v>
      </c>
      <c r="I39" s="72">
        <f t="shared" si="3"/>
        <v>0.1</v>
      </c>
      <c r="J39" s="70">
        <f t="shared" si="4"/>
        <v>95962.107</v>
      </c>
      <c r="K39" s="70">
        <v>87082.12999999999</v>
      </c>
      <c r="L39" s="148">
        <f t="shared" si="0"/>
        <v>-8879.977000000014</v>
      </c>
      <c r="M39" s="109" t="s">
        <v>135</v>
      </c>
      <c r="N39" s="76"/>
    </row>
    <row r="40" spans="1:14" ht="12.75">
      <c r="A40" s="71" t="s">
        <v>101</v>
      </c>
      <c r="B40" s="67" t="s">
        <v>105</v>
      </c>
      <c r="C40" s="119">
        <v>16866.11</v>
      </c>
      <c r="D40" s="119">
        <v>0</v>
      </c>
      <c r="E40" s="70">
        <f t="shared" si="1"/>
        <v>16866.11</v>
      </c>
      <c r="F40" s="70">
        <v>0</v>
      </c>
      <c r="G40" s="70">
        <f t="shared" si="2"/>
        <v>16866.11</v>
      </c>
      <c r="H40" s="5">
        <v>4</v>
      </c>
      <c r="I40" s="72">
        <f t="shared" si="3"/>
        <v>0.25</v>
      </c>
      <c r="J40" s="70">
        <f t="shared" si="4"/>
        <v>4216.5275</v>
      </c>
      <c r="K40" s="70">
        <v>4216.5275</v>
      </c>
      <c r="L40" s="148">
        <f t="shared" si="0"/>
        <v>0</v>
      </c>
      <c r="M40" s="109"/>
      <c r="N40" s="76"/>
    </row>
    <row r="41" spans="1:14" ht="12.75">
      <c r="A41" s="71" t="s">
        <v>102</v>
      </c>
      <c r="B41" s="67" t="s">
        <v>106</v>
      </c>
      <c r="C41" s="119">
        <v>36372.34</v>
      </c>
      <c r="D41" s="119">
        <v>0</v>
      </c>
      <c r="E41" s="70">
        <f t="shared" si="1"/>
        <v>36372.34</v>
      </c>
      <c r="F41" s="70">
        <v>118936.18</v>
      </c>
      <c r="G41" s="70">
        <f t="shared" si="2"/>
        <v>95840.43</v>
      </c>
      <c r="H41" s="5">
        <v>5</v>
      </c>
      <c r="I41" s="72">
        <f t="shared" si="3"/>
        <v>0.2</v>
      </c>
      <c r="J41" s="70">
        <f t="shared" si="4"/>
        <v>19168.086</v>
      </c>
      <c r="K41" s="70">
        <v>15285.338</v>
      </c>
      <c r="L41" s="148">
        <f t="shared" si="0"/>
        <v>-3882.7479999999996</v>
      </c>
      <c r="M41" s="109" t="s">
        <v>136</v>
      </c>
      <c r="N41" s="76"/>
    </row>
    <row r="42" spans="1:14" ht="12.75">
      <c r="A42" s="71" t="s">
        <v>103</v>
      </c>
      <c r="B42" s="67" t="s">
        <v>107</v>
      </c>
      <c r="C42" s="119">
        <v>287297.48</v>
      </c>
      <c r="D42" s="119">
        <v>0</v>
      </c>
      <c r="E42" s="70">
        <f t="shared" si="1"/>
        <v>287297.48</v>
      </c>
      <c r="F42" s="70">
        <v>40153.93</v>
      </c>
      <c r="G42" s="70">
        <f t="shared" si="2"/>
        <v>307374.445</v>
      </c>
      <c r="H42" s="5">
        <v>8</v>
      </c>
      <c r="I42" s="72">
        <f t="shared" si="3"/>
        <v>0.125</v>
      </c>
      <c r="J42" s="70">
        <f t="shared" si="4"/>
        <v>38421.805625</v>
      </c>
      <c r="K42" s="70">
        <v>40182.875</v>
      </c>
      <c r="L42" s="148">
        <f t="shared" si="0"/>
        <v>1761.0693749999991</v>
      </c>
      <c r="M42" s="109" t="s">
        <v>137</v>
      </c>
      <c r="N42" s="76"/>
    </row>
    <row r="43" spans="1:14" ht="12.75">
      <c r="A43" s="71" t="s">
        <v>104</v>
      </c>
      <c r="B43" s="67" t="s">
        <v>108</v>
      </c>
      <c r="C43" s="70">
        <v>0</v>
      </c>
      <c r="D43" s="70">
        <v>0</v>
      </c>
      <c r="E43" s="70">
        <f t="shared" si="1"/>
        <v>0</v>
      </c>
      <c r="F43" s="70">
        <v>0</v>
      </c>
      <c r="G43" s="70">
        <f t="shared" si="2"/>
        <v>0</v>
      </c>
      <c r="H43" s="5">
        <v>8</v>
      </c>
      <c r="I43" s="72">
        <f t="shared" si="3"/>
        <v>0.125</v>
      </c>
      <c r="J43" s="70">
        <f t="shared" si="4"/>
        <v>0</v>
      </c>
      <c r="K43" s="70">
        <v>0</v>
      </c>
      <c r="L43" s="148">
        <f t="shared" si="0"/>
        <v>0</v>
      </c>
      <c r="M43" s="109"/>
      <c r="N43" s="76"/>
    </row>
    <row r="44" spans="1:14" ht="12.75">
      <c r="A44" s="5">
        <v>1935</v>
      </c>
      <c r="B44" s="2" t="s">
        <v>34</v>
      </c>
      <c r="C44" s="70">
        <f>'[5]FA Continuity 2007'!$D$33</f>
        <v>35068</v>
      </c>
      <c r="D44" s="70">
        <v>0</v>
      </c>
      <c r="E44" s="70">
        <f t="shared" si="1"/>
        <v>35068</v>
      </c>
      <c r="F44" s="70">
        <f>'[5]FA Continuity 2007'!$E$33</f>
        <v>2495.7599999999948</v>
      </c>
      <c r="G44" s="70">
        <f t="shared" si="2"/>
        <v>36315.88</v>
      </c>
      <c r="H44" s="5">
        <v>10</v>
      </c>
      <c r="I44" s="72">
        <f t="shared" si="3"/>
        <v>0.1</v>
      </c>
      <c r="J44" s="70">
        <f t="shared" si="4"/>
        <v>3631.5879999999997</v>
      </c>
      <c r="K44" s="70">
        <f>J44</f>
        <v>3631.5879999999997</v>
      </c>
      <c r="L44" s="148">
        <f t="shared" si="0"/>
        <v>0</v>
      </c>
      <c r="M44" s="109"/>
      <c r="N44" s="76"/>
    </row>
    <row r="45" spans="1:14" ht="12.75">
      <c r="A45" s="5">
        <v>1940</v>
      </c>
      <c r="B45" s="2" t="s">
        <v>35</v>
      </c>
      <c r="C45" s="70">
        <f>'[5]FA Continuity 2007'!$D$34</f>
        <v>212866</v>
      </c>
      <c r="D45" s="70">
        <v>0</v>
      </c>
      <c r="E45" s="70">
        <f t="shared" si="1"/>
        <v>212866</v>
      </c>
      <c r="F45" s="70">
        <f>'[5]FA Continuity 2007'!$E$34</f>
        <v>16445.89</v>
      </c>
      <c r="G45" s="70">
        <f t="shared" si="2"/>
        <v>221088.945</v>
      </c>
      <c r="H45" s="5">
        <v>10</v>
      </c>
      <c r="I45" s="72">
        <f t="shared" si="3"/>
        <v>0.1</v>
      </c>
      <c r="J45" s="70">
        <f t="shared" si="4"/>
        <v>22108.894500000002</v>
      </c>
      <c r="K45" s="70">
        <f>J45</f>
        <v>22108.894500000002</v>
      </c>
      <c r="L45" s="148">
        <f t="shared" si="0"/>
        <v>0</v>
      </c>
      <c r="M45" s="109"/>
      <c r="N45" s="76"/>
    </row>
    <row r="46" spans="1:14" ht="12.75">
      <c r="A46" s="5">
        <v>1945</v>
      </c>
      <c r="B46" s="2" t="s">
        <v>36</v>
      </c>
      <c r="C46" s="70">
        <f>'[5]FA Continuity 2007'!$D$35</f>
        <v>145541</v>
      </c>
      <c r="D46" s="70">
        <v>0</v>
      </c>
      <c r="E46" s="70">
        <f t="shared" si="1"/>
        <v>145541</v>
      </c>
      <c r="F46" s="70">
        <f>'[5]FA Continuity 2007'!$E$35</f>
        <v>4600.26</v>
      </c>
      <c r="G46" s="70">
        <f t="shared" si="2"/>
        <v>147841.13</v>
      </c>
      <c r="H46" s="5">
        <v>10</v>
      </c>
      <c r="I46" s="72">
        <f t="shared" si="3"/>
        <v>0.1</v>
      </c>
      <c r="J46" s="70">
        <f t="shared" si="4"/>
        <v>14784.113000000001</v>
      </c>
      <c r="K46" s="70">
        <f>J46</f>
        <v>14784.113000000001</v>
      </c>
      <c r="L46" s="148">
        <f t="shared" si="0"/>
        <v>0</v>
      </c>
      <c r="M46" s="109"/>
      <c r="N46" s="76"/>
    </row>
    <row r="47" spans="1:14" ht="12.75">
      <c r="A47" s="5">
        <v>1950</v>
      </c>
      <c r="B47" s="2" t="s">
        <v>37</v>
      </c>
      <c r="C47" s="70">
        <f>'[5]FA Continuity 2007'!$D$36</f>
        <v>0</v>
      </c>
      <c r="D47" s="70">
        <v>0</v>
      </c>
      <c r="E47" s="70">
        <f t="shared" si="1"/>
        <v>0</v>
      </c>
      <c r="F47" s="70">
        <f>'[5]FA Continuity 2007'!$E$36</f>
        <v>0</v>
      </c>
      <c r="G47" s="70">
        <f t="shared" si="2"/>
        <v>0</v>
      </c>
      <c r="H47" s="5">
        <v>0</v>
      </c>
      <c r="I47" s="72">
        <v>0</v>
      </c>
      <c r="J47" s="70">
        <v>0</v>
      </c>
      <c r="K47" s="70">
        <f>J47</f>
        <v>0</v>
      </c>
      <c r="L47" s="148">
        <f t="shared" si="0"/>
        <v>0</v>
      </c>
      <c r="M47" s="109"/>
      <c r="N47" s="76"/>
    </row>
    <row r="48" spans="1:14" ht="12.75">
      <c r="A48" s="5">
        <v>1955</v>
      </c>
      <c r="B48" s="2" t="s">
        <v>38</v>
      </c>
      <c r="C48" s="70">
        <f>'[5]FA Continuity 2007'!$D$37</f>
        <v>54931</v>
      </c>
      <c r="D48" s="70">
        <v>0</v>
      </c>
      <c r="E48" s="70">
        <f t="shared" si="1"/>
        <v>54931</v>
      </c>
      <c r="F48" s="70">
        <f>'[5]FA Continuity 2007'!$E$37</f>
        <v>12118.77</v>
      </c>
      <c r="G48" s="70">
        <f t="shared" si="2"/>
        <v>60990.385</v>
      </c>
      <c r="H48" s="5">
        <v>10</v>
      </c>
      <c r="I48" s="72">
        <f t="shared" si="3"/>
        <v>0.1</v>
      </c>
      <c r="J48" s="70">
        <f t="shared" si="4"/>
        <v>6099.038500000001</v>
      </c>
      <c r="K48" s="70">
        <f>J48</f>
        <v>6099.038500000001</v>
      </c>
      <c r="L48" s="148">
        <f t="shared" si="0"/>
        <v>0</v>
      </c>
      <c r="M48" s="109"/>
      <c r="N48" s="76"/>
    </row>
    <row r="49" spans="1:14" ht="12.75">
      <c r="A49" s="5">
        <v>1960</v>
      </c>
      <c r="B49" s="2" t="s">
        <v>96</v>
      </c>
      <c r="C49" s="70">
        <f>'[5]FA Continuity 2007'!$D$38</f>
        <v>82327</v>
      </c>
      <c r="D49" s="70">
        <v>0</v>
      </c>
      <c r="E49" s="70">
        <f t="shared" si="1"/>
        <v>82327</v>
      </c>
      <c r="F49" s="70">
        <f>'[5]FA Continuity 2007'!$E$38</f>
        <v>20946.73</v>
      </c>
      <c r="G49" s="70">
        <f t="shared" si="2"/>
        <v>92800.365</v>
      </c>
      <c r="H49" s="5">
        <v>10</v>
      </c>
      <c r="I49" s="72">
        <f t="shared" si="3"/>
        <v>0.1</v>
      </c>
      <c r="J49" s="70">
        <f t="shared" si="4"/>
        <v>9280.0365</v>
      </c>
      <c r="K49" s="70">
        <v>9065.03</v>
      </c>
      <c r="L49" s="148">
        <f t="shared" si="0"/>
        <v>-215.0064999999995</v>
      </c>
      <c r="M49" s="109"/>
      <c r="N49" s="76"/>
    </row>
    <row r="50" spans="1:14" ht="12.75">
      <c r="A50" s="5">
        <v>1965</v>
      </c>
      <c r="B50" s="2" t="s">
        <v>39</v>
      </c>
      <c r="C50" s="70">
        <v>0</v>
      </c>
      <c r="D50" s="70">
        <v>0</v>
      </c>
      <c r="E50" s="70">
        <f t="shared" si="1"/>
        <v>0</v>
      </c>
      <c r="F50" s="70">
        <f>0</f>
        <v>0</v>
      </c>
      <c r="G50" s="70">
        <f t="shared" si="2"/>
        <v>0</v>
      </c>
      <c r="H50" s="5">
        <v>0</v>
      </c>
      <c r="I50" s="72">
        <v>0</v>
      </c>
      <c r="J50" s="70">
        <v>0</v>
      </c>
      <c r="K50" s="70">
        <f>J50</f>
        <v>0</v>
      </c>
      <c r="L50" s="148">
        <f t="shared" si="0"/>
        <v>0</v>
      </c>
      <c r="M50" s="109"/>
      <c r="N50" s="76"/>
    </row>
    <row r="51" spans="1:14" ht="12.75">
      <c r="A51" s="5">
        <v>1970</v>
      </c>
      <c r="B51" s="2" t="s">
        <v>48</v>
      </c>
      <c r="C51" s="70">
        <f>'[5]FA Continuity 2007'!$D$39</f>
        <v>12276</v>
      </c>
      <c r="D51" s="70">
        <v>0</v>
      </c>
      <c r="E51" s="70">
        <f t="shared" si="1"/>
        <v>12276</v>
      </c>
      <c r="F51" s="70">
        <f>'[5]FA Continuity 2007'!$E$39</f>
        <v>4288.26</v>
      </c>
      <c r="G51" s="70">
        <f t="shared" si="2"/>
        <v>14420.130000000001</v>
      </c>
      <c r="H51" s="5">
        <v>10</v>
      </c>
      <c r="I51" s="72">
        <f t="shared" si="3"/>
        <v>0.1</v>
      </c>
      <c r="J51" s="70">
        <f t="shared" si="4"/>
        <v>1442.0130000000001</v>
      </c>
      <c r="K51" s="70">
        <v>16564.66</v>
      </c>
      <c r="L51" s="148">
        <f t="shared" si="0"/>
        <v>15122.646999999999</v>
      </c>
      <c r="M51" s="109" t="s">
        <v>138</v>
      </c>
      <c r="N51" s="76"/>
    </row>
    <row r="52" spans="1:14" ht="12.75">
      <c r="A52" s="5">
        <v>1975</v>
      </c>
      <c r="B52" s="2" t="s">
        <v>40</v>
      </c>
      <c r="C52" s="70">
        <f>'[5]FA Continuity 2007'!$D$40</f>
        <v>0</v>
      </c>
      <c r="D52" s="70">
        <v>0</v>
      </c>
      <c r="E52" s="70">
        <f t="shared" si="1"/>
        <v>0</v>
      </c>
      <c r="F52" s="70">
        <v>0</v>
      </c>
      <c r="G52" s="70">
        <f t="shared" si="2"/>
        <v>0</v>
      </c>
      <c r="H52" s="5">
        <v>0</v>
      </c>
      <c r="I52" s="72">
        <v>0</v>
      </c>
      <c r="J52" s="70">
        <v>0</v>
      </c>
      <c r="K52" s="70">
        <f>J52</f>
        <v>0</v>
      </c>
      <c r="L52" s="148">
        <f t="shared" si="0"/>
        <v>0</v>
      </c>
      <c r="M52" s="109"/>
      <c r="N52" s="76"/>
    </row>
    <row r="53" spans="1:14" ht="12.75">
      <c r="A53" s="5">
        <v>1980</v>
      </c>
      <c r="B53" s="67" t="s">
        <v>97</v>
      </c>
      <c r="C53" s="70">
        <f>'[5]FA Continuity 2007'!$D$41</f>
        <v>612052</v>
      </c>
      <c r="D53" s="70">
        <v>0</v>
      </c>
      <c r="E53" s="70">
        <f t="shared" si="1"/>
        <v>612052</v>
      </c>
      <c r="F53" s="70">
        <f>'[5]FA Continuity 2007'!$E$41</f>
        <v>29.31</v>
      </c>
      <c r="G53" s="70">
        <f t="shared" si="2"/>
        <v>612066.655</v>
      </c>
      <c r="H53" s="5">
        <v>15</v>
      </c>
      <c r="I53" s="72">
        <f t="shared" si="3"/>
        <v>0.06666666666666667</v>
      </c>
      <c r="J53" s="70">
        <f t="shared" si="4"/>
        <v>40804.443666666666</v>
      </c>
      <c r="K53" s="70">
        <f>J53</f>
        <v>40804.443666666666</v>
      </c>
      <c r="L53" s="148">
        <f t="shared" si="0"/>
        <v>0</v>
      </c>
      <c r="M53" s="109"/>
      <c r="N53" s="76"/>
    </row>
    <row r="54" spans="1:14" ht="12.75">
      <c r="A54" s="5">
        <v>1985</v>
      </c>
      <c r="B54" s="2" t="s">
        <v>41</v>
      </c>
      <c r="C54" s="70">
        <f>'[5]FA Continuity 2007'!$D$42</f>
        <v>0</v>
      </c>
      <c r="D54" s="70">
        <v>0</v>
      </c>
      <c r="E54" s="70">
        <f t="shared" si="1"/>
        <v>0</v>
      </c>
      <c r="F54" s="70">
        <v>0</v>
      </c>
      <c r="G54" s="70">
        <f t="shared" si="2"/>
        <v>0</v>
      </c>
      <c r="H54" s="5">
        <v>0</v>
      </c>
      <c r="I54" s="72">
        <v>0</v>
      </c>
      <c r="J54" s="70">
        <v>0</v>
      </c>
      <c r="K54" s="70">
        <f>J54</f>
        <v>0</v>
      </c>
      <c r="L54" s="148">
        <f t="shared" si="0"/>
        <v>0</v>
      </c>
      <c r="M54" s="109"/>
      <c r="N54" s="76"/>
    </row>
    <row r="55" spans="1:14" ht="12.75">
      <c r="A55" s="5">
        <v>1995</v>
      </c>
      <c r="B55" s="2" t="s">
        <v>42</v>
      </c>
      <c r="C55" s="146">
        <f>'[5]FA Continuity 2007'!$D$44</f>
        <v>-5796930</v>
      </c>
      <c r="D55" s="146">
        <v>0</v>
      </c>
      <c r="E55" s="146">
        <f t="shared" si="1"/>
        <v>-5796930</v>
      </c>
      <c r="F55" s="146">
        <f>'[5]FA Continuity 2007'!$E$44</f>
        <v>-994215.61</v>
      </c>
      <c r="G55" s="146">
        <f t="shared" si="2"/>
        <v>-6294037.805</v>
      </c>
      <c r="H55" s="5">
        <v>25</v>
      </c>
      <c r="I55" s="72">
        <f t="shared" si="3"/>
        <v>0.04</v>
      </c>
      <c r="J55" s="146">
        <f t="shared" si="4"/>
        <v>-251761.5122</v>
      </c>
      <c r="K55" s="146">
        <f>J55</f>
        <v>-251761.5122</v>
      </c>
      <c r="L55" s="148">
        <f t="shared" si="0"/>
        <v>0</v>
      </c>
      <c r="M55" s="109"/>
      <c r="N55" s="76"/>
    </row>
    <row r="56" spans="1:14" ht="12.75">
      <c r="A56" s="5">
        <v>2005</v>
      </c>
      <c r="B56" s="2" t="s">
        <v>98</v>
      </c>
      <c r="C56" s="70">
        <f>'[5]FA Continuity 2007'!$D$45</f>
        <v>10039</v>
      </c>
      <c r="D56" s="70">
        <v>0</v>
      </c>
      <c r="E56" s="70">
        <f t="shared" si="1"/>
        <v>10039</v>
      </c>
      <c r="F56" s="70">
        <f>'[5]FA Continuity 2007'!$E$45</f>
        <v>0</v>
      </c>
      <c r="G56" s="70">
        <f t="shared" si="2"/>
        <v>10039</v>
      </c>
      <c r="H56" s="5">
        <v>10</v>
      </c>
      <c r="I56" s="72">
        <f t="shared" si="3"/>
        <v>0.1</v>
      </c>
      <c r="J56" s="70">
        <f t="shared" si="4"/>
        <v>1003.9</v>
      </c>
      <c r="K56" s="70">
        <f>J56</f>
        <v>1003.9</v>
      </c>
      <c r="L56" s="148">
        <f t="shared" si="0"/>
        <v>0</v>
      </c>
      <c r="M56" s="109"/>
      <c r="N56" s="76"/>
    </row>
    <row r="57" spans="1:14" ht="13.5" thickBot="1">
      <c r="A57" s="77">
        <v>2055</v>
      </c>
      <c r="B57" s="78" t="s">
        <v>99</v>
      </c>
      <c r="C57" s="79">
        <f>'[5]FA Continuity 2007'!$D$48</f>
        <v>0</v>
      </c>
      <c r="D57" s="79">
        <v>0</v>
      </c>
      <c r="E57" s="79">
        <f t="shared" si="1"/>
        <v>0</v>
      </c>
      <c r="F57" s="79">
        <f>'[5]FA Continuity 2007'!$E$48</f>
        <v>311323.43</v>
      </c>
      <c r="G57" s="79">
        <v>0</v>
      </c>
      <c r="H57" s="77">
        <v>0</v>
      </c>
      <c r="I57" s="85">
        <v>0</v>
      </c>
      <c r="J57" s="79">
        <v>0</v>
      </c>
      <c r="K57" s="79">
        <v>0</v>
      </c>
      <c r="L57" s="149">
        <f t="shared" si="0"/>
        <v>0</v>
      </c>
      <c r="M57" s="109"/>
      <c r="N57" s="76"/>
    </row>
    <row r="58" spans="1:14" ht="13.5" thickBot="1">
      <c r="A58" s="102"/>
      <c r="B58" s="82" t="s">
        <v>43</v>
      </c>
      <c r="C58" s="82">
        <f>SUM(C13:C57)</f>
        <v>56191728</v>
      </c>
      <c r="D58" s="82"/>
      <c r="E58" s="82">
        <f>SUM(E13:E57)</f>
        <v>54607301</v>
      </c>
      <c r="F58" s="82">
        <f>SUM(F13:F57)</f>
        <v>5443972.999999997</v>
      </c>
      <c r="G58" s="82">
        <f>SUM(G13:G57)</f>
        <v>56258123.745000005</v>
      </c>
      <c r="H58" s="82"/>
      <c r="I58" s="82"/>
      <c r="J58" s="82">
        <f>SUM(J13:J57)</f>
        <v>2358143.855274999</v>
      </c>
      <c r="K58" s="82">
        <f>SUM(K13:K57)</f>
        <v>2482409.1903166664</v>
      </c>
      <c r="L58" s="150">
        <f t="shared" si="0"/>
        <v>124265.33504166733</v>
      </c>
      <c r="M58" s="103"/>
      <c r="N58" s="76"/>
    </row>
    <row r="59" ht="7.5" customHeight="1"/>
    <row r="60" spans="2:11" ht="12.75">
      <c r="B60" s="101" t="s">
        <v>120</v>
      </c>
      <c r="C60" s="93">
        <f>SUM(C57:C59)</f>
        <v>56191728</v>
      </c>
      <c r="E60" s="104"/>
      <c r="K60" s="93">
        <v>2482409.268316668</v>
      </c>
    </row>
    <row r="61" ht="15" customHeight="1">
      <c r="A61" s="40" t="s">
        <v>92</v>
      </c>
    </row>
    <row r="62" spans="1:11" ht="15" customHeight="1">
      <c r="A62" s="41" t="s">
        <v>69</v>
      </c>
      <c r="B62" s="340" t="s">
        <v>123</v>
      </c>
      <c r="C62" s="340"/>
      <c r="D62" s="340"/>
      <c r="E62" s="340"/>
      <c r="F62" s="340"/>
      <c r="G62" s="340"/>
      <c r="H62" s="340"/>
      <c r="I62" s="340"/>
      <c r="J62" s="340"/>
      <c r="K62" s="74"/>
    </row>
    <row r="63" spans="1:10" ht="15" customHeight="1">
      <c r="A63" s="41" t="s">
        <v>89</v>
      </c>
      <c r="B63" s="112" t="s">
        <v>239</v>
      </c>
      <c r="C63" s="105"/>
      <c r="D63" s="105"/>
      <c r="E63" s="105"/>
      <c r="F63" s="105"/>
      <c r="G63" s="105"/>
      <c r="H63" s="105"/>
      <c r="I63" s="105"/>
      <c r="J63" s="105"/>
    </row>
    <row r="64" spans="1:2" ht="15" customHeight="1">
      <c r="A64" s="110" t="s">
        <v>124</v>
      </c>
      <c r="B64" s="112" t="s">
        <v>240</v>
      </c>
    </row>
    <row r="65" spans="1:2" ht="15" customHeight="1">
      <c r="A65" s="110" t="s">
        <v>125</v>
      </c>
      <c r="B65" s="112" t="s">
        <v>241</v>
      </c>
    </row>
    <row r="66" spans="1:2" ht="15" customHeight="1">
      <c r="A66" s="110" t="s">
        <v>126</v>
      </c>
      <c r="B66" s="112" t="s">
        <v>242</v>
      </c>
    </row>
    <row r="67" spans="1:10" ht="15" customHeight="1">
      <c r="A67" s="110" t="s">
        <v>127</v>
      </c>
      <c r="B67" s="340" t="s">
        <v>243</v>
      </c>
      <c r="C67" s="340"/>
      <c r="D67" s="340"/>
      <c r="E67" s="340"/>
      <c r="F67" s="340"/>
      <c r="G67" s="340"/>
      <c r="H67" s="340"/>
      <c r="I67" s="340"/>
      <c r="J67" s="340"/>
    </row>
    <row r="68" spans="1:2" ht="15" customHeight="1">
      <c r="A68" s="110" t="s">
        <v>128</v>
      </c>
      <c r="B68" s="76" t="s">
        <v>139</v>
      </c>
    </row>
    <row r="69" spans="1:2" ht="15" customHeight="1">
      <c r="A69" s="110" t="s">
        <v>129</v>
      </c>
      <c r="B69" s="76" t="s">
        <v>140</v>
      </c>
    </row>
    <row r="70" spans="1:2" ht="15" customHeight="1">
      <c r="A70" s="110" t="s">
        <v>130</v>
      </c>
      <c r="B70" s="114" t="s">
        <v>133</v>
      </c>
    </row>
    <row r="71" spans="1:2" ht="15" customHeight="1">
      <c r="A71" s="110" t="s">
        <v>131</v>
      </c>
      <c r="B71" s="114" t="s">
        <v>133</v>
      </c>
    </row>
    <row r="72" spans="1:2" ht="15" customHeight="1">
      <c r="A72" s="110" t="s">
        <v>132</v>
      </c>
      <c r="B72" s="111" t="s">
        <v>143</v>
      </c>
    </row>
    <row r="73" ht="15" customHeight="1"/>
    <row r="74" spans="1:2" ht="12.75">
      <c r="A74" s="110"/>
      <c r="B74" s="76"/>
    </row>
    <row r="75" spans="1:2" ht="12.75">
      <c r="A75" s="110"/>
      <c r="B75" s="76"/>
    </row>
    <row r="76" spans="1:2" ht="12.75">
      <c r="A76" s="110"/>
      <c r="B76" s="76"/>
    </row>
  </sheetData>
  <sheetProtection/>
  <mergeCells count="5">
    <mergeCell ref="A11:A12"/>
    <mergeCell ref="B11:B12"/>
    <mergeCell ref="A9:J9"/>
    <mergeCell ref="B62:J62"/>
    <mergeCell ref="B67:J6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zoomScalePageLayoutView="0" workbookViewId="0" topLeftCell="A1">
      <selection activeCell="L8" sqref="L8"/>
    </sheetView>
  </sheetViews>
  <sheetFormatPr defaultColWidth="9.140625" defaultRowHeight="12.75"/>
  <cols>
    <col min="2" max="2" width="39.8515625" style="0" customWidth="1"/>
    <col min="3" max="3" width="11.28125" style="0" bestFit="1" customWidth="1"/>
    <col min="4" max="4" width="12.7109375" style="0" customWidth="1"/>
    <col min="5" max="5" width="12.421875" style="0" customWidth="1"/>
    <col min="6" max="6" width="10.28125" style="0" bestFit="1" customWidth="1"/>
    <col min="7" max="7" width="12.421875" style="0" customWidth="1"/>
    <col min="8" max="8" width="6.8515625" style="0" customWidth="1"/>
    <col min="9" max="9" width="12.28125" style="0" customWidth="1"/>
    <col min="10" max="11" width="12.7109375" style="0" customWidth="1"/>
    <col min="12" max="12" width="10.00390625" style="0" customWidth="1"/>
    <col min="13" max="13" width="5.7109375" style="0" customWidth="1"/>
  </cols>
  <sheetData>
    <row r="1" spans="10:12" ht="12.75">
      <c r="J1" s="40" t="s">
        <v>50</v>
      </c>
      <c r="L1" s="68" t="s">
        <v>94</v>
      </c>
    </row>
    <row r="2" spans="10:12" ht="12.75">
      <c r="J2" s="40" t="s">
        <v>51</v>
      </c>
      <c r="L2" s="68">
        <v>4</v>
      </c>
    </row>
    <row r="3" spans="10:12" ht="12.75">
      <c r="J3" s="40" t="s">
        <v>52</v>
      </c>
      <c r="L3" s="68">
        <v>2</v>
      </c>
    </row>
    <row r="4" spans="10:12" ht="12.75">
      <c r="J4" s="40" t="s">
        <v>53</v>
      </c>
      <c r="L4" s="68">
        <v>7</v>
      </c>
    </row>
    <row r="5" spans="10:12" ht="12.75">
      <c r="J5" s="40" t="s">
        <v>54</v>
      </c>
      <c r="L5" s="68" t="s">
        <v>294</v>
      </c>
    </row>
    <row r="6" spans="10:12" ht="12.75">
      <c r="J6" s="40"/>
      <c r="L6" s="68"/>
    </row>
    <row r="7" spans="10:12" ht="12.75">
      <c r="J7" s="40" t="s">
        <v>55</v>
      </c>
      <c r="L7" s="69" t="s">
        <v>291</v>
      </c>
    </row>
    <row r="9" spans="1:10" ht="15.75">
      <c r="A9" s="339" t="s">
        <v>234</v>
      </c>
      <c r="B9" s="339"/>
      <c r="C9" s="339"/>
      <c r="D9" s="339"/>
      <c r="E9" s="339"/>
      <c r="F9" s="339"/>
      <c r="G9" s="339"/>
      <c r="H9" s="339"/>
      <c r="I9" s="339"/>
      <c r="J9" s="339"/>
    </row>
    <row r="11" spans="1:13" ht="39" customHeight="1">
      <c r="A11" s="337" t="s">
        <v>77</v>
      </c>
      <c r="B11" s="337" t="s">
        <v>2</v>
      </c>
      <c r="C11" s="43" t="s">
        <v>3</v>
      </c>
      <c r="D11" s="43" t="s">
        <v>88</v>
      </c>
      <c r="E11" s="43" t="s">
        <v>80</v>
      </c>
      <c r="F11" s="43" t="s">
        <v>4</v>
      </c>
      <c r="G11" s="43" t="s">
        <v>82</v>
      </c>
      <c r="H11" s="43" t="s">
        <v>83</v>
      </c>
      <c r="I11" s="43" t="s">
        <v>46</v>
      </c>
      <c r="J11" s="98" t="s">
        <v>86</v>
      </c>
      <c r="K11" s="100" t="s">
        <v>117</v>
      </c>
      <c r="L11" s="100"/>
      <c r="M11" s="95"/>
    </row>
    <row r="12" spans="1:13" ht="27">
      <c r="A12" s="338"/>
      <c r="B12" s="338"/>
      <c r="C12" s="42" t="s">
        <v>78</v>
      </c>
      <c r="D12" s="42" t="s">
        <v>79</v>
      </c>
      <c r="E12" s="42" t="s">
        <v>90</v>
      </c>
      <c r="F12" s="42" t="s">
        <v>81</v>
      </c>
      <c r="G12" s="44" t="s">
        <v>91</v>
      </c>
      <c r="H12" s="42" t="s">
        <v>84</v>
      </c>
      <c r="I12" s="42" t="s">
        <v>85</v>
      </c>
      <c r="J12" s="99" t="s">
        <v>87</v>
      </c>
      <c r="K12" s="117" t="s">
        <v>116</v>
      </c>
      <c r="L12" s="117" t="s">
        <v>122</v>
      </c>
      <c r="M12" s="115" t="s">
        <v>121</v>
      </c>
    </row>
    <row r="13" spans="1:13" ht="12.75">
      <c r="A13" s="5">
        <v>1805</v>
      </c>
      <c r="B13" s="2" t="s">
        <v>10</v>
      </c>
      <c r="C13" s="70">
        <v>384420.48</v>
      </c>
      <c r="D13" s="70">
        <v>0</v>
      </c>
      <c r="E13" s="70">
        <f>C13-D13</f>
        <v>384420.48</v>
      </c>
      <c r="F13" s="70">
        <v>695</v>
      </c>
      <c r="G13" s="70">
        <f>E13+(0.5*F13)</f>
        <v>384767.98</v>
      </c>
      <c r="H13" s="5">
        <v>0</v>
      </c>
      <c r="I13" s="72">
        <v>0</v>
      </c>
      <c r="J13" s="70">
        <v>0</v>
      </c>
      <c r="K13" s="70">
        <v>0</v>
      </c>
      <c r="L13" s="148">
        <f>K13-J13</f>
        <v>0</v>
      </c>
      <c r="M13" s="116"/>
    </row>
    <row r="14" spans="1:13" ht="12.75">
      <c r="A14" s="5">
        <v>1806</v>
      </c>
      <c r="B14" s="2" t="s">
        <v>25</v>
      </c>
      <c r="C14" s="70">
        <v>300911</v>
      </c>
      <c r="D14" s="70">
        <v>0</v>
      </c>
      <c r="E14" s="70">
        <f aca="true" t="shared" si="0" ref="E14:E57">C14-D14</f>
        <v>300911</v>
      </c>
      <c r="F14" s="70">
        <v>0</v>
      </c>
      <c r="G14" s="70">
        <f aca="true" t="shared" si="1" ref="G14:G56">E14+(0.5*F14)</f>
        <v>300911</v>
      </c>
      <c r="H14" s="5">
        <v>0</v>
      </c>
      <c r="I14" s="72">
        <v>0</v>
      </c>
      <c r="J14" s="70">
        <v>0</v>
      </c>
      <c r="K14" s="70">
        <v>0</v>
      </c>
      <c r="L14" s="148">
        <f aca="true" t="shared" si="2" ref="L14:L57">K14-J14</f>
        <v>0</v>
      </c>
      <c r="M14" s="116"/>
    </row>
    <row r="15" spans="1:13" ht="12.75">
      <c r="A15" s="5">
        <v>1808</v>
      </c>
      <c r="B15" s="2" t="s">
        <v>11</v>
      </c>
      <c r="C15" s="70">
        <v>1450870</v>
      </c>
      <c r="D15" s="70">
        <v>0</v>
      </c>
      <c r="E15" s="70">
        <f t="shared" si="0"/>
        <v>1450870</v>
      </c>
      <c r="F15" s="70">
        <v>74090.35</v>
      </c>
      <c r="G15" s="70">
        <f t="shared" si="1"/>
        <v>1487915.175</v>
      </c>
      <c r="H15" s="5">
        <v>50</v>
      </c>
      <c r="I15" s="72">
        <f aca="true" t="shared" si="3" ref="I15:I56">1/H15</f>
        <v>0.02</v>
      </c>
      <c r="J15" s="70">
        <f aca="true" t="shared" si="4" ref="J15:J56">G15/H15</f>
        <v>29758.3035</v>
      </c>
      <c r="K15" s="70">
        <v>29758.3135</v>
      </c>
      <c r="L15" s="148">
        <f t="shared" si="2"/>
        <v>0.00999999999839929</v>
      </c>
      <c r="M15" s="116"/>
    </row>
    <row r="16" spans="1:13" ht="12.75">
      <c r="A16" s="5">
        <v>1810</v>
      </c>
      <c r="B16" s="2" t="s">
        <v>47</v>
      </c>
      <c r="C16" s="70">
        <v>0</v>
      </c>
      <c r="D16" s="70">
        <v>0</v>
      </c>
      <c r="E16" s="70">
        <f t="shared" si="0"/>
        <v>0</v>
      </c>
      <c r="F16" s="70">
        <v>0</v>
      </c>
      <c r="G16" s="70">
        <f t="shared" si="1"/>
        <v>0</v>
      </c>
      <c r="H16" s="5">
        <v>0</v>
      </c>
      <c r="I16" s="72">
        <v>0</v>
      </c>
      <c r="J16" s="70">
        <v>0</v>
      </c>
      <c r="K16" s="70">
        <v>0</v>
      </c>
      <c r="L16" s="148">
        <f t="shared" si="2"/>
        <v>0</v>
      </c>
      <c r="M16" s="116"/>
    </row>
    <row r="17" spans="1:13" ht="12.75">
      <c r="A17" s="5">
        <v>1815</v>
      </c>
      <c r="B17" s="2" t="s">
        <v>12</v>
      </c>
      <c r="C17" s="70">
        <v>3083382.54</v>
      </c>
      <c r="D17" s="70">
        <v>0</v>
      </c>
      <c r="E17" s="70">
        <f t="shared" si="0"/>
        <v>3083382.54</v>
      </c>
      <c r="F17" s="70">
        <v>132213.8</v>
      </c>
      <c r="G17" s="70">
        <f t="shared" si="1"/>
        <v>3149489.44</v>
      </c>
      <c r="H17" s="5">
        <v>40</v>
      </c>
      <c r="I17" s="72">
        <f t="shared" si="3"/>
        <v>0.025</v>
      </c>
      <c r="J17" s="70">
        <f t="shared" si="4"/>
        <v>78737.236</v>
      </c>
      <c r="K17" s="70">
        <v>78755.49725</v>
      </c>
      <c r="L17" s="148">
        <f t="shared" si="2"/>
        <v>18.261249999995925</v>
      </c>
      <c r="M17" s="116"/>
    </row>
    <row r="18" spans="1:13" ht="12.75">
      <c r="A18" s="5">
        <v>1820</v>
      </c>
      <c r="B18" s="2" t="s">
        <v>13</v>
      </c>
      <c r="C18" s="70">
        <v>3077513.31</v>
      </c>
      <c r="D18" s="70">
        <v>0</v>
      </c>
      <c r="E18" s="70">
        <f t="shared" si="0"/>
        <v>3077513.31</v>
      </c>
      <c r="F18" s="70">
        <v>807140.63</v>
      </c>
      <c r="G18" s="70">
        <f t="shared" si="1"/>
        <v>3481083.625</v>
      </c>
      <c r="H18" s="5">
        <v>30</v>
      </c>
      <c r="I18" s="72">
        <f t="shared" si="3"/>
        <v>0.03333333333333333</v>
      </c>
      <c r="J18" s="70">
        <f t="shared" si="4"/>
        <v>116036.12083333333</v>
      </c>
      <c r="K18" s="70">
        <v>75819.06133333335</v>
      </c>
      <c r="L18" s="148">
        <f t="shared" si="2"/>
        <v>-40217.05949999999</v>
      </c>
      <c r="M18" s="116">
        <v>1</v>
      </c>
    </row>
    <row r="19" spans="1:13" ht="12.75">
      <c r="A19" s="5">
        <v>1825</v>
      </c>
      <c r="B19" s="2" t="s">
        <v>14</v>
      </c>
      <c r="C19" s="70">
        <v>0</v>
      </c>
      <c r="D19" s="70">
        <v>0</v>
      </c>
      <c r="E19" s="70">
        <f t="shared" si="0"/>
        <v>0</v>
      </c>
      <c r="F19" s="70">
        <v>0</v>
      </c>
      <c r="G19" s="70">
        <f t="shared" si="1"/>
        <v>0</v>
      </c>
      <c r="H19" s="5">
        <v>0</v>
      </c>
      <c r="I19" s="72">
        <v>0</v>
      </c>
      <c r="J19" s="70">
        <v>0</v>
      </c>
      <c r="K19" s="70">
        <v>0</v>
      </c>
      <c r="L19" s="148">
        <f t="shared" si="2"/>
        <v>0</v>
      </c>
      <c r="M19" s="116"/>
    </row>
    <row r="20" spans="1:13" ht="12.75">
      <c r="A20" s="5">
        <v>1830</v>
      </c>
      <c r="B20" s="2" t="s">
        <v>15</v>
      </c>
      <c r="C20" s="70">
        <v>18180195.1</v>
      </c>
      <c r="D20" s="70">
        <v>0</v>
      </c>
      <c r="E20" s="70">
        <f t="shared" si="0"/>
        <v>18180195.1</v>
      </c>
      <c r="F20" s="70">
        <v>824598.96</v>
      </c>
      <c r="G20" s="70">
        <f t="shared" si="1"/>
        <v>18592494.580000002</v>
      </c>
      <c r="H20" s="5">
        <v>25</v>
      </c>
      <c r="I20" s="72">
        <f t="shared" si="3"/>
        <v>0.04</v>
      </c>
      <c r="J20" s="70">
        <f t="shared" si="4"/>
        <v>743699.7832000001</v>
      </c>
      <c r="K20" s="70">
        <v>774604.4532</v>
      </c>
      <c r="L20" s="148">
        <f t="shared" si="2"/>
        <v>30904.669999999925</v>
      </c>
      <c r="M20" s="116">
        <v>2</v>
      </c>
    </row>
    <row r="21" spans="1:13" ht="12.75">
      <c r="A21" s="5">
        <v>1835</v>
      </c>
      <c r="B21" s="2" t="s">
        <v>18</v>
      </c>
      <c r="C21" s="70">
        <v>9366699.07</v>
      </c>
      <c r="D21" s="70">
        <v>0</v>
      </c>
      <c r="E21" s="70">
        <f t="shared" si="0"/>
        <v>9366699.07</v>
      </c>
      <c r="F21" s="70">
        <v>866071.04</v>
      </c>
      <c r="G21" s="70">
        <f t="shared" si="1"/>
        <v>9799734.59</v>
      </c>
      <c r="H21" s="5">
        <v>25</v>
      </c>
      <c r="I21" s="72">
        <f t="shared" si="3"/>
        <v>0.04</v>
      </c>
      <c r="J21" s="70">
        <f t="shared" si="4"/>
        <v>391989.3836</v>
      </c>
      <c r="K21" s="70">
        <v>391989.3836</v>
      </c>
      <c r="L21" s="148">
        <f t="shared" si="2"/>
        <v>0</v>
      </c>
      <c r="M21" s="116"/>
    </row>
    <row r="22" spans="1:13" ht="12.75">
      <c r="A22" s="5">
        <v>1840</v>
      </c>
      <c r="B22" s="2" t="s">
        <v>16</v>
      </c>
      <c r="C22" s="70">
        <v>3478269.57</v>
      </c>
      <c r="D22" s="70">
        <v>0</v>
      </c>
      <c r="E22" s="70">
        <f t="shared" si="0"/>
        <v>3478269.57</v>
      </c>
      <c r="F22" s="70">
        <v>54312.67</v>
      </c>
      <c r="G22" s="70">
        <f t="shared" si="1"/>
        <v>3505425.905</v>
      </c>
      <c r="H22" s="5">
        <v>25</v>
      </c>
      <c r="I22" s="72">
        <f t="shared" si="3"/>
        <v>0.04</v>
      </c>
      <c r="J22" s="70">
        <f t="shared" si="4"/>
        <v>140217.0362</v>
      </c>
      <c r="K22" s="70">
        <v>122824.75619999999</v>
      </c>
      <c r="L22" s="148">
        <f t="shared" si="2"/>
        <v>-17392.280000000013</v>
      </c>
      <c r="M22" s="116">
        <v>3</v>
      </c>
    </row>
    <row r="23" spans="1:13" ht="12.75">
      <c r="A23" s="5">
        <v>1845</v>
      </c>
      <c r="B23" s="2" t="s">
        <v>17</v>
      </c>
      <c r="C23" s="70">
        <v>6944195.77</v>
      </c>
      <c r="D23" s="70">
        <v>1204925</v>
      </c>
      <c r="E23" s="70">
        <f t="shared" si="0"/>
        <v>5739270.77</v>
      </c>
      <c r="F23" s="70">
        <v>176667.25</v>
      </c>
      <c r="G23" s="70">
        <f t="shared" si="1"/>
        <v>5827604.395</v>
      </c>
      <c r="H23" s="5">
        <v>25</v>
      </c>
      <c r="I23" s="72">
        <f t="shared" si="3"/>
        <v>0.04</v>
      </c>
      <c r="J23" s="70">
        <f t="shared" si="4"/>
        <v>233104.17579999997</v>
      </c>
      <c r="K23" s="70">
        <v>233104.16580000002</v>
      </c>
      <c r="L23" s="148">
        <f t="shared" si="2"/>
        <v>-0.009999999951105565</v>
      </c>
      <c r="M23" s="116"/>
    </row>
    <row r="24" spans="1:13" ht="12.75">
      <c r="A24" s="5">
        <v>1850</v>
      </c>
      <c r="B24" s="2" t="s">
        <v>19</v>
      </c>
      <c r="C24" s="70">
        <v>10075469.93</v>
      </c>
      <c r="D24" s="70">
        <v>0</v>
      </c>
      <c r="E24" s="70">
        <f t="shared" si="0"/>
        <v>10075469.93</v>
      </c>
      <c r="F24" s="70">
        <v>741071.77</v>
      </c>
      <c r="G24" s="70">
        <f t="shared" si="1"/>
        <v>10446005.815</v>
      </c>
      <c r="H24" s="5">
        <v>25</v>
      </c>
      <c r="I24" s="72">
        <f t="shared" si="3"/>
        <v>0.04</v>
      </c>
      <c r="J24" s="70">
        <f t="shared" si="4"/>
        <v>417840.2326</v>
      </c>
      <c r="K24" s="70">
        <v>495697.43260000006</v>
      </c>
      <c r="L24" s="148">
        <f t="shared" si="2"/>
        <v>77857.20000000007</v>
      </c>
      <c r="M24" s="116">
        <v>4</v>
      </c>
    </row>
    <row r="25" spans="1:13" ht="12.75">
      <c r="A25" s="5">
        <v>1855</v>
      </c>
      <c r="B25" s="2" t="s">
        <v>20</v>
      </c>
      <c r="C25" s="70">
        <v>1944841.37</v>
      </c>
      <c r="D25" s="70">
        <v>0</v>
      </c>
      <c r="E25" s="70">
        <f t="shared" si="0"/>
        <v>1944841.37</v>
      </c>
      <c r="F25" s="70">
        <v>285345.09</v>
      </c>
      <c r="G25" s="70">
        <f t="shared" si="1"/>
        <v>2087513.915</v>
      </c>
      <c r="H25" s="5">
        <v>25</v>
      </c>
      <c r="I25" s="72">
        <f t="shared" si="3"/>
        <v>0.04</v>
      </c>
      <c r="J25" s="70">
        <f t="shared" si="4"/>
        <v>83500.5566</v>
      </c>
      <c r="K25" s="70">
        <v>83500.5566</v>
      </c>
      <c r="L25" s="148">
        <f t="shared" si="2"/>
        <v>0</v>
      </c>
      <c r="M25" s="116"/>
    </row>
    <row r="26" spans="1:13" ht="12.75">
      <c r="A26" s="5">
        <v>1860</v>
      </c>
      <c r="B26" s="2" t="s">
        <v>21</v>
      </c>
      <c r="C26" s="70">
        <v>3703687.52</v>
      </c>
      <c r="D26" s="70">
        <v>0</v>
      </c>
      <c r="E26" s="70">
        <f t="shared" si="0"/>
        <v>3703687.52</v>
      </c>
      <c r="F26" s="70">
        <v>187841.83</v>
      </c>
      <c r="G26" s="70">
        <f t="shared" si="1"/>
        <v>3797608.435</v>
      </c>
      <c r="H26" s="5">
        <v>25</v>
      </c>
      <c r="I26" s="72">
        <f t="shared" si="3"/>
        <v>0.04</v>
      </c>
      <c r="J26" s="70">
        <f t="shared" si="4"/>
        <v>151904.3374</v>
      </c>
      <c r="K26" s="70">
        <v>143953.80740000002</v>
      </c>
      <c r="L26" s="148">
        <f t="shared" si="2"/>
        <v>-7950.52999999997</v>
      </c>
      <c r="M26" s="116">
        <v>5</v>
      </c>
    </row>
    <row r="27" spans="1:13" ht="12.75">
      <c r="A27" s="5">
        <v>1861</v>
      </c>
      <c r="B27" s="2" t="s">
        <v>22</v>
      </c>
      <c r="C27" s="70">
        <v>0</v>
      </c>
      <c r="D27" s="70">
        <v>0</v>
      </c>
      <c r="E27" s="70">
        <f t="shared" si="0"/>
        <v>0</v>
      </c>
      <c r="F27" s="70">
        <v>0</v>
      </c>
      <c r="G27" s="70">
        <f t="shared" si="1"/>
        <v>0</v>
      </c>
      <c r="H27" s="5">
        <v>15</v>
      </c>
      <c r="I27" s="72">
        <f t="shared" si="3"/>
        <v>0.06666666666666667</v>
      </c>
      <c r="J27" s="70">
        <f t="shared" si="4"/>
        <v>0</v>
      </c>
      <c r="K27" s="70">
        <v>0</v>
      </c>
      <c r="L27" s="148">
        <f t="shared" si="2"/>
        <v>0</v>
      </c>
      <c r="M27" s="116"/>
    </row>
    <row r="28" spans="1:13" ht="12.75">
      <c r="A28" s="5">
        <v>1861</v>
      </c>
      <c r="B28" s="2" t="s">
        <v>23</v>
      </c>
      <c r="C28" s="70">
        <v>0</v>
      </c>
      <c r="D28" s="70">
        <v>0</v>
      </c>
      <c r="E28" s="70">
        <f t="shared" si="0"/>
        <v>0</v>
      </c>
      <c r="F28" s="70">
        <v>0</v>
      </c>
      <c r="G28" s="70">
        <f t="shared" si="1"/>
        <v>0</v>
      </c>
      <c r="H28" s="5">
        <v>5</v>
      </c>
      <c r="I28" s="72">
        <f t="shared" si="3"/>
        <v>0.2</v>
      </c>
      <c r="J28" s="70">
        <f t="shared" si="4"/>
        <v>0</v>
      </c>
      <c r="K28" s="70">
        <v>0</v>
      </c>
      <c r="L28" s="148">
        <f t="shared" si="2"/>
        <v>0</v>
      </c>
      <c r="M28" s="116"/>
    </row>
    <row r="29" spans="1:13" ht="12.75">
      <c r="A29" s="5">
        <v>1905</v>
      </c>
      <c r="B29" s="2" t="s">
        <v>10</v>
      </c>
      <c r="C29" s="70">
        <v>242867.6</v>
      </c>
      <c r="D29" s="70">
        <v>0</v>
      </c>
      <c r="E29" s="70">
        <f t="shared" si="0"/>
        <v>242867.6</v>
      </c>
      <c r="F29" s="70">
        <v>768</v>
      </c>
      <c r="G29" s="70">
        <f t="shared" si="1"/>
        <v>243251.6</v>
      </c>
      <c r="H29" s="5">
        <v>0</v>
      </c>
      <c r="I29" s="72">
        <v>0</v>
      </c>
      <c r="J29" s="70">
        <v>0</v>
      </c>
      <c r="K29" s="70">
        <v>0</v>
      </c>
      <c r="L29" s="148">
        <f t="shared" si="2"/>
        <v>0</v>
      </c>
      <c r="M29" s="116"/>
    </row>
    <row r="30" spans="1:13" ht="12.75">
      <c r="A30" s="5">
        <v>1906</v>
      </c>
      <c r="B30" s="2" t="s">
        <v>25</v>
      </c>
      <c r="C30" s="70">
        <v>0</v>
      </c>
      <c r="D30" s="70">
        <v>0</v>
      </c>
      <c r="E30" s="70">
        <f t="shared" si="0"/>
        <v>0</v>
      </c>
      <c r="F30" s="70">
        <v>0</v>
      </c>
      <c r="G30" s="70">
        <f t="shared" si="1"/>
        <v>0</v>
      </c>
      <c r="H30" s="5">
        <v>0</v>
      </c>
      <c r="I30" s="72">
        <v>0</v>
      </c>
      <c r="J30" s="70">
        <v>0</v>
      </c>
      <c r="K30" s="70">
        <v>0</v>
      </c>
      <c r="L30" s="148">
        <f t="shared" si="2"/>
        <v>0</v>
      </c>
      <c r="M30" s="116"/>
    </row>
    <row r="31" spans="1:13" ht="12.75">
      <c r="A31" s="5">
        <v>1908</v>
      </c>
      <c r="B31" s="2" t="s">
        <v>26</v>
      </c>
      <c r="C31" s="70">
        <v>2120690.65</v>
      </c>
      <c r="D31" s="70">
        <v>0</v>
      </c>
      <c r="E31" s="70">
        <f t="shared" si="0"/>
        <v>2120690.65</v>
      </c>
      <c r="F31" s="70">
        <v>68786.57</v>
      </c>
      <c r="G31" s="70">
        <f t="shared" si="1"/>
        <v>2155083.935</v>
      </c>
      <c r="H31" s="5">
        <v>50</v>
      </c>
      <c r="I31" s="72">
        <f t="shared" si="3"/>
        <v>0.02</v>
      </c>
      <c r="J31" s="70">
        <f t="shared" si="4"/>
        <v>43101.678700000004</v>
      </c>
      <c r="K31" s="70">
        <v>31088.198699999997</v>
      </c>
      <c r="L31" s="148">
        <f t="shared" si="2"/>
        <v>-12013.480000000007</v>
      </c>
      <c r="M31" s="116">
        <v>6</v>
      </c>
    </row>
    <row r="32" spans="1:13" ht="12.75">
      <c r="A32" s="5">
        <v>1910</v>
      </c>
      <c r="B32" s="2" t="s">
        <v>47</v>
      </c>
      <c r="C32" s="70">
        <v>6177</v>
      </c>
      <c r="D32" s="70">
        <v>0</v>
      </c>
      <c r="E32" s="70">
        <f t="shared" si="0"/>
        <v>6177</v>
      </c>
      <c r="F32" s="70">
        <v>0</v>
      </c>
      <c r="G32" s="70">
        <f t="shared" si="1"/>
        <v>6177</v>
      </c>
      <c r="H32" s="5">
        <v>10</v>
      </c>
      <c r="I32" s="72">
        <f t="shared" si="3"/>
        <v>0.1</v>
      </c>
      <c r="J32" s="70">
        <f t="shared" si="4"/>
        <v>617.7</v>
      </c>
      <c r="K32" s="70">
        <v>639.7</v>
      </c>
      <c r="L32" s="148">
        <f t="shared" si="2"/>
        <v>22</v>
      </c>
      <c r="M32" s="116"/>
    </row>
    <row r="33" spans="1:13" ht="12.75">
      <c r="A33" s="5">
        <v>1915</v>
      </c>
      <c r="B33" s="2" t="s">
        <v>27</v>
      </c>
      <c r="C33" s="70">
        <v>127469.91</v>
      </c>
      <c r="D33" s="70">
        <v>0</v>
      </c>
      <c r="E33" s="70">
        <f t="shared" si="0"/>
        <v>127469.91</v>
      </c>
      <c r="F33" s="70">
        <v>15427.18</v>
      </c>
      <c r="G33" s="70">
        <f t="shared" si="1"/>
        <v>135183.5</v>
      </c>
      <c r="H33" s="5">
        <v>10</v>
      </c>
      <c r="I33" s="72">
        <f t="shared" si="3"/>
        <v>0.1</v>
      </c>
      <c r="J33" s="70">
        <f t="shared" si="4"/>
        <v>13518.35</v>
      </c>
      <c r="K33" s="70">
        <v>13551.39</v>
      </c>
      <c r="L33" s="148">
        <f t="shared" si="2"/>
        <v>33.039999999999054</v>
      </c>
      <c r="M33" s="116"/>
    </row>
    <row r="34" spans="1:13" ht="12.75">
      <c r="A34" s="5">
        <v>1915</v>
      </c>
      <c r="B34" s="2" t="s">
        <v>28</v>
      </c>
      <c r="C34" s="70">
        <v>0</v>
      </c>
      <c r="D34" s="70">
        <v>0</v>
      </c>
      <c r="E34" s="70">
        <f t="shared" si="0"/>
        <v>0</v>
      </c>
      <c r="F34" s="70">
        <v>0</v>
      </c>
      <c r="G34" s="70">
        <f t="shared" si="1"/>
        <v>0</v>
      </c>
      <c r="H34" s="5">
        <v>5</v>
      </c>
      <c r="I34" s="72">
        <f t="shared" si="3"/>
        <v>0.2</v>
      </c>
      <c r="J34" s="70">
        <f t="shared" si="4"/>
        <v>0</v>
      </c>
      <c r="K34" s="70">
        <v>0</v>
      </c>
      <c r="L34" s="148">
        <f t="shared" si="2"/>
        <v>0</v>
      </c>
      <c r="M34" s="116"/>
    </row>
    <row r="35" spans="1:13" ht="12.75">
      <c r="A35" s="5">
        <v>1920</v>
      </c>
      <c r="B35" s="2" t="s">
        <v>29</v>
      </c>
      <c r="C35" s="70">
        <v>379501.22</v>
      </c>
      <c r="D35" s="70">
        <v>25839.26</v>
      </c>
      <c r="E35" s="70">
        <f t="shared" si="0"/>
        <v>353661.95999999996</v>
      </c>
      <c r="F35" s="70">
        <v>0</v>
      </c>
      <c r="G35" s="70">
        <f t="shared" si="1"/>
        <v>353661.95999999996</v>
      </c>
      <c r="H35" s="5">
        <v>10</v>
      </c>
      <c r="I35" s="72">
        <f t="shared" si="3"/>
        <v>0.1</v>
      </c>
      <c r="J35" s="70">
        <f t="shared" si="4"/>
        <v>35366.195999999996</v>
      </c>
      <c r="K35" s="70">
        <v>35366.17</v>
      </c>
      <c r="L35" s="148">
        <f t="shared" si="2"/>
        <v>-0.02599999999802094</v>
      </c>
      <c r="M35" s="116"/>
    </row>
    <row r="36" spans="1:13" ht="12.75">
      <c r="A36" s="5">
        <v>1921</v>
      </c>
      <c r="B36" s="2" t="s">
        <v>30</v>
      </c>
      <c r="C36" s="70">
        <v>228848.38</v>
      </c>
      <c r="D36" s="70"/>
      <c r="E36" s="70">
        <f t="shared" si="0"/>
        <v>228848.38</v>
      </c>
      <c r="F36" s="70">
        <v>0</v>
      </c>
      <c r="G36" s="70">
        <f t="shared" si="1"/>
        <v>228848.38</v>
      </c>
      <c r="H36" s="5">
        <v>5</v>
      </c>
      <c r="I36" s="72">
        <f t="shared" si="3"/>
        <v>0.2</v>
      </c>
      <c r="J36" s="70">
        <f t="shared" si="4"/>
        <v>45769.676</v>
      </c>
      <c r="K36" s="70">
        <v>45769.67</v>
      </c>
      <c r="L36" s="148">
        <f t="shared" si="2"/>
        <v>-0.006000000001222361</v>
      </c>
      <c r="M36" s="116"/>
    </row>
    <row r="37" spans="1:13" ht="12.75">
      <c r="A37" s="5">
        <v>1921</v>
      </c>
      <c r="B37" s="2" t="s">
        <v>31</v>
      </c>
      <c r="C37" s="70">
        <v>69852</v>
      </c>
      <c r="D37" s="70">
        <v>0</v>
      </c>
      <c r="E37" s="70">
        <f t="shared" si="0"/>
        <v>69852</v>
      </c>
      <c r="F37" s="70">
        <v>189820.31</v>
      </c>
      <c r="G37" s="70">
        <f t="shared" si="1"/>
        <v>164762.155</v>
      </c>
      <c r="H37" s="5">
        <v>5</v>
      </c>
      <c r="I37" s="72">
        <f t="shared" si="3"/>
        <v>0.2</v>
      </c>
      <c r="J37" s="70">
        <f t="shared" si="4"/>
        <v>32952.431</v>
      </c>
      <c r="K37" s="70">
        <f>31956.88+995.47</f>
        <v>32952.35</v>
      </c>
      <c r="L37" s="148">
        <f t="shared" si="2"/>
        <v>-0.08099999999831198</v>
      </c>
      <c r="M37" s="116"/>
    </row>
    <row r="38" spans="1:13" ht="12.75">
      <c r="A38" s="5">
        <v>1925</v>
      </c>
      <c r="B38" s="2" t="s">
        <v>32</v>
      </c>
      <c r="C38" s="70">
        <v>254389</v>
      </c>
      <c r="D38" s="70">
        <v>0</v>
      </c>
      <c r="E38" s="70">
        <f t="shared" si="0"/>
        <v>254389</v>
      </c>
      <c r="F38" s="70">
        <v>34375.85</v>
      </c>
      <c r="G38" s="70">
        <f t="shared" si="1"/>
        <v>271576.925</v>
      </c>
      <c r="H38" s="5">
        <v>5</v>
      </c>
      <c r="I38" s="72">
        <f t="shared" si="3"/>
        <v>0.2</v>
      </c>
      <c r="J38" s="70">
        <f t="shared" si="4"/>
        <v>54315.384999999995</v>
      </c>
      <c r="K38" s="70">
        <v>45213.362</v>
      </c>
      <c r="L38" s="148">
        <f t="shared" si="2"/>
        <v>-9102.022999999994</v>
      </c>
      <c r="M38" s="116">
        <v>7</v>
      </c>
    </row>
    <row r="39" spans="1:13" ht="12.75">
      <c r="A39" s="5">
        <v>1930</v>
      </c>
      <c r="B39" s="2" t="s">
        <v>113</v>
      </c>
      <c r="C39" s="70">
        <v>959621</v>
      </c>
      <c r="D39" s="70">
        <v>69753</v>
      </c>
      <c r="E39" s="70">
        <f t="shared" si="0"/>
        <v>889868</v>
      </c>
      <c r="F39" s="70">
        <v>0</v>
      </c>
      <c r="G39" s="70">
        <f t="shared" si="1"/>
        <v>889868</v>
      </c>
      <c r="H39" s="5">
        <v>10</v>
      </c>
      <c r="I39" s="72">
        <f t="shared" si="3"/>
        <v>0.1</v>
      </c>
      <c r="J39" s="70">
        <f t="shared" si="4"/>
        <v>88986.8</v>
      </c>
      <c r="K39" s="70">
        <v>87082.13</v>
      </c>
      <c r="L39" s="148">
        <f t="shared" si="2"/>
        <v>-1904.6699999999983</v>
      </c>
      <c r="M39" s="116">
        <v>8</v>
      </c>
    </row>
    <row r="40" spans="1:13" ht="12.75">
      <c r="A40" s="5" t="s">
        <v>101</v>
      </c>
      <c r="B40" s="2" t="s">
        <v>105</v>
      </c>
      <c r="C40" s="70">
        <v>16866.11</v>
      </c>
      <c r="D40" s="70">
        <v>0</v>
      </c>
      <c r="E40" s="70">
        <f t="shared" si="0"/>
        <v>16866.11</v>
      </c>
      <c r="F40" s="70">
        <v>0</v>
      </c>
      <c r="G40" s="70">
        <f t="shared" si="1"/>
        <v>16866.11</v>
      </c>
      <c r="H40" s="5">
        <v>4</v>
      </c>
      <c r="I40" s="72">
        <f t="shared" si="3"/>
        <v>0.25</v>
      </c>
      <c r="J40" s="70">
        <f t="shared" si="4"/>
        <v>4216.5275</v>
      </c>
      <c r="K40" s="70">
        <v>4216.53</v>
      </c>
      <c r="L40" s="148">
        <f t="shared" si="2"/>
        <v>0.0024999999995998223</v>
      </c>
      <c r="M40" s="116"/>
    </row>
    <row r="41" spans="1:13" ht="12.75">
      <c r="A41" s="5" t="s">
        <v>102</v>
      </c>
      <c r="B41" s="2" t="s">
        <v>106</v>
      </c>
      <c r="C41" s="70">
        <f>36372.34+118936.18</f>
        <v>155308.52</v>
      </c>
      <c r="D41" s="70">
        <v>0</v>
      </c>
      <c r="E41" s="70">
        <f t="shared" si="0"/>
        <v>155308.52</v>
      </c>
      <c r="F41" s="70">
        <v>0</v>
      </c>
      <c r="G41" s="70">
        <f t="shared" si="1"/>
        <v>155308.52</v>
      </c>
      <c r="H41" s="5">
        <v>5</v>
      </c>
      <c r="I41" s="72">
        <f t="shared" si="3"/>
        <v>0.2</v>
      </c>
      <c r="J41" s="70">
        <f t="shared" si="4"/>
        <v>31061.703999999998</v>
      </c>
      <c r="K41" s="70">
        <v>31061.7</v>
      </c>
      <c r="L41" s="148">
        <f t="shared" si="2"/>
        <v>-0.0039999999971769284</v>
      </c>
      <c r="M41" s="116"/>
    </row>
    <row r="42" spans="1:13" ht="12.75">
      <c r="A42" s="5" t="s">
        <v>103</v>
      </c>
      <c r="B42" s="2" t="s">
        <v>107</v>
      </c>
      <c r="C42" s="70">
        <f>287297.48+40153.93</f>
        <v>327451.41</v>
      </c>
      <c r="D42" s="70">
        <v>0</v>
      </c>
      <c r="E42" s="70">
        <f t="shared" si="0"/>
        <v>327451.41</v>
      </c>
      <c r="F42" s="70">
        <v>0</v>
      </c>
      <c r="G42" s="70">
        <f t="shared" si="1"/>
        <v>327451.41</v>
      </c>
      <c r="H42" s="5">
        <v>8</v>
      </c>
      <c r="I42" s="72">
        <f t="shared" si="3"/>
        <v>0.125</v>
      </c>
      <c r="J42" s="70">
        <f t="shared" si="4"/>
        <v>40931.42625</v>
      </c>
      <c r="K42" s="70">
        <v>40931.43</v>
      </c>
      <c r="L42" s="148">
        <f t="shared" si="2"/>
        <v>0.0037500000034924597</v>
      </c>
      <c r="M42" s="116"/>
    </row>
    <row r="43" spans="1:13" ht="12.75">
      <c r="A43" s="5" t="s">
        <v>104</v>
      </c>
      <c r="B43" s="2" t="s">
        <v>108</v>
      </c>
      <c r="C43" s="70">
        <v>0</v>
      </c>
      <c r="D43" s="70">
        <v>0</v>
      </c>
      <c r="E43" s="70">
        <f t="shared" si="0"/>
        <v>0</v>
      </c>
      <c r="F43" s="70">
        <v>30285.02</v>
      </c>
      <c r="G43" s="70">
        <f t="shared" si="1"/>
        <v>15142.51</v>
      </c>
      <c r="H43" s="5">
        <v>8</v>
      </c>
      <c r="I43" s="72">
        <f t="shared" si="3"/>
        <v>0.125</v>
      </c>
      <c r="J43" s="70">
        <f t="shared" si="4"/>
        <v>1892.81375</v>
      </c>
      <c r="K43" s="70">
        <v>2916.03</v>
      </c>
      <c r="L43" s="148">
        <f t="shared" si="2"/>
        <v>1023.2162500000002</v>
      </c>
      <c r="M43" s="116">
        <v>9</v>
      </c>
    </row>
    <row r="44" spans="1:13" ht="12.75">
      <c r="A44" s="5">
        <v>1935</v>
      </c>
      <c r="B44" s="2" t="s">
        <v>34</v>
      </c>
      <c r="C44" s="70">
        <v>37563.759999999995</v>
      </c>
      <c r="D44" s="70">
        <v>0</v>
      </c>
      <c r="E44" s="70">
        <f t="shared" si="0"/>
        <v>37563.759999999995</v>
      </c>
      <c r="F44" s="70">
        <v>1325.67</v>
      </c>
      <c r="G44" s="70">
        <f t="shared" si="1"/>
        <v>38226.594999999994</v>
      </c>
      <c r="H44" s="5">
        <v>10</v>
      </c>
      <c r="I44" s="72">
        <f t="shared" si="3"/>
        <v>0.1</v>
      </c>
      <c r="J44" s="70">
        <f t="shared" si="4"/>
        <v>3822.6594999999993</v>
      </c>
      <c r="K44" s="70">
        <v>3822.6594999999993</v>
      </c>
      <c r="L44" s="148">
        <f t="shared" si="2"/>
        <v>0</v>
      </c>
      <c r="M44" s="116"/>
    </row>
    <row r="45" spans="1:13" ht="12.75">
      <c r="A45" s="5">
        <v>1940</v>
      </c>
      <c r="B45" s="2" t="s">
        <v>35</v>
      </c>
      <c r="C45" s="70">
        <v>229311.89</v>
      </c>
      <c r="D45" s="70">
        <v>0</v>
      </c>
      <c r="E45" s="70">
        <f t="shared" si="0"/>
        <v>229311.89</v>
      </c>
      <c r="F45" s="70">
        <v>57219.65</v>
      </c>
      <c r="G45" s="70">
        <f t="shared" si="1"/>
        <v>257921.71500000003</v>
      </c>
      <c r="H45" s="5">
        <v>10</v>
      </c>
      <c r="I45" s="72">
        <f t="shared" si="3"/>
        <v>0.1</v>
      </c>
      <c r="J45" s="70">
        <f t="shared" si="4"/>
        <v>25792.171500000004</v>
      </c>
      <c r="K45" s="70">
        <v>27622.406250000004</v>
      </c>
      <c r="L45" s="148">
        <f t="shared" si="2"/>
        <v>1830.2347499999996</v>
      </c>
      <c r="M45" s="116">
        <v>10</v>
      </c>
    </row>
    <row r="46" spans="1:13" ht="12.75">
      <c r="A46" s="5">
        <v>1945</v>
      </c>
      <c r="B46" s="2" t="s">
        <v>36</v>
      </c>
      <c r="C46" s="70">
        <v>150141.26</v>
      </c>
      <c r="D46" s="70">
        <v>0</v>
      </c>
      <c r="E46" s="70">
        <f t="shared" si="0"/>
        <v>150141.26</v>
      </c>
      <c r="F46" s="70">
        <v>12575.51</v>
      </c>
      <c r="G46" s="70">
        <f t="shared" si="1"/>
        <v>156429.015</v>
      </c>
      <c r="H46" s="5">
        <v>10</v>
      </c>
      <c r="I46" s="72">
        <f t="shared" si="3"/>
        <v>0.1</v>
      </c>
      <c r="J46" s="70">
        <f t="shared" si="4"/>
        <v>15642.901500000002</v>
      </c>
      <c r="K46" s="70">
        <v>15642.951500000001</v>
      </c>
      <c r="L46" s="148">
        <f t="shared" si="2"/>
        <v>0.049999999999272404</v>
      </c>
      <c r="M46" s="116"/>
    </row>
    <row r="47" spans="1:13" ht="12.75">
      <c r="A47" s="5">
        <v>1950</v>
      </c>
      <c r="B47" s="2" t="s">
        <v>37</v>
      </c>
      <c r="C47" s="70">
        <v>0</v>
      </c>
      <c r="D47" s="70">
        <v>0</v>
      </c>
      <c r="E47" s="70">
        <f t="shared" si="0"/>
        <v>0</v>
      </c>
      <c r="F47" s="70">
        <v>0</v>
      </c>
      <c r="G47" s="70">
        <f t="shared" si="1"/>
        <v>0</v>
      </c>
      <c r="H47" s="5">
        <v>0</v>
      </c>
      <c r="I47" s="72">
        <v>0</v>
      </c>
      <c r="J47" s="70">
        <v>0</v>
      </c>
      <c r="K47" s="70">
        <v>0</v>
      </c>
      <c r="L47" s="148">
        <f t="shared" si="2"/>
        <v>0</v>
      </c>
      <c r="M47" s="116"/>
    </row>
    <row r="48" spans="1:13" ht="12.75">
      <c r="A48" s="5">
        <v>1955</v>
      </c>
      <c r="B48" s="2" t="s">
        <v>38</v>
      </c>
      <c r="C48" s="70">
        <v>67049.77</v>
      </c>
      <c r="D48" s="70">
        <v>0</v>
      </c>
      <c r="E48" s="70">
        <f t="shared" si="0"/>
        <v>67049.77</v>
      </c>
      <c r="F48" s="70">
        <v>39856.02</v>
      </c>
      <c r="G48" s="70">
        <f t="shared" si="1"/>
        <v>86977.78</v>
      </c>
      <c r="H48" s="5">
        <v>10</v>
      </c>
      <c r="I48" s="72">
        <f t="shared" si="3"/>
        <v>0.1</v>
      </c>
      <c r="J48" s="70">
        <f t="shared" si="4"/>
        <v>8697.778</v>
      </c>
      <c r="K48" s="70">
        <v>8697.818</v>
      </c>
      <c r="L48" s="148">
        <f t="shared" si="2"/>
        <v>0.039999999999054126</v>
      </c>
      <c r="M48" s="116"/>
    </row>
    <row r="49" spans="1:13" ht="12.75">
      <c r="A49" s="5">
        <v>1960</v>
      </c>
      <c r="B49" s="2" t="s">
        <v>96</v>
      </c>
      <c r="C49" s="70">
        <v>103273.73</v>
      </c>
      <c r="D49" s="70">
        <v>0</v>
      </c>
      <c r="E49" s="70">
        <f t="shared" si="0"/>
        <v>103273.73</v>
      </c>
      <c r="F49" s="70">
        <v>51923.990000000005</v>
      </c>
      <c r="G49" s="70">
        <f t="shared" si="1"/>
        <v>129235.725</v>
      </c>
      <c r="H49" s="5">
        <v>10</v>
      </c>
      <c r="I49" s="72">
        <f t="shared" si="3"/>
        <v>0.1</v>
      </c>
      <c r="J49" s="70">
        <f t="shared" si="4"/>
        <v>12923.5725</v>
      </c>
      <c r="K49" s="70">
        <v>20512.772214285716</v>
      </c>
      <c r="L49" s="148">
        <f t="shared" si="2"/>
        <v>7589.199714285716</v>
      </c>
      <c r="M49" s="116">
        <v>11</v>
      </c>
    </row>
    <row r="50" spans="1:13" ht="12.75">
      <c r="A50" s="5">
        <v>1965</v>
      </c>
      <c r="B50" s="2" t="s">
        <v>39</v>
      </c>
      <c r="C50" s="70">
        <v>0</v>
      </c>
      <c r="D50" s="70">
        <v>0</v>
      </c>
      <c r="E50" s="70">
        <v>0</v>
      </c>
      <c r="F50" s="70">
        <v>0</v>
      </c>
      <c r="G50" s="70">
        <f t="shared" si="1"/>
        <v>0</v>
      </c>
      <c r="H50" s="5">
        <v>0</v>
      </c>
      <c r="I50" s="72">
        <v>0</v>
      </c>
      <c r="J50" s="70">
        <v>0</v>
      </c>
      <c r="K50" s="70">
        <v>0</v>
      </c>
      <c r="L50" s="148">
        <f t="shared" si="2"/>
        <v>0</v>
      </c>
      <c r="M50" s="116"/>
    </row>
    <row r="51" spans="1:13" ht="12.75">
      <c r="A51" s="5">
        <v>1970</v>
      </c>
      <c r="B51" s="2" t="s">
        <v>48</v>
      </c>
      <c r="C51" s="70">
        <v>16564.260000000002</v>
      </c>
      <c r="D51" s="70">
        <v>16564</v>
      </c>
      <c r="E51" s="70">
        <v>0</v>
      </c>
      <c r="F51" s="70">
        <v>0</v>
      </c>
      <c r="G51" s="70">
        <f t="shared" si="1"/>
        <v>0</v>
      </c>
      <c r="H51" s="5">
        <v>10</v>
      </c>
      <c r="I51" s="72">
        <f t="shared" si="3"/>
        <v>0.1</v>
      </c>
      <c r="J51" s="70">
        <f t="shared" si="4"/>
        <v>0</v>
      </c>
      <c r="K51" s="70">
        <v>0</v>
      </c>
      <c r="L51" s="148">
        <f t="shared" si="2"/>
        <v>0</v>
      </c>
      <c r="M51" s="116"/>
    </row>
    <row r="52" spans="1:13" ht="12.75">
      <c r="A52" s="5">
        <v>1975</v>
      </c>
      <c r="B52" s="2" t="s">
        <v>40</v>
      </c>
      <c r="C52" s="70">
        <v>0</v>
      </c>
      <c r="D52" s="70">
        <v>0</v>
      </c>
      <c r="E52" s="70">
        <f t="shared" si="0"/>
        <v>0</v>
      </c>
      <c r="F52" s="70">
        <v>0</v>
      </c>
      <c r="G52" s="70">
        <f t="shared" si="1"/>
        <v>0</v>
      </c>
      <c r="H52" s="5">
        <v>0</v>
      </c>
      <c r="I52" s="72">
        <v>0</v>
      </c>
      <c r="J52" s="70">
        <v>0</v>
      </c>
      <c r="K52" s="70">
        <v>0</v>
      </c>
      <c r="L52" s="148">
        <f t="shared" si="2"/>
        <v>0</v>
      </c>
      <c r="M52" s="116"/>
    </row>
    <row r="53" spans="1:13" ht="12.75">
      <c r="A53" s="5">
        <v>1980</v>
      </c>
      <c r="B53" s="67" t="s">
        <v>97</v>
      </c>
      <c r="C53" s="70">
        <v>612081.31</v>
      </c>
      <c r="D53" s="70">
        <v>0</v>
      </c>
      <c r="E53" s="70">
        <f t="shared" si="0"/>
        <v>612081.31</v>
      </c>
      <c r="F53" s="70">
        <v>0</v>
      </c>
      <c r="G53" s="70">
        <f t="shared" si="1"/>
        <v>612081.31</v>
      </c>
      <c r="H53" s="5">
        <v>15</v>
      </c>
      <c r="I53" s="72">
        <f t="shared" si="3"/>
        <v>0.06666666666666667</v>
      </c>
      <c r="J53" s="70">
        <f t="shared" si="4"/>
        <v>40805.42066666667</v>
      </c>
      <c r="K53" s="70">
        <v>40805.394</v>
      </c>
      <c r="L53" s="148">
        <f t="shared" si="2"/>
        <v>-0.02666666667209938</v>
      </c>
      <c r="M53" s="116"/>
    </row>
    <row r="54" spans="1:13" ht="12.75">
      <c r="A54" s="5">
        <v>1985</v>
      </c>
      <c r="B54" s="2" t="s">
        <v>41</v>
      </c>
      <c r="C54" s="70">
        <v>0</v>
      </c>
      <c r="D54" s="70">
        <v>0</v>
      </c>
      <c r="E54" s="70">
        <f t="shared" si="0"/>
        <v>0</v>
      </c>
      <c r="F54" s="70">
        <v>0</v>
      </c>
      <c r="G54" s="70">
        <f t="shared" si="1"/>
        <v>0</v>
      </c>
      <c r="H54" s="5">
        <v>0</v>
      </c>
      <c r="I54" s="72">
        <v>0</v>
      </c>
      <c r="J54" s="70">
        <v>0</v>
      </c>
      <c r="K54" s="70">
        <v>0</v>
      </c>
      <c r="L54" s="148">
        <f t="shared" si="2"/>
        <v>0</v>
      </c>
      <c r="M54" s="116"/>
    </row>
    <row r="55" spans="1:13" ht="12.75">
      <c r="A55" s="5">
        <v>1995</v>
      </c>
      <c r="B55" s="2" t="s">
        <v>42</v>
      </c>
      <c r="C55" s="146">
        <v>-6791145.61</v>
      </c>
      <c r="D55" s="146">
        <v>0</v>
      </c>
      <c r="E55" s="146">
        <f t="shared" si="0"/>
        <v>-6791145.61</v>
      </c>
      <c r="F55" s="146">
        <v>-331460.71</v>
      </c>
      <c r="G55" s="146">
        <f t="shared" si="1"/>
        <v>-6956875.965000001</v>
      </c>
      <c r="H55" s="5">
        <v>25</v>
      </c>
      <c r="I55" s="72">
        <f t="shared" si="3"/>
        <v>0.04</v>
      </c>
      <c r="J55" s="146">
        <f t="shared" si="4"/>
        <v>-278275.0386</v>
      </c>
      <c r="K55" s="146">
        <v>-278275.05860000005</v>
      </c>
      <c r="L55" s="148">
        <f t="shared" si="2"/>
        <v>-0.02000000001862645</v>
      </c>
      <c r="M55" s="116"/>
    </row>
    <row r="56" spans="1:13" ht="12.75">
      <c r="A56" s="5">
        <v>2005</v>
      </c>
      <c r="B56" s="2" t="s">
        <v>114</v>
      </c>
      <c r="C56" s="70">
        <v>10039</v>
      </c>
      <c r="D56" s="70">
        <v>0</v>
      </c>
      <c r="E56" s="70">
        <f t="shared" si="0"/>
        <v>10039</v>
      </c>
      <c r="F56" s="70">
        <v>0</v>
      </c>
      <c r="G56" s="70">
        <f t="shared" si="1"/>
        <v>10039</v>
      </c>
      <c r="H56" s="5">
        <v>10</v>
      </c>
      <c r="I56" s="72">
        <f t="shared" si="3"/>
        <v>0.1</v>
      </c>
      <c r="J56" s="70">
        <f t="shared" si="4"/>
        <v>1003.9</v>
      </c>
      <c r="K56" s="70">
        <v>1003.86</v>
      </c>
      <c r="L56" s="148">
        <f t="shared" si="2"/>
        <v>-0.03999999999996362</v>
      </c>
      <c r="M56" s="116"/>
    </row>
    <row r="57" spans="1:13" ht="13.5" thickBot="1">
      <c r="A57" s="77">
        <v>2055</v>
      </c>
      <c r="B57" s="95" t="s">
        <v>115</v>
      </c>
      <c r="C57" s="79">
        <v>311323.43</v>
      </c>
      <c r="D57" s="79">
        <v>0</v>
      </c>
      <c r="E57" s="79">
        <f t="shared" si="0"/>
        <v>311323.43</v>
      </c>
      <c r="F57" s="146">
        <v>-311323</v>
      </c>
      <c r="G57" s="79">
        <f>E57+(0.5*F57)</f>
        <v>155661.93</v>
      </c>
      <c r="H57" s="77">
        <v>0</v>
      </c>
      <c r="I57" s="85">
        <v>0</v>
      </c>
      <c r="J57" s="79">
        <v>0</v>
      </c>
      <c r="K57" s="79">
        <v>0</v>
      </c>
      <c r="L57" s="149">
        <f t="shared" si="2"/>
        <v>0</v>
      </c>
      <c r="M57" s="116"/>
    </row>
    <row r="58" spans="1:12" ht="13.5" thickBot="1">
      <c r="A58" s="81"/>
      <c r="B58" s="80" t="s">
        <v>43</v>
      </c>
      <c r="C58" s="82">
        <f>SUM(C13:C57)</f>
        <v>61625701.26000001</v>
      </c>
      <c r="D58" s="82"/>
      <c r="E58" s="82">
        <f>SUM(E13:E57)</f>
        <v>60308619.74</v>
      </c>
      <c r="F58" s="82">
        <f>SUM(F13:F57)</f>
        <v>4009628.4499999983</v>
      </c>
      <c r="G58" s="82"/>
      <c r="H58" s="80"/>
      <c r="I58" s="97"/>
      <c r="J58" s="89">
        <f>SUM(J13:J57)</f>
        <v>2609931.2189999996</v>
      </c>
      <c r="K58" s="92">
        <f>SUM(K13:K57)</f>
        <v>2640628.8910476184</v>
      </c>
      <c r="L58" s="150">
        <f>K58-J58</f>
        <v>30697.672047618777</v>
      </c>
    </row>
    <row r="59" ht="7.5" customHeight="1"/>
    <row r="60" spans="1:11" ht="12.75">
      <c r="A60" s="40"/>
      <c r="B60" s="101" t="s">
        <v>120</v>
      </c>
      <c r="C60" s="66">
        <v>61625701.00000001</v>
      </c>
      <c r="E60" s="103"/>
      <c r="F60" s="96"/>
      <c r="G60" s="96"/>
      <c r="K60" s="66">
        <v>2640629</v>
      </c>
    </row>
    <row r="61" ht="19.5" customHeight="1">
      <c r="A61" s="147" t="s">
        <v>92</v>
      </c>
    </row>
    <row r="62" spans="1:11" ht="15" customHeight="1">
      <c r="A62" s="41" t="s">
        <v>69</v>
      </c>
      <c r="B62" s="340" t="s">
        <v>123</v>
      </c>
      <c r="C62" s="340"/>
      <c r="D62" s="340"/>
      <c r="E62" s="340"/>
      <c r="F62" s="340"/>
      <c r="G62" s="340"/>
      <c r="H62" s="340"/>
      <c r="I62" s="340"/>
      <c r="J62" s="340"/>
      <c r="K62" s="74"/>
    </row>
    <row r="63" spans="1:10" ht="15" customHeight="1">
      <c r="A63" s="41" t="s">
        <v>89</v>
      </c>
      <c r="B63" s="112" t="s">
        <v>239</v>
      </c>
      <c r="C63" s="105"/>
      <c r="D63" s="105"/>
      <c r="E63" s="105"/>
      <c r="F63" s="105"/>
      <c r="G63" s="105"/>
      <c r="H63" s="105"/>
      <c r="I63" s="105"/>
      <c r="J63" s="105"/>
    </row>
    <row r="64" spans="1:2" ht="15" customHeight="1">
      <c r="A64" s="110" t="s">
        <v>124</v>
      </c>
      <c r="B64" s="112" t="s">
        <v>240</v>
      </c>
    </row>
    <row r="65" spans="1:2" ht="15" customHeight="1">
      <c r="A65" s="110" t="s">
        <v>125</v>
      </c>
      <c r="B65" s="112" t="s">
        <v>241</v>
      </c>
    </row>
    <row r="66" spans="1:2" ht="15" customHeight="1">
      <c r="A66" s="110" t="s">
        <v>126</v>
      </c>
      <c r="B66" s="112" t="s">
        <v>242</v>
      </c>
    </row>
    <row r="67" spans="1:10" ht="15" customHeight="1">
      <c r="A67" s="110" t="s">
        <v>127</v>
      </c>
      <c r="B67" s="340" t="s">
        <v>243</v>
      </c>
      <c r="C67" s="340"/>
      <c r="D67" s="340"/>
      <c r="E67" s="340"/>
      <c r="F67" s="340"/>
      <c r="G67" s="340"/>
      <c r="H67" s="340"/>
      <c r="I67" s="340"/>
      <c r="J67" s="340"/>
    </row>
    <row r="68" spans="1:2" ht="15" customHeight="1">
      <c r="A68" s="110" t="s">
        <v>128</v>
      </c>
      <c r="B68" s="76" t="s">
        <v>139</v>
      </c>
    </row>
    <row r="69" spans="1:2" ht="15" customHeight="1">
      <c r="A69" s="110" t="s">
        <v>129</v>
      </c>
      <c r="B69" s="76" t="s">
        <v>140</v>
      </c>
    </row>
    <row r="70" spans="1:2" ht="15" customHeight="1">
      <c r="A70" s="110" t="s">
        <v>130</v>
      </c>
      <c r="B70" s="114" t="s">
        <v>133</v>
      </c>
    </row>
    <row r="71" spans="1:2" ht="15" customHeight="1">
      <c r="A71" s="110" t="s">
        <v>131</v>
      </c>
      <c r="B71" s="111" t="s">
        <v>142</v>
      </c>
    </row>
    <row r="72" spans="1:2" ht="15" customHeight="1">
      <c r="A72" s="110" t="s">
        <v>132</v>
      </c>
      <c r="B72" s="111" t="s">
        <v>144</v>
      </c>
    </row>
    <row r="73" ht="15" customHeight="1"/>
    <row r="74" ht="15" customHeight="1"/>
  </sheetData>
  <sheetProtection/>
  <mergeCells count="5">
    <mergeCell ref="A9:J9"/>
    <mergeCell ref="A11:A12"/>
    <mergeCell ref="B11:B12"/>
    <mergeCell ref="B62:J62"/>
    <mergeCell ref="B67:J6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zoomScalePageLayoutView="0" workbookViewId="0" topLeftCell="A25">
      <selection activeCell="L8" sqref="L8"/>
    </sheetView>
  </sheetViews>
  <sheetFormatPr defaultColWidth="9.140625" defaultRowHeight="12.75"/>
  <cols>
    <col min="2" max="2" width="39.8515625" style="0" customWidth="1"/>
    <col min="3" max="3" width="11.00390625" style="0" customWidth="1"/>
    <col min="4" max="4" width="12.28125" style="0" customWidth="1"/>
    <col min="5" max="5" width="12.421875" style="0" customWidth="1"/>
    <col min="6" max="6" width="11.57421875" style="0" customWidth="1"/>
    <col min="7" max="7" width="12.421875" style="0" customWidth="1"/>
    <col min="8" max="8" width="6.7109375" style="0" customWidth="1"/>
    <col min="9" max="9" width="12.28125" style="0" customWidth="1"/>
    <col min="10" max="11" width="12.7109375" style="0" customWidth="1"/>
    <col min="12" max="12" width="9.140625" style="0" customWidth="1"/>
    <col min="13" max="13" width="5.421875" style="0" customWidth="1"/>
  </cols>
  <sheetData>
    <row r="1" spans="10:12" ht="12.75">
      <c r="J1" s="40" t="s">
        <v>50</v>
      </c>
      <c r="L1" s="68" t="s">
        <v>94</v>
      </c>
    </row>
    <row r="2" spans="10:12" ht="12.75">
      <c r="J2" s="40" t="s">
        <v>51</v>
      </c>
      <c r="L2" s="68">
        <v>4</v>
      </c>
    </row>
    <row r="3" spans="10:12" ht="12.75">
      <c r="J3" s="40" t="s">
        <v>52</v>
      </c>
      <c r="L3" s="68">
        <v>2</v>
      </c>
    </row>
    <row r="4" spans="10:12" ht="12.75">
      <c r="J4" s="40" t="s">
        <v>53</v>
      </c>
      <c r="L4" s="68">
        <v>7</v>
      </c>
    </row>
    <row r="5" spans="10:12" ht="12.75">
      <c r="J5" s="40" t="s">
        <v>54</v>
      </c>
      <c r="L5" s="68" t="s">
        <v>295</v>
      </c>
    </row>
    <row r="6" spans="10:12" ht="12.75">
      <c r="J6" s="40"/>
      <c r="L6" s="68"/>
    </row>
    <row r="7" spans="10:12" ht="12.75">
      <c r="J7" s="40" t="s">
        <v>55</v>
      </c>
      <c r="L7" s="69" t="s">
        <v>291</v>
      </c>
    </row>
    <row r="9" spans="1:10" ht="15.75">
      <c r="A9" s="339" t="s">
        <v>235</v>
      </c>
      <c r="B9" s="339"/>
      <c r="C9" s="339"/>
      <c r="D9" s="339"/>
      <c r="E9" s="339"/>
      <c r="F9" s="339"/>
      <c r="G9" s="339"/>
      <c r="H9" s="339"/>
      <c r="I9" s="339"/>
      <c r="J9" s="339"/>
    </row>
    <row r="11" spans="1:13" ht="39" customHeight="1">
      <c r="A11" s="337" t="s">
        <v>77</v>
      </c>
      <c r="B11" s="337" t="s">
        <v>2</v>
      </c>
      <c r="C11" s="43" t="s">
        <v>3</v>
      </c>
      <c r="D11" s="43" t="s">
        <v>88</v>
      </c>
      <c r="E11" s="43" t="s">
        <v>80</v>
      </c>
      <c r="F11" s="43" t="s">
        <v>4</v>
      </c>
      <c r="G11" s="43" t="s">
        <v>82</v>
      </c>
      <c r="H11" s="43" t="s">
        <v>83</v>
      </c>
      <c r="I11" s="43" t="s">
        <v>46</v>
      </c>
      <c r="J11" s="43" t="s">
        <v>86</v>
      </c>
      <c r="K11" s="100" t="s">
        <v>117</v>
      </c>
      <c r="L11" s="100"/>
      <c r="M11" s="95"/>
    </row>
    <row r="12" spans="1:13" ht="27">
      <c r="A12" s="338"/>
      <c r="B12" s="338"/>
      <c r="C12" s="42" t="s">
        <v>78</v>
      </c>
      <c r="D12" s="42" t="s">
        <v>79</v>
      </c>
      <c r="E12" s="42" t="s">
        <v>90</v>
      </c>
      <c r="F12" s="42" t="s">
        <v>81</v>
      </c>
      <c r="G12" s="44" t="s">
        <v>91</v>
      </c>
      <c r="H12" s="42" t="s">
        <v>84</v>
      </c>
      <c r="I12" s="42" t="s">
        <v>85</v>
      </c>
      <c r="J12" s="42" t="s">
        <v>87</v>
      </c>
      <c r="K12" s="117" t="s">
        <v>116</v>
      </c>
      <c r="L12" s="117" t="s">
        <v>122</v>
      </c>
      <c r="M12" s="107" t="s">
        <v>121</v>
      </c>
    </row>
    <row r="13" spans="1:13" ht="12.75">
      <c r="A13" s="5">
        <v>1805</v>
      </c>
      <c r="B13" s="2" t="s">
        <v>10</v>
      </c>
      <c r="C13" s="70">
        <v>385115.48</v>
      </c>
      <c r="D13" s="70">
        <v>0</v>
      </c>
      <c r="E13" s="70">
        <f>C13-D13</f>
        <v>385115.48</v>
      </c>
      <c r="F13" s="70">
        <v>6143.65</v>
      </c>
      <c r="G13" s="70">
        <f>E13+(0.5*F13)</f>
        <v>388187.305</v>
      </c>
      <c r="H13" s="5">
        <v>0</v>
      </c>
      <c r="I13" s="72">
        <v>0</v>
      </c>
      <c r="J13" s="70">
        <v>0</v>
      </c>
      <c r="K13" s="70">
        <v>0</v>
      </c>
      <c r="L13" s="148">
        <f>K13-J13</f>
        <v>0</v>
      </c>
      <c r="M13" s="116"/>
    </row>
    <row r="14" spans="1:13" ht="12.75">
      <c r="A14" s="5">
        <v>1806</v>
      </c>
      <c r="B14" s="2" t="s">
        <v>25</v>
      </c>
      <c r="C14" s="70">
        <v>300911</v>
      </c>
      <c r="D14" s="70">
        <v>0</v>
      </c>
      <c r="E14" s="70">
        <f aca="true" t="shared" si="0" ref="E14:E57">C14-D14</f>
        <v>300911</v>
      </c>
      <c r="F14" s="70">
        <v>1873.45</v>
      </c>
      <c r="G14" s="70">
        <f aca="true" t="shared" si="1" ref="G14:G57">E14+(0.5*F14)</f>
        <v>301847.725</v>
      </c>
      <c r="H14" s="5">
        <v>0</v>
      </c>
      <c r="I14" s="72">
        <v>0</v>
      </c>
      <c r="J14" s="70">
        <v>0</v>
      </c>
      <c r="K14" s="70">
        <v>0</v>
      </c>
      <c r="L14" s="148">
        <f aca="true" t="shared" si="2" ref="L14:L58">K14-J14</f>
        <v>0</v>
      </c>
      <c r="M14" s="116"/>
    </row>
    <row r="15" spans="1:13" ht="12.75">
      <c r="A15" s="5">
        <v>1808</v>
      </c>
      <c r="B15" s="2" t="s">
        <v>11</v>
      </c>
      <c r="C15" s="70">
        <v>1524960.35</v>
      </c>
      <c r="D15" s="70">
        <v>0</v>
      </c>
      <c r="E15" s="70">
        <f t="shared" si="0"/>
        <v>1524960.35</v>
      </c>
      <c r="F15" s="70">
        <v>90756.64</v>
      </c>
      <c r="G15" s="70">
        <f t="shared" si="1"/>
        <v>1570338.6700000002</v>
      </c>
      <c r="H15" s="5">
        <v>50</v>
      </c>
      <c r="I15" s="72">
        <f aca="true" t="shared" si="3" ref="I15:I56">1/H15</f>
        <v>0.02</v>
      </c>
      <c r="J15" s="70">
        <f aca="true" t="shared" si="4" ref="J15:J56">G15/H15</f>
        <v>31406.773400000002</v>
      </c>
      <c r="K15" s="70">
        <v>31406.7834</v>
      </c>
      <c r="L15" s="148">
        <f t="shared" si="2"/>
        <v>0.00999999999839929</v>
      </c>
      <c r="M15" s="116"/>
    </row>
    <row r="16" spans="1:13" ht="12.75">
      <c r="A16" s="5">
        <v>1810</v>
      </c>
      <c r="B16" s="2" t="s">
        <v>47</v>
      </c>
      <c r="C16" s="70">
        <v>0</v>
      </c>
      <c r="D16" s="70">
        <v>0</v>
      </c>
      <c r="E16" s="70">
        <f t="shared" si="0"/>
        <v>0</v>
      </c>
      <c r="F16" s="70">
        <v>0</v>
      </c>
      <c r="G16" s="70">
        <f t="shared" si="1"/>
        <v>0</v>
      </c>
      <c r="H16" s="5">
        <v>0</v>
      </c>
      <c r="I16" s="72">
        <v>0</v>
      </c>
      <c r="J16" s="70">
        <v>0</v>
      </c>
      <c r="K16" s="70">
        <v>0</v>
      </c>
      <c r="L16" s="148">
        <f t="shared" si="2"/>
        <v>0</v>
      </c>
      <c r="M16" s="116"/>
    </row>
    <row r="17" spans="1:13" ht="12.75">
      <c r="A17" s="5">
        <v>1815</v>
      </c>
      <c r="B17" s="2" t="s">
        <v>12</v>
      </c>
      <c r="C17" s="70">
        <v>3215596.34</v>
      </c>
      <c r="D17" s="70">
        <v>0</v>
      </c>
      <c r="E17" s="70">
        <f t="shared" si="0"/>
        <v>3215596.34</v>
      </c>
      <c r="F17" s="70">
        <v>0</v>
      </c>
      <c r="G17" s="70">
        <f t="shared" si="1"/>
        <v>3215596.34</v>
      </c>
      <c r="H17" s="5">
        <v>40</v>
      </c>
      <c r="I17" s="72">
        <f t="shared" si="3"/>
        <v>0.025</v>
      </c>
      <c r="J17" s="70">
        <f t="shared" si="4"/>
        <v>80389.90849999999</v>
      </c>
      <c r="K17" s="70">
        <v>80426.451</v>
      </c>
      <c r="L17" s="148">
        <f t="shared" si="2"/>
        <v>36.54250000001048</v>
      </c>
      <c r="M17" s="116"/>
    </row>
    <row r="18" spans="1:13" ht="12.75">
      <c r="A18" s="5">
        <v>1820</v>
      </c>
      <c r="B18" s="2" t="s">
        <v>13</v>
      </c>
      <c r="C18" s="70">
        <v>3884653.94</v>
      </c>
      <c r="D18" s="70">
        <v>0</v>
      </c>
      <c r="E18" s="70">
        <f t="shared" si="0"/>
        <v>3884653.94</v>
      </c>
      <c r="F18" s="70">
        <v>236273.7</v>
      </c>
      <c r="G18" s="70">
        <f t="shared" si="1"/>
        <v>4002790.79</v>
      </c>
      <c r="H18" s="5">
        <v>30</v>
      </c>
      <c r="I18" s="72">
        <f t="shared" si="3"/>
        <v>0.03333333333333333</v>
      </c>
      <c r="J18" s="70">
        <f t="shared" si="4"/>
        <v>133426.35966666666</v>
      </c>
      <c r="K18" s="70">
        <v>82803.85733333335</v>
      </c>
      <c r="L18" s="148">
        <f t="shared" si="2"/>
        <v>-50622.50233333331</v>
      </c>
      <c r="M18" s="116">
        <v>1</v>
      </c>
    </row>
    <row r="19" spans="1:13" ht="12.75">
      <c r="A19" s="5">
        <v>1825</v>
      </c>
      <c r="B19" s="2" t="s">
        <v>14</v>
      </c>
      <c r="C19" s="70">
        <v>0</v>
      </c>
      <c r="D19" s="70">
        <v>0</v>
      </c>
      <c r="E19" s="70">
        <f t="shared" si="0"/>
        <v>0</v>
      </c>
      <c r="F19" s="70">
        <v>0</v>
      </c>
      <c r="G19" s="70">
        <f t="shared" si="1"/>
        <v>0</v>
      </c>
      <c r="H19" s="5">
        <v>0</v>
      </c>
      <c r="I19" s="72">
        <v>0</v>
      </c>
      <c r="J19" s="70">
        <v>0</v>
      </c>
      <c r="K19" s="70">
        <v>0</v>
      </c>
      <c r="L19" s="148">
        <f t="shared" si="2"/>
        <v>0</v>
      </c>
      <c r="M19" s="116"/>
    </row>
    <row r="20" spans="1:13" ht="12.75">
      <c r="A20" s="5">
        <v>1830</v>
      </c>
      <c r="B20" s="2" t="s">
        <v>15</v>
      </c>
      <c r="C20" s="70">
        <v>19004794.060000002</v>
      </c>
      <c r="D20" s="70">
        <v>0</v>
      </c>
      <c r="E20" s="70">
        <f t="shared" si="0"/>
        <v>19004794.060000002</v>
      </c>
      <c r="F20" s="70">
        <v>1006528.47</v>
      </c>
      <c r="G20" s="70">
        <f t="shared" si="1"/>
        <v>19508058.295</v>
      </c>
      <c r="H20" s="5">
        <v>25</v>
      </c>
      <c r="I20" s="72">
        <f t="shared" si="3"/>
        <v>0.04</v>
      </c>
      <c r="J20" s="70">
        <f t="shared" si="4"/>
        <v>780322.3318</v>
      </c>
      <c r="K20" s="70">
        <v>811227.0018000001</v>
      </c>
      <c r="L20" s="148">
        <f t="shared" si="2"/>
        <v>30904.670000000042</v>
      </c>
      <c r="M20" s="116">
        <v>2</v>
      </c>
    </row>
    <row r="21" spans="1:13" ht="12.75">
      <c r="A21" s="5">
        <v>1835</v>
      </c>
      <c r="B21" s="2" t="s">
        <v>18</v>
      </c>
      <c r="C21" s="70">
        <v>10232770.11</v>
      </c>
      <c r="D21" s="70">
        <v>0</v>
      </c>
      <c r="E21" s="70">
        <f t="shared" si="0"/>
        <v>10232770.11</v>
      </c>
      <c r="F21" s="70">
        <v>732544.18</v>
      </c>
      <c r="G21" s="70">
        <f t="shared" si="1"/>
        <v>10599042.2</v>
      </c>
      <c r="H21" s="5">
        <v>25</v>
      </c>
      <c r="I21" s="72">
        <f t="shared" si="3"/>
        <v>0.04</v>
      </c>
      <c r="J21" s="70">
        <f t="shared" si="4"/>
        <v>423961.68799999997</v>
      </c>
      <c r="K21" s="70">
        <v>423961.68799999997</v>
      </c>
      <c r="L21" s="148">
        <f t="shared" si="2"/>
        <v>0</v>
      </c>
      <c r="M21" s="116"/>
    </row>
    <row r="22" spans="1:13" ht="12.75">
      <c r="A22" s="5">
        <v>1840</v>
      </c>
      <c r="B22" s="2" t="s">
        <v>16</v>
      </c>
      <c r="C22" s="70">
        <v>3532582.2399999998</v>
      </c>
      <c r="D22" s="70">
        <v>0</v>
      </c>
      <c r="E22" s="70">
        <f t="shared" si="0"/>
        <v>3532582.2399999998</v>
      </c>
      <c r="F22" s="70">
        <v>312483.83</v>
      </c>
      <c r="G22" s="70">
        <f t="shared" si="1"/>
        <v>3688824.155</v>
      </c>
      <c r="H22" s="5">
        <v>25</v>
      </c>
      <c r="I22" s="72">
        <f t="shared" si="3"/>
        <v>0.04</v>
      </c>
      <c r="J22" s="70">
        <f t="shared" si="4"/>
        <v>147552.9662</v>
      </c>
      <c r="K22" s="70">
        <v>130160.6862</v>
      </c>
      <c r="L22" s="148">
        <f t="shared" si="2"/>
        <v>-17392.28</v>
      </c>
      <c r="M22" s="116">
        <v>3</v>
      </c>
    </row>
    <row r="23" spans="1:13" ht="12.75">
      <c r="A23" s="5">
        <v>1845</v>
      </c>
      <c r="B23" s="2" t="s">
        <v>17</v>
      </c>
      <c r="C23" s="70">
        <v>7120863.02</v>
      </c>
      <c r="D23" s="70">
        <v>1204925</v>
      </c>
      <c r="E23" s="70">
        <f t="shared" si="0"/>
        <v>5915938.02</v>
      </c>
      <c r="F23" s="70">
        <v>515163.25</v>
      </c>
      <c r="G23" s="70">
        <f t="shared" si="1"/>
        <v>6173519.645</v>
      </c>
      <c r="H23" s="5">
        <v>25</v>
      </c>
      <c r="I23" s="72">
        <f t="shared" si="3"/>
        <v>0.04</v>
      </c>
      <c r="J23" s="70">
        <f t="shared" si="4"/>
        <v>246940.78579999998</v>
      </c>
      <c r="K23" s="70">
        <v>246940.7758</v>
      </c>
      <c r="L23" s="148">
        <f t="shared" si="2"/>
        <v>-0.009999999980209395</v>
      </c>
      <c r="M23" s="116"/>
    </row>
    <row r="24" spans="1:13" ht="12.75">
      <c r="A24" s="5">
        <v>1850</v>
      </c>
      <c r="B24" s="2" t="s">
        <v>19</v>
      </c>
      <c r="C24" s="70">
        <v>10816541.7</v>
      </c>
      <c r="D24" s="70">
        <v>0</v>
      </c>
      <c r="E24" s="70">
        <f t="shared" si="0"/>
        <v>10816541.7</v>
      </c>
      <c r="F24" s="70">
        <v>421375.28</v>
      </c>
      <c r="G24" s="70">
        <f t="shared" si="1"/>
        <v>11027229.34</v>
      </c>
      <c r="H24" s="5">
        <v>25</v>
      </c>
      <c r="I24" s="72">
        <f t="shared" si="3"/>
        <v>0.04</v>
      </c>
      <c r="J24" s="70">
        <f t="shared" si="4"/>
        <v>441089.1736</v>
      </c>
      <c r="K24" s="70">
        <v>518946.37360000005</v>
      </c>
      <c r="L24" s="148">
        <f t="shared" si="2"/>
        <v>77857.20000000007</v>
      </c>
      <c r="M24" s="116">
        <v>4</v>
      </c>
    </row>
    <row r="25" spans="1:13" ht="12.75">
      <c r="A25" s="5">
        <v>1855</v>
      </c>
      <c r="B25" s="2" t="s">
        <v>20</v>
      </c>
      <c r="C25" s="70">
        <v>2230186.46</v>
      </c>
      <c r="D25" s="70">
        <v>0</v>
      </c>
      <c r="E25" s="70">
        <f t="shared" si="0"/>
        <v>2230186.46</v>
      </c>
      <c r="F25" s="70">
        <v>277121.35</v>
      </c>
      <c r="G25" s="70">
        <f t="shared" si="1"/>
        <v>2368747.135</v>
      </c>
      <c r="H25" s="5">
        <v>25</v>
      </c>
      <c r="I25" s="72">
        <f t="shared" si="3"/>
        <v>0.04</v>
      </c>
      <c r="J25" s="70">
        <f t="shared" si="4"/>
        <v>94749.88539999998</v>
      </c>
      <c r="K25" s="70">
        <v>94749.88539999998</v>
      </c>
      <c r="L25" s="148">
        <f t="shared" si="2"/>
        <v>0</v>
      </c>
      <c r="M25" s="116"/>
    </row>
    <row r="26" spans="1:13" ht="12.75">
      <c r="A26" s="5">
        <v>1860</v>
      </c>
      <c r="B26" s="2" t="s">
        <v>21</v>
      </c>
      <c r="C26" s="70">
        <v>3891529.35</v>
      </c>
      <c r="D26" s="70">
        <v>0</v>
      </c>
      <c r="E26" s="70">
        <f t="shared" si="0"/>
        <v>3891529.35</v>
      </c>
      <c r="F26" s="70">
        <v>133635.55000000002</v>
      </c>
      <c r="G26" s="70">
        <f t="shared" si="1"/>
        <v>3958347.125</v>
      </c>
      <c r="H26" s="5">
        <v>25</v>
      </c>
      <c r="I26" s="72">
        <f t="shared" si="3"/>
        <v>0.04</v>
      </c>
      <c r="J26" s="70">
        <f t="shared" si="4"/>
        <v>158333.885</v>
      </c>
      <c r="K26" s="70">
        <v>150383.355</v>
      </c>
      <c r="L26" s="148">
        <f t="shared" si="2"/>
        <v>-7950.529999999999</v>
      </c>
      <c r="M26" s="116">
        <v>5</v>
      </c>
    </row>
    <row r="27" spans="1:13" ht="12.75">
      <c r="A27" s="5">
        <v>1861</v>
      </c>
      <c r="B27" s="2" t="s">
        <v>22</v>
      </c>
      <c r="C27" s="70">
        <v>0</v>
      </c>
      <c r="D27" s="70">
        <v>0</v>
      </c>
      <c r="E27" s="70">
        <f t="shared" si="0"/>
        <v>0</v>
      </c>
      <c r="F27" s="70">
        <v>0</v>
      </c>
      <c r="G27" s="70">
        <f t="shared" si="1"/>
        <v>0</v>
      </c>
      <c r="H27" s="5">
        <v>15</v>
      </c>
      <c r="I27" s="72">
        <f t="shared" si="3"/>
        <v>0.06666666666666667</v>
      </c>
      <c r="J27" s="70">
        <f t="shared" si="4"/>
        <v>0</v>
      </c>
      <c r="K27" s="70">
        <v>0</v>
      </c>
      <c r="L27" s="148">
        <f t="shared" si="2"/>
        <v>0</v>
      </c>
      <c r="M27" s="116"/>
    </row>
    <row r="28" spans="1:13" ht="12.75">
      <c r="A28" s="5">
        <v>1861</v>
      </c>
      <c r="B28" s="2" t="s">
        <v>23</v>
      </c>
      <c r="C28" s="70">
        <v>0</v>
      </c>
      <c r="D28" s="70">
        <v>0</v>
      </c>
      <c r="E28" s="70">
        <f t="shared" si="0"/>
        <v>0</v>
      </c>
      <c r="F28" s="70">
        <v>0</v>
      </c>
      <c r="G28" s="70">
        <f t="shared" si="1"/>
        <v>0</v>
      </c>
      <c r="H28" s="5">
        <v>5</v>
      </c>
      <c r="I28" s="72">
        <f t="shared" si="3"/>
        <v>0.2</v>
      </c>
      <c r="J28" s="70">
        <f t="shared" si="4"/>
        <v>0</v>
      </c>
      <c r="K28" s="70">
        <v>0</v>
      </c>
      <c r="L28" s="148">
        <f t="shared" si="2"/>
        <v>0</v>
      </c>
      <c r="M28" s="116"/>
    </row>
    <row r="29" spans="1:13" ht="12.75">
      <c r="A29" s="5">
        <v>1905</v>
      </c>
      <c r="B29" s="2" t="s">
        <v>10</v>
      </c>
      <c r="C29" s="70">
        <v>243636.05000000002</v>
      </c>
      <c r="D29" s="70">
        <v>0</v>
      </c>
      <c r="E29" s="70">
        <f t="shared" si="0"/>
        <v>243636.05000000002</v>
      </c>
      <c r="F29" s="70">
        <v>0</v>
      </c>
      <c r="G29" s="70">
        <f t="shared" si="1"/>
        <v>243636.05000000002</v>
      </c>
      <c r="H29" s="5">
        <v>0</v>
      </c>
      <c r="I29" s="72">
        <v>0</v>
      </c>
      <c r="J29" s="70">
        <v>0</v>
      </c>
      <c r="K29" s="70">
        <v>0</v>
      </c>
      <c r="L29" s="148">
        <f t="shared" si="2"/>
        <v>0</v>
      </c>
      <c r="M29" s="116"/>
    </row>
    <row r="30" spans="1:13" ht="12.75">
      <c r="A30" s="5">
        <v>1906</v>
      </c>
      <c r="B30" s="2" t="s">
        <v>25</v>
      </c>
      <c r="C30" s="70">
        <v>0</v>
      </c>
      <c r="D30" s="70">
        <v>0</v>
      </c>
      <c r="E30" s="70">
        <f t="shared" si="0"/>
        <v>0</v>
      </c>
      <c r="F30" s="70">
        <v>0</v>
      </c>
      <c r="G30" s="70">
        <f t="shared" si="1"/>
        <v>0</v>
      </c>
      <c r="H30" s="5">
        <v>0</v>
      </c>
      <c r="I30" s="72">
        <v>0</v>
      </c>
      <c r="J30" s="70">
        <v>0</v>
      </c>
      <c r="K30" s="70">
        <v>0</v>
      </c>
      <c r="L30" s="148">
        <f t="shared" si="2"/>
        <v>0</v>
      </c>
      <c r="M30" s="116"/>
    </row>
    <row r="31" spans="1:13" ht="12.75">
      <c r="A31" s="5">
        <v>1908</v>
      </c>
      <c r="B31" s="2" t="s">
        <v>26</v>
      </c>
      <c r="C31" s="70">
        <v>2189477.2199999997</v>
      </c>
      <c r="D31" s="70">
        <v>0</v>
      </c>
      <c r="E31" s="70">
        <f t="shared" si="0"/>
        <v>2189477.2199999997</v>
      </c>
      <c r="F31" s="70">
        <v>26160.5</v>
      </c>
      <c r="G31" s="70">
        <f t="shared" si="1"/>
        <v>2202557.4699999997</v>
      </c>
      <c r="H31" s="5">
        <v>50</v>
      </c>
      <c r="I31" s="72">
        <f t="shared" si="3"/>
        <v>0.02</v>
      </c>
      <c r="J31" s="70">
        <f t="shared" si="4"/>
        <v>44051.149399999995</v>
      </c>
      <c r="K31" s="70">
        <v>32037.6694</v>
      </c>
      <c r="L31" s="148">
        <f t="shared" si="2"/>
        <v>-12013.479999999996</v>
      </c>
      <c r="M31" s="116">
        <v>6</v>
      </c>
    </row>
    <row r="32" spans="1:13" ht="12.75">
      <c r="A32" s="5">
        <v>1910</v>
      </c>
      <c r="B32" s="2" t="s">
        <v>47</v>
      </c>
      <c r="C32" s="70">
        <v>6177</v>
      </c>
      <c r="D32" s="70">
        <v>0</v>
      </c>
      <c r="E32" s="70">
        <f t="shared" si="0"/>
        <v>6177</v>
      </c>
      <c r="F32" s="70">
        <v>0</v>
      </c>
      <c r="G32" s="70">
        <f t="shared" si="1"/>
        <v>6177</v>
      </c>
      <c r="H32" s="5">
        <v>10</v>
      </c>
      <c r="I32" s="72">
        <f t="shared" si="3"/>
        <v>0.1</v>
      </c>
      <c r="J32" s="70">
        <f t="shared" si="4"/>
        <v>617.7</v>
      </c>
      <c r="K32" s="70">
        <v>639.7</v>
      </c>
      <c r="L32" s="148">
        <f t="shared" si="2"/>
        <v>22</v>
      </c>
      <c r="M32" s="116"/>
    </row>
    <row r="33" spans="1:13" ht="12.75">
      <c r="A33" s="5">
        <v>1915</v>
      </c>
      <c r="B33" s="2" t="s">
        <v>27</v>
      </c>
      <c r="C33" s="70">
        <v>142897.09</v>
      </c>
      <c r="D33" s="70">
        <v>0</v>
      </c>
      <c r="E33" s="70">
        <f t="shared" si="0"/>
        <v>142897.09</v>
      </c>
      <c r="F33" s="70">
        <v>4074.53</v>
      </c>
      <c r="G33" s="70">
        <f t="shared" si="1"/>
        <v>144934.355</v>
      </c>
      <c r="H33" s="5">
        <v>10</v>
      </c>
      <c r="I33" s="72">
        <f t="shared" si="3"/>
        <v>0.1</v>
      </c>
      <c r="J33" s="70">
        <f t="shared" si="4"/>
        <v>14493.435500000001</v>
      </c>
      <c r="K33" s="70">
        <v>14526.4755</v>
      </c>
      <c r="L33" s="148">
        <f t="shared" si="2"/>
        <v>33.039999999999054</v>
      </c>
      <c r="M33" s="116"/>
    </row>
    <row r="34" spans="1:13" ht="12.75">
      <c r="A34" s="5">
        <v>1915</v>
      </c>
      <c r="B34" s="2" t="s">
        <v>28</v>
      </c>
      <c r="C34" s="70">
        <v>0</v>
      </c>
      <c r="D34" s="70">
        <v>0</v>
      </c>
      <c r="E34" s="70">
        <f t="shared" si="0"/>
        <v>0</v>
      </c>
      <c r="F34" s="70">
        <v>0</v>
      </c>
      <c r="G34" s="70">
        <f t="shared" si="1"/>
        <v>0</v>
      </c>
      <c r="H34" s="5">
        <v>5</v>
      </c>
      <c r="I34" s="72">
        <f t="shared" si="3"/>
        <v>0.2</v>
      </c>
      <c r="J34" s="70">
        <f t="shared" si="4"/>
        <v>0</v>
      </c>
      <c r="K34" s="70">
        <v>0</v>
      </c>
      <c r="L34" s="148">
        <f t="shared" si="2"/>
        <v>0</v>
      </c>
      <c r="M34" s="116"/>
    </row>
    <row r="35" spans="1:13" ht="12.75">
      <c r="A35" s="5">
        <v>1920</v>
      </c>
      <c r="B35" s="2" t="s">
        <v>29</v>
      </c>
      <c r="C35" s="70">
        <v>379501.22</v>
      </c>
      <c r="D35" s="70">
        <v>25839.26</v>
      </c>
      <c r="E35" s="70">
        <f t="shared" si="0"/>
        <v>353661.95999999996</v>
      </c>
      <c r="F35" s="70">
        <v>0</v>
      </c>
      <c r="G35" s="70">
        <f t="shared" si="1"/>
        <v>353661.95999999996</v>
      </c>
      <c r="H35" s="5">
        <v>10</v>
      </c>
      <c r="I35" s="72">
        <f t="shared" si="3"/>
        <v>0.1</v>
      </c>
      <c r="J35" s="70">
        <f t="shared" si="4"/>
        <v>35366.195999999996</v>
      </c>
      <c r="K35" s="70">
        <v>35366.17</v>
      </c>
      <c r="L35" s="148">
        <f t="shared" si="2"/>
        <v>-0.02599999999802094</v>
      </c>
      <c r="M35" s="116"/>
    </row>
    <row r="36" spans="1:13" ht="12.75">
      <c r="A36" s="5">
        <v>1921</v>
      </c>
      <c r="B36" s="2" t="s">
        <v>30</v>
      </c>
      <c r="C36" s="70">
        <v>228848.38</v>
      </c>
      <c r="D36" s="70">
        <v>110294.07</v>
      </c>
      <c r="E36" s="70">
        <f t="shared" si="0"/>
        <v>118554.31</v>
      </c>
      <c r="F36" s="70">
        <v>0</v>
      </c>
      <c r="G36" s="70">
        <f t="shared" si="1"/>
        <v>118554.31</v>
      </c>
      <c r="H36" s="5">
        <v>5</v>
      </c>
      <c r="I36" s="72">
        <f t="shared" si="3"/>
        <v>0.2</v>
      </c>
      <c r="J36" s="70">
        <f t="shared" si="4"/>
        <v>23710.862</v>
      </c>
      <c r="K36" s="70">
        <v>23710.85</v>
      </c>
      <c r="L36" s="148">
        <f t="shared" si="2"/>
        <v>-0.012000000002444722</v>
      </c>
      <c r="M36" s="116"/>
    </row>
    <row r="37" spans="1:13" ht="12.75">
      <c r="A37" s="5">
        <v>1921</v>
      </c>
      <c r="B37" s="2" t="s">
        <v>31</v>
      </c>
      <c r="C37" s="70">
        <f>69852+189820</f>
        <v>259672</v>
      </c>
      <c r="D37" s="70">
        <v>0</v>
      </c>
      <c r="E37" s="70">
        <f t="shared" si="0"/>
        <v>259672</v>
      </c>
      <c r="F37" s="70">
        <v>26697.63</v>
      </c>
      <c r="G37" s="70">
        <f t="shared" si="1"/>
        <v>273020.815</v>
      </c>
      <c r="H37" s="5">
        <v>5</v>
      </c>
      <c r="I37" s="72">
        <f t="shared" si="3"/>
        <v>0.2</v>
      </c>
      <c r="J37" s="70">
        <f t="shared" si="4"/>
        <v>54604.163</v>
      </c>
      <c r="K37" s="70">
        <f>52343.37+2261</f>
        <v>54604.37</v>
      </c>
      <c r="L37" s="148">
        <f t="shared" si="2"/>
        <v>0.20700000000215368</v>
      </c>
      <c r="M37" s="116"/>
    </row>
    <row r="38" spans="1:13" ht="12.75">
      <c r="A38" s="5">
        <v>1925</v>
      </c>
      <c r="B38" s="2" t="s">
        <v>118</v>
      </c>
      <c r="C38" s="70">
        <v>288764.51</v>
      </c>
      <c r="D38" s="70">
        <v>119988.46</v>
      </c>
      <c r="E38" s="70">
        <f t="shared" si="0"/>
        <v>168776.05</v>
      </c>
      <c r="F38" s="70">
        <v>56033.86</v>
      </c>
      <c r="G38" s="70">
        <f t="shared" si="1"/>
        <v>196792.97999999998</v>
      </c>
      <c r="H38" s="5">
        <v>5</v>
      </c>
      <c r="I38" s="72">
        <f t="shared" si="3"/>
        <v>0.2</v>
      </c>
      <c r="J38" s="70">
        <f t="shared" si="4"/>
        <v>39358.596</v>
      </c>
      <c r="K38" s="70">
        <v>45906.38</v>
      </c>
      <c r="L38" s="148">
        <f t="shared" si="2"/>
        <v>6547.784</v>
      </c>
      <c r="M38" s="116">
        <v>7</v>
      </c>
    </row>
    <row r="39" spans="1:13" ht="12.75">
      <c r="A39" s="5">
        <v>1930</v>
      </c>
      <c r="B39" s="2" t="s">
        <v>113</v>
      </c>
      <c r="C39" s="70">
        <v>889868</v>
      </c>
      <c r="D39" s="70">
        <v>144439</v>
      </c>
      <c r="E39" s="70">
        <f t="shared" si="0"/>
        <v>745429</v>
      </c>
      <c r="F39" s="70">
        <v>0</v>
      </c>
      <c r="G39" s="70">
        <f t="shared" si="1"/>
        <v>745429</v>
      </c>
      <c r="H39" s="5">
        <v>10</v>
      </c>
      <c r="I39" s="72">
        <f t="shared" si="3"/>
        <v>0.1</v>
      </c>
      <c r="J39" s="70">
        <f t="shared" si="4"/>
        <v>74542.9</v>
      </c>
      <c r="K39" s="70">
        <v>87082.13</v>
      </c>
      <c r="L39" s="148">
        <f t="shared" si="2"/>
        <v>12539.23000000001</v>
      </c>
      <c r="M39" s="116">
        <v>8</v>
      </c>
    </row>
    <row r="40" spans="1:13" ht="12.75">
      <c r="A40" s="5" t="s">
        <v>101</v>
      </c>
      <c r="B40" s="2" t="s">
        <v>105</v>
      </c>
      <c r="C40" s="70">
        <v>16866.11</v>
      </c>
      <c r="D40" s="70">
        <v>0</v>
      </c>
      <c r="E40" s="70">
        <f t="shared" si="0"/>
        <v>16866.11</v>
      </c>
      <c r="F40" s="70">
        <v>0</v>
      </c>
      <c r="G40" s="70">
        <f t="shared" si="1"/>
        <v>16866.11</v>
      </c>
      <c r="H40" s="5">
        <v>4</v>
      </c>
      <c r="I40" s="72">
        <f t="shared" si="3"/>
        <v>0.25</v>
      </c>
      <c r="J40" s="70">
        <f t="shared" si="4"/>
        <v>4216.5275</v>
      </c>
      <c r="K40" s="70">
        <v>4216.53</v>
      </c>
      <c r="L40" s="148">
        <f t="shared" si="2"/>
        <v>0.0024999999995998223</v>
      </c>
      <c r="M40" s="116"/>
    </row>
    <row r="41" spans="1:13" ht="12.75">
      <c r="A41" s="5" t="s">
        <v>102</v>
      </c>
      <c r="B41" s="2" t="s">
        <v>106</v>
      </c>
      <c r="C41" s="70">
        <v>155308.52</v>
      </c>
      <c r="D41" s="70">
        <v>0</v>
      </c>
      <c r="E41" s="70">
        <f t="shared" si="0"/>
        <v>155308.52</v>
      </c>
      <c r="F41" s="70">
        <v>0</v>
      </c>
      <c r="G41" s="70">
        <f t="shared" si="1"/>
        <v>155308.52</v>
      </c>
      <c r="H41" s="5">
        <v>5</v>
      </c>
      <c r="I41" s="72">
        <f t="shared" si="3"/>
        <v>0.2</v>
      </c>
      <c r="J41" s="70">
        <f t="shared" si="4"/>
        <v>31061.703999999998</v>
      </c>
      <c r="K41" s="70">
        <v>31061.7</v>
      </c>
      <c r="L41" s="148">
        <f t="shared" si="2"/>
        <v>-0.0039999999971769284</v>
      </c>
      <c r="M41" s="116"/>
    </row>
    <row r="42" spans="1:13" ht="12.75">
      <c r="A42" s="5" t="s">
        <v>103</v>
      </c>
      <c r="B42" s="2" t="s">
        <v>107</v>
      </c>
      <c r="C42" s="70">
        <v>327451.41</v>
      </c>
      <c r="D42" s="70">
        <v>0</v>
      </c>
      <c r="E42" s="70">
        <f t="shared" si="0"/>
        <v>327451.41</v>
      </c>
      <c r="F42" s="70">
        <v>0</v>
      </c>
      <c r="G42" s="70">
        <f t="shared" si="1"/>
        <v>327451.41</v>
      </c>
      <c r="H42" s="5">
        <v>8</v>
      </c>
      <c r="I42" s="72">
        <f t="shared" si="3"/>
        <v>0.125</v>
      </c>
      <c r="J42" s="70">
        <f t="shared" si="4"/>
        <v>40931.42625</v>
      </c>
      <c r="K42" s="70">
        <v>40931.42625</v>
      </c>
      <c r="L42" s="148">
        <f t="shared" si="2"/>
        <v>0</v>
      </c>
      <c r="M42" s="116"/>
    </row>
    <row r="43" spans="1:13" ht="12.75">
      <c r="A43" s="5" t="s">
        <v>104</v>
      </c>
      <c r="B43" s="2" t="s">
        <v>108</v>
      </c>
      <c r="C43" s="70">
        <v>30285.02</v>
      </c>
      <c r="D43" s="70">
        <v>0</v>
      </c>
      <c r="E43" s="70">
        <f t="shared" si="0"/>
        <v>30285.02</v>
      </c>
      <c r="F43" s="70">
        <v>0</v>
      </c>
      <c r="G43" s="70">
        <f t="shared" si="1"/>
        <v>30285.02</v>
      </c>
      <c r="H43" s="5">
        <v>8</v>
      </c>
      <c r="I43" s="72">
        <f t="shared" si="3"/>
        <v>0.125</v>
      </c>
      <c r="J43" s="70">
        <f t="shared" si="4"/>
        <v>3785.6275</v>
      </c>
      <c r="K43" s="70">
        <v>3785.63</v>
      </c>
      <c r="L43" s="148">
        <f t="shared" si="2"/>
        <v>0.0025000000000545697</v>
      </c>
      <c r="M43" s="116"/>
    </row>
    <row r="44" spans="1:13" ht="12.75">
      <c r="A44" s="5">
        <v>1935</v>
      </c>
      <c r="B44" s="2" t="s">
        <v>34</v>
      </c>
      <c r="C44" s="70">
        <v>38889.42999999999</v>
      </c>
      <c r="D44" s="70">
        <v>0</v>
      </c>
      <c r="E44" s="70">
        <f t="shared" si="0"/>
        <v>38889.42999999999</v>
      </c>
      <c r="F44" s="70">
        <v>314.28</v>
      </c>
      <c r="G44" s="70">
        <f t="shared" si="1"/>
        <v>39046.56999999999</v>
      </c>
      <c r="H44" s="5">
        <v>10</v>
      </c>
      <c r="I44" s="72">
        <f t="shared" si="3"/>
        <v>0.1</v>
      </c>
      <c r="J44" s="70">
        <f t="shared" si="4"/>
        <v>3904.6569999999992</v>
      </c>
      <c r="K44" s="70">
        <v>3904.6569999999992</v>
      </c>
      <c r="L44" s="148">
        <f t="shared" si="2"/>
        <v>0</v>
      </c>
      <c r="M44" s="116"/>
    </row>
    <row r="45" spans="1:13" ht="12.75">
      <c r="A45" s="5">
        <v>1940</v>
      </c>
      <c r="B45" s="2" t="s">
        <v>35</v>
      </c>
      <c r="C45" s="70">
        <v>286531.54000000004</v>
      </c>
      <c r="D45" s="70">
        <v>0</v>
      </c>
      <c r="E45" s="70">
        <f t="shared" si="0"/>
        <v>286531.54000000004</v>
      </c>
      <c r="F45" s="70">
        <v>18145.61</v>
      </c>
      <c r="G45" s="70">
        <f t="shared" si="1"/>
        <v>295604.34500000003</v>
      </c>
      <c r="H45" s="5">
        <v>10</v>
      </c>
      <c r="I45" s="72">
        <f t="shared" si="3"/>
        <v>0.1</v>
      </c>
      <c r="J45" s="70">
        <f t="shared" si="4"/>
        <v>29560.434500000003</v>
      </c>
      <c r="K45" s="70">
        <v>30170.532750000002</v>
      </c>
      <c r="L45" s="148">
        <f t="shared" si="2"/>
        <v>610.0982499999991</v>
      </c>
      <c r="M45" s="116">
        <v>9</v>
      </c>
    </row>
    <row r="46" spans="1:13" ht="12.75">
      <c r="A46" s="5">
        <v>1945</v>
      </c>
      <c r="B46" s="2" t="s">
        <v>36</v>
      </c>
      <c r="C46" s="70">
        <v>162716.77000000002</v>
      </c>
      <c r="D46" s="70">
        <v>0</v>
      </c>
      <c r="E46" s="70">
        <f t="shared" si="0"/>
        <v>162716.77000000002</v>
      </c>
      <c r="F46" s="70">
        <v>16256.04</v>
      </c>
      <c r="G46" s="70">
        <f t="shared" si="1"/>
        <v>170844.79</v>
      </c>
      <c r="H46" s="5">
        <v>10</v>
      </c>
      <c r="I46" s="72">
        <f t="shared" si="3"/>
        <v>0.1</v>
      </c>
      <c r="J46" s="70">
        <f t="shared" si="4"/>
        <v>17084.479</v>
      </c>
      <c r="K46" s="70">
        <v>17084.529000000002</v>
      </c>
      <c r="L46" s="148">
        <f t="shared" si="2"/>
        <v>0.05000000000291038</v>
      </c>
      <c r="M46" s="116"/>
    </row>
    <row r="47" spans="1:13" ht="12.75">
      <c r="A47" s="5">
        <v>1950</v>
      </c>
      <c r="B47" s="2" t="s">
        <v>37</v>
      </c>
      <c r="C47" s="70">
        <v>0</v>
      </c>
      <c r="D47" s="70">
        <v>0</v>
      </c>
      <c r="E47" s="70">
        <f t="shared" si="0"/>
        <v>0</v>
      </c>
      <c r="F47" s="70">
        <v>0</v>
      </c>
      <c r="G47" s="70">
        <f t="shared" si="1"/>
        <v>0</v>
      </c>
      <c r="H47" s="5">
        <v>0</v>
      </c>
      <c r="I47" s="72">
        <v>0</v>
      </c>
      <c r="J47" s="70">
        <v>0</v>
      </c>
      <c r="K47" s="70">
        <v>0</v>
      </c>
      <c r="L47" s="148">
        <f t="shared" si="2"/>
        <v>0</v>
      </c>
      <c r="M47" s="116"/>
    </row>
    <row r="48" spans="1:13" ht="12.75">
      <c r="A48" s="5">
        <v>1955</v>
      </c>
      <c r="B48" s="2" t="s">
        <v>38</v>
      </c>
      <c r="C48" s="70">
        <v>106905.79000000001</v>
      </c>
      <c r="D48" s="70">
        <v>0</v>
      </c>
      <c r="E48" s="70">
        <f t="shared" si="0"/>
        <v>106905.79000000001</v>
      </c>
      <c r="F48" s="70">
        <v>0</v>
      </c>
      <c r="G48" s="70">
        <f t="shared" si="1"/>
        <v>106905.79000000001</v>
      </c>
      <c r="H48" s="5">
        <v>10</v>
      </c>
      <c r="I48" s="72">
        <f t="shared" si="3"/>
        <v>0.1</v>
      </c>
      <c r="J48" s="70">
        <f t="shared" si="4"/>
        <v>10690.579000000002</v>
      </c>
      <c r="K48" s="70">
        <v>10690.618999999999</v>
      </c>
      <c r="L48" s="148">
        <f t="shared" si="2"/>
        <v>0.039999999997235136</v>
      </c>
      <c r="M48" s="116"/>
    </row>
    <row r="49" spans="1:13" ht="12.75">
      <c r="A49" s="5">
        <v>1960</v>
      </c>
      <c r="B49" s="67" t="s">
        <v>96</v>
      </c>
      <c r="C49" s="70">
        <v>155197.72</v>
      </c>
      <c r="D49" s="70">
        <v>0</v>
      </c>
      <c r="E49" s="70">
        <f t="shared" si="0"/>
        <v>155197.72</v>
      </c>
      <c r="F49" s="70">
        <v>244273.4</v>
      </c>
      <c r="G49" s="70">
        <f t="shared" si="1"/>
        <v>277334.42</v>
      </c>
      <c r="H49" s="5">
        <v>10</v>
      </c>
      <c r="I49" s="72">
        <f t="shared" si="3"/>
        <v>0.1</v>
      </c>
      <c r="J49" s="70">
        <f t="shared" si="4"/>
        <v>27733.442</v>
      </c>
      <c r="K49" s="70">
        <v>29019.75571428571</v>
      </c>
      <c r="L49" s="148">
        <f t="shared" si="2"/>
        <v>1286.3137142857122</v>
      </c>
      <c r="M49" s="116">
        <v>10</v>
      </c>
    </row>
    <row r="50" spans="1:13" ht="12.75">
      <c r="A50" s="5">
        <v>1965</v>
      </c>
      <c r="B50" s="2" t="s">
        <v>39</v>
      </c>
      <c r="C50" s="70">
        <v>0</v>
      </c>
      <c r="D50" s="70">
        <v>0</v>
      </c>
      <c r="E50" s="70">
        <f t="shared" si="0"/>
        <v>0</v>
      </c>
      <c r="F50" s="70">
        <v>0</v>
      </c>
      <c r="G50" s="70">
        <f t="shared" si="1"/>
        <v>0</v>
      </c>
      <c r="H50" s="5">
        <v>0</v>
      </c>
      <c r="I50" s="72">
        <v>0</v>
      </c>
      <c r="J50" s="70">
        <v>0</v>
      </c>
      <c r="K50" s="70">
        <v>0</v>
      </c>
      <c r="L50" s="148">
        <f t="shared" si="2"/>
        <v>0</v>
      </c>
      <c r="M50" s="116"/>
    </row>
    <row r="51" spans="1:13" ht="12.75">
      <c r="A51" s="5">
        <v>1970</v>
      </c>
      <c r="B51" s="2" t="s">
        <v>48</v>
      </c>
      <c r="C51" s="70">
        <v>16564.260000000002</v>
      </c>
      <c r="D51" s="70">
        <v>16564</v>
      </c>
      <c r="E51" s="70">
        <f t="shared" si="0"/>
        <v>0.26000000000203727</v>
      </c>
      <c r="F51" s="70">
        <v>0</v>
      </c>
      <c r="G51" s="70">
        <f t="shared" si="1"/>
        <v>0.26000000000203727</v>
      </c>
      <c r="H51" s="5">
        <v>10</v>
      </c>
      <c r="I51" s="72">
        <f t="shared" si="3"/>
        <v>0.1</v>
      </c>
      <c r="J51" s="70">
        <f t="shared" si="4"/>
        <v>0.026000000000203728</v>
      </c>
      <c r="K51" s="70">
        <v>0</v>
      </c>
      <c r="L51" s="148">
        <f t="shared" si="2"/>
        <v>-0.026000000000203728</v>
      </c>
      <c r="M51" s="116"/>
    </row>
    <row r="52" spans="1:13" ht="12.75">
      <c r="A52" s="5">
        <v>1975</v>
      </c>
      <c r="B52" s="2" t="s">
        <v>40</v>
      </c>
      <c r="C52" s="70">
        <v>0</v>
      </c>
      <c r="D52" s="70">
        <v>0</v>
      </c>
      <c r="E52" s="70">
        <f t="shared" si="0"/>
        <v>0</v>
      </c>
      <c r="F52" s="70">
        <v>0</v>
      </c>
      <c r="G52" s="70">
        <f t="shared" si="1"/>
        <v>0</v>
      </c>
      <c r="H52" s="5">
        <v>0</v>
      </c>
      <c r="I52" s="72">
        <v>0</v>
      </c>
      <c r="J52" s="70">
        <v>0</v>
      </c>
      <c r="K52" s="70">
        <v>0</v>
      </c>
      <c r="L52" s="148">
        <f t="shared" si="2"/>
        <v>0</v>
      </c>
      <c r="M52" s="116"/>
    </row>
    <row r="53" spans="1:13" ht="12.75">
      <c r="A53" s="5">
        <v>1980</v>
      </c>
      <c r="B53" s="67" t="s">
        <v>97</v>
      </c>
      <c r="C53" s="70">
        <v>612081.31</v>
      </c>
      <c r="D53" s="70">
        <v>0</v>
      </c>
      <c r="E53" s="70">
        <f t="shared" si="0"/>
        <v>612081.31</v>
      </c>
      <c r="F53" s="70">
        <v>1875.46</v>
      </c>
      <c r="G53" s="70">
        <f t="shared" si="1"/>
        <v>613019.04</v>
      </c>
      <c r="H53" s="5">
        <v>15</v>
      </c>
      <c r="I53" s="72">
        <f t="shared" si="3"/>
        <v>0.06666666666666667</v>
      </c>
      <c r="J53" s="70">
        <f t="shared" si="4"/>
        <v>40867.936</v>
      </c>
      <c r="K53" s="70">
        <v>40867.90933333334</v>
      </c>
      <c r="L53" s="148">
        <f t="shared" si="2"/>
        <v>-0.026666666664823424</v>
      </c>
      <c r="M53" s="116"/>
    </row>
    <row r="54" spans="1:13" ht="12.75">
      <c r="A54" s="5">
        <v>1985</v>
      </c>
      <c r="B54" s="2" t="s">
        <v>41</v>
      </c>
      <c r="C54" s="70">
        <v>0</v>
      </c>
      <c r="D54" s="70">
        <v>0</v>
      </c>
      <c r="E54" s="70">
        <f t="shared" si="0"/>
        <v>0</v>
      </c>
      <c r="F54" s="70">
        <v>0</v>
      </c>
      <c r="G54" s="70">
        <f t="shared" si="1"/>
        <v>0</v>
      </c>
      <c r="H54" s="5">
        <v>0</v>
      </c>
      <c r="I54" s="72">
        <v>0</v>
      </c>
      <c r="J54" s="70">
        <v>0</v>
      </c>
      <c r="K54" s="70">
        <v>0</v>
      </c>
      <c r="L54" s="148">
        <f t="shared" si="2"/>
        <v>0</v>
      </c>
      <c r="M54" s="116"/>
    </row>
    <row r="55" spans="1:13" ht="12.75">
      <c r="A55" s="5">
        <v>1995</v>
      </c>
      <c r="B55" s="2" t="s">
        <v>42</v>
      </c>
      <c r="C55" s="146">
        <v>-7122606.32</v>
      </c>
      <c r="D55" s="146">
        <v>0</v>
      </c>
      <c r="E55" s="146">
        <f t="shared" si="0"/>
        <v>-7122606.32</v>
      </c>
      <c r="F55" s="146">
        <v>-531414.03</v>
      </c>
      <c r="G55" s="146">
        <f t="shared" si="1"/>
        <v>-7388313.335</v>
      </c>
      <c r="H55" s="5">
        <v>25</v>
      </c>
      <c r="I55" s="72">
        <f t="shared" si="3"/>
        <v>0.04</v>
      </c>
      <c r="J55" s="146">
        <f t="shared" si="4"/>
        <v>-295532.5334</v>
      </c>
      <c r="K55" s="146">
        <v>-295532.55340000003</v>
      </c>
      <c r="L55" s="148">
        <f t="shared" si="2"/>
        <v>-0.02000000001862645</v>
      </c>
      <c r="M55" s="116"/>
    </row>
    <row r="56" spans="1:13" ht="12.75">
      <c r="A56" s="5">
        <v>2005</v>
      </c>
      <c r="B56" s="2" t="s">
        <v>98</v>
      </c>
      <c r="C56" s="70">
        <v>10039</v>
      </c>
      <c r="D56" s="70">
        <v>0</v>
      </c>
      <c r="E56" s="70">
        <f t="shared" si="0"/>
        <v>10039</v>
      </c>
      <c r="F56" s="70">
        <v>0</v>
      </c>
      <c r="G56" s="70">
        <f t="shared" si="1"/>
        <v>10039</v>
      </c>
      <c r="H56" s="5">
        <v>10</v>
      </c>
      <c r="I56" s="72">
        <f t="shared" si="3"/>
        <v>0.1</v>
      </c>
      <c r="J56" s="70">
        <f t="shared" si="4"/>
        <v>1003.9</v>
      </c>
      <c r="K56" s="70">
        <v>1003.86</v>
      </c>
      <c r="L56" s="148">
        <f t="shared" si="2"/>
        <v>-0.03999999999996362</v>
      </c>
      <c r="M56" s="116"/>
    </row>
    <row r="57" spans="1:13" ht="13.5" thickBot="1">
      <c r="A57" s="77">
        <v>2055</v>
      </c>
      <c r="B57" s="95" t="s">
        <v>112</v>
      </c>
      <c r="C57" s="79">
        <v>0</v>
      </c>
      <c r="D57" s="79">
        <v>0</v>
      </c>
      <c r="E57" s="79">
        <f t="shared" si="0"/>
        <v>0</v>
      </c>
      <c r="F57" s="79">
        <v>5472038.35</v>
      </c>
      <c r="G57" s="79">
        <f t="shared" si="1"/>
        <v>2736019.175</v>
      </c>
      <c r="H57" s="77">
        <v>0</v>
      </c>
      <c r="I57" s="85">
        <v>0</v>
      </c>
      <c r="J57" s="79">
        <v>0</v>
      </c>
      <c r="K57" s="79">
        <v>0</v>
      </c>
      <c r="L57" s="149">
        <f t="shared" si="2"/>
        <v>0</v>
      </c>
      <c r="M57" s="116"/>
    </row>
    <row r="58" spans="1:12" ht="13.5" thickBot="1">
      <c r="A58" s="81"/>
      <c r="B58" s="80" t="s">
        <v>43</v>
      </c>
      <c r="C58" s="82">
        <f>SUM(C13:C57)</f>
        <v>65565576.08000002</v>
      </c>
      <c r="D58" s="82"/>
      <c r="E58" s="82">
        <f>SUM(E13:E57)</f>
        <v>63943526.290000014</v>
      </c>
      <c r="F58" s="82">
        <f>SUM(F13:F57)</f>
        <v>9068354.979999999</v>
      </c>
      <c r="G58" s="82"/>
      <c r="H58" s="80"/>
      <c r="I58" s="97"/>
      <c r="J58" s="82">
        <f>SUM(J13:J57)</f>
        <v>2740226.9646166665</v>
      </c>
      <c r="K58" s="82">
        <f>SUM(K13:K57)</f>
        <v>2782085.1980809523</v>
      </c>
      <c r="L58" s="150">
        <f t="shared" si="2"/>
        <v>41858.23346428573</v>
      </c>
    </row>
    <row r="59" ht="7.5" customHeight="1"/>
    <row r="60" spans="2:11" ht="12.75">
      <c r="B60" s="101" t="s">
        <v>120</v>
      </c>
      <c r="C60" s="66">
        <v>65565576.97000004</v>
      </c>
      <c r="E60" s="103"/>
      <c r="K60" s="66">
        <f>'[5]FA Continuity 2009'!$J$49</f>
        <v>2782084.9690809525</v>
      </c>
    </row>
    <row r="61" ht="7.5" customHeight="1"/>
    <row r="62" ht="15" customHeight="1">
      <c r="A62" s="40" t="s">
        <v>92</v>
      </c>
    </row>
    <row r="63" spans="1:10" ht="15" customHeight="1">
      <c r="A63" s="41" t="s">
        <v>69</v>
      </c>
      <c r="B63" s="340" t="s">
        <v>123</v>
      </c>
      <c r="C63" s="340"/>
      <c r="D63" s="340"/>
      <c r="E63" s="340"/>
      <c r="F63" s="340"/>
      <c r="G63" s="340"/>
      <c r="H63" s="340"/>
      <c r="I63" s="340"/>
      <c r="J63" s="340"/>
    </row>
    <row r="64" spans="1:10" ht="15" customHeight="1">
      <c r="A64" s="41" t="s">
        <v>89</v>
      </c>
      <c r="B64" s="112" t="s">
        <v>239</v>
      </c>
      <c r="C64" s="105"/>
      <c r="D64" s="105"/>
      <c r="E64" s="105"/>
      <c r="F64" s="105"/>
      <c r="G64" s="105"/>
      <c r="H64" s="105"/>
      <c r="I64" s="105"/>
      <c r="J64" s="105"/>
    </row>
    <row r="65" spans="1:2" ht="15" customHeight="1">
      <c r="A65" s="110" t="s">
        <v>124</v>
      </c>
      <c r="B65" s="112" t="s">
        <v>240</v>
      </c>
    </row>
    <row r="66" spans="1:2" ht="15" customHeight="1">
      <c r="A66" s="110" t="s">
        <v>125</v>
      </c>
      <c r="B66" s="112" t="s">
        <v>241</v>
      </c>
    </row>
    <row r="67" spans="1:2" ht="15" customHeight="1">
      <c r="A67" s="110" t="s">
        <v>126</v>
      </c>
      <c r="B67" s="112" t="s">
        <v>242</v>
      </c>
    </row>
    <row r="68" spans="1:10" ht="15" customHeight="1">
      <c r="A68" s="110" t="s">
        <v>127</v>
      </c>
      <c r="B68" s="340" t="s">
        <v>243</v>
      </c>
      <c r="C68" s="340"/>
      <c r="D68" s="340"/>
      <c r="E68" s="340"/>
      <c r="F68" s="340"/>
      <c r="G68" s="340"/>
      <c r="H68" s="340"/>
      <c r="I68" s="340"/>
      <c r="J68" s="340"/>
    </row>
    <row r="69" spans="1:2" ht="15" customHeight="1">
      <c r="A69" s="110" t="s">
        <v>128</v>
      </c>
      <c r="B69" s="76" t="s">
        <v>139</v>
      </c>
    </row>
    <row r="70" spans="1:2" ht="15" customHeight="1">
      <c r="A70" s="110" t="s">
        <v>129</v>
      </c>
      <c r="B70" s="76" t="s">
        <v>140</v>
      </c>
    </row>
    <row r="71" spans="1:2" ht="15" customHeight="1">
      <c r="A71" s="110" t="s">
        <v>130</v>
      </c>
      <c r="B71" s="111" t="s">
        <v>142</v>
      </c>
    </row>
    <row r="72" spans="1:2" ht="15" customHeight="1">
      <c r="A72" s="110" t="s">
        <v>131</v>
      </c>
      <c r="B72" s="111" t="s">
        <v>144</v>
      </c>
    </row>
    <row r="73" ht="15" customHeight="1">
      <c r="A73" s="110"/>
    </row>
    <row r="74" ht="15" customHeight="1"/>
    <row r="75" ht="15" customHeight="1"/>
  </sheetData>
  <sheetProtection/>
  <mergeCells count="5">
    <mergeCell ref="A9:J9"/>
    <mergeCell ref="A11:A12"/>
    <mergeCell ref="B11:B12"/>
    <mergeCell ref="B63:J63"/>
    <mergeCell ref="B68:J6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ArmstrBi</dc:creator>
  <cp:keywords/>
  <dc:description/>
  <cp:lastModifiedBy>Cori Moss</cp:lastModifiedBy>
  <cp:lastPrinted>2010-09-20T12:51:41Z</cp:lastPrinted>
  <dcterms:created xsi:type="dcterms:W3CDTF">2009-03-26T15:32:04Z</dcterms:created>
  <dcterms:modified xsi:type="dcterms:W3CDTF">2010-10-27T20:17:54Z</dcterms:modified>
  <cp:category/>
  <cp:version/>
  <cp:contentType/>
  <cp:contentStatus/>
</cp:coreProperties>
</file>