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firstSheet="3" activeTab="7"/>
  </bookViews>
  <sheets>
    <sheet name="1. LDC Information" sheetId="1" r:id="rId1"/>
    <sheet name="2. Smart Meter Data" sheetId="2" r:id="rId2"/>
    <sheet name="3.  LDC Assumptions and Data" sheetId="3" r:id="rId3"/>
    <sheet name="4. Smart Meter Rev Req" sheetId="4" r:id="rId4"/>
    <sheet name="5. PILs" sheetId="5" r:id="rId5"/>
    <sheet name="6. Avg Nt Fix Ass &amp;UCC" sheetId="6" r:id="rId6"/>
    <sheet name="7. Funding Adder Collected" sheetId="7" r:id="rId7"/>
    <sheet name="8. Smart Meter Rate  Adder" sheetId="8" r:id="rId8"/>
  </sheets>
  <externalReferences>
    <externalReference r:id="rId11"/>
    <externalReference r:id="rId12"/>
  </externalReferences>
  <definedNames>
    <definedName name="CDM_2007">#REF!</definedName>
    <definedName name="EDR_06_OthInfo">'[1]4. 2006 Smart Meter Information'!#REF!</definedName>
    <definedName name="EDR06Tariffs">'[1]3. 2006 Tariff Sheet'!#REF!</definedName>
    <definedName name="impactdata">'[2]8-7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'1. LDC Information'!$A$1:$G$21</definedName>
    <definedName name="_xlnm.Print_Area" localSheetId="1">'2. Smart Meter Data'!$A$1:$K$148</definedName>
    <definedName name="_xlnm.Print_Area" localSheetId="3">'4. Smart Meter Rev Req'!$A$1:$T$56</definedName>
    <definedName name="_xlnm.Print_Titles" localSheetId="1">'2. Smart Meter Data'!$1:$1</definedName>
    <definedName name="_xlnm.Print_Titles" localSheetId="5">'6. Avg Nt Fix Ass &amp;UCC'!$1:$2</definedName>
    <definedName name="Rate_Riders">#REF!</definedName>
    <definedName name="RPP_Data">#REF!</definedName>
    <definedName name="terr_name">'[2]1-1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<sst xmlns="http://schemas.openxmlformats.org/spreadsheetml/2006/main" count="405" uniqueCount="286">
  <si>
    <t>Name of LDC:</t>
  </si>
  <si>
    <t>Licence Number:</t>
  </si>
  <si>
    <t>Date of Submission:</t>
  </si>
  <si>
    <t>Contact Information</t>
  </si>
  <si>
    <t>Name:</t>
  </si>
  <si>
    <t>Title:</t>
  </si>
  <si>
    <t>Phone Number:</t>
  </si>
  <si>
    <t>E-Mail Address:</t>
  </si>
  <si>
    <t>Smart Meter</t>
  </si>
  <si>
    <t>Comp. Hard.</t>
  </si>
  <si>
    <t>Comp. Soft.</t>
  </si>
  <si>
    <t>Tools &amp; Equipment</t>
  </si>
  <si>
    <t>Sheet 2.  Smart Meter Capital Cost and Operational Expense Data</t>
  </si>
  <si>
    <t>Other Equipment</t>
  </si>
  <si>
    <t xml:space="preserve">Smart Meter Unit Installation Plan: </t>
  </si>
  <si>
    <t>assume calendar year installation</t>
  </si>
  <si>
    <t>Total</t>
  </si>
  <si>
    <t>Planned number of Residential smart meters to be installed</t>
  </si>
  <si>
    <t>Planned number of General Service Less Than 50 kW smart meters</t>
  </si>
  <si>
    <t>Planned number of General Service Greater Than 50 kW smart meters</t>
  </si>
  <si>
    <t>Planned Meter Installation (Residential and Less Than 50 kW only)</t>
  </si>
  <si>
    <t xml:space="preserve">Other Unit Installation Plan: </t>
  </si>
  <si>
    <t>Planned number of Collectors to be installed</t>
  </si>
  <si>
    <t>Planned number of Repeaters to be installed</t>
  </si>
  <si>
    <t>Other : Please specify</t>
  </si>
  <si>
    <t>Capital Costs</t>
  </si>
  <si>
    <t>1.1 ADVANCED METERING COMMUNICATION DEVICE (AMCD)</t>
  </si>
  <si>
    <t>Asset Type</t>
  </si>
  <si>
    <t xml:space="preserve">1.1.1 Smart Meter  </t>
  </si>
  <si>
    <t>may include new meters and modules, etc.</t>
  </si>
  <si>
    <t xml:space="preserve">1.1.2 Installation Cost </t>
  </si>
  <si>
    <t>may include socket kits plus shipping, labour, benefits, vehicle, etc.</t>
  </si>
  <si>
    <t>1.1.3a Workforce Automation Hardware</t>
  </si>
  <si>
    <t>may include fieldworker handhelds, barcode hardware, etc.</t>
  </si>
  <si>
    <t>1.1.3b Workforce Automation Software</t>
  </si>
  <si>
    <t>Total Advanced Metering Communication Device (AMCD)</t>
  </si>
  <si>
    <t>1.2 ADVANCED METERING REGIONAL COLLECTOR (AMRC) (includes LAN)</t>
  </si>
  <si>
    <t>1.2.1 Collectors</t>
  </si>
  <si>
    <t>1.2.2 Repeaters</t>
  </si>
  <si>
    <t>may include radio licence, etc.</t>
  </si>
  <si>
    <t>1.2.3 Installation</t>
  </si>
  <si>
    <t>may include meter seals and rings, collector computer hardware, etc.</t>
  </si>
  <si>
    <t>Total Advanced Metering Regional Collector (AMRC) (includes LAN)</t>
  </si>
  <si>
    <t>1.3 ADVANCED METERING CONTROL COMPUTER (AMCC)</t>
  </si>
  <si>
    <t>1.3.1 Computer Hardware</t>
  </si>
  <si>
    <t>1.3.2 Computer Software</t>
  </si>
  <si>
    <t>1.3.3 Computer Software Licence &amp; Installation (includes hardware &amp; software)</t>
  </si>
  <si>
    <t>may include AS/400 disc space, backup &amp; recovery computer, UPS, etc</t>
  </si>
  <si>
    <t>Total Advanced Metering Control Computer (AMCC)</t>
  </si>
  <si>
    <t>1.4 WIDE AREA NETWORK (WAN)</t>
  </si>
  <si>
    <t>1.4.1 Activation Fees</t>
  </si>
  <si>
    <t>Total Wide Area Network (WAN)</t>
  </si>
  <si>
    <t>1.5 OTHER AMI CAPITAL COSTS RELATED TO MINIMUM FUNCTIONALITY</t>
  </si>
  <si>
    <t>1.5.1 Customer equipment (including repair of damaged equipment)</t>
  </si>
  <si>
    <t>1.5.2 AMI Interface to CIS</t>
  </si>
  <si>
    <t>1.5.3 Professional Fees</t>
  </si>
  <si>
    <t>1.5.4 Integration</t>
  </si>
  <si>
    <t>1.5.5 Program Management</t>
  </si>
  <si>
    <t>1.5.6 Other AMI Capital</t>
  </si>
  <si>
    <t>Total Other AMI Capital Costs Related To Minimum Functionality</t>
  </si>
  <si>
    <t>Total Capital Costs</t>
  </si>
  <si>
    <t>O M &amp; A</t>
  </si>
  <si>
    <t>2.1 ADVANCED METERING COMMUNICATION DEVICE (AMCD)</t>
  </si>
  <si>
    <t>2.1.1 Maintenance</t>
  </si>
  <si>
    <t>may include meter reverification costs, etc.</t>
  </si>
  <si>
    <t>Total Incremental AMI Operation Expenses</t>
  </si>
  <si>
    <t>2.2 ADVANCED METERING REGIONAL COLLECTOR (AMRC) (includes LAN)</t>
  </si>
  <si>
    <t>2.2.1 Maintenance</t>
  </si>
  <si>
    <t>2.3 ADVANCED METERING CONTROL COMPUTER (AMCC)</t>
  </si>
  <si>
    <t>2.3.1 Hardware Maintenance</t>
  </si>
  <si>
    <t>may include server support, etc</t>
  </si>
  <si>
    <t>2.3.2 Software Maintenance</t>
  </si>
  <si>
    <t>may include maintenance support, etc.</t>
  </si>
  <si>
    <t>2.4 WIDE AREA NETWORK (WAN)</t>
  </si>
  <si>
    <t>2.4.1 WIDE AREA NETWORK (WAN)</t>
  </si>
  <si>
    <t>may include serial to Ethernet hardware, etc.</t>
  </si>
  <si>
    <t>Total Incremental Other Operation Expenses</t>
  </si>
  <si>
    <t>2.5 OTHER AMI OM&amp;A COSTS RELATED TO MINIMUM FUNCTIONALITY</t>
  </si>
  <si>
    <t>2.5.1 Business Process Redesign</t>
  </si>
  <si>
    <t>2.5.2 Customer Communication</t>
  </si>
  <si>
    <t>may include project communication. etc.</t>
  </si>
  <si>
    <t>2.5.3 Program Management</t>
  </si>
  <si>
    <t>2.5.4 Change Management</t>
  </si>
  <si>
    <t>may include training, etc.</t>
  </si>
  <si>
    <t>2.5.5 Administration Cost</t>
  </si>
  <si>
    <t>2.5.6 Other AMI Expenses</t>
  </si>
  <si>
    <t>Total 2.5 Other AMI OM&amp;A Costs Related To Minimum Functionality</t>
  </si>
  <si>
    <t>Total O M &amp; A Costs</t>
  </si>
  <si>
    <t>Sheet 3.  LDC Assumptions and Data</t>
  </si>
  <si>
    <t>Assumptions:</t>
  </si>
  <si>
    <t>1. Planned meter installations occur evenly through the year.</t>
  </si>
  <si>
    <t>2. Year assumed January to December</t>
  </si>
  <si>
    <t>3. Amortization is straight line and has half year rule applied in first year</t>
  </si>
  <si>
    <t>2006 EDR Data Information</t>
  </si>
  <si>
    <t>Weighted Average Cost of Capital</t>
  </si>
  <si>
    <t>Working Capital Allowance %</t>
  </si>
  <si>
    <t>2006 EDR Tax Rate</t>
  </si>
  <si>
    <r>
      <t>Corporate Income Tax Rate</t>
    </r>
    <r>
      <rPr>
        <sz val="10"/>
        <rFont val="Arial"/>
        <family val="0"/>
      </rPr>
      <t xml:space="preserve"> </t>
    </r>
  </si>
  <si>
    <t>Computer Hardware</t>
  </si>
  <si>
    <t>Computer Software</t>
  </si>
  <si>
    <t>Operating Expense Data: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</si>
  <si>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</si>
  <si>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</si>
  <si>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</si>
  <si>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</si>
  <si>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</si>
  <si>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Per Meter Cost Split:</t>
  </si>
  <si>
    <t>Per Meter</t>
  </si>
  <si>
    <t>Installed</t>
  </si>
  <si>
    <t>Investment</t>
  </si>
  <si>
    <t>% of Invest</t>
  </si>
  <si>
    <t>Smart meter including installation</t>
  </si>
  <si>
    <t>Computer Hardware Costs</t>
  </si>
  <si>
    <t>Computer Software Costs</t>
  </si>
  <si>
    <t>Smart meter incremental operating expenses</t>
  </si>
  <si>
    <t>Total Smart Meter Capital Costs per meter</t>
  </si>
  <si>
    <t>Smart Meters</t>
  </si>
  <si>
    <t>Operation Expense</t>
  </si>
  <si>
    <t>Return on Rate Base</t>
  </si>
  <si>
    <t>Operating Expenses</t>
  </si>
  <si>
    <t>Incremental Operating Expenses</t>
  </si>
  <si>
    <t>Amortization Expenses</t>
  </si>
  <si>
    <t>Revenue Requirement Before PILs</t>
  </si>
  <si>
    <t>Revenue Requirement for Smart Meters</t>
  </si>
  <si>
    <t xml:space="preserve">Opening </t>
  </si>
  <si>
    <t>Int. Rate</t>
  </si>
  <si>
    <t>Interest</t>
  </si>
  <si>
    <t>Closing</t>
  </si>
  <si>
    <t>Average Asset Values</t>
  </si>
  <si>
    <t>Net Fixed Assets Smart Meters</t>
  </si>
  <si>
    <t>Net Fixed Assets Computer Hardware</t>
  </si>
  <si>
    <t>Net Fixed Assets Computer Software</t>
  </si>
  <si>
    <t>Net Fixed Assets Tools &amp; Equipment</t>
  </si>
  <si>
    <t>Net Fixed Assets Other Equipment</t>
  </si>
  <si>
    <t>Total Net Fixed Assets</t>
  </si>
  <si>
    <t>Working Capital</t>
  </si>
  <si>
    <t>Smart Meters included in Rate Base</t>
  </si>
  <si>
    <t>Amortization Expenses - Smart Meters</t>
  </si>
  <si>
    <t>Amortization Expenses - Computer Hardware</t>
  </si>
  <si>
    <t>Amortization Expenses - Computer Software</t>
  </si>
  <si>
    <t>Amortization Expenses -  Tools &amp; Equipment</t>
  </si>
  <si>
    <t>Amortization Expenses - Other Equipment</t>
  </si>
  <si>
    <t>Total Amortization Expenses</t>
  </si>
  <si>
    <t>Calculation of Taxable Income</t>
  </si>
  <si>
    <t>Depreciation Expenses</t>
  </si>
  <si>
    <t>Interest Expense</t>
  </si>
  <si>
    <t>Taxable Income For PILs</t>
  </si>
  <si>
    <r>
      <t>Grossed up PILs</t>
    </r>
    <r>
      <rPr>
        <i/>
        <sz val="8"/>
        <rFont val="Arial"/>
        <family val="2"/>
      </rPr>
      <t xml:space="preserve"> (5. PILs)</t>
    </r>
  </si>
  <si>
    <t>Sheet 5. PILs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</si>
  <si>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</si>
  <si>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</si>
  <si>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</si>
  <si>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</si>
  <si>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</si>
  <si>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</si>
  <si>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</si>
  <si>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</si>
  <si>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</si>
  <si>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</si>
  <si>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</si>
  <si>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</si>
  <si>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</si>
  <si>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</si>
  <si>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</si>
  <si>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</si>
  <si>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</si>
  <si>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</si>
  <si>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</si>
  <si>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</si>
  <si>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</si>
  <si>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</si>
  <si>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</si>
  <si>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</si>
  <si>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</si>
  <si>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</si>
  <si>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</si>
  <si>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</si>
  <si>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</si>
  <si>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Net Fixed Assets - Other Equipment</t>
  </si>
  <si>
    <t>For PILs Calculation</t>
  </si>
  <si>
    <t>UCC - Smart Meters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</si>
  <si>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</si>
  <si>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</si>
  <si>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</si>
  <si>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</si>
  <si>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</si>
  <si>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</si>
  <si>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</si>
  <si>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UCC - Computer Equipment</t>
  </si>
  <si>
    <t>Capital Additions Computer Hardware</t>
  </si>
  <si>
    <t>Capital Additions Computer Software</t>
  </si>
  <si>
    <t>UCC - General Equipment</t>
  </si>
  <si>
    <t>Capital Additions Tools &amp; Equipment</t>
  </si>
  <si>
    <t>Capital Additions Other Equipment</t>
  </si>
  <si>
    <r>
      <t>Sheet 1</t>
    </r>
    <r>
      <rPr>
        <b/>
        <sz val="20"/>
        <rFont val="Cooper Black"/>
        <family val="1"/>
      </rPr>
      <t xml:space="preserve"> Utility Information Sheet</t>
    </r>
  </si>
  <si>
    <r>
      <t>Capital Data:</t>
    </r>
    <r>
      <rPr>
        <i/>
        <sz val="8"/>
        <rFont val="Arial"/>
        <family val="2"/>
      </rPr>
      <t xml:space="preserve"> </t>
    </r>
  </si>
  <si>
    <r>
      <t>Weighted Debt Rate</t>
    </r>
    <r>
      <rPr>
        <i/>
        <sz val="8"/>
        <rFont val="Arial"/>
        <family val="2"/>
      </rPr>
      <t xml:space="preserve"> (3.  LDC Assumptions and Data)</t>
    </r>
  </si>
  <si>
    <r>
      <t>Proposed ROE</t>
    </r>
    <r>
      <rPr>
        <i/>
        <sz val="8"/>
        <rFont val="Arial"/>
        <family val="2"/>
      </rPr>
      <t xml:space="preserve"> (3.  LDC Assumptions and Data)</t>
    </r>
  </si>
  <si>
    <r>
      <t xml:space="preserve">Incremental Operating Expenses </t>
    </r>
    <r>
      <rPr>
        <i/>
        <sz val="8"/>
        <rFont val="Arial"/>
        <family val="2"/>
      </rPr>
      <t>(3.  LDC Assumptions and Data)</t>
    </r>
  </si>
  <si>
    <r>
      <t>Grossed up PILs</t>
    </r>
    <r>
      <rPr>
        <b/>
        <i/>
        <sz val="8"/>
        <rFont val="Arial"/>
        <family val="2"/>
      </rPr>
      <t xml:space="preserve"> (5. PILs)</t>
    </r>
  </si>
  <si>
    <r>
      <t>Amortization</t>
    </r>
    <r>
      <rPr>
        <i/>
        <sz val="8"/>
        <rFont val="Arial"/>
        <family val="2"/>
      </rPr>
      <t xml:space="preserve"> </t>
    </r>
  </si>
  <si>
    <r>
      <t xml:space="preserve">Tax Rate </t>
    </r>
    <r>
      <rPr>
        <i/>
        <sz val="8"/>
        <rFont val="Arial"/>
        <family val="2"/>
      </rPr>
      <t>(3.  LDC Assumptions and Data)</t>
    </r>
  </si>
  <si>
    <r>
      <t xml:space="preserve">Capital Investment </t>
    </r>
    <r>
      <rPr>
        <i/>
        <sz val="8"/>
        <rFont val="Arial"/>
        <family val="2"/>
      </rPr>
      <t>(3.  LDC Assumptions and Data)</t>
    </r>
  </si>
  <si>
    <r>
      <t>Capital Investment</t>
    </r>
    <r>
      <rPr>
        <i/>
        <sz val="8"/>
        <rFont val="Arial"/>
        <family val="2"/>
      </rPr>
      <t xml:space="preserve"> (3.  LDC Assumptions and Data)</t>
    </r>
  </si>
  <si>
    <t>Actual</t>
  </si>
  <si>
    <t>Audited Actual</t>
  </si>
  <si>
    <t>Forecasted</t>
  </si>
  <si>
    <t>Later</t>
  </si>
  <si>
    <t>Planned / Actual Meter Installations</t>
  </si>
  <si>
    <t>Percentage of Completion</t>
  </si>
  <si>
    <t>Other Equip.</t>
  </si>
  <si>
    <t>Tools &amp; Equip</t>
  </si>
  <si>
    <t>Depreciation Rates</t>
  </si>
  <si>
    <t>Smart Meter (years)</t>
  </si>
  <si>
    <t>Computer Hardware  (years)</t>
  </si>
  <si>
    <t>Computer Software  (years)</t>
  </si>
  <si>
    <t>Tools &amp; Equipment  (years)</t>
  </si>
  <si>
    <t>Other Equipment  (years)</t>
  </si>
  <si>
    <t>CCA Rates</t>
  </si>
  <si>
    <t>Sheet 6. Avg Net Fixed Assets &amp;UCC</t>
  </si>
  <si>
    <t>Computer Equipment</t>
  </si>
  <si>
    <t>CCA Class</t>
  </si>
  <si>
    <t>General Equipment</t>
  </si>
  <si>
    <t>CCA Rate Class</t>
  </si>
  <si>
    <t xml:space="preserve">CCA Rate </t>
  </si>
  <si>
    <t>CCA - Smart Meters</t>
  </si>
  <si>
    <t>CCA -  Other Equipment</t>
  </si>
  <si>
    <t>CCA -  Computers</t>
  </si>
  <si>
    <t>Smart Meter Revenue Requirement Calculation</t>
  </si>
  <si>
    <t>Sheet 4. Smart Meter Rev Req Calc</t>
  </si>
  <si>
    <t>Fund Adder</t>
  </si>
  <si>
    <t xml:space="preserve"> Approved Deferral and Variance Accounts </t>
  </si>
  <si>
    <t>Prescribed Interest Rate (per the Bankers' Acceptances-3 months Plus 0.25 Spread)</t>
  </si>
  <si>
    <t xml:space="preserve"> CWIP Account</t>
  </si>
  <si>
    <t>Prescribed Interest Rate (per the DEX Mid Term Corporate Bond Index Yield 2)</t>
  </si>
  <si>
    <t xml:space="preserve"> </t>
  </si>
  <si>
    <t xml:space="preserve">Q4 2008 </t>
  </si>
  <si>
    <t xml:space="preserve">Q3 2008 </t>
  </si>
  <si>
    <t xml:space="preserve">Q2 2008 </t>
  </si>
  <si>
    <t xml:space="preserve">Q1 2008 </t>
  </si>
  <si>
    <t xml:space="preserve">Q4 2007 </t>
  </si>
  <si>
    <t xml:space="preserve">Q3 2007 </t>
  </si>
  <si>
    <t xml:space="preserve">Q2 2007 </t>
  </si>
  <si>
    <t xml:space="preserve">Q1 2007 </t>
  </si>
  <si>
    <t xml:space="preserve">Q4 2006 </t>
  </si>
  <si>
    <t xml:space="preserve">Q3 2006 </t>
  </si>
  <si>
    <t xml:space="preserve">Q2 2006 </t>
  </si>
  <si>
    <t>Deemed Long Term Debt %</t>
  </si>
  <si>
    <t>Deemed Equity %</t>
  </si>
  <si>
    <t>Deemed Short Term Debt %</t>
  </si>
  <si>
    <t>Deemed Short Term Debt  Rate%</t>
  </si>
  <si>
    <t>Deemed Short Term Debt Rate%</t>
  </si>
  <si>
    <t>Q1 2009</t>
  </si>
  <si>
    <t>Q2 2009</t>
  </si>
  <si>
    <t>Q3 2009</t>
  </si>
  <si>
    <t>Q3 2010</t>
  </si>
  <si>
    <t>Q4 2009</t>
  </si>
  <si>
    <t>Q1 2010</t>
  </si>
  <si>
    <t>Q2 2010</t>
  </si>
  <si>
    <t>Sheet 7. Smart Meter Funding Adder Collected</t>
  </si>
  <si>
    <t>Sheet 8 Applied for Smart Meter Rate Adder</t>
  </si>
  <si>
    <t>Revenue Requirement - 2006</t>
  </si>
  <si>
    <t>Revenue Requirement - 2007</t>
  </si>
  <si>
    <t>Revenue Requirement - 2008</t>
  </si>
  <si>
    <t>Revenue Requirement - 2009</t>
  </si>
  <si>
    <t>Revenue Requirement - 2010</t>
  </si>
  <si>
    <t>Revenue Requirement - 2011</t>
  </si>
  <si>
    <t>Total Revenue Requirement</t>
  </si>
  <si>
    <t>Amount</t>
  </si>
  <si>
    <t>Description</t>
  </si>
  <si>
    <t>Smart Meter Rate Adder Collected</t>
  </si>
  <si>
    <t>Carrying Cost / Interest</t>
  </si>
  <si>
    <t>Proposed Smart Meter Recovery</t>
  </si>
  <si>
    <t>Date</t>
  </si>
  <si>
    <t>2011 Expected Metered Customers</t>
  </si>
  <si>
    <t>Proposed Smart Meter Rate Adder</t>
  </si>
  <si>
    <r>
      <t>Deemed Debt</t>
    </r>
  </si>
  <si>
    <r>
      <t>Deemed Equity</t>
    </r>
    <r>
      <rPr>
        <sz val="10"/>
        <rFont val="Arial"/>
        <family val="0"/>
      </rPr>
      <t xml:space="preserve"> </t>
    </r>
  </si>
  <si>
    <r>
      <t>Weighted Debt Rate</t>
    </r>
  </si>
  <si>
    <t>Proposed ROE</t>
  </si>
  <si>
    <t>Welland Hydro-Electric System Corp.</t>
  </si>
  <si>
    <t>ED-2003-0002</t>
  </si>
  <si>
    <t>Wayne Armstrong</t>
  </si>
  <si>
    <t>Director of Finance</t>
  </si>
  <si>
    <t>905-732-1381 Ext 234</t>
  </si>
  <si>
    <t>warmstrong@wellandhydro.com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</si>
</sst>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0.0%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0.000%"/>
    <numFmt numFmtId="179" formatCode="_-&quot;$&quot;* #,##0.000_-;\-&quot;$&quot;* #,##0.000_-;_-&quot;$&quot;* &quot;-&quot;??_-;_-@_-"/>
    <numFmt numFmtId="180" formatCode="_-&quot;$&quot;* #,##0.0000_-;\-&quot;$&quot;* #,##0.0000_-;_-&quot;$&quot;* &quot;-&quot;??_-;_-@_-"/>
    <numFmt numFmtId="181" formatCode="0.0000000000000000%"/>
    <numFmt numFmtId="182" formatCode="_-* #,##0.0000_-;\-* #,##0.0000_-;_-* &quot;-&quot;????_-;_-@_-"/>
    <numFmt numFmtId="183" formatCode="_-&quot;$&quot;* #,##0.00000_-;\-&quot;$&quot;* #,##0.00000_-;_-&quot;$&quot;* &quot;-&quot;??_-;_-@_-"/>
    <numFmt numFmtId="184" formatCode="_-&quot;$&quot;* #,##0.000000_-;\-&quot;$&quot;* #,##0.000000_-;_-&quot;$&quot;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0.0000"/>
    <numFmt numFmtId="191" formatCode="&quot;$&quot;#,##0.0000"/>
    <numFmt numFmtId="192" formatCode="[&lt;=9999999]###\-####;###\-###\-####"/>
    <numFmt numFmtId="193" formatCode="[$-409]h:mm:ss\ AM/PM"/>
    <numFmt numFmtId="194" formatCode="[$-1009]mmmm\ d\,\ yyyy"/>
    <numFmt numFmtId="195" formatCode="[$-F800]dddd\,\ mmmm\ dd\,\ yyyy"/>
    <numFmt numFmtId="196" formatCode="0.000"/>
    <numFmt numFmtId="197" formatCode="&quot;$&quot;#,##0.000;[Red]\-&quot;$&quot;#,##0.000"/>
    <numFmt numFmtId="198" formatCode="&quot;$&quot;#,##0.0000;[Red]\-&quot;$&quot;#,##0.0000"/>
    <numFmt numFmtId="199" formatCode="0.0"/>
    <numFmt numFmtId="200" formatCode="#,##0.0000_);\(#,##0.0000\)"/>
    <numFmt numFmtId="201" formatCode="#,##0.0000"/>
    <numFmt numFmtId="202" formatCode="#,##0.00_ ;\-#,##0.00\ "/>
    <numFmt numFmtId="203" formatCode="_-&quot;$&quot;* #,##0.0000_-;\-&quot;$&quot;* #,##0.0000_-;_-&quot;$&quot;* &quot;-&quot;????_-;_-@_-"/>
    <numFmt numFmtId="204" formatCode="&quot;$&quot;#,##0.0000;\-&quot;$&quot;#,##0.0000"/>
    <numFmt numFmtId="205" formatCode="#,##0.00000_);\(#,##0.00000\)"/>
    <numFmt numFmtId="206" formatCode="#,##0.000000_);\(#,##0.000000\)"/>
    <numFmt numFmtId="207" formatCode="#,##0.0000000_);\(#,##0.0000000\)"/>
    <numFmt numFmtId="208" formatCode="#,##0.000"/>
    <numFmt numFmtId="209" formatCode="#,##0.0"/>
    <numFmt numFmtId="210" formatCode="[$-409]dddd\,\ mmmm\ dd\,\ yyyy"/>
    <numFmt numFmtId="211" formatCode="&quot;$&quot;#,##0.000"/>
    <numFmt numFmtId="212" formatCode="[$-409]mmmm\ d\,\ yyyy;@"/>
    <numFmt numFmtId="213" formatCode="#,##0.00;\(#,##0.00\)"/>
    <numFmt numFmtId="214" formatCode="#,##0.00_ ;\(#,##0.00\)"/>
    <numFmt numFmtId="215" formatCode="00000"/>
    <numFmt numFmtId="216" formatCode="#,##0.0000_ ;\(#,##0.0000\)"/>
    <numFmt numFmtId="217" formatCode="#,##0.0000;\(#,##0.0000\)"/>
    <numFmt numFmtId="218" formatCode="_-* #,##0.000_-;\-* #,##0.000_-;_-* &quot;-&quot;??_-;_-@_-"/>
  </numFmts>
  <fonts count="4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0"/>
      <name val="Cooper Black"/>
      <family val="1"/>
    </font>
    <font>
      <b/>
      <sz val="20"/>
      <color indexed="10"/>
      <name val="Cooper Black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color indexed="9"/>
      <name val="Arial"/>
      <family val="0"/>
    </font>
    <font>
      <sz val="12"/>
      <color indexed="18"/>
      <name val="Cooper Black"/>
      <family val="1"/>
    </font>
    <font>
      <sz val="11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u val="single"/>
      <sz val="12"/>
      <name val="Cooper Black"/>
      <family val="1"/>
    </font>
    <font>
      <sz val="8"/>
      <color indexed="18"/>
      <name val="Cooper Black"/>
      <family val="1"/>
    </font>
    <font>
      <b/>
      <sz val="16"/>
      <color indexed="10"/>
      <name val="Cooper Black"/>
      <family val="1"/>
    </font>
    <font>
      <b/>
      <sz val="14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4"/>
      <color indexed="10"/>
      <name val="Cooper Black"/>
      <family val="1"/>
    </font>
    <font>
      <sz val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>
      <alignment/>
    </xf>
    <xf numFmtId="0" fontId="4" fillId="20" borderId="0" xfId="0" applyFont="1" applyFill="1" applyBorder="1" applyAlignment="1" applyProtection="1">
      <alignment/>
      <protection/>
    </xf>
    <xf numFmtId="0" fontId="10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11" fillId="24" borderId="0" xfId="0" applyFont="1" applyFill="1" applyAlignment="1" applyProtection="1">
      <alignment horizontal="right" indent="1"/>
      <protection/>
    </xf>
    <xf numFmtId="0" fontId="13" fillId="24" borderId="0" xfId="0" applyFont="1" applyFill="1" applyAlignment="1" applyProtection="1">
      <alignment horizontal="left" indent="4"/>
      <protection/>
    </xf>
    <xf numFmtId="0" fontId="12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/>
      <protection/>
    </xf>
    <xf numFmtId="212" fontId="12" fillId="25" borderId="10" xfId="0" applyNumberFormat="1" applyFont="1" applyFill="1" applyBorder="1" applyAlignment="1" applyProtection="1">
      <alignment horizontal="left"/>
      <protection locked="0"/>
    </xf>
    <xf numFmtId="0" fontId="12" fillId="26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right" indent="1"/>
      <protection/>
    </xf>
    <xf numFmtId="0" fontId="12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7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3" fillId="24" borderId="0" xfId="0" applyFont="1" applyFill="1" applyAlignment="1">
      <alignment/>
    </xf>
    <xf numFmtId="0" fontId="18" fillId="24" borderId="0" xfId="0" applyFont="1" applyFill="1" applyAlignment="1" applyProtection="1">
      <alignment/>
      <protection/>
    </xf>
    <xf numFmtId="0" fontId="4" fillId="20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left" vertical="top" indent="2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left" indent="1"/>
      <protection/>
    </xf>
    <xf numFmtId="176" fontId="0" fillId="4" borderId="0" xfId="42" applyNumberFormat="1" applyFill="1" applyAlignment="1" applyProtection="1">
      <alignment/>
      <protection locked="0"/>
    </xf>
    <xf numFmtId="176" fontId="0" fillId="24" borderId="0" xfId="0" applyNumberForma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176" fontId="0" fillId="24" borderId="11" xfId="42" applyNumberFormat="1" applyFill="1" applyBorder="1" applyAlignment="1" applyProtection="1">
      <alignment/>
      <protection/>
    </xf>
    <xf numFmtId="176" fontId="0" fillId="24" borderId="12" xfId="42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1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left" indent="2"/>
      <protection/>
    </xf>
    <xf numFmtId="0" fontId="0" fillId="24" borderId="0" xfId="0" applyFill="1" applyAlignment="1" applyProtection="1">
      <alignment horizontal="left" indent="2"/>
      <protection/>
    </xf>
    <xf numFmtId="0" fontId="7" fillId="24" borderId="0" xfId="0" applyFont="1" applyFill="1" applyAlignment="1" applyProtection="1">
      <alignment horizontal="left" indent="2"/>
      <protection/>
    </xf>
    <xf numFmtId="173" fontId="9" fillId="4" borderId="13" xfId="44" applyNumberFormat="1" applyFont="1" applyFill="1" applyBorder="1" applyAlignment="1" applyProtection="1">
      <alignment/>
      <protection locked="0"/>
    </xf>
    <xf numFmtId="173" fontId="0" fillId="24" borderId="0" xfId="0" applyNumberFormat="1" applyFill="1" applyAlignment="1" applyProtection="1">
      <alignment/>
      <protection/>
    </xf>
    <xf numFmtId="0" fontId="20" fillId="24" borderId="0" xfId="0" applyFont="1" applyFill="1" applyAlignment="1" applyProtection="1">
      <alignment horizontal="left" wrapText="1" indent="2"/>
      <protection/>
    </xf>
    <xf numFmtId="173" fontId="7" fillId="24" borderId="12" xfId="44" applyNumberFormat="1" applyFont="1" applyFill="1" applyBorder="1" applyAlignment="1" applyProtection="1">
      <alignment/>
      <protection/>
    </xf>
    <xf numFmtId="173" fontId="0" fillId="24" borderId="0" xfId="44" applyNumberFormat="1" applyFill="1" applyAlignment="1" applyProtection="1">
      <alignment/>
      <protection/>
    </xf>
    <xf numFmtId="173" fontId="7" fillId="24" borderId="0" xfId="44" applyNumberFormat="1" applyFont="1" applyFill="1" applyBorder="1" applyAlignment="1" applyProtection="1">
      <alignment/>
      <protection/>
    </xf>
    <xf numFmtId="0" fontId="0" fillId="24" borderId="0" xfId="0" applyFill="1" applyAlignment="1">
      <alignment horizontal="left" indent="2"/>
    </xf>
    <xf numFmtId="173" fontId="7" fillId="24" borderId="14" xfId="44" applyNumberFormat="1" applyFont="1" applyFill="1" applyBorder="1" applyAlignment="1" applyProtection="1">
      <alignment/>
      <protection/>
    </xf>
    <xf numFmtId="171" fontId="7" fillId="24" borderId="0" xfId="42" applyFont="1" applyFill="1" applyBorder="1" applyAlignment="1" applyProtection="1">
      <alignment/>
      <protection/>
    </xf>
    <xf numFmtId="173" fontId="7" fillId="24" borderId="14" xfId="0" applyNumberFormat="1" applyFont="1" applyFill="1" applyBorder="1" applyAlignment="1">
      <alignment/>
    </xf>
    <xf numFmtId="0" fontId="14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7" fillId="24" borderId="0" xfId="0" applyFont="1" applyFill="1" applyAlignment="1" applyProtection="1">
      <alignment horizontal="left" indent="1"/>
      <protection/>
    </xf>
    <xf numFmtId="0" fontId="7" fillId="24" borderId="0" xfId="0" applyFont="1" applyFill="1" applyAlignment="1" applyProtection="1">
      <alignment horizontal="left"/>
      <protection/>
    </xf>
    <xf numFmtId="10" fontId="0" fillId="24" borderId="0" xfId="61" applyNumberFormat="1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 indent="1"/>
      <protection/>
    </xf>
    <xf numFmtId="0" fontId="3" fillId="0" borderId="0" xfId="57">
      <alignment/>
      <protection/>
    </xf>
    <xf numFmtId="0" fontId="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173" fontId="0" fillId="24" borderId="0" xfId="0" applyNumberFormat="1" applyFill="1" applyBorder="1" applyAlignment="1" applyProtection="1">
      <alignment/>
      <protection/>
    </xf>
    <xf numFmtId="170" fontId="0" fillId="24" borderId="0" xfId="44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170" fontId="0" fillId="24" borderId="16" xfId="44" applyFill="1" applyBorder="1" applyAlignment="1" applyProtection="1">
      <alignment/>
      <protection/>
    </xf>
    <xf numFmtId="170" fontId="0" fillId="24" borderId="15" xfId="44" applyFill="1" applyBorder="1" applyAlignment="1" applyProtection="1">
      <alignment/>
      <protection/>
    </xf>
    <xf numFmtId="174" fontId="8" fillId="24" borderId="16" xfId="61" applyNumberFormat="1" applyFont="1" applyFill="1" applyBorder="1" applyAlignment="1" applyProtection="1">
      <alignment horizontal="center"/>
      <protection/>
    </xf>
    <xf numFmtId="9" fontId="0" fillId="24" borderId="16" xfId="0" applyNumberFormat="1" applyFill="1" applyBorder="1" applyAlignment="1" applyProtection="1">
      <alignment/>
      <protection/>
    </xf>
    <xf numFmtId="173" fontId="0" fillId="24" borderId="15" xfId="0" applyNumberFormat="1" applyFill="1" applyBorder="1" applyAlignment="1" applyProtection="1">
      <alignment/>
      <protection/>
    </xf>
    <xf numFmtId="170" fontId="0" fillId="24" borderId="15" xfId="44" applyFont="1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170" fontId="0" fillId="24" borderId="18" xfId="44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14" fillId="24" borderId="0" xfId="0" applyFont="1" applyFill="1" applyAlignment="1" applyProtection="1">
      <alignment horizontal="left"/>
      <protection/>
    </xf>
    <xf numFmtId="10" fontId="0" fillId="24" borderId="0" xfId="0" applyNumberForma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 wrapText="1"/>
      <protection/>
    </xf>
    <xf numFmtId="174" fontId="0" fillId="24" borderId="0" xfId="61" applyNumberFormat="1" applyFill="1" applyAlignment="1" applyProtection="1">
      <alignment/>
      <protection/>
    </xf>
    <xf numFmtId="0" fontId="41" fillId="24" borderId="0" xfId="0" applyFont="1" applyFill="1" applyAlignment="1" applyProtection="1">
      <alignment/>
      <protection/>
    </xf>
    <xf numFmtId="0" fontId="20" fillId="24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horizontal="center"/>
      <protection/>
    </xf>
    <xf numFmtId="0" fontId="0" fillId="24" borderId="0" xfId="0" applyFont="1" applyFill="1" applyAlignment="1" applyProtection="1">
      <alignment horizontal="center"/>
      <protection/>
    </xf>
    <xf numFmtId="0" fontId="42" fillId="24" borderId="0" xfId="0" applyFont="1" applyFill="1" applyAlignment="1">
      <alignment/>
    </xf>
    <xf numFmtId="176" fontId="0" fillId="24" borderId="0" xfId="42" applyNumberFormat="1" applyFill="1" applyBorder="1" applyAlignment="1" applyProtection="1">
      <alignment/>
      <protection/>
    </xf>
    <xf numFmtId="9" fontId="0" fillId="24" borderId="0" xfId="61" applyFill="1" applyBorder="1" applyAlignment="1" applyProtection="1">
      <alignment/>
      <protection/>
    </xf>
    <xf numFmtId="0" fontId="14" fillId="27" borderId="0" xfId="0" applyFont="1" applyFill="1" applyAlignment="1" applyProtection="1">
      <alignment horizontal="left" indent="2"/>
      <protection/>
    </xf>
    <xf numFmtId="0" fontId="20" fillId="24" borderId="11" xfId="0" applyFont="1" applyFill="1" applyBorder="1" applyAlignment="1" applyProtection="1">
      <alignment vertical="top"/>
      <protection/>
    </xf>
    <xf numFmtId="0" fontId="20" fillId="24" borderId="19" xfId="0" applyFont="1" applyFill="1" applyBorder="1" applyAlignment="1" applyProtection="1">
      <alignment vertical="top"/>
      <protection/>
    </xf>
    <xf numFmtId="9" fontId="0" fillId="4" borderId="0" xfId="61" applyFont="1" applyFill="1" applyAlignment="1" applyProtection="1">
      <alignment horizontal="center"/>
      <protection locked="0"/>
    </xf>
    <xf numFmtId="9" fontId="0" fillId="28" borderId="0" xfId="61" applyFont="1" applyFill="1" applyAlignment="1" applyProtection="1">
      <alignment horizontal="center"/>
      <protection/>
    </xf>
    <xf numFmtId="10" fontId="0" fillId="4" borderId="0" xfId="61" applyNumberFormat="1" applyFont="1" applyFill="1" applyAlignment="1" applyProtection="1">
      <alignment horizontal="center"/>
      <protection locked="0"/>
    </xf>
    <xf numFmtId="176" fontId="0" fillId="4" borderId="0" xfId="42" applyNumberFormat="1" applyFill="1" applyAlignment="1" applyProtection="1">
      <alignment horizontal="center"/>
      <protection locked="0"/>
    </xf>
    <xf numFmtId="171" fontId="20" fillId="24" borderId="20" xfId="42" applyFont="1" applyFill="1" applyBorder="1" applyAlignment="1" applyProtection="1">
      <alignment/>
      <protection/>
    </xf>
    <xf numFmtId="171" fontId="0" fillId="24" borderId="0" xfId="42" applyFill="1" applyAlignment="1" applyProtection="1">
      <alignment/>
      <protection/>
    </xf>
    <xf numFmtId="10" fontId="0" fillId="28" borderId="0" xfId="61" applyNumberFormat="1" applyFont="1" applyFill="1" applyAlignment="1" applyProtection="1">
      <alignment horizontal="center"/>
      <protection/>
    </xf>
    <xf numFmtId="173" fontId="0" fillId="28" borderId="0" xfId="44" applyNumberFormat="1" applyFont="1" applyFill="1" applyAlignment="1" applyProtection="1">
      <alignment/>
      <protection/>
    </xf>
    <xf numFmtId="173" fontId="0" fillId="28" borderId="0" xfId="0" applyNumberFormat="1" applyFill="1" applyAlignment="1" applyProtection="1">
      <alignment/>
      <protection/>
    </xf>
    <xf numFmtId="173" fontId="0" fillId="28" borderId="12" xfId="0" applyNumberFormat="1" applyFill="1" applyBorder="1" applyAlignment="1" applyProtection="1">
      <alignment/>
      <protection/>
    </xf>
    <xf numFmtId="173" fontId="0" fillId="28" borderId="0" xfId="44" applyNumberFormat="1" applyFill="1" applyAlignment="1" applyProtection="1">
      <alignment/>
      <protection/>
    </xf>
    <xf numFmtId="173" fontId="0" fillId="28" borderId="12" xfId="44" applyNumberFormat="1" applyFont="1" applyFill="1" applyBorder="1" applyAlignment="1" applyProtection="1">
      <alignment/>
      <protection/>
    </xf>
    <xf numFmtId="173" fontId="0" fillId="28" borderId="12" xfId="44" applyNumberFormat="1" applyFill="1" applyBorder="1" applyAlignment="1" applyProtection="1">
      <alignment/>
      <protection/>
    </xf>
    <xf numFmtId="170" fontId="0" fillId="28" borderId="0" xfId="44" applyFill="1" applyAlignment="1" applyProtection="1">
      <alignment/>
      <protection/>
    </xf>
    <xf numFmtId="176" fontId="0" fillId="28" borderId="0" xfId="42" applyNumberFormat="1" applyFill="1" applyAlignment="1" applyProtection="1">
      <alignment/>
      <protection/>
    </xf>
    <xf numFmtId="9" fontId="0" fillId="28" borderId="0" xfId="61" applyFill="1" applyAlignment="1" applyProtection="1">
      <alignment/>
      <protection/>
    </xf>
    <xf numFmtId="170" fontId="0" fillId="28" borderId="11" xfId="0" applyNumberFormat="1" applyFill="1" applyBorder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173" fontId="0" fillId="28" borderId="11" xfId="0" applyNumberFormat="1" applyFill="1" applyBorder="1" applyAlignment="1" applyProtection="1">
      <alignment/>
      <protection/>
    </xf>
    <xf numFmtId="9" fontId="0" fillId="28" borderId="11" xfId="0" applyNumberForma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/>
      <protection/>
    </xf>
    <xf numFmtId="0" fontId="0" fillId="24" borderId="0" xfId="0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4" borderId="0" xfId="44" applyNumberFormat="1" applyFill="1" applyBorder="1" applyAlignment="1" applyProtection="1">
      <alignment horizontal="center"/>
      <protection/>
    </xf>
    <xf numFmtId="9" fontId="0" fillId="24" borderId="0" xfId="61" applyFill="1" applyBorder="1" applyAlignment="1" applyProtection="1">
      <alignment horizontal="center"/>
      <protection/>
    </xf>
    <xf numFmtId="170" fontId="0" fillId="24" borderId="21" xfId="44" applyFill="1" applyBorder="1" applyAlignment="1" applyProtection="1">
      <alignment/>
      <protection/>
    </xf>
    <xf numFmtId="173" fontId="3" fillId="4" borderId="0" xfId="44" applyNumberFormat="1" applyFont="1" applyFill="1" applyAlignment="1">
      <alignment/>
    </xf>
    <xf numFmtId="173" fontId="3" fillId="28" borderId="0" xfId="44" applyNumberFormat="1" applyFont="1" applyFill="1" applyAlignment="1">
      <alignment/>
    </xf>
    <xf numFmtId="173" fontId="3" fillId="28" borderId="0" xfId="57" applyNumberFormat="1" applyFill="1">
      <alignment/>
      <protection/>
    </xf>
    <xf numFmtId="0" fontId="14" fillId="28" borderId="0" xfId="57" applyFont="1" applyFill="1">
      <alignment/>
      <protection/>
    </xf>
    <xf numFmtId="0" fontId="14" fillId="28" borderId="0" xfId="57" applyFont="1" applyFill="1" applyAlignment="1">
      <alignment horizontal="center" wrapText="1"/>
      <protection/>
    </xf>
    <xf numFmtId="0" fontId="14" fillId="28" borderId="0" xfId="57" applyFont="1" applyFill="1" applyAlignment="1">
      <alignment horizontal="center"/>
      <protection/>
    </xf>
    <xf numFmtId="9" fontId="0" fillId="28" borderId="0" xfId="61" applyFont="1" applyFill="1" applyAlignment="1" applyProtection="1">
      <alignment horizontal="center"/>
      <protection locked="0"/>
    </xf>
    <xf numFmtId="10" fontId="0" fillId="28" borderId="0" xfId="61" applyNumberFormat="1" applyFont="1" applyFill="1" applyAlignment="1" applyProtection="1">
      <alignment horizontal="center"/>
      <protection locked="0"/>
    </xf>
    <xf numFmtId="4" fontId="14" fillId="28" borderId="0" xfId="57" applyNumberFormat="1" applyFont="1" applyFill="1" applyAlignment="1">
      <alignment horizontal="center"/>
      <protection/>
    </xf>
    <xf numFmtId="173" fontId="3" fillId="28" borderId="12" xfId="57" applyNumberFormat="1" applyFill="1" applyBorder="1">
      <alignment/>
      <protection/>
    </xf>
    <xf numFmtId="0" fontId="7" fillId="24" borderId="0" xfId="0" applyFont="1" applyFill="1" applyAlignment="1">
      <alignment/>
    </xf>
    <xf numFmtId="0" fontId="0" fillId="24" borderId="0" xfId="0" applyFill="1" applyAlignment="1">
      <alignment horizontal="left" indent="1"/>
    </xf>
    <xf numFmtId="170" fontId="0" fillId="28" borderId="0" xfId="0" applyNumberFormat="1" applyFill="1" applyAlignment="1">
      <alignment/>
    </xf>
    <xf numFmtId="170" fontId="0" fillId="28" borderId="12" xfId="0" applyNumberFormat="1" applyFill="1" applyBorder="1" applyAlignment="1">
      <alignment/>
    </xf>
    <xf numFmtId="170" fontId="0" fillId="28" borderId="0" xfId="44" applyFill="1" applyAlignment="1">
      <alignment/>
    </xf>
    <xf numFmtId="0" fontId="3" fillId="24" borderId="0" xfId="57" applyFill="1" applyAlignment="1">
      <alignment horizontal="center"/>
      <protection/>
    </xf>
    <xf numFmtId="0" fontId="3" fillId="24" borderId="0" xfId="57" applyFill="1">
      <alignment/>
      <protection/>
    </xf>
    <xf numFmtId="0" fontId="14" fillId="24" borderId="0" xfId="57" applyFont="1" applyFill="1" applyAlignment="1">
      <alignment horizontal="center"/>
      <protection/>
    </xf>
    <xf numFmtId="17" fontId="3" fillId="24" borderId="0" xfId="57" applyNumberFormat="1" applyFill="1" applyAlignment="1">
      <alignment horizontal="center"/>
      <protection/>
    </xf>
    <xf numFmtId="10" fontId="3" fillId="24" borderId="0" xfId="57" applyNumberFormat="1" applyFill="1">
      <alignment/>
      <protection/>
    </xf>
    <xf numFmtId="10" fontId="3" fillId="24" borderId="0" xfId="61" applyNumberFormat="1" applyFont="1" applyFill="1" applyAlignment="1">
      <alignment/>
    </xf>
    <xf numFmtId="170" fontId="7" fillId="28" borderId="0" xfId="44" applyFont="1" applyFill="1" applyAlignment="1">
      <alignment/>
    </xf>
    <xf numFmtId="170" fontId="8" fillId="28" borderId="0" xfId="44" applyFont="1" applyFill="1" applyAlignment="1" applyProtection="1">
      <alignment/>
      <protection/>
    </xf>
    <xf numFmtId="170" fontId="0" fillId="28" borderId="11" xfId="44" applyFill="1" applyBorder="1" applyAlignment="1" applyProtection="1">
      <alignment/>
      <protection/>
    </xf>
    <xf numFmtId="10" fontId="8" fillId="28" borderId="0" xfId="0" applyNumberFormat="1" applyFont="1" applyFill="1" applyAlignment="1" applyProtection="1">
      <alignment horizontal="center"/>
      <protection/>
    </xf>
    <xf numFmtId="170" fontId="8" fillId="28" borderId="0" xfId="44" applyFont="1" applyFill="1" applyBorder="1" applyAlignment="1" applyProtection="1">
      <alignment/>
      <protection/>
    </xf>
    <xf numFmtId="170" fontId="8" fillId="28" borderId="22" xfId="44" applyFont="1" applyFill="1" applyBorder="1" applyAlignment="1" applyProtection="1">
      <alignment/>
      <protection/>
    </xf>
    <xf numFmtId="178" fontId="0" fillId="28" borderId="0" xfId="61" applyNumberFormat="1" applyFill="1" applyAlignment="1" applyProtection="1">
      <alignment/>
      <protection/>
    </xf>
    <xf numFmtId="178" fontId="0" fillId="28" borderId="0" xfId="58" applyNumberFormat="1" applyFill="1">
      <alignment/>
      <protection/>
    </xf>
    <xf numFmtId="170" fontId="24" fillId="28" borderId="11" xfId="44" applyFont="1" applyFill="1" applyBorder="1" applyAlignment="1" applyProtection="1">
      <alignment/>
      <protection/>
    </xf>
    <xf numFmtId="170" fontId="0" fillId="28" borderId="12" xfId="44" applyFill="1" applyBorder="1" applyAlignment="1" applyProtection="1">
      <alignment/>
      <protection/>
    </xf>
    <xf numFmtId="170" fontId="9" fillId="28" borderId="11" xfId="44" applyFont="1" applyFill="1" applyBorder="1" applyAlignment="1" applyProtection="1">
      <alignment/>
      <protection/>
    </xf>
    <xf numFmtId="170" fontId="9" fillId="28" borderId="12" xfId="44" applyFont="1" applyFill="1" applyBorder="1" applyAlignment="1" applyProtection="1">
      <alignment/>
      <protection/>
    </xf>
    <xf numFmtId="170" fontId="8" fillId="28" borderId="16" xfId="44" applyFont="1" applyFill="1" applyBorder="1" applyAlignment="1" applyProtection="1">
      <alignment/>
      <protection/>
    </xf>
    <xf numFmtId="170" fontId="0" fillId="28" borderId="23" xfId="44" applyFill="1" applyBorder="1" applyAlignment="1" applyProtection="1">
      <alignment/>
      <protection/>
    </xf>
    <xf numFmtId="170" fontId="0" fillId="28" borderId="0" xfId="44" applyFill="1" applyBorder="1" applyAlignment="1" applyProtection="1">
      <alignment/>
      <protection/>
    </xf>
    <xf numFmtId="170" fontId="0" fillId="28" borderId="16" xfId="44" applyFill="1" applyBorder="1" applyAlignment="1" applyProtection="1">
      <alignment/>
      <protection/>
    </xf>
    <xf numFmtId="170" fontId="0" fillId="28" borderId="15" xfId="44" applyFill="1" applyBorder="1" applyAlignment="1" applyProtection="1">
      <alignment/>
      <protection/>
    </xf>
    <xf numFmtId="170" fontId="8" fillId="28" borderId="15" xfId="44" applyFont="1" applyFill="1" applyBorder="1" applyAlignment="1" applyProtection="1">
      <alignment/>
      <protection/>
    </xf>
    <xf numFmtId="170" fontId="9" fillId="28" borderId="15" xfId="44" applyFont="1" applyFill="1" applyBorder="1" applyAlignment="1" applyProtection="1">
      <alignment/>
      <protection/>
    </xf>
    <xf numFmtId="170" fontId="0" fillId="28" borderId="24" xfId="44" applyFill="1" applyBorder="1" applyAlignment="1" applyProtection="1">
      <alignment/>
      <protection/>
    </xf>
    <xf numFmtId="170" fontId="9" fillId="28" borderId="24" xfId="44" applyFont="1" applyFill="1" applyBorder="1" applyAlignment="1" applyProtection="1">
      <alignment/>
      <protection/>
    </xf>
    <xf numFmtId="170" fontId="0" fillId="28" borderId="15" xfId="44" applyFont="1" applyFill="1" applyBorder="1" applyAlignment="1" applyProtection="1">
      <alignment/>
      <protection/>
    </xf>
    <xf numFmtId="170" fontId="7" fillId="28" borderId="25" xfId="44" applyFont="1" applyFill="1" applyBorder="1" applyAlignment="1" applyProtection="1">
      <alignment/>
      <protection/>
    </xf>
    <xf numFmtId="173" fontId="0" fillId="24" borderId="0" xfId="44" applyNumberFormat="1" applyFill="1" applyAlignment="1" applyProtection="1">
      <alignment/>
      <protection/>
    </xf>
    <xf numFmtId="0" fontId="2" fillId="25" borderId="26" xfId="53" applyFill="1" applyBorder="1" applyAlignment="1" applyProtection="1">
      <alignment horizontal="left"/>
      <protection locked="0"/>
    </xf>
    <xf numFmtId="0" fontId="0" fillId="25" borderId="27" xfId="0" applyFont="1" applyFill="1" applyBorder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right" indent="1"/>
      <protection/>
    </xf>
    <xf numFmtId="0" fontId="12" fillId="25" borderId="26" xfId="0" applyFont="1" applyFill="1" applyBorder="1" applyAlignment="1" applyProtection="1">
      <alignment horizontal="left"/>
      <protection locked="0"/>
    </xf>
    <xf numFmtId="0" fontId="12" fillId="25" borderId="27" xfId="0" applyFont="1" applyFill="1" applyBorder="1" applyAlignment="1" applyProtection="1">
      <alignment horizontal="left"/>
      <protection locked="0"/>
    </xf>
    <xf numFmtId="0" fontId="41" fillId="24" borderId="0" xfId="0" applyFont="1" applyFill="1" applyAlignment="1" applyProtection="1">
      <alignment/>
      <protection/>
    </xf>
    <xf numFmtId="0" fontId="20" fillId="24" borderId="19" xfId="0" applyFont="1" applyFill="1" applyBorder="1" applyAlignment="1" applyProtection="1">
      <alignment horizontal="center" vertical="top"/>
      <protection/>
    </xf>
    <xf numFmtId="0" fontId="18" fillId="24" borderId="0" xfId="0" applyFont="1" applyFill="1" applyAlignment="1" applyProtection="1">
      <alignment/>
      <protection/>
    </xf>
    <xf numFmtId="0" fontId="19" fillId="24" borderId="28" xfId="0" applyFont="1" applyFill="1" applyBorder="1" applyAlignment="1" applyProtection="1">
      <alignment horizontal="center"/>
      <protection/>
    </xf>
    <xf numFmtId="0" fontId="19" fillId="24" borderId="20" xfId="0" applyFont="1" applyFill="1" applyBorder="1" applyAlignment="1" applyProtection="1">
      <alignment horizontal="center"/>
      <protection/>
    </xf>
    <xf numFmtId="0" fontId="19" fillId="24" borderId="29" xfId="0" applyFont="1" applyFill="1" applyBorder="1" applyAlignment="1" applyProtection="1">
      <alignment horizontal="center"/>
      <protection/>
    </xf>
    <xf numFmtId="0" fontId="19" fillId="24" borderId="17" xfId="0" applyFont="1" applyFill="1" applyBorder="1" applyAlignment="1" applyProtection="1">
      <alignment horizontal="center"/>
      <protection/>
    </xf>
    <xf numFmtId="0" fontId="19" fillId="24" borderId="18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culation of Revenue Requirement" xfId="57"/>
    <cellStyle name="Normal_Tax Rates for 2006-2012_Sep4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0</xdr:rowOff>
    </xdr:from>
    <xdr:to>
      <xdr:col>5</xdr:col>
      <xdr:colOff>142875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52550" y="323850"/>
          <a:ext cx="5876925" cy="0"/>
        </a:xfrm>
        <a:prstGeom prst="rect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rmstrong@wellandhydr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21"/>
  <sheetViews>
    <sheetView showGridLines="0" zoomScalePageLayoutView="0" workbookViewId="0" topLeftCell="A1">
      <selection activeCell="B38" sqref="B38"/>
    </sheetView>
  </sheetViews>
  <sheetFormatPr defaultColWidth="9.140625" defaultRowHeight="12.75"/>
  <cols>
    <col min="1" max="1" width="18.57421875" style="7" customWidth="1"/>
    <col min="2" max="2" width="15.28125" style="7" customWidth="1"/>
    <col min="3" max="3" width="23.7109375" style="7" customWidth="1"/>
    <col min="4" max="4" width="29.57421875" style="7" customWidth="1"/>
    <col min="5" max="5" width="19.140625" style="7" customWidth="1"/>
    <col min="6" max="6" width="11.8515625" style="7" customWidth="1"/>
    <col min="7" max="7" width="9.8515625" style="7" customWidth="1"/>
    <col min="8" max="8" width="13.00390625" style="7" customWidth="1"/>
    <col min="9" max="9" width="8.8515625" style="0" customWidth="1"/>
    <col min="245" max="245" width="51.140625" style="0" customWidth="1"/>
    <col min="246" max="246" width="7.8515625" style="0" customWidth="1"/>
    <col min="247" max="247" width="13.421875" style="0" customWidth="1"/>
    <col min="248" max="249" width="12.7109375" style="0" customWidth="1"/>
  </cols>
  <sheetData>
    <row r="1" spans="1:8" ht="25.5">
      <c r="A1" s="1"/>
      <c r="B1" s="4" t="s">
        <v>194</v>
      </c>
      <c r="C1" s="1"/>
      <c r="D1" s="1"/>
      <c r="E1" s="1"/>
      <c r="F1" s="1"/>
      <c r="G1" s="1"/>
      <c r="H1" s="1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9"/>
      <c r="B3" s="1"/>
      <c r="C3" s="1"/>
      <c r="D3" s="1"/>
      <c r="E3" s="1"/>
      <c r="F3" s="1"/>
      <c r="G3" s="1"/>
      <c r="H3" s="1"/>
    </row>
    <row r="4" spans="1:8" ht="15.75">
      <c r="A4" s="10"/>
      <c r="B4" s="11" t="s">
        <v>0</v>
      </c>
      <c r="C4" s="37" t="s">
        <v>280</v>
      </c>
      <c r="D4"/>
      <c r="E4" s="12"/>
      <c r="F4" s="1"/>
      <c r="G4" s="1"/>
      <c r="H4" s="1"/>
    </row>
    <row r="5" spans="1:8" ht="15.75">
      <c r="A5" s="10"/>
      <c r="B5" s="11"/>
      <c r="C5" s="13"/>
      <c r="D5" s="13"/>
      <c r="E5" s="13"/>
      <c r="F5" s="1"/>
      <c r="G5" s="1"/>
      <c r="H5" s="1"/>
    </row>
    <row r="6" spans="1:8" ht="15.75">
      <c r="A6" s="10"/>
      <c r="B6" s="11" t="s">
        <v>1</v>
      </c>
      <c r="C6" s="37" t="s">
        <v>281</v>
      </c>
      <c r="D6"/>
      <c r="E6"/>
      <c r="F6"/>
      <c r="G6" s="1"/>
      <c r="H6" s="1"/>
    </row>
    <row r="7" spans="1:8" ht="15.75">
      <c r="A7" s="10"/>
      <c r="B7" s="11"/>
      <c r="C7" s="13"/>
      <c r="D7" s="14"/>
      <c r="E7" s="13"/>
      <c r="F7" s="1"/>
      <c r="G7" s="1"/>
      <c r="H7" s="1"/>
    </row>
    <row r="8" spans="1:8" ht="16.5" thickBot="1">
      <c r="A8" s="15"/>
      <c r="B8" s="15"/>
      <c r="C8" s="16"/>
      <c r="D8" s="14"/>
      <c r="E8" s="16"/>
      <c r="F8" s="15"/>
      <c r="G8" s="15"/>
      <c r="H8" s="15"/>
    </row>
    <row r="9" spans="1:8" ht="16.5" thickBot="1">
      <c r="A9" s="15"/>
      <c r="B9" s="11" t="s">
        <v>2</v>
      </c>
      <c r="C9" s="17">
        <v>40494</v>
      </c>
      <c r="D9"/>
      <c r="E9"/>
      <c r="F9" s="18"/>
      <c r="G9" s="15"/>
      <c r="H9" s="15"/>
    </row>
    <row r="10" spans="1:8" ht="15.75">
      <c r="A10" s="15"/>
      <c r="B10" s="15"/>
      <c r="C10" s="16"/>
      <c r="D10" s="16"/>
      <c r="E10" s="16"/>
      <c r="F10" s="15"/>
      <c r="G10" s="15"/>
      <c r="H10" s="15"/>
    </row>
    <row r="11" spans="1:8" ht="12.75">
      <c r="A11"/>
      <c r="B11"/>
      <c r="C11"/>
      <c r="D11"/>
      <c r="E11"/>
      <c r="F11"/>
      <c r="G11"/>
      <c r="H11"/>
    </row>
    <row r="12" spans="1:8" ht="15.75">
      <c r="A12" s="15"/>
      <c r="B12" s="15"/>
      <c r="C12" s="16"/>
      <c r="D12" s="16"/>
      <c r="E12" s="16"/>
      <c r="F12" s="15"/>
      <c r="G12" s="15"/>
      <c r="H12" s="15"/>
    </row>
    <row r="13" spans="1:8" ht="16.5" thickBot="1">
      <c r="A13" s="164" t="s">
        <v>3</v>
      </c>
      <c r="B13" s="164"/>
      <c r="C13" s="16"/>
      <c r="D13" s="16"/>
      <c r="E13" s="16"/>
      <c r="F13" s="15"/>
      <c r="G13" s="15"/>
      <c r="H13" s="15"/>
    </row>
    <row r="14" spans="1:8" ht="16.5" thickBot="1">
      <c r="A14" s="15"/>
      <c r="B14" s="19" t="s">
        <v>4</v>
      </c>
      <c r="C14" s="165" t="s">
        <v>282</v>
      </c>
      <c r="D14" s="166"/>
      <c r="E14" s="20"/>
      <c r="F14" s="15"/>
      <c r="G14" s="15"/>
      <c r="H14" s="15"/>
    </row>
    <row r="15" spans="1:8" ht="16.5" thickBot="1">
      <c r="A15" s="15"/>
      <c r="B15" s="21"/>
      <c r="C15" s="16"/>
      <c r="D15" s="16"/>
      <c r="E15" s="16"/>
      <c r="F15" s="15"/>
      <c r="G15" s="15"/>
      <c r="H15" s="15"/>
    </row>
    <row r="16" spans="1:8" ht="16.5" thickBot="1">
      <c r="A16" s="15"/>
      <c r="B16" s="19" t="s">
        <v>5</v>
      </c>
      <c r="C16" s="165" t="s">
        <v>283</v>
      </c>
      <c r="D16" s="166"/>
      <c r="E16" s="20"/>
      <c r="F16" s="2"/>
      <c r="G16" s="15"/>
      <c r="H16" s="15"/>
    </row>
    <row r="17" spans="1:8" ht="16.5" thickBot="1">
      <c r="A17" s="15"/>
      <c r="B17" s="21"/>
      <c r="C17" s="16"/>
      <c r="D17" s="16"/>
      <c r="E17" s="16"/>
      <c r="F17" s="15"/>
      <c r="G17" s="15"/>
      <c r="H17" s="15"/>
    </row>
    <row r="18" spans="1:8" ht="16.5" thickBot="1">
      <c r="A18" s="15"/>
      <c r="B18" s="19" t="s">
        <v>6</v>
      </c>
      <c r="C18" s="165" t="s">
        <v>284</v>
      </c>
      <c r="D18" s="166"/>
      <c r="E18" s="20"/>
      <c r="F18" s="15"/>
      <c r="G18" s="15"/>
      <c r="H18" s="15"/>
    </row>
    <row r="19" spans="1:8" ht="15" thickBot="1">
      <c r="A19" s="1"/>
      <c r="B19" s="22"/>
      <c r="C19" s="23"/>
      <c r="D19" s="23"/>
      <c r="E19" s="23"/>
      <c r="F19" s="1"/>
      <c r="G19" s="1"/>
      <c r="H19" s="1"/>
    </row>
    <row r="20" spans="1:8" ht="16.5" thickBot="1">
      <c r="A20" s="1"/>
      <c r="B20" s="19" t="s">
        <v>7</v>
      </c>
      <c r="C20" s="162" t="s">
        <v>285</v>
      </c>
      <c r="D20" s="163"/>
      <c r="E20" s="20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</sheetData>
  <sheetProtection formatColumns="0" selectLockedCells="1"/>
  <mergeCells count="5">
    <mergeCell ref="C20:D20"/>
    <mergeCell ref="A13:B13"/>
    <mergeCell ref="C14:D14"/>
    <mergeCell ref="C16:D16"/>
    <mergeCell ref="C18:D18"/>
  </mergeCells>
  <hyperlinks>
    <hyperlink ref="C20" r:id="rId1" display="warmstrong@wellandhydro.com"/>
  </hyperlinks>
  <printOptions/>
  <pageMargins left="0.75" right="0.75" top="1" bottom="1" header="0.5" footer="0.5"/>
  <pageSetup horizontalDpi="600" verticalDpi="600" orientation="portrait" scale="67" r:id="rId3"/>
  <headerFooter alignWithMargins="0">
    <oddFooter>&amp;C&amp;A</oddFooter>
  </headerFooter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47"/>
  <sheetViews>
    <sheetView showGridLines="0" zoomScale="75" zoomScaleNormal="75" zoomScalePageLayoutView="0" workbookViewId="0" topLeftCell="C84">
      <selection activeCell="J119" sqref="J119"/>
    </sheetView>
  </sheetViews>
  <sheetFormatPr defaultColWidth="9.140625" defaultRowHeight="12.75"/>
  <cols>
    <col min="1" max="1" width="17.57421875" style="7" customWidth="1"/>
    <col min="2" max="2" width="102.8515625" style="7" bestFit="1" customWidth="1"/>
    <col min="3" max="3" width="20.57421875" style="7" customWidth="1"/>
    <col min="4" max="4" width="17.421875" style="7" customWidth="1"/>
    <col min="5" max="5" width="15.28125" style="7" customWidth="1"/>
    <col min="6" max="10" width="17.28125" style="7" customWidth="1"/>
    <col min="11" max="11" width="15.421875" style="7" customWidth="1"/>
    <col min="12" max="16384" width="9.140625" style="7" customWidth="1"/>
  </cols>
  <sheetData>
    <row r="1" spans="1:11" s="3" customFormat="1" ht="30">
      <c r="A1" s="1"/>
      <c r="B1" s="167" t="s">
        <v>12</v>
      </c>
      <c r="C1" s="167"/>
      <c r="D1" s="167"/>
      <c r="E1" s="167"/>
      <c r="F1" s="167"/>
      <c r="G1" s="167"/>
      <c r="H1" s="167"/>
      <c r="I1" s="167"/>
      <c r="J1" s="79"/>
      <c r="K1" s="1"/>
    </row>
    <row r="2" spans="1:11" s="3" customFormat="1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>
      <c r="A3" s="5"/>
      <c r="B3" s="28" t="s">
        <v>14</v>
      </c>
      <c r="C3" s="28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29" t="s">
        <v>15</v>
      </c>
      <c r="C4" s="29"/>
      <c r="D4" s="24">
        <v>2006</v>
      </c>
      <c r="E4" s="24">
        <v>2007</v>
      </c>
      <c r="F4" s="24">
        <v>2008</v>
      </c>
      <c r="G4" s="24">
        <v>2009</v>
      </c>
      <c r="H4" s="24">
        <v>2010</v>
      </c>
      <c r="I4" s="24">
        <v>2011</v>
      </c>
      <c r="J4" s="82" t="s">
        <v>207</v>
      </c>
      <c r="K4" s="24" t="s">
        <v>16</v>
      </c>
    </row>
    <row r="5" spans="1:11" ht="12.75">
      <c r="A5" s="5"/>
      <c r="B5" s="29"/>
      <c r="C5" s="29"/>
      <c r="D5" s="81" t="s">
        <v>205</v>
      </c>
      <c r="E5" s="81" t="s">
        <v>205</v>
      </c>
      <c r="F5" s="81" t="s">
        <v>205</v>
      </c>
      <c r="G5" s="81" t="s">
        <v>205</v>
      </c>
      <c r="H5" s="81" t="s">
        <v>204</v>
      </c>
      <c r="I5" s="81" t="s">
        <v>206</v>
      </c>
      <c r="J5" s="81" t="s">
        <v>206</v>
      </c>
      <c r="K5" s="30"/>
    </row>
    <row r="6" spans="1:11" ht="12.75">
      <c r="A6" s="5"/>
      <c r="B6" s="31" t="s">
        <v>17</v>
      </c>
      <c r="C6" s="31"/>
      <c r="D6" s="92"/>
      <c r="E6" s="92"/>
      <c r="F6" s="92"/>
      <c r="G6" s="92">
        <v>19409</v>
      </c>
      <c r="H6" s="92">
        <v>458</v>
      </c>
      <c r="I6" s="92">
        <v>0</v>
      </c>
      <c r="J6" s="92">
        <v>0</v>
      </c>
      <c r="K6" s="33">
        <f>SUM(D6:J6)</f>
        <v>19867</v>
      </c>
    </row>
    <row r="7" ht="12.75"/>
    <row r="8" spans="1:11" ht="12.75">
      <c r="A8" s="5"/>
      <c r="B8" s="31" t="s">
        <v>18</v>
      </c>
      <c r="C8" s="31"/>
      <c r="D8" s="32"/>
      <c r="E8" s="32"/>
      <c r="F8" s="32"/>
      <c r="G8" s="32">
        <v>819</v>
      </c>
      <c r="H8" s="32">
        <v>900</v>
      </c>
      <c r="I8" s="32"/>
      <c r="J8" s="32"/>
      <c r="K8" s="33">
        <f>SUM(D8:J8)</f>
        <v>1719</v>
      </c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34" t="s">
        <v>20</v>
      </c>
      <c r="C10" s="34"/>
      <c r="D10" s="35">
        <f>SUM(D6,D8)</f>
        <v>0</v>
      </c>
      <c r="E10" s="35">
        <f aca="true" t="shared" si="0" ref="E10:K10">SUM(E6,E8)</f>
        <v>0</v>
      </c>
      <c r="F10" s="35">
        <f t="shared" si="0"/>
        <v>0</v>
      </c>
      <c r="G10" s="35">
        <f t="shared" si="0"/>
        <v>20228</v>
      </c>
      <c r="H10" s="35">
        <f t="shared" si="0"/>
        <v>1358</v>
      </c>
      <c r="I10" s="35">
        <f t="shared" si="0"/>
        <v>0</v>
      </c>
      <c r="J10" s="35">
        <f t="shared" si="0"/>
        <v>0</v>
      </c>
      <c r="K10" s="35">
        <f t="shared" si="0"/>
        <v>21586</v>
      </c>
    </row>
    <row r="11" spans="1:11" ht="12.75">
      <c r="A11" s="5"/>
      <c r="B11" s="34"/>
      <c r="C11" s="3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5"/>
      <c r="B12" s="34" t="s">
        <v>209</v>
      </c>
      <c r="C12" s="34"/>
      <c r="D12" s="85">
        <f>IF(ISERROR(SUM($D10:D10)/$K10),0,SUM($D10:D10)/$K10)</f>
        <v>0</v>
      </c>
      <c r="E12" s="85">
        <f>IF(ISERROR(SUM($D10:E10)/$K10),0,SUM($D10:E10)/$K10)</f>
        <v>0</v>
      </c>
      <c r="F12" s="85">
        <f>IF(ISERROR(SUM($D10:F10)/$K10),0,SUM($D10:F10)/$K10)</f>
        <v>0</v>
      </c>
      <c r="G12" s="85">
        <f>IF(ISERROR(SUM($D10:G10)/$K10),0,SUM($D10:G10)/$K10)</f>
        <v>0.9370888538867784</v>
      </c>
      <c r="H12" s="85">
        <f>IF(ISERROR(SUM($D10:H10)/$K10),0,SUM($D10:H10)/$K10)</f>
        <v>1</v>
      </c>
      <c r="I12" s="85">
        <f>IF(ISERROR(SUM($D10:I10)/$K10),0,SUM($D10:I10)/$K10)</f>
        <v>1</v>
      </c>
      <c r="J12" s="85">
        <f>IF(ISERROR(SUM($D10:J10)/$K10),0,SUM($D10:J10)/$K10)</f>
        <v>1</v>
      </c>
      <c r="K12" s="84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7" t="s">
        <v>19</v>
      </c>
      <c r="C14" s="31"/>
      <c r="D14" s="32"/>
      <c r="E14" s="32"/>
      <c r="F14" s="32"/>
      <c r="G14" s="32"/>
      <c r="H14" s="32"/>
      <c r="I14" s="32"/>
      <c r="J14" s="32"/>
      <c r="K14" s="33">
        <f>SUM(D14:J14)</f>
        <v>0</v>
      </c>
    </row>
    <row r="16" spans="1:11" ht="13.5" thickBot="1">
      <c r="A16" s="5"/>
      <c r="B16" s="57" t="s">
        <v>208</v>
      </c>
      <c r="C16" s="31"/>
      <c r="D16" s="36">
        <f aca="true" t="shared" si="1" ref="D16:J16">SUM(D10,D14)</f>
        <v>0</v>
      </c>
      <c r="E16" s="36">
        <f t="shared" si="1"/>
        <v>0</v>
      </c>
      <c r="F16" s="36">
        <f t="shared" si="1"/>
        <v>0</v>
      </c>
      <c r="G16" s="36">
        <f t="shared" si="1"/>
        <v>20228</v>
      </c>
      <c r="H16" s="36">
        <f t="shared" si="1"/>
        <v>1358</v>
      </c>
      <c r="I16" s="36">
        <f t="shared" si="1"/>
        <v>0</v>
      </c>
      <c r="J16" s="36">
        <f t="shared" si="1"/>
        <v>0</v>
      </c>
      <c r="K16" s="36">
        <f>SUM(D16:J16)</f>
        <v>21586</v>
      </c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8">
      <c r="A18" s="5"/>
      <c r="B18" s="28" t="s">
        <v>21</v>
      </c>
      <c r="C18" s="28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29" t="s">
        <v>15</v>
      </c>
      <c r="C19" s="29"/>
      <c r="D19" s="24">
        <f>D4</f>
        <v>2006</v>
      </c>
      <c r="E19" s="24">
        <f aca="true" t="shared" si="2" ref="E19:J19">E4</f>
        <v>2007</v>
      </c>
      <c r="F19" s="24">
        <f t="shared" si="2"/>
        <v>2008</v>
      </c>
      <c r="G19" s="24">
        <f t="shared" si="2"/>
        <v>2009</v>
      </c>
      <c r="H19" s="24">
        <f t="shared" si="2"/>
        <v>2010</v>
      </c>
      <c r="I19" s="24">
        <f t="shared" si="2"/>
        <v>2011</v>
      </c>
      <c r="J19" s="24" t="str">
        <f t="shared" si="2"/>
        <v>Later</v>
      </c>
      <c r="K19" s="30" t="s">
        <v>16</v>
      </c>
    </row>
    <row r="20" spans="1:11" ht="12.75">
      <c r="A20" s="5"/>
      <c r="B20" s="29"/>
      <c r="C20" s="29"/>
      <c r="D20" s="24" t="str">
        <f>D5</f>
        <v>Audited Actual</v>
      </c>
      <c r="E20" s="24" t="str">
        <f aca="true" t="shared" si="3" ref="E20:J20">E5</f>
        <v>Audited Actual</v>
      </c>
      <c r="F20" s="24" t="str">
        <f t="shared" si="3"/>
        <v>Audited Actual</v>
      </c>
      <c r="G20" s="24" t="str">
        <f t="shared" si="3"/>
        <v>Audited Actual</v>
      </c>
      <c r="H20" s="24" t="str">
        <f t="shared" si="3"/>
        <v>Actual</v>
      </c>
      <c r="I20" s="24" t="str">
        <f t="shared" si="3"/>
        <v>Forecasted</v>
      </c>
      <c r="J20" s="24" t="str">
        <f t="shared" si="3"/>
        <v>Forecasted</v>
      </c>
      <c r="K20" s="30"/>
    </row>
    <row r="21" spans="1:11" ht="12.75">
      <c r="A21" s="5"/>
      <c r="B21" s="31" t="s">
        <v>22</v>
      </c>
      <c r="C21" s="31"/>
      <c r="D21" s="32"/>
      <c r="E21" s="32"/>
      <c r="F21" s="32"/>
      <c r="G21" s="32">
        <v>1</v>
      </c>
      <c r="H21" s="32"/>
      <c r="I21" s="32">
        <v>1</v>
      </c>
      <c r="J21" s="32"/>
      <c r="K21" s="33">
        <f>SUM(D21:J21)</f>
        <v>2</v>
      </c>
    </row>
    <row r="22" ht="12.75">
      <c r="U22" s="7"/>
    </row>
    <row r="23" spans="1:11" ht="12.75">
      <c r="A23" s="5"/>
      <c r="B23" s="31" t="s">
        <v>23</v>
      </c>
      <c r="C23" s="31"/>
      <c r="D23" s="32"/>
      <c r="E23" s="32"/>
      <c r="F23" s="32"/>
      <c r="G23" s="32"/>
      <c r="H23" s="32"/>
      <c r="I23" s="32"/>
      <c r="J23" s="32"/>
      <c r="K23" s="33">
        <f>SUM(D23:J23)</f>
        <v>0</v>
      </c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3" ht="12.75">
      <c r="A25" s="5"/>
      <c r="B25" s="31" t="s">
        <v>24</v>
      </c>
      <c r="C25" s="31"/>
    </row>
    <row r="26" spans="2:11" ht="12.75">
      <c r="B26" s="37"/>
      <c r="D26" s="32"/>
      <c r="E26" s="32"/>
      <c r="F26" s="32"/>
      <c r="G26" s="32"/>
      <c r="H26" s="32"/>
      <c r="I26" s="32"/>
      <c r="J26" s="32"/>
      <c r="K26" s="33">
        <f>SUM(D26:J26)</f>
        <v>0</v>
      </c>
    </row>
    <row r="27" ht="12.75"/>
    <row r="28" spans="2:11" ht="12.75">
      <c r="B28" s="37"/>
      <c r="D28" s="32"/>
      <c r="E28" s="32"/>
      <c r="F28" s="32"/>
      <c r="G28" s="32"/>
      <c r="H28" s="32"/>
      <c r="I28" s="32"/>
      <c r="J28" s="32"/>
      <c r="K28" s="33">
        <f>SUM(D28:J28)</f>
        <v>0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7"/>
      <c r="D30" s="32"/>
      <c r="E30" s="32"/>
      <c r="F30" s="32"/>
      <c r="G30" s="32"/>
      <c r="H30" s="32"/>
      <c r="I30" s="32"/>
      <c r="J30" s="32"/>
      <c r="K30" s="33">
        <f>SUM(D30:J30)</f>
        <v>0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7"/>
      <c r="D32" s="32"/>
      <c r="E32" s="32"/>
      <c r="F32" s="32"/>
      <c r="G32" s="32"/>
      <c r="H32" s="32"/>
      <c r="I32" s="32"/>
      <c r="J32" s="32"/>
      <c r="K32" s="33">
        <f>SUM(D32:J32)</f>
        <v>0</v>
      </c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23.25">
      <c r="B35" s="38" t="s">
        <v>25</v>
      </c>
      <c r="C35" s="38"/>
      <c r="D35" s="5"/>
      <c r="E35" s="5"/>
      <c r="F35" s="5"/>
      <c r="G35" s="5"/>
      <c r="H35" s="5"/>
      <c r="I35" s="5"/>
      <c r="J35" s="5"/>
      <c r="K35" s="5"/>
    </row>
    <row r="36" spans="1:11" ht="18">
      <c r="A36" s="5"/>
      <c r="B36" s="39" t="s">
        <v>26</v>
      </c>
      <c r="C36" s="39" t="s">
        <v>27</v>
      </c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40"/>
      <c r="C37" s="40"/>
      <c r="D37" s="24">
        <f>D19</f>
        <v>2006</v>
      </c>
      <c r="E37" s="24">
        <f aca="true" t="shared" si="4" ref="E37:J37">E19</f>
        <v>2007</v>
      </c>
      <c r="F37" s="24">
        <f t="shared" si="4"/>
        <v>2008</v>
      </c>
      <c r="G37" s="24">
        <f t="shared" si="4"/>
        <v>2009</v>
      </c>
      <c r="H37" s="24">
        <f t="shared" si="4"/>
        <v>2010</v>
      </c>
      <c r="I37" s="24">
        <f t="shared" si="4"/>
        <v>2011</v>
      </c>
      <c r="J37" s="24" t="str">
        <f t="shared" si="4"/>
        <v>Later</v>
      </c>
      <c r="K37" s="24" t="s">
        <v>16</v>
      </c>
    </row>
    <row r="38" spans="1:11" ht="12.75">
      <c r="A38" s="5"/>
      <c r="B38" s="40"/>
      <c r="C38" s="40"/>
      <c r="D38" s="24" t="str">
        <f>D20</f>
        <v>Audited Actual</v>
      </c>
      <c r="E38" s="24" t="str">
        <f aca="true" t="shared" si="5" ref="E38:J38">E20</f>
        <v>Audited Actual</v>
      </c>
      <c r="F38" s="24" t="str">
        <f t="shared" si="5"/>
        <v>Audited Actual</v>
      </c>
      <c r="G38" s="24" t="str">
        <f t="shared" si="5"/>
        <v>Audited Actual</v>
      </c>
      <c r="H38" s="24" t="str">
        <f t="shared" si="5"/>
        <v>Actual</v>
      </c>
      <c r="I38" s="24" t="str">
        <f t="shared" si="5"/>
        <v>Forecasted</v>
      </c>
      <c r="J38" s="24" t="str">
        <f t="shared" si="5"/>
        <v>Forecasted</v>
      </c>
      <c r="K38" s="24"/>
    </row>
    <row r="39" spans="1:21" ht="20.25">
      <c r="A39" s="5"/>
      <c r="B39" s="41" t="s">
        <v>28</v>
      </c>
      <c r="C39" s="86" t="s">
        <v>8</v>
      </c>
      <c r="D39" s="42"/>
      <c r="E39" s="42"/>
      <c r="F39" s="42"/>
      <c r="G39" s="42">
        <f>1848766.39+53254.64+92880+3872.83</f>
        <v>1998773.8599999999</v>
      </c>
      <c r="H39" s="42">
        <f>456722.37+7792.85+5160</f>
        <v>469675.22</v>
      </c>
      <c r="I39" s="42"/>
      <c r="J39" s="42"/>
      <c r="K39" s="43">
        <f>SUM(D39:J39)</f>
        <v>2468449.08</v>
      </c>
      <c r="U39" s="83"/>
    </row>
    <row r="40" spans="1:21" ht="20.25">
      <c r="A40" s="5"/>
      <c r="B40" s="44" t="s">
        <v>29</v>
      </c>
      <c r="C40" s="44"/>
      <c r="D40" s="88"/>
      <c r="E40" s="88"/>
      <c r="F40" s="88"/>
      <c r="G40" s="88"/>
      <c r="H40" s="88"/>
      <c r="I40" s="88"/>
      <c r="J40" s="80"/>
      <c r="K40" s="5"/>
      <c r="U40" s="83"/>
    </row>
    <row r="41" spans="1:21" ht="20.25">
      <c r="A41" s="5"/>
      <c r="B41" s="41" t="s">
        <v>30</v>
      </c>
      <c r="C41" s="86" t="s">
        <v>8</v>
      </c>
      <c r="D41" s="42"/>
      <c r="E41" s="42"/>
      <c r="F41" s="42"/>
      <c r="G41" s="42">
        <v>173849.85</v>
      </c>
      <c r="H41" s="42"/>
      <c r="I41" s="42"/>
      <c r="J41" s="42"/>
      <c r="K41" s="43">
        <f>SUM(D41:J41)</f>
        <v>173849.85</v>
      </c>
      <c r="U41" s="83"/>
    </row>
    <row r="42" spans="1:11" ht="12.75">
      <c r="A42" s="5"/>
      <c r="B42" s="44" t="s">
        <v>31</v>
      </c>
      <c r="C42" s="44"/>
      <c r="D42" s="168"/>
      <c r="E42" s="168"/>
      <c r="F42" s="168"/>
      <c r="G42" s="168"/>
      <c r="H42" s="168"/>
      <c r="I42" s="168"/>
      <c r="J42" s="80"/>
      <c r="K42" s="5"/>
    </row>
    <row r="43" spans="1:11" ht="15.75">
      <c r="A43" s="5"/>
      <c r="B43" s="41" t="s">
        <v>32</v>
      </c>
      <c r="C43" s="86" t="s">
        <v>9</v>
      </c>
      <c r="D43" s="42"/>
      <c r="E43" s="42"/>
      <c r="F43" s="42"/>
      <c r="G43" s="42">
        <v>27296.71</v>
      </c>
      <c r="H43" s="42"/>
      <c r="I43" s="42"/>
      <c r="J43" s="42"/>
      <c r="K43" s="43">
        <f>SUM(D43:J43)</f>
        <v>27296.71</v>
      </c>
    </row>
    <row r="44" spans="1:11" ht="12.75">
      <c r="A44" s="5"/>
      <c r="B44" s="44" t="s">
        <v>33</v>
      </c>
      <c r="C44" s="44"/>
      <c r="D44" s="168"/>
      <c r="E44" s="168"/>
      <c r="F44" s="168"/>
      <c r="G44" s="168"/>
      <c r="H44" s="168"/>
      <c r="I44" s="168"/>
      <c r="J44" s="80"/>
      <c r="K44" s="5"/>
    </row>
    <row r="45" spans="1:11" ht="15.75">
      <c r="A45" s="5"/>
      <c r="B45" s="41" t="s">
        <v>34</v>
      </c>
      <c r="C45" s="86" t="s">
        <v>10</v>
      </c>
      <c r="D45" s="42"/>
      <c r="E45" s="42"/>
      <c r="F45" s="42"/>
      <c r="G45" s="42">
        <v>4560</v>
      </c>
      <c r="H45" s="42"/>
      <c r="I45" s="42"/>
      <c r="J45" s="42"/>
      <c r="K45" s="43">
        <f>SUM(D45:J45)</f>
        <v>4560</v>
      </c>
    </row>
    <row r="46" spans="1:11" ht="12.75">
      <c r="A46" s="5"/>
      <c r="B46" s="44" t="s">
        <v>33</v>
      </c>
      <c r="C46" s="44"/>
      <c r="D46" s="168"/>
      <c r="E46" s="168"/>
      <c r="F46" s="168"/>
      <c r="G46" s="168"/>
      <c r="H46" s="168"/>
      <c r="I46" s="168"/>
      <c r="J46" s="80"/>
      <c r="K46" s="5"/>
    </row>
    <row r="47" spans="1:11" ht="12.75">
      <c r="A47" s="5"/>
      <c r="B47" s="40"/>
      <c r="C47" s="40"/>
      <c r="D47" s="5"/>
      <c r="E47" s="24"/>
      <c r="F47" s="24"/>
      <c r="G47" s="5"/>
      <c r="H47" s="5"/>
      <c r="I47" s="5"/>
      <c r="J47" s="5"/>
      <c r="K47" s="5"/>
    </row>
    <row r="48" spans="1:11" ht="13.5" thickBot="1">
      <c r="A48" s="5"/>
      <c r="B48" s="41" t="s">
        <v>35</v>
      </c>
      <c r="C48" s="41"/>
      <c r="D48" s="45">
        <f aca="true" t="shared" si="6" ref="D48:K48">SUM(D39,D41,D43,D45)</f>
        <v>0</v>
      </c>
      <c r="E48" s="45">
        <f t="shared" si="6"/>
        <v>0</v>
      </c>
      <c r="F48" s="45">
        <f t="shared" si="6"/>
        <v>0</v>
      </c>
      <c r="G48" s="45">
        <f t="shared" si="6"/>
        <v>2204480.42</v>
      </c>
      <c r="H48" s="45">
        <f t="shared" si="6"/>
        <v>469675.22</v>
      </c>
      <c r="I48" s="45">
        <f t="shared" si="6"/>
        <v>0</v>
      </c>
      <c r="J48" s="45">
        <f t="shared" si="6"/>
        <v>0</v>
      </c>
      <c r="K48" s="45">
        <f t="shared" si="6"/>
        <v>2674155.64</v>
      </c>
    </row>
    <row r="49" spans="1:11" ht="12.75">
      <c r="A49" s="5"/>
      <c r="B49" s="40"/>
      <c r="C49" s="40"/>
      <c r="D49" s="5"/>
      <c r="E49" s="5"/>
      <c r="F49" s="5"/>
      <c r="G49" s="5"/>
      <c r="H49" s="5"/>
      <c r="I49" s="5"/>
      <c r="J49" s="5"/>
      <c r="K49" s="5"/>
    </row>
    <row r="50" spans="1:11" ht="18">
      <c r="A50" s="5"/>
      <c r="B50" s="39" t="s">
        <v>36</v>
      </c>
      <c r="C50" s="39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40"/>
      <c r="C51" s="40"/>
      <c r="D51" s="24">
        <f>D4</f>
        <v>2006</v>
      </c>
      <c r="E51" s="24">
        <f aca="true" t="shared" si="7" ref="E51:J51">E4</f>
        <v>2007</v>
      </c>
      <c r="F51" s="24">
        <f t="shared" si="7"/>
        <v>2008</v>
      </c>
      <c r="G51" s="24">
        <f t="shared" si="7"/>
        <v>2009</v>
      </c>
      <c r="H51" s="24">
        <f t="shared" si="7"/>
        <v>2010</v>
      </c>
      <c r="I51" s="24">
        <f t="shared" si="7"/>
        <v>2011</v>
      </c>
      <c r="J51" s="24" t="str">
        <f t="shared" si="7"/>
        <v>Later</v>
      </c>
      <c r="K51" s="24" t="s">
        <v>16</v>
      </c>
    </row>
    <row r="52" spans="1:11" ht="12.75">
      <c r="A52" s="5"/>
      <c r="B52" s="40"/>
      <c r="C52" s="40"/>
      <c r="D52" s="24" t="str">
        <f>D5</f>
        <v>Audited Actual</v>
      </c>
      <c r="E52" s="24" t="str">
        <f aca="true" t="shared" si="8" ref="E52:J52">E5</f>
        <v>Audited Actual</v>
      </c>
      <c r="F52" s="24" t="str">
        <f t="shared" si="8"/>
        <v>Audited Actual</v>
      </c>
      <c r="G52" s="24" t="str">
        <f t="shared" si="8"/>
        <v>Audited Actual</v>
      </c>
      <c r="H52" s="24" t="str">
        <f t="shared" si="8"/>
        <v>Actual</v>
      </c>
      <c r="I52" s="24" t="str">
        <f t="shared" si="8"/>
        <v>Forecasted</v>
      </c>
      <c r="J52" s="24" t="str">
        <f t="shared" si="8"/>
        <v>Forecasted</v>
      </c>
      <c r="K52" s="24"/>
    </row>
    <row r="53" spans="1:11" ht="15.75">
      <c r="A53" s="5"/>
      <c r="B53" s="41" t="s">
        <v>37</v>
      </c>
      <c r="C53" s="86" t="s">
        <v>8</v>
      </c>
      <c r="D53" s="42"/>
      <c r="E53" s="42"/>
      <c r="F53" s="42"/>
      <c r="G53" s="42">
        <v>198069.03</v>
      </c>
      <c r="H53" s="42"/>
      <c r="I53" s="42">
        <v>47377.05</v>
      </c>
      <c r="J53" s="42"/>
      <c r="K53" s="46">
        <f>SUM(D53:J53)</f>
        <v>245446.08000000002</v>
      </c>
    </row>
    <row r="54" spans="1:11" ht="12.75">
      <c r="A54" s="5"/>
      <c r="B54" s="44"/>
      <c r="C54" s="44"/>
      <c r="D54" s="168"/>
      <c r="E54" s="168"/>
      <c r="F54" s="168"/>
      <c r="G54" s="168"/>
      <c r="H54" s="168"/>
      <c r="I54" s="168"/>
      <c r="J54" s="80"/>
      <c r="K54" s="5"/>
    </row>
    <row r="55" spans="1:11" ht="12.75">
      <c r="A55" s="5"/>
      <c r="B55" s="40"/>
      <c r="C55" s="40"/>
      <c r="D55" s="24"/>
      <c r="E55" s="24"/>
      <c r="F55" s="24"/>
      <c r="G55" s="24"/>
      <c r="H55" s="24"/>
      <c r="I55" s="24"/>
      <c r="J55" s="24"/>
      <c r="K55" s="24"/>
    </row>
    <row r="56" spans="1:11" ht="15.75">
      <c r="A56" s="5"/>
      <c r="B56" s="41" t="s">
        <v>38</v>
      </c>
      <c r="C56" s="86" t="s">
        <v>8</v>
      </c>
      <c r="D56" s="42"/>
      <c r="E56" s="42"/>
      <c r="F56" s="42"/>
      <c r="G56" s="42"/>
      <c r="H56" s="42"/>
      <c r="I56" s="42"/>
      <c r="J56" s="42"/>
      <c r="K56" s="46">
        <f>SUM(D56:J56)</f>
        <v>0</v>
      </c>
    </row>
    <row r="57" spans="1:11" ht="12.75">
      <c r="A57" s="5"/>
      <c r="B57" s="44" t="s">
        <v>39</v>
      </c>
      <c r="C57" s="44"/>
      <c r="D57" s="168"/>
      <c r="E57" s="168"/>
      <c r="F57" s="168"/>
      <c r="G57" s="168"/>
      <c r="H57" s="168"/>
      <c r="I57" s="168"/>
      <c r="J57" s="80"/>
      <c r="K57" s="5"/>
    </row>
    <row r="58" spans="1:11" ht="12.75">
      <c r="A58" s="5"/>
      <c r="B58" s="40"/>
      <c r="C58" s="40"/>
      <c r="D58" s="24"/>
      <c r="E58" s="24"/>
      <c r="F58" s="24"/>
      <c r="G58" s="24"/>
      <c r="H58" s="24"/>
      <c r="I58" s="24"/>
      <c r="J58" s="24"/>
      <c r="K58" s="24"/>
    </row>
    <row r="59" spans="1:11" ht="15.75">
      <c r="A59" s="5"/>
      <c r="B59" s="41" t="s">
        <v>40</v>
      </c>
      <c r="C59" s="86" t="s">
        <v>210</v>
      </c>
      <c r="D59" s="42"/>
      <c r="E59" s="42"/>
      <c r="F59" s="42"/>
      <c r="G59" s="42">
        <v>2130</v>
      </c>
      <c r="H59" s="42"/>
      <c r="I59" s="42"/>
      <c r="J59" s="42"/>
      <c r="K59" s="46">
        <f>SUM(D59:J59)</f>
        <v>2130</v>
      </c>
    </row>
    <row r="60" spans="1:11" ht="12.75">
      <c r="A60" s="5"/>
      <c r="B60" s="44" t="s">
        <v>41</v>
      </c>
      <c r="C60" s="44"/>
      <c r="D60" s="168"/>
      <c r="E60" s="168"/>
      <c r="F60" s="168"/>
      <c r="G60" s="168"/>
      <c r="H60" s="168"/>
      <c r="I60" s="168"/>
      <c r="J60" s="80"/>
      <c r="K60" s="5"/>
    </row>
    <row r="61" spans="1:11" ht="12.75">
      <c r="A61" s="5"/>
      <c r="B61" s="40"/>
      <c r="C61" s="40"/>
      <c r="D61" s="5"/>
      <c r="E61" s="24"/>
      <c r="F61" s="24"/>
      <c r="G61" s="5"/>
      <c r="H61" s="5"/>
      <c r="I61" s="5"/>
      <c r="J61" s="5"/>
      <c r="K61" s="5"/>
    </row>
    <row r="62" spans="1:11" ht="13.5" thickBot="1">
      <c r="A62" s="5"/>
      <c r="B62" s="41" t="s">
        <v>42</v>
      </c>
      <c r="C62" s="41"/>
      <c r="D62" s="45">
        <f aca="true" t="shared" si="9" ref="D62:K62">SUM(D53,D56,D59)</f>
        <v>0</v>
      </c>
      <c r="E62" s="45">
        <f t="shared" si="9"/>
        <v>0</v>
      </c>
      <c r="F62" s="45">
        <f t="shared" si="9"/>
        <v>0</v>
      </c>
      <c r="G62" s="45">
        <f t="shared" si="9"/>
        <v>200199.03</v>
      </c>
      <c r="H62" s="45">
        <f t="shared" si="9"/>
        <v>0</v>
      </c>
      <c r="I62" s="45">
        <f t="shared" si="9"/>
        <v>47377.05</v>
      </c>
      <c r="J62" s="45">
        <f t="shared" si="9"/>
        <v>0</v>
      </c>
      <c r="K62" s="45">
        <f t="shared" si="9"/>
        <v>247576.08000000002</v>
      </c>
    </row>
    <row r="63" spans="1:11" ht="12.75">
      <c r="A63" s="5"/>
      <c r="B63" s="41"/>
      <c r="C63" s="41"/>
      <c r="D63" s="47"/>
      <c r="E63" s="47"/>
      <c r="F63" s="47"/>
      <c r="G63" s="47"/>
      <c r="H63" s="47"/>
      <c r="I63" s="47"/>
      <c r="J63" s="47"/>
      <c r="K63" s="47"/>
    </row>
    <row r="64" spans="1:11" ht="18">
      <c r="A64" s="5"/>
      <c r="B64" s="39" t="s">
        <v>43</v>
      </c>
      <c r="C64" s="39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40"/>
      <c r="C65" s="40"/>
      <c r="D65" s="24">
        <f>D4</f>
        <v>2006</v>
      </c>
      <c r="E65" s="24">
        <f aca="true" t="shared" si="10" ref="E65:J65">E4</f>
        <v>2007</v>
      </c>
      <c r="F65" s="24">
        <f t="shared" si="10"/>
        <v>2008</v>
      </c>
      <c r="G65" s="24">
        <f t="shared" si="10"/>
        <v>2009</v>
      </c>
      <c r="H65" s="24">
        <f t="shared" si="10"/>
        <v>2010</v>
      </c>
      <c r="I65" s="24">
        <f t="shared" si="10"/>
        <v>2011</v>
      </c>
      <c r="J65" s="24" t="str">
        <f t="shared" si="10"/>
        <v>Later</v>
      </c>
      <c r="K65" s="24" t="s">
        <v>16</v>
      </c>
    </row>
    <row r="66" spans="1:11" ht="12.75">
      <c r="A66" s="5"/>
      <c r="B66" s="40"/>
      <c r="C66" s="40"/>
      <c r="D66" s="24" t="str">
        <f>D5</f>
        <v>Audited Actual</v>
      </c>
      <c r="E66" s="24" t="str">
        <f aca="true" t="shared" si="11" ref="E66:J66">E5</f>
        <v>Audited Actual</v>
      </c>
      <c r="F66" s="24" t="str">
        <f t="shared" si="11"/>
        <v>Audited Actual</v>
      </c>
      <c r="G66" s="24" t="str">
        <f t="shared" si="11"/>
        <v>Audited Actual</v>
      </c>
      <c r="H66" s="24" t="str">
        <f t="shared" si="11"/>
        <v>Actual</v>
      </c>
      <c r="I66" s="24" t="str">
        <f t="shared" si="11"/>
        <v>Forecasted</v>
      </c>
      <c r="J66" s="24" t="str">
        <f t="shared" si="11"/>
        <v>Forecasted</v>
      </c>
      <c r="K66" s="24"/>
    </row>
    <row r="67" spans="1:11" ht="15.75">
      <c r="A67" s="5"/>
      <c r="B67" s="41" t="s">
        <v>44</v>
      </c>
      <c r="C67" s="86" t="s">
        <v>9</v>
      </c>
      <c r="D67" s="42"/>
      <c r="E67" s="42"/>
      <c r="F67" s="42"/>
      <c r="G67" s="42"/>
      <c r="H67" s="42"/>
      <c r="I67" s="42"/>
      <c r="J67" s="42"/>
      <c r="K67" s="46">
        <f>SUM(D67:J67)</f>
        <v>0</v>
      </c>
    </row>
    <row r="68" spans="1:11" ht="12.75">
      <c r="A68" s="5"/>
      <c r="B68" s="44"/>
      <c r="C68" s="44"/>
      <c r="D68" s="87"/>
      <c r="E68" s="87"/>
      <c r="F68" s="87"/>
      <c r="G68" s="87"/>
      <c r="H68" s="87"/>
      <c r="I68" s="87"/>
      <c r="J68" s="80"/>
      <c r="K68" s="5"/>
    </row>
    <row r="69" spans="1:11" ht="15.75">
      <c r="A69" s="5"/>
      <c r="B69" s="41" t="s">
        <v>45</v>
      </c>
      <c r="C69" s="86" t="s">
        <v>10</v>
      </c>
      <c r="D69" s="42"/>
      <c r="E69" s="42"/>
      <c r="F69" s="42"/>
      <c r="G69" s="42"/>
      <c r="H69" s="42"/>
      <c r="I69" s="42"/>
      <c r="J69" s="42"/>
      <c r="K69" s="46">
        <f>SUM(D69:J69)</f>
        <v>0</v>
      </c>
    </row>
    <row r="70" spans="1:11" ht="12.75">
      <c r="A70" s="5"/>
      <c r="B70" s="44"/>
      <c r="C70" s="44"/>
      <c r="D70" s="168"/>
      <c r="E70" s="168"/>
      <c r="F70" s="168"/>
      <c r="G70" s="168"/>
      <c r="H70" s="168"/>
      <c r="I70" s="168"/>
      <c r="J70" s="80"/>
      <c r="K70" s="5"/>
    </row>
    <row r="71" spans="1:11" ht="15.75">
      <c r="A71" s="5"/>
      <c r="B71" s="41" t="s">
        <v>46</v>
      </c>
      <c r="C71" s="86" t="s">
        <v>10</v>
      </c>
      <c r="D71" s="42"/>
      <c r="E71" s="42"/>
      <c r="F71" s="42"/>
      <c r="G71" s="42"/>
      <c r="H71" s="42"/>
      <c r="I71" s="42"/>
      <c r="J71" s="42"/>
      <c r="K71" s="46">
        <f>SUM(D71:J71)</f>
        <v>0</v>
      </c>
    </row>
    <row r="72" spans="1:11" ht="12.75">
      <c r="A72" s="5"/>
      <c r="B72" s="44" t="s">
        <v>47</v>
      </c>
      <c r="C72" s="44"/>
      <c r="D72" s="168"/>
      <c r="E72" s="168"/>
      <c r="F72" s="168"/>
      <c r="G72" s="168"/>
      <c r="H72" s="168"/>
      <c r="I72" s="168"/>
      <c r="J72" s="80"/>
      <c r="K72" s="5"/>
    </row>
    <row r="73" spans="1:11" ht="13.5" thickBot="1">
      <c r="A73" s="5"/>
      <c r="B73" s="41" t="s">
        <v>48</v>
      </c>
      <c r="C73" s="41"/>
      <c r="D73" s="45">
        <f aca="true" t="shared" si="12" ref="D73:K73">SUM(D67,D69,D71)</f>
        <v>0</v>
      </c>
      <c r="E73" s="45">
        <f t="shared" si="12"/>
        <v>0</v>
      </c>
      <c r="F73" s="45">
        <f t="shared" si="12"/>
        <v>0</v>
      </c>
      <c r="G73" s="45">
        <f t="shared" si="12"/>
        <v>0</v>
      </c>
      <c r="H73" s="45">
        <f t="shared" si="12"/>
        <v>0</v>
      </c>
      <c r="I73" s="45">
        <f t="shared" si="12"/>
        <v>0</v>
      </c>
      <c r="J73" s="45">
        <f t="shared" si="12"/>
        <v>0</v>
      </c>
      <c r="K73" s="45">
        <f t="shared" si="12"/>
        <v>0</v>
      </c>
    </row>
    <row r="74" spans="1:11" ht="12.75">
      <c r="A74" s="5"/>
      <c r="B74" s="41"/>
      <c r="C74" s="41"/>
      <c r="D74" s="47"/>
      <c r="E74" s="47"/>
      <c r="F74" s="47"/>
      <c r="G74" s="47"/>
      <c r="H74" s="47"/>
      <c r="I74" s="47"/>
      <c r="J74" s="47"/>
      <c r="K74" s="47"/>
    </row>
    <row r="75" spans="1:11" ht="12.75">
      <c r="A75" s="5"/>
      <c r="B75" s="48"/>
      <c r="C75" s="48"/>
      <c r="D75" s="5"/>
      <c r="E75" s="5"/>
      <c r="F75" s="5"/>
      <c r="G75" s="5"/>
      <c r="H75" s="5"/>
      <c r="I75" s="5"/>
      <c r="J75" s="5"/>
      <c r="K75" s="5"/>
    </row>
    <row r="76" spans="1:11" ht="18">
      <c r="A76" s="5"/>
      <c r="B76" s="39" t="s">
        <v>49</v>
      </c>
      <c r="C76" s="39"/>
      <c r="D76" s="24">
        <f>D4</f>
        <v>2006</v>
      </c>
      <c r="E76" s="24">
        <f aca="true" t="shared" si="13" ref="E76:J76">E4</f>
        <v>2007</v>
      </c>
      <c r="F76" s="24">
        <f t="shared" si="13"/>
        <v>2008</v>
      </c>
      <c r="G76" s="24">
        <f t="shared" si="13"/>
        <v>2009</v>
      </c>
      <c r="H76" s="24">
        <f t="shared" si="13"/>
        <v>2010</v>
      </c>
      <c r="I76" s="24">
        <f t="shared" si="13"/>
        <v>2011</v>
      </c>
      <c r="J76" s="24" t="str">
        <f t="shared" si="13"/>
        <v>Later</v>
      </c>
      <c r="K76" s="24" t="s">
        <v>16</v>
      </c>
    </row>
    <row r="77" spans="1:11" ht="18">
      <c r="A77" s="5"/>
      <c r="B77" s="39"/>
      <c r="C77" s="39"/>
      <c r="D77" s="24" t="str">
        <f>D5</f>
        <v>Audited Actual</v>
      </c>
      <c r="E77" s="24" t="str">
        <f aca="true" t="shared" si="14" ref="E77:J77">E5</f>
        <v>Audited Actual</v>
      </c>
      <c r="F77" s="24" t="str">
        <f t="shared" si="14"/>
        <v>Audited Actual</v>
      </c>
      <c r="G77" s="24" t="str">
        <f t="shared" si="14"/>
        <v>Audited Actual</v>
      </c>
      <c r="H77" s="24" t="str">
        <f t="shared" si="14"/>
        <v>Actual</v>
      </c>
      <c r="I77" s="24" t="str">
        <f t="shared" si="14"/>
        <v>Forecasted</v>
      </c>
      <c r="J77" s="24" t="str">
        <f t="shared" si="14"/>
        <v>Forecasted</v>
      </c>
      <c r="K77" s="24"/>
    </row>
    <row r="78" spans="1:11" ht="15.75">
      <c r="A78" s="5"/>
      <c r="B78" s="41" t="s">
        <v>50</v>
      </c>
      <c r="C78" s="86" t="s">
        <v>211</v>
      </c>
      <c r="D78" s="42"/>
      <c r="E78" s="42"/>
      <c r="F78" s="42"/>
      <c r="G78" s="42"/>
      <c r="H78" s="42"/>
      <c r="I78" s="42"/>
      <c r="J78" s="42"/>
      <c r="K78" s="46">
        <f>SUM(D78:J78)</f>
        <v>0</v>
      </c>
    </row>
    <row r="79" spans="1:11" ht="12.75">
      <c r="A79" s="5"/>
      <c r="B79" s="40"/>
      <c r="C79" s="40"/>
      <c r="D79" s="5"/>
      <c r="E79" s="24"/>
      <c r="F79" s="24"/>
      <c r="G79" s="5"/>
      <c r="H79" s="5"/>
      <c r="I79" s="5"/>
      <c r="J79" s="5"/>
      <c r="K79" s="5"/>
    </row>
    <row r="80" spans="1:11" ht="13.5" thickBot="1">
      <c r="A80" s="5"/>
      <c r="B80" s="41" t="s">
        <v>51</v>
      </c>
      <c r="C80" s="41"/>
      <c r="D80" s="45">
        <f aca="true" t="shared" si="15" ref="D80:K80">SUM(D78)</f>
        <v>0</v>
      </c>
      <c r="E80" s="45">
        <f t="shared" si="15"/>
        <v>0</v>
      </c>
      <c r="F80" s="45">
        <f t="shared" si="15"/>
        <v>0</v>
      </c>
      <c r="G80" s="45">
        <f t="shared" si="15"/>
        <v>0</v>
      </c>
      <c r="H80" s="45">
        <f t="shared" si="15"/>
        <v>0</v>
      </c>
      <c r="I80" s="45">
        <f t="shared" si="15"/>
        <v>0</v>
      </c>
      <c r="J80" s="45">
        <f t="shared" si="15"/>
        <v>0</v>
      </c>
      <c r="K80" s="45">
        <f t="shared" si="15"/>
        <v>0</v>
      </c>
    </row>
    <row r="81" spans="1:11" ht="12.75">
      <c r="A81" s="5"/>
      <c r="B81" s="41"/>
      <c r="C81" s="41"/>
      <c r="D81" s="47"/>
      <c r="E81" s="47"/>
      <c r="F81" s="47"/>
      <c r="G81" s="47"/>
      <c r="H81" s="47"/>
      <c r="I81" s="47"/>
      <c r="J81" s="47"/>
      <c r="K81" s="47"/>
    </row>
    <row r="82" spans="1:11" ht="12.75">
      <c r="A82" s="5"/>
      <c r="B82" s="48"/>
      <c r="C82" s="48"/>
      <c r="D82" s="5"/>
      <c r="E82" s="5"/>
      <c r="F82" s="5"/>
      <c r="G82" s="5"/>
      <c r="H82" s="5"/>
      <c r="I82" s="5"/>
      <c r="J82" s="5"/>
      <c r="K82" s="5"/>
    </row>
    <row r="83" spans="1:11" ht="18">
      <c r="A83" s="5"/>
      <c r="B83" s="39" t="s">
        <v>52</v>
      </c>
      <c r="C83" s="39"/>
      <c r="D83" s="24">
        <f>D4</f>
        <v>2006</v>
      </c>
      <c r="E83" s="24">
        <f aca="true" t="shared" si="16" ref="E83:J83">E4</f>
        <v>2007</v>
      </c>
      <c r="F83" s="24">
        <f t="shared" si="16"/>
        <v>2008</v>
      </c>
      <c r="G83" s="24">
        <f t="shared" si="16"/>
        <v>2009</v>
      </c>
      <c r="H83" s="24">
        <f t="shared" si="16"/>
        <v>2010</v>
      </c>
      <c r="I83" s="24">
        <f t="shared" si="16"/>
        <v>2011</v>
      </c>
      <c r="J83" s="24" t="str">
        <f t="shared" si="16"/>
        <v>Later</v>
      </c>
      <c r="K83" s="24" t="s">
        <v>16</v>
      </c>
    </row>
    <row r="84" spans="1:11" ht="18">
      <c r="A84" s="5"/>
      <c r="B84" s="39"/>
      <c r="C84" s="39"/>
      <c r="D84" s="24" t="str">
        <f>D5</f>
        <v>Audited Actual</v>
      </c>
      <c r="E84" s="24" t="str">
        <f aca="true" t="shared" si="17" ref="E84:J84">E5</f>
        <v>Audited Actual</v>
      </c>
      <c r="F84" s="24" t="str">
        <f t="shared" si="17"/>
        <v>Audited Actual</v>
      </c>
      <c r="G84" s="24" t="str">
        <f t="shared" si="17"/>
        <v>Audited Actual</v>
      </c>
      <c r="H84" s="24" t="str">
        <f t="shared" si="17"/>
        <v>Actual</v>
      </c>
      <c r="I84" s="24" t="str">
        <f t="shared" si="17"/>
        <v>Forecasted</v>
      </c>
      <c r="J84" s="24" t="str">
        <f t="shared" si="17"/>
        <v>Forecasted</v>
      </c>
      <c r="K84" s="24"/>
    </row>
    <row r="85" spans="1:11" ht="15.75">
      <c r="A85" s="5"/>
      <c r="B85" s="41" t="s">
        <v>53</v>
      </c>
      <c r="C85" s="86" t="s">
        <v>210</v>
      </c>
      <c r="D85" s="42"/>
      <c r="E85" s="42"/>
      <c r="F85" s="42"/>
      <c r="G85" s="42">
        <v>4641.77</v>
      </c>
      <c r="H85" s="42">
        <v>60</v>
      </c>
      <c r="I85" s="42"/>
      <c r="J85" s="42"/>
      <c r="K85" s="46">
        <f>SUM(D85:J85)</f>
        <v>4701.77</v>
      </c>
    </row>
    <row r="86" spans="1:11" ht="12.75">
      <c r="A86" s="5"/>
      <c r="B86" s="44"/>
      <c r="C86" s="44"/>
      <c r="D86" s="168"/>
      <c r="E86" s="168"/>
      <c r="F86" s="168"/>
      <c r="G86" s="168"/>
      <c r="H86" s="168"/>
      <c r="I86" s="168"/>
      <c r="J86" s="80"/>
      <c r="K86" s="5"/>
    </row>
    <row r="87" spans="1:11" ht="15.75">
      <c r="A87" s="5"/>
      <c r="B87" s="41" t="s">
        <v>54</v>
      </c>
      <c r="C87" s="86" t="s">
        <v>10</v>
      </c>
      <c r="D87" s="42"/>
      <c r="E87" s="42"/>
      <c r="F87" s="42"/>
      <c r="G87" s="42"/>
      <c r="H87" s="42"/>
      <c r="I87" s="42"/>
      <c r="J87" s="42"/>
      <c r="K87" s="46">
        <f>SUM(D87:J87)</f>
        <v>0</v>
      </c>
    </row>
    <row r="88" spans="1:11" ht="12.75">
      <c r="A88" s="5"/>
      <c r="B88" s="44"/>
      <c r="C88" s="44"/>
      <c r="D88" s="168"/>
      <c r="E88" s="168"/>
      <c r="F88" s="168"/>
      <c r="G88" s="168"/>
      <c r="H88" s="168"/>
      <c r="I88" s="168"/>
      <c r="J88" s="80"/>
      <c r="K88" s="5"/>
    </row>
    <row r="89" spans="1:11" ht="15.75">
      <c r="A89" s="5"/>
      <c r="B89" s="41" t="s">
        <v>55</v>
      </c>
      <c r="C89" s="86" t="s">
        <v>10</v>
      </c>
      <c r="D89" s="42"/>
      <c r="E89" s="42"/>
      <c r="F89" s="42"/>
      <c r="G89" s="42"/>
      <c r="H89" s="42">
        <v>18088.02</v>
      </c>
      <c r="I89" s="42">
        <v>30000</v>
      </c>
      <c r="J89" s="42"/>
      <c r="K89" s="46">
        <f>SUM(D89:J89)</f>
        <v>48088.020000000004</v>
      </c>
    </row>
    <row r="90" spans="1:11" ht="12.75">
      <c r="A90" s="5"/>
      <c r="B90" s="44"/>
      <c r="C90" s="44"/>
      <c r="D90" s="168"/>
      <c r="E90" s="168"/>
      <c r="F90" s="168"/>
      <c r="G90" s="168"/>
      <c r="H90" s="168"/>
      <c r="I90" s="168"/>
      <c r="J90" s="80"/>
      <c r="K90" s="5"/>
    </row>
    <row r="91" spans="1:11" ht="15.75">
      <c r="A91" s="5"/>
      <c r="B91" s="41" t="s">
        <v>56</v>
      </c>
      <c r="C91" s="86" t="s">
        <v>10</v>
      </c>
      <c r="D91" s="42"/>
      <c r="E91" s="42"/>
      <c r="F91" s="42"/>
      <c r="G91" s="42"/>
      <c r="H91" s="42">
        <v>7500</v>
      </c>
      <c r="I91" s="42"/>
      <c r="J91" s="42"/>
      <c r="K91" s="46">
        <f>SUM(D91:J91)</f>
        <v>7500</v>
      </c>
    </row>
    <row r="92" spans="1:11" ht="12.75">
      <c r="A92" s="5"/>
      <c r="B92" s="44"/>
      <c r="C92" s="44"/>
      <c r="D92" s="168"/>
      <c r="E92" s="168"/>
      <c r="F92" s="168"/>
      <c r="G92" s="168"/>
      <c r="H92" s="168"/>
      <c r="I92" s="168"/>
      <c r="J92" s="80"/>
      <c r="K92" s="5"/>
    </row>
    <row r="93" spans="1:11" ht="15.75">
      <c r="A93" s="5"/>
      <c r="B93" s="41" t="s">
        <v>57</v>
      </c>
      <c r="C93" s="86" t="s">
        <v>10</v>
      </c>
      <c r="D93" s="42"/>
      <c r="E93" s="42"/>
      <c r="F93" s="42"/>
      <c r="G93" s="42"/>
      <c r="H93" s="42"/>
      <c r="I93" s="42"/>
      <c r="J93" s="42"/>
      <c r="K93" s="46">
        <f>SUM(D93:J93)</f>
        <v>0</v>
      </c>
    </row>
    <row r="94" spans="1:11" ht="12.75">
      <c r="A94" s="5"/>
      <c r="B94" s="44"/>
      <c r="D94" s="168"/>
      <c r="E94" s="168"/>
      <c r="F94" s="168"/>
      <c r="G94" s="168"/>
      <c r="H94" s="168"/>
      <c r="I94" s="168"/>
      <c r="J94" s="80"/>
      <c r="K94" s="5"/>
    </row>
    <row r="95" spans="1:11" ht="15.75">
      <c r="A95" s="5"/>
      <c r="B95" s="41" t="s">
        <v>58</v>
      </c>
      <c r="C95" s="86" t="s">
        <v>10</v>
      </c>
      <c r="D95" s="42"/>
      <c r="E95" s="42"/>
      <c r="F95" s="42"/>
      <c r="G95" s="42"/>
      <c r="H95" s="42"/>
      <c r="I95" s="42"/>
      <c r="J95" s="42"/>
      <c r="K95" s="46">
        <f>SUM(D95:J95)</f>
        <v>0</v>
      </c>
    </row>
    <row r="96" spans="1:11" ht="12.75">
      <c r="A96" s="5"/>
      <c r="B96" s="44"/>
      <c r="D96" s="168"/>
      <c r="E96" s="168"/>
      <c r="F96" s="168"/>
      <c r="G96" s="168"/>
      <c r="H96" s="168"/>
      <c r="I96" s="168"/>
      <c r="J96" s="80"/>
      <c r="K96" s="5"/>
    </row>
    <row r="97" spans="1:11" ht="13.5" thickBot="1">
      <c r="A97" s="5"/>
      <c r="B97" s="41" t="s">
        <v>59</v>
      </c>
      <c r="C97" s="41"/>
      <c r="D97" s="45">
        <f aca="true" t="shared" si="18" ref="D97:K97">SUM(D85,D87,D89,D91,D95,D93)</f>
        <v>0</v>
      </c>
      <c r="E97" s="45">
        <f t="shared" si="18"/>
        <v>0</v>
      </c>
      <c r="F97" s="45">
        <f t="shared" si="18"/>
        <v>0</v>
      </c>
      <c r="G97" s="45">
        <f t="shared" si="18"/>
        <v>4641.77</v>
      </c>
      <c r="H97" s="45">
        <f t="shared" si="18"/>
        <v>25648.02</v>
      </c>
      <c r="I97" s="45">
        <f t="shared" si="18"/>
        <v>30000</v>
      </c>
      <c r="J97" s="45">
        <f t="shared" si="18"/>
        <v>0</v>
      </c>
      <c r="K97" s="45">
        <f t="shared" si="18"/>
        <v>60289.79000000001</v>
      </c>
    </row>
    <row r="98" spans="1:11" ht="12.75">
      <c r="A98" s="5"/>
      <c r="B98" s="34"/>
      <c r="C98" s="34"/>
      <c r="D98" s="47"/>
      <c r="E98" s="47"/>
      <c r="F98" s="47"/>
      <c r="G98" s="47"/>
      <c r="H98" s="47"/>
      <c r="I98" s="47"/>
      <c r="J98" s="47"/>
      <c r="K98" s="47"/>
    </row>
    <row r="99" spans="1:11" ht="18.75" thickBot="1">
      <c r="A99" s="5"/>
      <c r="B99" s="28" t="s">
        <v>60</v>
      </c>
      <c r="C99" s="28"/>
      <c r="D99" s="49">
        <f aca="true" t="shared" si="19" ref="D99:K99">SUM(D48,D62,D80,D97,D73)</f>
        <v>0</v>
      </c>
      <c r="E99" s="49">
        <f t="shared" si="19"/>
        <v>0</v>
      </c>
      <c r="F99" s="49">
        <f t="shared" si="19"/>
        <v>0</v>
      </c>
      <c r="G99" s="49">
        <f t="shared" si="19"/>
        <v>2409321.2199999997</v>
      </c>
      <c r="H99" s="49">
        <f t="shared" si="19"/>
        <v>495323.24</v>
      </c>
      <c r="I99" s="49">
        <f t="shared" si="19"/>
        <v>77377.05</v>
      </c>
      <c r="J99" s="49">
        <f t="shared" si="19"/>
        <v>0</v>
      </c>
      <c r="K99" s="49">
        <f t="shared" si="19"/>
        <v>2982021.5100000002</v>
      </c>
    </row>
    <row r="100" spans="1:11" ht="13.5" thickTop="1">
      <c r="A100" s="5"/>
      <c r="B100" s="34"/>
      <c r="C100" s="34"/>
      <c r="D100" s="50"/>
      <c r="E100" s="47"/>
      <c r="F100" s="47"/>
      <c r="G100" s="47"/>
      <c r="H100" s="47"/>
      <c r="I100" s="47"/>
      <c r="J100" s="47"/>
      <c r="K100" s="47"/>
    </row>
    <row r="101" spans="2:11" ht="23.25">
      <c r="B101" s="38" t="s">
        <v>61</v>
      </c>
      <c r="C101" s="38"/>
      <c r="D101" s="5"/>
      <c r="E101" s="5"/>
      <c r="F101" s="5"/>
      <c r="G101" s="5"/>
      <c r="H101" s="5"/>
      <c r="I101" s="5"/>
      <c r="J101" s="5"/>
      <c r="K101" s="5"/>
    </row>
    <row r="102" spans="1:11" ht="18">
      <c r="A102" s="5"/>
      <c r="B102" s="39" t="s">
        <v>62</v>
      </c>
      <c r="C102" s="39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40"/>
      <c r="C103" s="40"/>
      <c r="D103" s="24">
        <f>D4</f>
        <v>2006</v>
      </c>
      <c r="E103" s="24">
        <f aca="true" t="shared" si="20" ref="E103:J103">E4</f>
        <v>2007</v>
      </c>
      <c r="F103" s="24">
        <f t="shared" si="20"/>
        <v>2008</v>
      </c>
      <c r="G103" s="24">
        <f t="shared" si="20"/>
        <v>2009</v>
      </c>
      <c r="H103" s="24">
        <f t="shared" si="20"/>
        <v>2010</v>
      </c>
      <c r="I103" s="24">
        <f t="shared" si="20"/>
        <v>2011</v>
      </c>
      <c r="J103" s="24" t="str">
        <f t="shared" si="20"/>
        <v>Later</v>
      </c>
      <c r="K103" s="24" t="s">
        <v>16</v>
      </c>
    </row>
    <row r="104" spans="1:11" ht="12.75">
      <c r="A104" s="5"/>
      <c r="B104" s="40"/>
      <c r="C104" s="40"/>
      <c r="D104" s="24" t="str">
        <f>D5</f>
        <v>Audited Actual</v>
      </c>
      <c r="E104" s="24" t="str">
        <f aca="true" t="shared" si="21" ref="E104:J104">E5</f>
        <v>Audited Actual</v>
      </c>
      <c r="F104" s="24" t="str">
        <f t="shared" si="21"/>
        <v>Audited Actual</v>
      </c>
      <c r="G104" s="24" t="str">
        <f t="shared" si="21"/>
        <v>Audited Actual</v>
      </c>
      <c r="H104" s="24" t="str">
        <f t="shared" si="21"/>
        <v>Actual</v>
      </c>
      <c r="I104" s="24" t="str">
        <f t="shared" si="21"/>
        <v>Forecasted</v>
      </c>
      <c r="J104" s="24" t="str">
        <f t="shared" si="21"/>
        <v>Forecasted</v>
      </c>
      <c r="K104" s="24"/>
    </row>
    <row r="105" spans="1:11" ht="12.75">
      <c r="A105" s="5"/>
      <c r="B105" s="41" t="s">
        <v>63</v>
      </c>
      <c r="C105" s="41"/>
      <c r="D105" s="42"/>
      <c r="E105" s="42"/>
      <c r="F105" s="42"/>
      <c r="G105" s="42">
        <v>1970.79</v>
      </c>
      <c r="H105" s="42">
        <v>40</v>
      </c>
      <c r="I105" s="42"/>
      <c r="J105" s="42"/>
      <c r="K105" s="46">
        <f>SUM(D105:J105)</f>
        <v>2010.79</v>
      </c>
    </row>
    <row r="106" spans="1:11" ht="12.75">
      <c r="A106" s="5"/>
      <c r="B106" s="44" t="s">
        <v>64</v>
      </c>
      <c r="C106" s="44"/>
      <c r="D106" s="168"/>
      <c r="E106" s="168"/>
      <c r="F106" s="168"/>
      <c r="G106" s="168"/>
      <c r="H106" s="168"/>
      <c r="I106" s="168"/>
      <c r="J106" s="80"/>
      <c r="K106" s="5"/>
    </row>
    <row r="107" spans="1:11" ht="13.5" thickBot="1">
      <c r="A107" s="5"/>
      <c r="B107" s="41" t="s">
        <v>65</v>
      </c>
      <c r="C107" s="41"/>
      <c r="D107" s="45">
        <f aca="true" t="shared" si="22" ref="D107:K107">SUM(D105)</f>
        <v>0</v>
      </c>
      <c r="E107" s="45">
        <f t="shared" si="22"/>
        <v>0</v>
      </c>
      <c r="F107" s="45">
        <f t="shared" si="22"/>
        <v>0</v>
      </c>
      <c r="G107" s="45">
        <f t="shared" si="22"/>
        <v>1970.79</v>
      </c>
      <c r="H107" s="45">
        <f t="shared" si="22"/>
        <v>40</v>
      </c>
      <c r="I107" s="45">
        <f t="shared" si="22"/>
        <v>0</v>
      </c>
      <c r="J107" s="45">
        <f t="shared" si="22"/>
        <v>0</v>
      </c>
      <c r="K107" s="45">
        <f t="shared" si="22"/>
        <v>2010.79</v>
      </c>
    </row>
    <row r="108" spans="1:11" ht="12.75">
      <c r="A108" s="5"/>
      <c r="B108" s="40"/>
      <c r="C108" s="40"/>
      <c r="D108" s="5"/>
      <c r="E108" s="5"/>
      <c r="F108" s="5"/>
      <c r="G108" s="5"/>
      <c r="H108" s="5"/>
      <c r="I108" s="5"/>
      <c r="J108" s="5"/>
      <c r="K108" s="5"/>
    </row>
    <row r="109" spans="1:11" ht="18">
      <c r="A109" s="5"/>
      <c r="B109" s="39" t="s">
        <v>66</v>
      </c>
      <c r="C109" s="39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41" t="s">
        <v>67</v>
      </c>
      <c r="C110" s="41"/>
      <c r="D110" s="42"/>
      <c r="E110" s="42"/>
      <c r="F110" s="42"/>
      <c r="G110" s="42"/>
      <c r="H110" s="42"/>
      <c r="I110" s="42"/>
      <c r="J110" s="42"/>
      <c r="K110" s="46">
        <f>SUM(D110:J110)</f>
        <v>0</v>
      </c>
    </row>
    <row r="111" spans="1:11" ht="12.75">
      <c r="A111" s="5"/>
      <c r="B111" s="44"/>
      <c r="C111" s="44"/>
      <c r="D111" s="168"/>
      <c r="E111" s="168"/>
      <c r="F111" s="168"/>
      <c r="G111" s="168"/>
      <c r="H111" s="168"/>
      <c r="I111" s="168"/>
      <c r="J111" s="80"/>
      <c r="K111" s="5"/>
    </row>
    <row r="112" spans="1:11" ht="12.75">
      <c r="A112" s="5"/>
      <c r="B112" s="40"/>
      <c r="C112" s="40"/>
      <c r="D112" s="5"/>
      <c r="E112" s="24"/>
      <c r="F112" s="24"/>
      <c r="G112" s="5"/>
      <c r="H112" s="5"/>
      <c r="I112" s="5"/>
      <c r="J112" s="5"/>
      <c r="K112" s="5"/>
    </row>
    <row r="113" spans="1:11" ht="13.5" thickBot="1">
      <c r="A113" s="5"/>
      <c r="B113" s="41" t="s">
        <v>42</v>
      </c>
      <c r="C113" s="41"/>
      <c r="D113" s="45">
        <f aca="true" t="shared" si="23" ref="D113:K113">SUM(D110)</f>
        <v>0</v>
      </c>
      <c r="E113" s="45">
        <f t="shared" si="23"/>
        <v>0</v>
      </c>
      <c r="F113" s="45">
        <f t="shared" si="23"/>
        <v>0</v>
      </c>
      <c r="G113" s="45">
        <f t="shared" si="23"/>
        <v>0</v>
      </c>
      <c r="H113" s="45">
        <f t="shared" si="23"/>
        <v>0</v>
      </c>
      <c r="I113" s="45">
        <f t="shared" si="23"/>
        <v>0</v>
      </c>
      <c r="J113" s="45">
        <f t="shared" si="23"/>
        <v>0</v>
      </c>
      <c r="K113" s="45">
        <f t="shared" si="23"/>
        <v>0</v>
      </c>
    </row>
    <row r="114" spans="1:11" ht="12.75">
      <c r="A114" s="5"/>
      <c r="B114" s="41"/>
      <c r="C114" s="41"/>
      <c r="D114" s="47"/>
      <c r="E114" s="47"/>
      <c r="F114" s="47"/>
      <c r="G114" s="47"/>
      <c r="H114" s="47"/>
      <c r="I114" s="47"/>
      <c r="J114" s="47"/>
      <c r="K114" s="47"/>
    </row>
    <row r="115" spans="1:11" ht="18">
      <c r="A115" s="5"/>
      <c r="B115" s="39" t="s">
        <v>68</v>
      </c>
      <c r="C115" s="39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41" t="s">
        <v>69</v>
      </c>
      <c r="C116" s="41"/>
      <c r="D116" s="42"/>
      <c r="E116" s="42"/>
      <c r="F116" s="42"/>
      <c r="G116" s="42"/>
      <c r="H116" s="42"/>
      <c r="I116" s="42"/>
      <c r="J116" s="42"/>
      <c r="K116" s="46">
        <f>SUM(D116:J116)</f>
        <v>0</v>
      </c>
    </row>
    <row r="117" spans="1:11" ht="12.75">
      <c r="A117" s="5"/>
      <c r="B117" s="44" t="s">
        <v>70</v>
      </c>
      <c r="C117" s="44"/>
      <c r="D117" s="168"/>
      <c r="E117" s="168"/>
      <c r="F117" s="168"/>
      <c r="G117" s="168"/>
      <c r="H117" s="168"/>
      <c r="I117" s="168"/>
      <c r="J117" s="80"/>
      <c r="K117" s="5"/>
    </row>
    <row r="118" spans="1:11" ht="12.75">
      <c r="A118" s="5"/>
      <c r="B118" s="40"/>
      <c r="C118" s="40"/>
      <c r="D118" s="24"/>
      <c r="E118" s="24"/>
      <c r="F118" s="24"/>
      <c r="G118" s="24"/>
      <c r="H118" s="24"/>
      <c r="I118" s="24"/>
      <c r="J118" s="24"/>
      <c r="K118" s="5"/>
    </row>
    <row r="119" spans="1:11" ht="12.75">
      <c r="A119" s="5"/>
      <c r="B119" s="41" t="s">
        <v>71</v>
      </c>
      <c r="C119" s="41"/>
      <c r="D119" s="42"/>
      <c r="E119" s="42"/>
      <c r="F119" s="42"/>
      <c r="G119" s="42">
        <f>8383.89</f>
        <v>8383.89</v>
      </c>
      <c r="H119" s="42">
        <f>1300+43733.71</f>
        <v>45033.71</v>
      </c>
      <c r="I119" s="42">
        <f>75975.48</f>
        <v>75975.48</v>
      </c>
      <c r="J119" s="42"/>
      <c r="K119" s="46">
        <f>SUM(D119:J119)</f>
        <v>129393.07999999999</v>
      </c>
    </row>
    <row r="120" spans="1:11" ht="12.75">
      <c r="A120" s="5"/>
      <c r="B120" s="44" t="s">
        <v>72</v>
      </c>
      <c r="C120" s="44"/>
      <c r="D120" s="168"/>
      <c r="E120" s="168"/>
      <c r="F120" s="168"/>
      <c r="G120" s="168"/>
      <c r="H120" s="168"/>
      <c r="I120" s="168"/>
      <c r="J120" s="80"/>
      <c r="K120" s="5"/>
    </row>
    <row r="121" spans="1:11" ht="12.75">
      <c r="A121" s="5"/>
      <c r="B121" s="40"/>
      <c r="C121" s="40"/>
      <c r="D121" s="5"/>
      <c r="E121" s="24"/>
      <c r="F121" s="24"/>
      <c r="G121" s="5"/>
      <c r="H121" s="5"/>
      <c r="I121" s="5"/>
      <c r="J121" s="5"/>
      <c r="K121" s="5"/>
    </row>
    <row r="122" spans="1:11" ht="13.5" thickBot="1">
      <c r="A122" s="5"/>
      <c r="B122" s="41" t="s">
        <v>48</v>
      </c>
      <c r="C122" s="41"/>
      <c r="D122" s="45">
        <f aca="true" t="shared" si="24" ref="D122:K122">SUM(D116,D119)</f>
        <v>0</v>
      </c>
      <c r="E122" s="45">
        <f t="shared" si="24"/>
        <v>0</v>
      </c>
      <c r="F122" s="45">
        <f t="shared" si="24"/>
        <v>0</v>
      </c>
      <c r="G122" s="45">
        <f t="shared" si="24"/>
        <v>8383.89</v>
      </c>
      <c r="H122" s="45">
        <f t="shared" si="24"/>
        <v>45033.71</v>
      </c>
      <c r="I122" s="45">
        <f t="shared" si="24"/>
        <v>75975.48</v>
      </c>
      <c r="J122" s="45">
        <f t="shared" si="24"/>
        <v>0</v>
      </c>
      <c r="K122" s="45">
        <f t="shared" si="24"/>
        <v>129393.07999999999</v>
      </c>
    </row>
    <row r="123" spans="1:11" ht="12.75">
      <c r="A123" s="5"/>
      <c r="B123" s="41"/>
      <c r="C123" s="41"/>
      <c r="D123" s="47"/>
      <c r="E123" s="47"/>
      <c r="F123" s="47"/>
      <c r="G123" s="47"/>
      <c r="H123" s="47"/>
      <c r="I123" s="47"/>
      <c r="J123" s="47"/>
      <c r="K123" s="47"/>
    </row>
    <row r="124" spans="1:11" ht="18">
      <c r="A124" s="5"/>
      <c r="B124" s="39" t="s">
        <v>73</v>
      </c>
      <c r="C124" s="39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40"/>
      <c r="C125" s="40"/>
      <c r="D125" s="24"/>
      <c r="E125" s="24"/>
      <c r="F125" s="24"/>
      <c r="G125" s="24"/>
      <c r="H125" s="24"/>
      <c r="I125" s="24"/>
      <c r="J125" s="24"/>
      <c r="K125" s="24"/>
    </row>
    <row r="126" spans="1:11" ht="12.75">
      <c r="A126" s="5"/>
      <c r="B126" s="41" t="s">
        <v>74</v>
      </c>
      <c r="C126" s="41"/>
      <c r="D126" s="42"/>
      <c r="E126" s="42"/>
      <c r="F126" s="42"/>
      <c r="G126" s="42"/>
      <c r="H126" s="42"/>
      <c r="I126" s="42"/>
      <c r="J126" s="42"/>
      <c r="K126" s="46">
        <f>SUM(D126:J126)</f>
        <v>0</v>
      </c>
    </row>
    <row r="127" spans="1:11" ht="12.75">
      <c r="A127" s="5"/>
      <c r="B127" s="44" t="s">
        <v>75</v>
      </c>
      <c r="C127" s="44"/>
      <c r="D127" s="168"/>
      <c r="E127" s="168"/>
      <c r="F127" s="168"/>
      <c r="G127" s="168"/>
      <c r="H127" s="168"/>
      <c r="I127" s="168"/>
      <c r="J127" s="80"/>
      <c r="K127" s="5"/>
    </row>
    <row r="128" spans="1:11" ht="12.75">
      <c r="A128" s="5"/>
      <c r="B128" s="40"/>
      <c r="C128" s="40"/>
      <c r="D128" s="5"/>
      <c r="E128" s="24"/>
      <c r="F128" s="24"/>
      <c r="G128" s="5"/>
      <c r="H128" s="5"/>
      <c r="I128" s="5"/>
      <c r="J128" s="5"/>
      <c r="K128" s="5"/>
    </row>
    <row r="129" spans="1:11" ht="13.5" thickBot="1">
      <c r="A129" s="5"/>
      <c r="B129" s="41" t="s">
        <v>76</v>
      </c>
      <c r="C129" s="41"/>
      <c r="D129" s="45">
        <f aca="true" t="shared" si="25" ref="D129:K129">SUM(D126)</f>
        <v>0</v>
      </c>
      <c r="E129" s="45">
        <f t="shared" si="25"/>
        <v>0</v>
      </c>
      <c r="F129" s="45">
        <f t="shared" si="25"/>
        <v>0</v>
      </c>
      <c r="G129" s="45">
        <f t="shared" si="25"/>
        <v>0</v>
      </c>
      <c r="H129" s="45">
        <f t="shared" si="25"/>
        <v>0</v>
      </c>
      <c r="I129" s="45">
        <f t="shared" si="25"/>
        <v>0</v>
      </c>
      <c r="J129" s="45">
        <f t="shared" si="25"/>
        <v>0</v>
      </c>
      <c r="K129" s="45">
        <f t="shared" si="25"/>
        <v>0</v>
      </c>
    </row>
    <row r="130" spans="1:11" ht="12.75">
      <c r="A130" s="5"/>
      <c r="B130" s="41"/>
      <c r="C130" s="41"/>
      <c r="D130" s="47"/>
      <c r="E130" s="47"/>
      <c r="F130" s="47"/>
      <c r="G130" s="47"/>
      <c r="H130" s="47"/>
      <c r="I130" s="47"/>
      <c r="J130" s="47"/>
      <c r="K130" s="47"/>
    </row>
    <row r="131" spans="1:11" ht="18">
      <c r="A131" s="5"/>
      <c r="B131" s="39" t="s">
        <v>77</v>
      </c>
      <c r="C131" s="39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41" t="s">
        <v>78</v>
      </c>
      <c r="C132" s="41"/>
      <c r="D132" s="42"/>
      <c r="E132" s="42"/>
      <c r="F132" s="42"/>
      <c r="G132" s="42"/>
      <c r="H132" s="42"/>
      <c r="I132" s="42"/>
      <c r="J132" s="42"/>
      <c r="K132" s="46">
        <f>SUM(D132:J132)</f>
        <v>0</v>
      </c>
    </row>
    <row r="133" spans="1:11" ht="12.75">
      <c r="A133" s="5"/>
      <c r="B133" s="44"/>
      <c r="C133" s="44"/>
      <c r="D133" s="168"/>
      <c r="E133" s="168"/>
      <c r="F133" s="168"/>
      <c r="G133" s="168"/>
      <c r="H133" s="168"/>
      <c r="I133" s="168"/>
      <c r="J133" s="80"/>
      <c r="K133" s="5"/>
    </row>
    <row r="134" spans="1:11" ht="12.75">
      <c r="A134" s="5"/>
      <c r="B134" s="41" t="s">
        <v>79</v>
      </c>
      <c r="C134" s="41"/>
      <c r="D134" s="42"/>
      <c r="E134" s="42"/>
      <c r="F134" s="42"/>
      <c r="G134" s="42">
        <f>26458.8+3704.43+507.6</f>
        <v>30670.829999999998</v>
      </c>
      <c r="H134" s="42"/>
      <c r="I134" s="42"/>
      <c r="J134" s="42"/>
      <c r="K134" s="46">
        <f>SUM(D134:J134)</f>
        <v>30670.829999999998</v>
      </c>
    </row>
    <row r="135" spans="1:11" ht="12.75">
      <c r="A135" s="5"/>
      <c r="B135" s="44" t="s">
        <v>80</v>
      </c>
      <c r="C135" s="44"/>
      <c r="D135" s="168"/>
      <c r="E135" s="168"/>
      <c r="F135" s="168"/>
      <c r="G135" s="168"/>
      <c r="H135" s="168"/>
      <c r="I135" s="168"/>
      <c r="J135" s="80"/>
      <c r="K135" s="5"/>
    </row>
    <row r="136" spans="1:11" ht="12.75">
      <c r="A136" s="5"/>
      <c r="B136" s="41" t="s">
        <v>81</v>
      </c>
      <c r="C136" s="41"/>
      <c r="D136" s="42"/>
      <c r="E136" s="42"/>
      <c r="F136" s="42"/>
      <c r="G136" s="42"/>
      <c r="H136" s="42"/>
      <c r="I136" s="42"/>
      <c r="J136" s="42"/>
      <c r="K136" s="46">
        <f>SUM(D136:J136)</f>
        <v>0</v>
      </c>
    </row>
    <row r="137" spans="1:11" ht="12.75">
      <c r="A137" s="5"/>
      <c r="B137" s="44"/>
      <c r="C137" s="44"/>
      <c r="D137" s="168"/>
      <c r="E137" s="168"/>
      <c r="F137" s="168"/>
      <c r="G137" s="168"/>
      <c r="H137" s="168"/>
      <c r="I137" s="168"/>
      <c r="J137" s="80"/>
      <c r="K137" s="5"/>
    </row>
    <row r="138" spans="1:11" ht="12.75">
      <c r="A138" s="5"/>
      <c r="B138" s="41" t="s">
        <v>82</v>
      </c>
      <c r="C138" s="41"/>
      <c r="D138" s="42"/>
      <c r="E138" s="42"/>
      <c r="F138" s="42">
        <v>812.25</v>
      </c>
      <c r="G138" s="42">
        <v>15746.47</v>
      </c>
      <c r="H138" s="42">
        <v>976</v>
      </c>
      <c r="I138" s="42"/>
      <c r="J138" s="42"/>
      <c r="K138" s="46">
        <f>SUM(D138:J138)</f>
        <v>17534.72</v>
      </c>
    </row>
    <row r="139" spans="1:11" ht="12.75">
      <c r="A139" s="5"/>
      <c r="B139" s="44" t="s">
        <v>83</v>
      </c>
      <c r="C139" s="44"/>
      <c r="D139" s="168"/>
      <c r="E139" s="168"/>
      <c r="F139" s="168"/>
      <c r="G139" s="168"/>
      <c r="H139" s="168"/>
      <c r="I139" s="168"/>
      <c r="J139" s="80"/>
      <c r="K139" s="5"/>
    </row>
    <row r="140" spans="1:11" ht="12.75">
      <c r="A140" s="5"/>
      <c r="B140" s="41" t="s">
        <v>84</v>
      </c>
      <c r="C140" s="41"/>
      <c r="D140" s="42"/>
      <c r="E140" s="42">
        <v>14069.84</v>
      </c>
      <c r="F140" s="42">
        <v>10917.51</v>
      </c>
      <c r="G140" s="42">
        <v>38612.04</v>
      </c>
      <c r="H140" s="42">
        <v>14426.91</v>
      </c>
      <c r="I140" s="42"/>
      <c r="J140" s="42"/>
      <c r="K140" s="46">
        <f>SUM(D140:J140)</f>
        <v>78026.3</v>
      </c>
    </row>
    <row r="141" spans="1:11" ht="12.75">
      <c r="A141" s="5"/>
      <c r="B141" s="44"/>
      <c r="C141" s="44"/>
      <c r="D141" s="168"/>
      <c r="E141" s="168"/>
      <c r="F141" s="168"/>
      <c r="G141" s="168"/>
      <c r="H141" s="168"/>
      <c r="I141" s="168"/>
      <c r="J141" s="80"/>
      <c r="K141" s="5"/>
    </row>
    <row r="142" spans="1:11" ht="12.75">
      <c r="A142" s="5"/>
      <c r="B142" s="41" t="s">
        <v>85</v>
      </c>
      <c r="C142" s="41"/>
      <c r="D142" s="42"/>
      <c r="E142" s="42"/>
      <c r="F142" s="42"/>
      <c r="G142" s="42"/>
      <c r="H142" s="42"/>
      <c r="I142" s="42"/>
      <c r="J142" s="42"/>
      <c r="K142" s="46">
        <f>SUM(D142:J142)</f>
        <v>0</v>
      </c>
    </row>
    <row r="143" spans="1:11" ht="12.75">
      <c r="A143" s="5"/>
      <c r="B143" s="44"/>
      <c r="C143" s="44"/>
      <c r="D143" s="168"/>
      <c r="E143" s="168"/>
      <c r="F143" s="168"/>
      <c r="G143" s="168"/>
      <c r="H143" s="168"/>
      <c r="I143" s="168"/>
      <c r="J143" s="80"/>
      <c r="K143" s="5"/>
    </row>
    <row r="144" spans="1:11" ht="12.75">
      <c r="A144" s="5"/>
      <c r="B144" s="40"/>
      <c r="C144" s="40"/>
      <c r="D144" s="5"/>
      <c r="E144" s="24"/>
      <c r="F144" s="24"/>
      <c r="G144" s="5"/>
      <c r="H144" s="5"/>
      <c r="I144" s="5"/>
      <c r="J144" s="5"/>
      <c r="K144" s="5"/>
    </row>
    <row r="145" spans="1:11" ht="13.5" thickBot="1">
      <c r="A145" s="5"/>
      <c r="B145" s="41" t="s">
        <v>86</v>
      </c>
      <c r="C145" s="41"/>
      <c r="D145" s="45">
        <f aca="true" t="shared" si="26" ref="D145:K145">SUM(D132,D134,D136,D138,D140,D142)</f>
        <v>0</v>
      </c>
      <c r="E145" s="45">
        <f t="shared" si="26"/>
        <v>14069.84</v>
      </c>
      <c r="F145" s="45">
        <f t="shared" si="26"/>
        <v>11729.76</v>
      </c>
      <c r="G145" s="45">
        <f t="shared" si="26"/>
        <v>85029.34</v>
      </c>
      <c r="H145" s="45">
        <f t="shared" si="26"/>
        <v>15402.91</v>
      </c>
      <c r="I145" s="45">
        <f t="shared" si="26"/>
        <v>0</v>
      </c>
      <c r="J145" s="45">
        <f t="shared" si="26"/>
        <v>0</v>
      </c>
      <c r="K145" s="45">
        <f t="shared" si="26"/>
        <v>126231.85</v>
      </c>
    </row>
    <row r="147" spans="2:11" ht="18.75" thickBot="1">
      <c r="B147" s="28" t="s">
        <v>87</v>
      </c>
      <c r="C147" s="28"/>
      <c r="D147" s="51">
        <f aca="true" t="shared" si="27" ref="D147:K147">SUM(D107,D113,D122,D129,D145)</f>
        <v>0</v>
      </c>
      <c r="E147" s="51">
        <f t="shared" si="27"/>
        <v>14069.84</v>
      </c>
      <c r="F147" s="51">
        <f t="shared" si="27"/>
        <v>11729.76</v>
      </c>
      <c r="G147" s="51">
        <f t="shared" si="27"/>
        <v>95384.01999999999</v>
      </c>
      <c r="H147" s="51">
        <f t="shared" si="27"/>
        <v>60476.619999999995</v>
      </c>
      <c r="I147" s="51">
        <f t="shared" si="27"/>
        <v>75975.48</v>
      </c>
      <c r="J147" s="51">
        <f t="shared" si="27"/>
        <v>0</v>
      </c>
      <c r="K147" s="51">
        <f t="shared" si="27"/>
        <v>257635.72</v>
      </c>
    </row>
    <row r="148" ht="13.5" thickTop="1"/>
  </sheetData>
  <sheetProtection formatColumns="0" selectLockedCells="1"/>
  <mergeCells count="26">
    <mergeCell ref="D143:I143"/>
    <mergeCell ref="D135:I135"/>
    <mergeCell ref="D137:I137"/>
    <mergeCell ref="D120:I120"/>
    <mergeCell ref="D127:I127"/>
    <mergeCell ref="D133:I133"/>
    <mergeCell ref="D139:I139"/>
    <mergeCell ref="D141:I141"/>
    <mergeCell ref="D90:I90"/>
    <mergeCell ref="D92:I92"/>
    <mergeCell ref="D96:I96"/>
    <mergeCell ref="D88:I88"/>
    <mergeCell ref="D117:I117"/>
    <mergeCell ref="D106:I106"/>
    <mergeCell ref="D111:I111"/>
    <mergeCell ref="D94:I94"/>
    <mergeCell ref="D86:I86"/>
    <mergeCell ref="D46:I46"/>
    <mergeCell ref="D60:I60"/>
    <mergeCell ref="D70:I70"/>
    <mergeCell ref="D72:I72"/>
    <mergeCell ref="B1:I1"/>
    <mergeCell ref="D42:I42"/>
    <mergeCell ref="D54:I54"/>
    <mergeCell ref="D57:I57"/>
    <mergeCell ref="D44:I44"/>
  </mergeCells>
  <dataValidations count="2">
    <dataValidation type="list" allowBlank="1" showInputMessage="1" showErrorMessage="1" sqref="C95 C93 C89 C85 C87 C91 C78 C71 C69 C45 C53 C56 C59 C67 C43 C41 C39">
      <formula1>"Smart Meter,Comp. Hard.,Comp. Soft.,Tools &amp; Equip,Other Equip."</formula1>
    </dataValidation>
    <dataValidation type="list" allowBlank="1" showInputMessage="1" showErrorMessage="1" sqref="D5:J5">
      <formula1>"Actual,Audited Actual,Forecasted"</formula1>
    </dataValidation>
  </dataValidations>
  <printOptions/>
  <pageMargins left="0.7480314960629921" right="0.7480314960629921" top="0.45" bottom="0.23" header="0.46" footer="0.25"/>
  <pageSetup fitToHeight="2" fitToWidth="1" horizontalDpi="600" verticalDpi="600" orientation="landscape" scale="44" r:id="rId1"/>
  <headerFooter alignWithMargins="0">
    <oddFooter>&amp;L&amp;A&amp;C&amp;BWelland Hydro-Electric Systems Corp. Confidential&amp;B&amp;RPage &amp;P</oddFooter>
  </headerFooter>
  <rowBreaks count="1" manualBreakCount="1"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5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1" width="15.57421875" style="7" customWidth="1"/>
    <col min="2" max="2" width="78.00390625" style="7" customWidth="1"/>
    <col min="3" max="3" width="14.57421875" style="7" customWidth="1"/>
    <col min="4" max="4" width="12.28125" style="7" bestFit="1" customWidth="1"/>
    <col min="5" max="5" width="13.421875" style="7" bestFit="1" customWidth="1"/>
    <col min="6" max="6" width="12.28125" style="7" bestFit="1" customWidth="1"/>
    <col min="7" max="7" width="13.7109375" style="7" customWidth="1"/>
    <col min="8" max="8" width="13.421875" style="7" bestFit="1" customWidth="1"/>
    <col min="9" max="9" width="13.421875" style="7" customWidth="1"/>
    <col min="10" max="10" width="11.28125" style="7" bestFit="1" customWidth="1"/>
    <col min="11" max="16384" width="9.140625" style="7" customWidth="1"/>
  </cols>
  <sheetData>
    <row r="1" spans="1:12" s="3" customFormat="1" ht="21" customHeight="1">
      <c r="A1" s="1"/>
      <c r="B1" s="169" t="s">
        <v>88</v>
      </c>
      <c r="C1" s="169"/>
      <c r="D1" s="169"/>
      <c r="E1" s="169"/>
      <c r="F1" s="169"/>
      <c r="G1" s="169"/>
      <c r="H1" s="1"/>
      <c r="I1" s="1"/>
      <c r="J1" s="1"/>
      <c r="K1" s="1"/>
      <c r="L1" s="1"/>
    </row>
    <row r="2" spans="1:12" s="3" customFormat="1" ht="6" customHeight="1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5"/>
      <c r="B4" s="52" t="s">
        <v>89</v>
      </c>
      <c r="C4" s="5"/>
      <c r="D4" s="5"/>
      <c r="E4" s="5"/>
      <c r="F4" s="5"/>
      <c r="G4" s="5"/>
      <c r="H4" s="46"/>
      <c r="I4" s="46"/>
      <c r="J4" s="46"/>
      <c r="K4" s="46"/>
      <c r="L4" s="46"/>
    </row>
    <row r="5" spans="1:12" ht="12.75">
      <c r="A5" s="5"/>
      <c r="B5" s="53" t="s">
        <v>90</v>
      </c>
      <c r="C5" s="5"/>
      <c r="D5" s="5"/>
      <c r="E5" s="5"/>
      <c r="F5" s="5"/>
      <c r="G5" s="5"/>
      <c r="H5" s="46"/>
      <c r="I5" s="46"/>
      <c r="J5" s="46"/>
      <c r="K5" s="46"/>
      <c r="L5" s="46"/>
    </row>
    <row r="6" spans="1:12" ht="12.75">
      <c r="A6" s="5"/>
      <c r="B6" s="53" t="s">
        <v>91</v>
      </c>
      <c r="C6" s="5"/>
      <c r="D6" s="5"/>
      <c r="E6" s="5"/>
      <c r="F6" s="5"/>
      <c r="G6" s="5"/>
      <c r="H6" s="46"/>
      <c r="I6" s="46"/>
      <c r="J6" s="46"/>
      <c r="K6" s="46"/>
      <c r="L6" s="46"/>
    </row>
    <row r="7" spans="1:12" ht="12.75">
      <c r="A7" s="5"/>
      <c r="B7" s="53" t="s">
        <v>92</v>
      </c>
      <c r="C7" s="5"/>
      <c r="D7" s="5"/>
      <c r="E7" s="5"/>
      <c r="F7" s="5"/>
      <c r="G7" s="5"/>
      <c r="H7" s="46"/>
      <c r="I7" s="46"/>
      <c r="J7" s="46"/>
      <c r="K7" s="46"/>
      <c r="L7" s="46"/>
    </row>
    <row r="8" spans="1:12" ht="12.75">
      <c r="A8" s="5"/>
      <c r="B8" s="5"/>
      <c r="C8" s="5"/>
      <c r="D8" s="5"/>
      <c r="E8" s="5"/>
      <c r="F8" s="5"/>
      <c r="G8" s="5"/>
      <c r="H8" s="46"/>
      <c r="I8" s="46"/>
      <c r="J8" s="46"/>
      <c r="K8" s="46"/>
      <c r="L8" s="46"/>
    </row>
    <row r="9" spans="1:12" ht="12.75">
      <c r="A9" s="5"/>
      <c r="B9" s="5"/>
      <c r="C9" s="5"/>
      <c r="D9" s="5"/>
      <c r="E9" s="5"/>
      <c r="F9" s="5"/>
      <c r="G9" s="5"/>
      <c r="H9" s="46"/>
      <c r="I9" s="46"/>
      <c r="J9" s="46"/>
      <c r="K9" s="46"/>
      <c r="L9" s="46"/>
    </row>
    <row r="10" spans="1:12" ht="47.25">
      <c r="A10" s="5"/>
      <c r="B10" s="52"/>
      <c r="C10" s="109" t="s">
        <v>93</v>
      </c>
      <c r="D10" s="109">
        <f aca="true" t="shared" si="0" ref="D10:I10">D29</f>
        <v>2007</v>
      </c>
      <c r="E10" s="109">
        <f t="shared" si="0"/>
        <v>2008</v>
      </c>
      <c r="F10" s="109">
        <f t="shared" si="0"/>
        <v>2009</v>
      </c>
      <c r="G10" s="109">
        <f t="shared" si="0"/>
        <v>2010</v>
      </c>
      <c r="H10" s="109">
        <f t="shared" si="0"/>
        <v>2011</v>
      </c>
      <c r="I10" s="109" t="str">
        <f t="shared" si="0"/>
        <v>Later</v>
      </c>
      <c r="J10" s="46"/>
      <c r="K10" s="46"/>
      <c r="L10" s="46"/>
    </row>
    <row r="11" spans="1:12" ht="15.75">
      <c r="A11" s="5"/>
      <c r="B11" s="52"/>
      <c r="C11" s="5"/>
      <c r="D11" s="5"/>
      <c r="E11" s="5"/>
      <c r="F11" s="5"/>
      <c r="G11" s="5"/>
      <c r="H11" s="46"/>
      <c r="I11" s="46"/>
      <c r="J11" s="46"/>
      <c r="K11" s="46"/>
      <c r="L11" s="46"/>
    </row>
    <row r="12" spans="1:12" ht="15.75">
      <c r="A12" s="5"/>
      <c r="B12" s="110" t="s">
        <v>155</v>
      </c>
      <c r="C12" s="161"/>
      <c r="D12" s="161"/>
      <c r="E12" s="161"/>
      <c r="F12" s="161"/>
      <c r="G12" s="161"/>
      <c r="H12" s="161"/>
      <c r="I12" s="161"/>
      <c r="J12" s="46"/>
      <c r="K12" s="46"/>
      <c r="L12" s="46"/>
    </row>
    <row r="13" ht="12.75"/>
    <row r="14" spans="1:12" ht="12.75">
      <c r="A14" s="5"/>
      <c r="B14" s="54" t="s">
        <v>249</v>
      </c>
      <c r="C14" s="5"/>
      <c r="D14"/>
      <c r="E14" s="123">
        <v>0</v>
      </c>
      <c r="F14" s="123">
        <v>0.04</v>
      </c>
      <c r="G14" s="123">
        <v>0.04</v>
      </c>
      <c r="H14" s="123">
        <v>0.04</v>
      </c>
      <c r="I14" s="123">
        <v>0.04</v>
      </c>
      <c r="J14" s="46"/>
      <c r="K14" s="46"/>
      <c r="L14" s="46"/>
    </row>
    <row r="15" spans="1:12" ht="12.75">
      <c r="A15" s="5"/>
      <c r="B15" s="54" t="s">
        <v>276</v>
      </c>
      <c r="C15" s="89">
        <v>0.5</v>
      </c>
      <c r="D15" s="89">
        <v>0.5</v>
      </c>
      <c r="E15" s="89">
        <v>0.533</v>
      </c>
      <c r="F15" s="89">
        <v>0.527</v>
      </c>
      <c r="G15" s="89">
        <v>0.56</v>
      </c>
      <c r="H15" s="89">
        <v>0.56</v>
      </c>
      <c r="I15" s="89">
        <v>0.56</v>
      </c>
      <c r="J15" s="46"/>
      <c r="K15" s="46"/>
      <c r="L15" s="5"/>
    </row>
    <row r="16" spans="1:12" ht="12.75">
      <c r="A16" s="5"/>
      <c r="B16" s="54" t="s">
        <v>277</v>
      </c>
      <c r="C16" s="90">
        <f>1-C15</f>
        <v>0.5</v>
      </c>
      <c r="D16" s="90">
        <f>1-D15</f>
        <v>0.5</v>
      </c>
      <c r="E16" s="90">
        <f>1-E15-E14</f>
        <v>0.46699999999999997</v>
      </c>
      <c r="F16" s="90">
        <f>1-F15-F14</f>
        <v>0.433</v>
      </c>
      <c r="G16" s="90">
        <f>1-G15-G14</f>
        <v>0.39999999999999997</v>
      </c>
      <c r="H16" s="90">
        <f>1-H15-H14</f>
        <v>0.39999999999999997</v>
      </c>
      <c r="I16" s="90">
        <f>1-I15-I14</f>
        <v>0.39999999999999997</v>
      </c>
      <c r="J16" s="46"/>
      <c r="K16" s="46"/>
      <c r="L16" s="5"/>
    </row>
    <row r="17" ht="12.75"/>
    <row r="18" spans="1:12" ht="12.75">
      <c r="A18" s="5"/>
      <c r="B18" s="54" t="s">
        <v>250</v>
      </c>
      <c r="C18" s="90"/>
      <c r="D18" s="90"/>
      <c r="E18" s="124">
        <v>0</v>
      </c>
      <c r="F18" s="124">
        <v>0.0133</v>
      </c>
      <c r="G18" s="124">
        <v>0.0133</v>
      </c>
      <c r="H18" s="124">
        <v>0.0133</v>
      </c>
      <c r="I18" s="124">
        <v>0.0113</v>
      </c>
      <c r="J18" s="46"/>
      <c r="K18" s="46"/>
      <c r="L18" s="5"/>
    </row>
    <row r="19" spans="1:12" ht="12.75">
      <c r="A19" s="5"/>
      <c r="B19" s="54" t="s">
        <v>278</v>
      </c>
      <c r="C19" s="91">
        <v>0.0625</v>
      </c>
      <c r="D19" s="91">
        <v>0.0625</v>
      </c>
      <c r="E19" s="91">
        <v>0.0625</v>
      </c>
      <c r="F19" s="91">
        <v>0.0762</v>
      </c>
      <c r="G19" s="91">
        <v>0.0762</v>
      </c>
      <c r="H19" s="91">
        <v>0.0762</v>
      </c>
      <c r="I19" s="91">
        <v>0.0762</v>
      </c>
      <c r="J19" s="46"/>
      <c r="K19" s="46"/>
      <c r="L19" s="5"/>
    </row>
    <row r="20" spans="1:12" ht="13.5" customHeight="1">
      <c r="A20" s="5"/>
      <c r="B20" s="54" t="s">
        <v>279</v>
      </c>
      <c r="C20" s="91">
        <v>0.09</v>
      </c>
      <c r="D20" s="91">
        <v>0.09</v>
      </c>
      <c r="E20" s="91">
        <v>0.09</v>
      </c>
      <c r="F20" s="91">
        <v>0.0801</v>
      </c>
      <c r="G20" s="91">
        <v>0.0801</v>
      </c>
      <c r="H20" s="91">
        <v>0.0801</v>
      </c>
      <c r="I20" s="91">
        <v>0.0801</v>
      </c>
      <c r="J20" s="5"/>
      <c r="K20" s="5"/>
      <c r="L20" s="5"/>
    </row>
    <row r="21" spans="1:12" ht="18" customHeight="1">
      <c r="A21" s="5"/>
      <c r="B21" s="55" t="s">
        <v>94</v>
      </c>
      <c r="C21" s="95">
        <f>(C19*C15)+(C16*C20)</f>
        <v>0.07625</v>
      </c>
      <c r="D21" s="95">
        <f>(D19*D15)+(D16*D20)</f>
        <v>0.07625</v>
      </c>
      <c r="E21" s="95">
        <f>(E14*E18)+(E15*E19)+(E16*E20)</f>
        <v>0.0753425</v>
      </c>
      <c r="F21" s="95">
        <f>(F14*F18)+(F15*F19)+(F16*F20)</f>
        <v>0.0753727</v>
      </c>
      <c r="G21" s="95">
        <f>(G14*G18)+(G15*G19)+(G16*G20)</f>
        <v>0.075244</v>
      </c>
      <c r="H21" s="95">
        <f>(H14*H18)+(H15*H19)+(H16*H20)</f>
        <v>0.075244</v>
      </c>
      <c r="I21" s="95">
        <f>(I14*I18)+(I15*I19)+(I16*I20)</f>
        <v>0.07516400000000001</v>
      </c>
      <c r="J21" s="5"/>
      <c r="K21" s="5"/>
      <c r="L21" s="5"/>
    </row>
    <row r="22" spans="1:12" ht="18" customHeight="1">
      <c r="A22" s="5"/>
      <c r="B22" s="55"/>
      <c r="C22" s="56"/>
      <c r="D22" s="56"/>
      <c r="E22" s="56"/>
      <c r="F22" s="56"/>
      <c r="G22" s="56"/>
      <c r="H22" s="56"/>
      <c r="I22" s="56"/>
      <c r="J22" s="5"/>
      <c r="K22" s="5"/>
      <c r="L22" s="5"/>
    </row>
    <row r="23" spans="1:12" ht="18" customHeight="1">
      <c r="A23" s="5"/>
      <c r="B23" s="52" t="s">
        <v>95</v>
      </c>
      <c r="C23" s="91">
        <v>0.15</v>
      </c>
      <c r="D23" s="91">
        <v>0.15</v>
      </c>
      <c r="E23" s="91">
        <v>0.15</v>
      </c>
      <c r="F23" s="91">
        <v>0.15</v>
      </c>
      <c r="G23" s="91">
        <v>0.15</v>
      </c>
      <c r="H23" s="91">
        <v>0.15</v>
      </c>
      <c r="I23" s="91">
        <v>0.15</v>
      </c>
      <c r="J23" s="5"/>
      <c r="K23" s="5"/>
      <c r="L23" s="5"/>
    </row>
    <row r="24" spans="1:12" ht="18" customHeight="1">
      <c r="A24" s="5"/>
      <c r="B24" s="55"/>
      <c r="C24" s="56"/>
      <c r="D24" s="56"/>
      <c r="E24" s="56"/>
      <c r="F24" s="56"/>
      <c r="G24" s="56"/>
      <c r="H24" s="56"/>
      <c r="I24" s="56"/>
      <c r="J24" s="5"/>
      <c r="K24" s="5"/>
      <c r="L24" s="5"/>
    </row>
    <row r="25" spans="1:12" ht="12.75">
      <c r="A25" s="5"/>
      <c r="B25" s="34" t="s">
        <v>96</v>
      </c>
      <c r="C25" s="59"/>
      <c r="D25" s="59"/>
      <c r="E25" s="59"/>
      <c r="F25" s="59"/>
      <c r="G25" s="59"/>
      <c r="H25" s="59"/>
      <c r="I25" s="59"/>
      <c r="J25" s="5"/>
      <c r="K25" s="5"/>
      <c r="L25" s="5"/>
    </row>
    <row r="26" spans="1:12" ht="12.75">
      <c r="A26" s="5"/>
      <c r="B26" s="54" t="s">
        <v>97</v>
      </c>
      <c r="C26" s="91">
        <v>0.3612</v>
      </c>
      <c r="D26" s="91">
        <v>0.3612</v>
      </c>
      <c r="E26" s="91">
        <v>0.335</v>
      </c>
      <c r="F26" s="91">
        <v>0.33</v>
      </c>
      <c r="G26" s="91">
        <v>0.32</v>
      </c>
      <c r="H26" s="91">
        <v>0.305</v>
      </c>
      <c r="I26" s="91">
        <v>0.29</v>
      </c>
      <c r="J26" s="5"/>
      <c r="K26" s="5"/>
      <c r="L26" s="5"/>
    </row>
    <row r="27" spans="1:12" ht="12.75">
      <c r="A27" s="5"/>
      <c r="B27" s="29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3" ht="15.75">
      <c r="A29" s="5"/>
      <c r="B29" s="52" t="s">
        <v>195</v>
      </c>
      <c r="C29" s="24">
        <f>'2. Smart Meter Data'!D4</f>
        <v>2006</v>
      </c>
      <c r="D29" s="24">
        <f>'2. Smart Meter Data'!E4</f>
        <v>2007</v>
      </c>
      <c r="E29" s="24">
        <f>'2. Smart Meter Data'!F4</f>
        <v>2008</v>
      </c>
      <c r="F29" s="24">
        <f>'2. Smart Meter Data'!G4</f>
        <v>2009</v>
      </c>
      <c r="G29" s="24">
        <f>'2. Smart Meter Data'!H4</f>
        <v>2010</v>
      </c>
      <c r="H29" s="24">
        <f>'2. Smart Meter Data'!I4</f>
        <v>2011</v>
      </c>
      <c r="I29" s="24" t="str">
        <f>'2. Smart Meter Data'!J4</f>
        <v>Later</v>
      </c>
      <c r="J29" s="24" t="s">
        <v>16</v>
      </c>
      <c r="K29" s="5"/>
      <c r="L29" s="5"/>
      <c r="M29" s="5"/>
    </row>
    <row r="30" spans="1:13" ht="15.75">
      <c r="A30" s="5"/>
      <c r="B30" s="52"/>
      <c r="C30" s="24" t="str">
        <f>'2. Smart Meter Data'!D5</f>
        <v>Audited Actual</v>
      </c>
      <c r="D30" s="24" t="str">
        <f>'2. Smart Meter Data'!E5</f>
        <v>Audited Actual</v>
      </c>
      <c r="E30" s="24" t="str">
        <f>'2. Smart Meter Data'!F5</f>
        <v>Audited Actual</v>
      </c>
      <c r="F30" s="24" t="str">
        <f>'2. Smart Meter Data'!G5</f>
        <v>Audited Actual</v>
      </c>
      <c r="G30" s="24" t="str">
        <f>'2. Smart Meter Data'!H5</f>
        <v>Actual</v>
      </c>
      <c r="H30" s="24" t="str">
        <f>'2. Smart Meter Data'!I5</f>
        <v>Forecasted</v>
      </c>
      <c r="I30" s="24" t="str">
        <f>'2. Smart Meter Data'!J5</f>
        <v>Forecasted</v>
      </c>
      <c r="J30" s="24"/>
      <c r="K30" s="5"/>
      <c r="L30" s="5"/>
      <c r="M30" s="5"/>
    </row>
    <row r="31" spans="1:13" ht="12.75">
      <c r="A31" s="5"/>
      <c r="B31" s="31" t="s">
        <v>8</v>
      </c>
      <c r="C31" s="96">
        <f>SUMIF('2. Smart Meter Data'!$C:$J,"Smart Meter",'2. Smart Meter Data'!D:D)</f>
        <v>0</v>
      </c>
      <c r="D31" s="96">
        <f>SUMIF('2. Smart Meter Data'!$C:$J,"Smart Meter",'2. Smart Meter Data'!E:E)</f>
        <v>0</v>
      </c>
      <c r="E31" s="96">
        <f>SUMIF('2. Smart Meter Data'!$C:$J,"Smart Meter",'2. Smart Meter Data'!F:F)</f>
        <v>0</v>
      </c>
      <c r="F31" s="96">
        <f>SUMIF('2. Smart Meter Data'!$C:$J,"Smart Meter",'2. Smart Meter Data'!G:G)</f>
        <v>2370692.7399999998</v>
      </c>
      <c r="G31" s="96">
        <f>SUMIF('2. Smart Meter Data'!$C:$J,"Smart Meter",'2. Smart Meter Data'!H:H)</f>
        <v>469675.22</v>
      </c>
      <c r="H31" s="96">
        <f>SUMIF('2. Smart Meter Data'!$C:$J,"Smart Meter",'2. Smart Meter Data'!I:I)</f>
        <v>47377.05</v>
      </c>
      <c r="I31" s="96">
        <f>SUMIF('2. Smart Meter Data'!$C:$J,"Smart Meter",'2. Smart Meter Data'!J:J)</f>
        <v>0</v>
      </c>
      <c r="J31" s="97">
        <f>SUM(C31:H31)</f>
        <v>2887745.01</v>
      </c>
      <c r="K31" s="5"/>
      <c r="L31" s="5"/>
      <c r="M31" s="5"/>
    </row>
    <row r="32" spans="1:13" ht="12.75">
      <c r="A32" s="5"/>
      <c r="B32" s="31" t="s">
        <v>98</v>
      </c>
      <c r="C32" s="96">
        <f>SUMIF('2. Smart Meter Data'!$C:$J,"Comp. Hard.",'2. Smart Meter Data'!D:D)</f>
        <v>0</v>
      </c>
      <c r="D32" s="96">
        <f>SUMIF('2. Smart Meter Data'!$C:$J,"Comp. Hard.",'2. Smart Meter Data'!E:E)</f>
        <v>0</v>
      </c>
      <c r="E32" s="96">
        <f>SUMIF('2. Smart Meter Data'!$C:$J,"Comp. Hard.",'2. Smart Meter Data'!F:F)</f>
        <v>0</v>
      </c>
      <c r="F32" s="96">
        <f>SUMIF('2. Smart Meter Data'!$C:$J,"Comp. Hard.",'2. Smart Meter Data'!G:G)</f>
        <v>27296.71</v>
      </c>
      <c r="G32" s="96">
        <f>SUMIF('2. Smart Meter Data'!$C:$J,"Comp. Hard.",'2. Smart Meter Data'!H:H)</f>
        <v>0</v>
      </c>
      <c r="H32" s="96">
        <f>SUMIF('2. Smart Meter Data'!$C:$J,"Comp. Hard.",'2. Smart Meter Data'!I:I)</f>
        <v>0</v>
      </c>
      <c r="I32" s="96">
        <f>SUMIF('2. Smart Meter Data'!$C:$J,"Comp. Hard.",'2. Smart Meter Data'!J:J)</f>
        <v>0</v>
      </c>
      <c r="J32" s="97">
        <f>SUM(C32:H32)</f>
        <v>27296.71</v>
      </c>
      <c r="K32" s="5"/>
      <c r="L32" s="5"/>
      <c r="M32" s="5"/>
    </row>
    <row r="33" spans="1:13" ht="12.75">
      <c r="A33" s="5"/>
      <c r="B33" s="31" t="s">
        <v>99</v>
      </c>
      <c r="C33" s="96">
        <f>SUMIF('2. Smart Meter Data'!$C:$J,"Comp. Soft.",'2. Smart Meter Data'!D:D)</f>
        <v>0</v>
      </c>
      <c r="D33" s="96">
        <f>SUMIF('2. Smart Meter Data'!$C:$J,"Comp. Soft.",'2. Smart Meter Data'!E:E)</f>
        <v>0</v>
      </c>
      <c r="E33" s="96">
        <f>SUMIF('2. Smart Meter Data'!$C:$J,"Comp. Soft.",'2. Smart Meter Data'!F:F)</f>
        <v>0</v>
      </c>
      <c r="F33" s="96">
        <f>SUMIF('2. Smart Meter Data'!$C:$J,"Comp. Soft.",'2. Smart Meter Data'!G:G)</f>
        <v>4560</v>
      </c>
      <c r="G33" s="96">
        <f>SUMIF('2. Smart Meter Data'!$C:$J,"Comp. Soft.",'2. Smart Meter Data'!H:H)</f>
        <v>25588.02</v>
      </c>
      <c r="H33" s="96">
        <f>SUMIF('2. Smart Meter Data'!$C:$J,"Comp. Soft.",'2. Smart Meter Data'!I:I)</f>
        <v>30000</v>
      </c>
      <c r="I33" s="96">
        <f>SUMIF('2. Smart Meter Data'!$C:$J,"Comp. Soft.",'2. Smart Meter Data'!J:J)</f>
        <v>0</v>
      </c>
      <c r="J33" s="97">
        <f>SUM(C33:H33)</f>
        <v>60148.020000000004</v>
      </c>
      <c r="K33" s="5"/>
      <c r="L33" s="5"/>
      <c r="M33" s="5"/>
    </row>
    <row r="34" spans="1:13" ht="12.75">
      <c r="A34" s="5"/>
      <c r="B34" s="31" t="s">
        <v>11</v>
      </c>
      <c r="C34" s="96">
        <f>SUMIF('2. Smart Meter Data'!$C:$J,"Tools &amp; Equip",'2. Smart Meter Data'!D:D)</f>
        <v>0</v>
      </c>
      <c r="D34" s="96">
        <f>SUMIF('2. Smart Meter Data'!$C:$J,"Tools &amp; Equip",'2. Smart Meter Data'!E:E)</f>
        <v>0</v>
      </c>
      <c r="E34" s="96">
        <f>SUMIF('2. Smart Meter Data'!$C:$J,"Tools &amp; Equip",'2. Smart Meter Data'!F:F)</f>
        <v>0</v>
      </c>
      <c r="F34" s="96">
        <f>SUMIF('2. Smart Meter Data'!$C:$J,"Tools &amp; Equip",'2. Smart Meter Data'!G:G)</f>
        <v>0</v>
      </c>
      <c r="G34" s="96">
        <f>SUMIF('2. Smart Meter Data'!$C:$J,"Tools &amp; Equip",'2. Smart Meter Data'!H:H)</f>
        <v>0</v>
      </c>
      <c r="H34" s="96">
        <f>SUMIF('2. Smart Meter Data'!$C:$J,"Tools &amp; Equip",'2. Smart Meter Data'!I:I)</f>
        <v>0</v>
      </c>
      <c r="I34" s="96">
        <f>SUMIF('2. Smart Meter Data'!$C:$J,"Tools &amp; Equip",'2. Smart Meter Data'!J:J)</f>
        <v>0</v>
      </c>
      <c r="J34" s="97">
        <f>SUM(C34:H34)</f>
        <v>0</v>
      </c>
      <c r="K34" s="5"/>
      <c r="L34" s="5"/>
      <c r="M34" s="5"/>
    </row>
    <row r="35" spans="1:13" ht="12.75">
      <c r="A35" s="5"/>
      <c r="B35" s="31" t="s">
        <v>13</v>
      </c>
      <c r="C35" s="96">
        <f>SUMIF('2. Smart Meter Data'!$C:$J,"Other Equip.",'2. Smart Meter Data'!D:D)</f>
        <v>0</v>
      </c>
      <c r="D35" s="96">
        <f>SUMIF('2. Smart Meter Data'!$C:$J,"Other Equip.",'2. Smart Meter Data'!E:E)</f>
        <v>0</v>
      </c>
      <c r="E35" s="96">
        <f>SUMIF('2. Smart Meter Data'!$C:$J,"Other Equip.",'2. Smart Meter Data'!F:F)</f>
        <v>0</v>
      </c>
      <c r="F35" s="96">
        <f>SUMIF('2. Smart Meter Data'!$C:$J,"Other Equip.",'2. Smart Meter Data'!G:G)</f>
        <v>6771.77</v>
      </c>
      <c r="G35" s="96">
        <f>SUMIF('2. Smart Meter Data'!$C:$J,"Other Equip.",'2. Smart Meter Data'!H:H)</f>
        <v>60</v>
      </c>
      <c r="H35" s="96">
        <f>SUMIF('2. Smart Meter Data'!$C:$J,"Other Equip.",'2. Smart Meter Data'!I:I)</f>
        <v>0</v>
      </c>
      <c r="I35" s="96">
        <f>SUMIF('2. Smart Meter Data'!$C:$J,"Other Equip.",'2. Smart Meter Data'!J:J)</f>
        <v>0</v>
      </c>
      <c r="J35" s="97">
        <f>SUM(C35:H35)</f>
        <v>6831.77</v>
      </c>
      <c r="K35" s="5"/>
      <c r="L35" s="5"/>
      <c r="M35" s="5"/>
    </row>
    <row r="36" spans="1:13" ht="13.5" thickBot="1">
      <c r="A36" s="5"/>
      <c r="B36" s="55" t="s">
        <v>60</v>
      </c>
      <c r="C36" s="98">
        <f>SUM(C31:C35)</f>
        <v>0</v>
      </c>
      <c r="D36" s="98">
        <f aca="true" t="shared" si="1" ref="D36:J36">SUM(D31:D35)</f>
        <v>0</v>
      </c>
      <c r="E36" s="98">
        <f t="shared" si="1"/>
        <v>0</v>
      </c>
      <c r="F36" s="98">
        <f t="shared" si="1"/>
        <v>2409321.2199999997</v>
      </c>
      <c r="G36" s="98">
        <f t="shared" si="1"/>
        <v>495323.24</v>
      </c>
      <c r="H36" s="98">
        <f t="shared" si="1"/>
        <v>77377.05</v>
      </c>
      <c r="I36" s="98">
        <f t="shared" si="1"/>
        <v>0</v>
      </c>
      <c r="J36" s="98">
        <f t="shared" si="1"/>
        <v>2982021.51</v>
      </c>
      <c r="K36" s="5"/>
      <c r="L36" s="5"/>
      <c r="M36" s="5"/>
    </row>
    <row r="37" spans="1:13" ht="12.75">
      <c r="A37" s="5"/>
      <c r="B37" s="5"/>
      <c r="C37" s="93">
        <f>'2. Smart Meter Data'!D99-C36</f>
        <v>0</v>
      </c>
      <c r="D37" s="93">
        <f>'2. Smart Meter Data'!E99-D36</f>
        <v>0</v>
      </c>
      <c r="E37" s="93">
        <f>'2. Smart Meter Data'!F99-E36</f>
        <v>0</v>
      </c>
      <c r="F37" s="93">
        <f>'2. Smart Meter Data'!G99-F36</f>
        <v>0</v>
      </c>
      <c r="G37" s="93">
        <f>'2. Smart Meter Data'!H99-G36</f>
        <v>0</v>
      </c>
      <c r="H37" s="93">
        <f>'2. Smart Meter Data'!I99-H36</f>
        <v>0</v>
      </c>
      <c r="I37" s="93">
        <f>'2. Smart Meter Data'!J99-I36</f>
        <v>0</v>
      </c>
      <c r="J37" s="93">
        <f>'2. Smart Meter Data'!K99-J36</f>
        <v>0</v>
      </c>
      <c r="K37" s="5"/>
      <c r="L37" s="5"/>
      <c r="M37" s="5"/>
    </row>
    <row r="38" spans="1:12" ht="12.75">
      <c r="A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24">
        <f>C29</f>
        <v>2006</v>
      </c>
      <c r="D39" s="24">
        <f aca="true" t="shared" si="2" ref="D39:J39">D29</f>
        <v>2007</v>
      </c>
      <c r="E39" s="24">
        <f t="shared" si="2"/>
        <v>2008</v>
      </c>
      <c r="F39" s="24">
        <f t="shared" si="2"/>
        <v>2009</v>
      </c>
      <c r="G39" s="24">
        <f t="shared" si="2"/>
        <v>2010</v>
      </c>
      <c r="H39" s="24">
        <f t="shared" si="2"/>
        <v>2011</v>
      </c>
      <c r="I39" s="24" t="str">
        <f t="shared" si="2"/>
        <v>Later</v>
      </c>
      <c r="J39" s="24" t="str">
        <f t="shared" si="2"/>
        <v>Total</v>
      </c>
      <c r="K39" s="5"/>
      <c r="L39" s="5"/>
    </row>
    <row r="40" spans="1:13" ht="15.75">
      <c r="A40" s="5"/>
      <c r="B40" s="52" t="s">
        <v>100</v>
      </c>
      <c r="C40" s="24" t="str">
        <f>C30</f>
        <v>Audited Actual</v>
      </c>
      <c r="D40" s="24" t="str">
        <f aca="true" t="shared" si="3" ref="D40:I40">D30</f>
        <v>Audited Actual</v>
      </c>
      <c r="E40" s="24" t="str">
        <f t="shared" si="3"/>
        <v>Audited Actual</v>
      </c>
      <c r="F40" s="24" t="str">
        <f t="shared" si="3"/>
        <v>Audited Actual</v>
      </c>
      <c r="G40" s="24" t="str">
        <f t="shared" si="3"/>
        <v>Actual</v>
      </c>
      <c r="H40" s="24" t="str">
        <f t="shared" si="3"/>
        <v>Forecasted</v>
      </c>
      <c r="I40" s="24" t="str">
        <f t="shared" si="3"/>
        <v>Forecasted</v>
      </c>
      <c r="J40" s="24"/>
      <c r="K40" s="5"/>
      <c r="L40" s="5"/>
      <c r="M40" s="5"/>
    </row>
    <row r="41" spans="1:13" ht="12.75">
      <c r="A41" s="5"/>
      <c r="B41" s="57" t="s">
        <v>101</v>
      </c>
      <c r="C41" s="99">
        <f>'2. Smart Meter Data'!D107</f>
        <v>0</v>
      </c>
      <c r="D41" s="99">
        <f>'2. Smart Meter Data'!E107</f>
        <v>0</v>
      </c>
      <c r="E41" s="99">
        <f>'2. Smart Meter Data'!F107</f>
        <v>0</v>
      </c>
      <c r="F41" s="99">
        <f>'2. Smart Meter Data'!G107</f>
        <v>1970.79</v>
      </c>
      <c r="G41" s="99">
        <f>'2. Smart Meter Data'!H107</f>
        <v>40</v>
      </c>
      <c r="H41" s="99">
        <f>'2. Smart Meter Data'!I107</f>
        <v>0</v>
      </c>
      <c r="I41" s="99">
        <f>'2. Smart Meter Data'!J107</f>
        <v>0</v>
      </c>
      <c r="J41" s="97">
        <f>SUM(C41:H41)</f>
        <v>2010.79</v>
      </c>
      <c r="K41" s="5"/>
      <c r="L41" s="5"/>
      <c r="M41" s="5"/>
    </row>
    <row r="42" spans="1:13" ht="12.75">
      <c r="A42" s="5"/>
      <c r="B42" s="57" t="s">
        <v>102</v>
      </c>
      <c r="C42" s="99">
        <f>'2. Smart Meter Data'!D113</f>
        <v>0</v>
      </c>
      <c r="D42" s="99">
        <f>'2. Smart Meter Data'!E113</f>
        <v>0</v>
      </c>
      <c r="E42" s="99">
        <f>'2. Smart Meter Data'!F113</f>
        <v>0</v>
      </c>
      <c r="F42" s="99">
        <f>'2. Smart Meter Data'!G113</f>
        <v>0</v>
      </c>
      <c r="G42" s="99">
        <f>'2. Smart Meter Data'!H113</f>
        <v>0</v>
      </c>
      <c r="H42" s="99">
        <f>'2. Smart Meter Data'!I113</f>
        <v>0</v>
      </c>
      <c r="I42" s="99">
        <f>'2. Smart Meter Data'!J113</f>
        <v>0</v>
      </c>
      <c r="J42" s="97">
        <f>SUM(C42:H42)</f>
        <v>0</v>
      </c>
      <c r="K42" s="5"/>
      <c r="L42" s="5"/>
      <c r="M42" s="5"/>
    </row>
    <row r="43" spans="1:13" ht="12.75">
      <c r="A43" s="5"/>
      <c r="B43" s="57" t="s">
        <v>103</v>
      </c>
      <c r="C43" s="99">
        <f>'2. Smart Meter Data'!D122</f>
        <v>0</v>
      </c>
      <c r="D43" s="99">
        <f>'2. Smart Meter Data'!E122</f>
        <v>0</v>
      </c>
      <c r="E43" s="99">
        <f>'2. Smart Meter Data'!F122</f>
        <v>0</v>
      </c>
      <c r="F43" s="99">
        <f>'2. Smart Meter Data'!G122</f>
        <v>8383.89</v>
      </c>
      <c r="G43" s="99">
        <f>'2. Smart Meter Data'!H122</f>
        <v>45033.71</v>
      </c>
      <c r="H43" s="99">
        <f>'2. Smart Meter Data'!I122</f>
        <v>75975.48</v>
      </c>
      <c r="I43" s="99">
        <f>'2. Smart Meter Data'!J122</f>
        <v>0</v>
      </c>
      <c r="J43" s="97">
        <f>SUM(C43:H43)</f>
        <v>129393.07999999999</v>
      </c>
      <c r="K43" s="5"/>
      <c r="L43" s="5"/>
      <c r="M43" s="5"/>
    </row>
    <row r="44" spans="1:13" ht="12.75">
      <c r="A44" s="5"/>
      <c r="B44" s="57" t="s">
        <v>104</v>
      </c>
      <c r="C44" s="99">
        <f>'2. Smart Meter Data'!D129</f>
        <v>0</v>
      </c>
      <c r="D44" s="99">
        <f>'2. Smart Meter Data'!E129</f>
        <v>0</v>
      </c>
      <c r="E44" s="99">
        <f>'2. Smart Meter Data'!F129</f>
        <v>0</v>
      </c>
      <c r="F44" s="99">
        <f>'2. Smart Meter Data'!G129</f>
        <v>0</v>
      </c>
      <c r="G44" s="99">
        <f>'2. Smart Meter Data'!H129</f>
        <v>0</v>
      </c>
      <c r="H44" s="99">
        <f>'2. Smart Meter Data'!I129</f>
        <v>0</v>
      </c>
      <c r="I44" s="99">
        <f>'2. Smart Meter Data'!J129</f>
        <v>0</v>
      </c>
      <c r="J44" s="97">
        <f>SUM(C44:H44)</f>
        <v>0</v>
      </c>
      <c r="K44" s="5"/>
      <c r="L44" s="5"/>
      <c r="M44" s="5"/>
    </row>
    <row r="45" spans="1:13" ht="12.75">
      <c r="A45" s="5"/>
      <c r="B45" s="57" t="s">
        <v>105</v>
      </c>
      <c r="C45" s="99">
        <f>'2. Smart Meter Data'!D145</f>
        <v>0</v>
      </c>
      <c r="D45" s="99">
        <f>'2. Smart Meter Data'!E145</f>
        <v>14069.84</v>
      </c>
      <c r="E45" s="99">
        <f>'2. Smart Meter Data'!F145</f>
        <v>11729.76</v>
      </c>
      <c r="F45" s="99">
        <f>'2. Smart Meter Data'!G145</f>
        <v>85029.34</v>
      </c>
      <c r="G45" s="99">
        <f>'2. Smart Meter Data'!H145</f>
        <v>15402.91</v>
      </c>
      <c r="H45" s="99">
        <f>'2. Smart Meter Data'!I145</f>
        <v>0</v>
      </c>
      <c r="I45" s="99">
        <f>'2. Smart Meter Data'!J145</f>
        <v>0</v>
      </c>
      <c r="J45" s="97">
        <f>SUM(C45:H45)</f>
        <v>126231.85</v>
      </c>
      <c r="K45" s="5"/>
      <c r="L45" s="5"/>
      <c r="M45" s="5"/>
    </row>
    <row r="46" spans="1:13" ht="13.5" thickBot="1">
      <c r="A46" s="5"/>
      <c r="B46" s="54" t="s">
        <v>87</v>
      </c>
      <c r="C46" s="100">
        <f aca="true" t="shared" si="4" ref="C46:J46">SUM(C41:C45)</f>
        <v>0</v>
      </c>
      <c r="D46" s="100">
        <f t="shared" si="4"/>
        <v>14069.84</v>
      </c>
      <c r="E46" s="100">
        <f t="shared" si="4"/>
        <v>11729.76</v>
      </c>
      <c r="F46" s="101">
        <f t="shared" si="4"/>
        <v>95384.01999999999</v>
      </c>
      <c r="G46" s="101">
        <f t="shared" si="4"/>
        <v>60476.619999999995</v>
      </c>
      <c r="H46" s="101">
        <f t="shared" si="4"/>
        <v>75975.48</v>
      </c>
      <c r="I46" s="101">
        <f t="shared" si="4"/>
        <v>0</v>
      </c>
      <c r="J46" s="101">
        <f t="shared" si="4"/>
        <v>257635.72</v>
      </c>
      <c r="K46" s="5"/>
      <c r="L46" s="5"/>
      <c r="M46" s="5"/>
    </row>
    <row r="47" spans="1:12" ht="12.75">
      <c r="A47" s="5"/>
      <c r="B47" s="5"/>
      <c r="C47" s="94">
        <f>'2. Smart Meter Data'!D147-C46</f>
        <v>0</v>
      </c>
      <c r="D47" s="94">
        <f>'2. Smart Meter Data'!E147-D46</f>
        <v>0</v>
      </c>
      <c r="E47" s="94">
        <f>'2. Smart Meter Data'!F147-E46</f>
        <v>0</v>
      </c>
      <c r="F47" s="94">
        <f>'2. Smart Meter Data'!G147-F46</f>
        <v>0</v>
      </c>
      <c r="G47" s="94">
        <f>'2. Smart Meter Data'!H147-G46</f>
        <v>0</v>
      </c>
      <c r="H47" s="94">
        <f>'2. Smart Meter Data'!I147-H46</f>
        <v>0</v>
      </c>
      <c r="I47" s="94">
        <f>'2. Smart Meter Data'!J147-I46</f>
        <v>0</v>
      </c>
      <c r="J47" s="94">
        <f>'2. Smart Meter Data'!K147-J46</f>
        <v>0</v>
      </c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.75">
      <c r="A49" s="5"/>
      <c r="B49" s="52" t="s">
        <v>106</v>
      </c>
      <c r="C49" s="30" t="s">
        <v>107</v>
      </c>
      <c r="D49" s="30" t="s">
        <v>108</v>
      </c>
      <c r="E49" s="30" t="s">
        <v>109</v>
      </c>
      <c r="F49" s="30" t="s">
        <v>110</v>
      </c>
      <c r="G49" s="5"/>
      <c r="H49" s="5"/>
      <c r="I49" s="5"/>
      <c r="J49" s="5"/>
      <c r="K49" s="5"/>
      <c r="L49" s="5"/>
    </row>
    <row r="50" spans="1:12" ht="12.75">
      <c r="A50" s="5"/>
      <c r="B50" s="31" t="s">
        <v>111</v>
      </c>
      <c r="C50" s="102">
        <f aca="true" t="shared" si="5" ref="C50:C55">IF(ISERROR(E50/D50),0,E50/D50)</f>
        <v>133.7786069674789</v>
      </c>
      <c r="D50" s="103">
        <f>'2. Smart Meter Data'!K10</f>
        <v>21586</v>
      </c>
      <c r="E50" s="97">
        <f>J31</f>
        <v>2887745.01</v>
      </c>
      <c r="F50" s="104">
        <f aca="true" t="shared" si="6" ref="F50:F55">IF(ISERROR(E50/$E$56),0,E50/$E$56)</f>
        <v>0.8913736253510992</v>
      </c>
      <c r="G50" s="5"/>
      <c r="H50" s="5"/>
      <c r="I50" s="5"/>
      <c r="J50" s="5"/>
      <c r="K50" s="5"/>
      <c r="L50" s="5"/>
    </row>
    <row r="51" spans="1:12" ht="12.75">
      <c r="A51" s="5"/>
      <c r="B51" s="31" t="s">
        <v>112</v>
      </c>
      <c r="C51" s="102">
        <f t="shared" si="5"/>
        <v>1.2645561938293337</v>
      </c>
      <c r="D51" s="103">
        <f>D50</f>
        <v>21586</v>
      </c>
      <c r="E51" s="97">
        <f>J32</f>
        <v>27296.71</v>
      </c>
      <c r="F51" s="104">
        <f t="shared" si="6"/>
        <v>0.008425801886454512</v>
      </c>
      <c r="G51" s="5"/>
      <c r="H51" s="5"/>
      <c r="I51" s="5"/>
      <c r="J51" s="5"/>
      <c r="K51" s="5"/>
      <c r="L51" s="5"/>
    </row>
    <row r="52" spans="1:12" ht="12.75">
      <c r="A52" s="5"/>
      <c r="B52" s="31" t="s">
        <v>113</v>
      </c>
      <c r="C52" s="102">
        <f t="shared" si="5"/>
        <v>2.786436579264338</v>
      </c>
      <c r="D52" s="103">
        <f>D51</f>
        <v>21586</v>
      </c>
      <c r="E52" s="97">
        <f>J33</f>
        <v>60148.020000000004</v>
      </c>
      <c r="F52" s="104">
        <f t="shared" si="6"/>
        <v>0.018566167878198647</v>
      </c>
      <c r="G52" s="5"/>
      <c r="H52" s="5"/>
      <c r="I52" s="5"/>
      <c r="J52" s="5"/>
      <c r="K52" s="5"/>
      <c r="L52" s="5"/>
    </row>
    <row r="53" spans="1:12" ht="12.75">
      <c r="A53" s="5"/>
      <c r="B53" s="31" t="s">
        <v>11</v>
      </c>
      <c r="C53" s="102">
        <f t="shared" si="5"/>
        <v>0</v>
      </c>
      <c r="D53" s="103">
        <f>D52</f>
        <v>21586</v>
      </c>
      <c r="E53" s="97">
        <f>J34</f>
        <v>0</v>
      </c>
      <c r="F53" s="104">
        <f t="shared" si="6"/>
        <v>0</v>
      </c>
      <c r="G53" s="5"/>
      <c r="H53" s="5"/>
      <c r="I53" s="5"/>
      <c r="J53" s="5"/>
      <c r="K53" s="5"/>
      <c r="L53" s="5"/>
    </row>
    <row r="54" spans="1:12" ht="12.75">
      <c r="A54" s="5"/>
      <c r="B54" s="31" t="s">
        <v>13</v>
      </c>
      <c r="C54" s="102">
        <f t="shared" si="5"/>
        <v>0.31649078106179934</v>
      </c>
      <c r="D54" s="103">
        <f>D53</f>
        <v>21586</v>
      </c>
      <c r="E54" s="97">
        <f>J35</f>
        <v>6831.77</v>
      </c>
      <c r="F54" s="104">
        <f t="shared" si="6"/>
        <v>0.0021087940837494095</v>
      </c>
      <c r="G54" s="5"/>
      <c r="H54" s="5"/>
      <c r="I54" s="5"/>
      <c r="J54" s="5"/>
      <c r="K54" s="5"/>
      <c r="L54" s="5"/>
    </row>
    <row r="55" spans="1:12" ht="12.75">
      <c r="A55" s="5"/>
      <c r="B55" s="31" t="s">
        <v>114</v>
      </c>
      <c r="C55" s="102">
        <f t="shared" si="5"/>
        <v>11.93531548225702</v>
      </c>
      <c r="D55" s="103">
        <f>D52</f>
        <v>21586</v>
      </c>
      <c r="E55" s="97">
        <f>J46</f>
        <v>257635.72</v>
      </c>
      <c r="F55" s="104">
        <f t="shared" si="6"/>
        <v>0.07952561080049818</v>
      </c>
      <c r="G55" s="5"/>
      <c r="H55" s="5"/>
      <c r="I55" s="5"/>
      <c r="J55" s="5"/>
      <c r="K55" s="5"/>
      <c r="L55" s="5"/>
    </row>
    <row r="56" spans="1:12" ht="12.75">
      <c r="A56" s="5"/>
      <c r="B56" s="5" t="s">
        <v>115</v>
      </c>
      <c r="C56" s="105">
        <f>SUM(C50:C55)</f>
        <v>150.08140600389137</v>
      </c>
      <c r="D56" s="106"/>
      <c r="E56" s="107">
        <f>SUM(E50:E55)</f>
        <v>3239657.23</v>
      </c>
      <c r="F56" s="108">
        <f>SUM(F50:F55)</f>
        <v>0.9999999999999999</v>
      </c>
      <c r="G56" s="5"/>
      <c r="H56" s="5"/>
      <c r="I56" s="5"/>
      <c r="J56" s="5"/>
      <c r="K56" s="5"/>
      <c r="L56" s="5"/>
    </row>
    <row r="57" ht="15" customHeight="1"/>
    <row r="58" spans="3:9" ht="12.75">
      <c r="C58" s="111">
        <f>C39</f>
        <v>2006</v>
      </c>
      <c r="D58" s="111">
        <f aca="true" t="shared" si="7" ref="D58:I58">D39</f>
        <v>2007</v>
      </c>
      <c r="E58" s="111">
        <f t="shared" si="7"/>
        <v>2008</v>
      </c>
      <c r="F58" s="111">
        <f t="shared" si="7"/>
        <v>2009</v>
      </c>
      <c r="G58" s="111">
        <f t="shared" si="7"/>
        <v>2010</v>
      </c>
      <c r="H58" s="111">
        <f t="shared" si="7"/>
        <v>2011</v>
      </c>
      <c r="I58" s="111" t="str">
        <f t="shared" si="7"/>
        <v>Later</v>
      </c>
    </row>
    <row r="59" spans="2:9" ht="15.75">
      <c r="B59" s="52" t="s">
        <v>212</v>
      </c>
      <c r="C59" s="111" t="str">
        <f>C40</f>
        <v>Audited Actual</v>
      </c>
      <c r="D59" s="111" t="str">
        <f aca="true" t="shared" si="8" ref="D59:I59">D40</f>
        <v>Audited Actual</v>
      </c>
      <c r="E59" s="111" t="str">
        <f t="shared" si="8"/>
        <v>Audited Actual</v>
      </c>
      <c r="F59" s="111" t="str">
        <f t="shared" si="8"/>
        <v>Audited Actual</v>
      </c>
      <c r="G59" s="111" t="str">
        <f t="shared" si="8"/>
        <v>Actual</v>
      </c>
      <c r="H59" s="111" t="str">
        <f t="shared" si="8"/>
        <v>Forecasted</v>
      </c>
      <c r="I59" s="111" t="str">
        <f t="shared" si="8"/>
        <v>Forecasted</v>
      </c>
    </row>
    <row r="60" spans="2:9" ht="12.75">
      <c r="B60" s="31" t="s">
        <v>213</v>
      </c>
      <c r="C60" s="112">
        <v>15</v>
      </c>
      <c r="D60" s="112">
        <v>15</v>
      </c>
      <c r="E60" s="112">
        <v>15</v>
      </c>
      <c r="F60" s="112">
        <v>15</v>
      </c>
      <c r="G60" s="112">
        <v>15</v>
      </c>
      <c r="H60" s="112">
        <v>15</v>
      </c>
      <c r="I60" s="112">
        <v>15</v>
      </c>
    </row>
    <row r="61" spans="2:9" ht="12.75">
      <c r="B61" s="31" t="s">
        <v>214</v>
      </c>
      <c r="C61" s="112">
        <v>5</v>
      </c>
      <c r="D61" s="112">
        <v>5</v>
      </c>
      <c r="E61" s="112">
        <v>5</v>
      </c>
      <c r="F61" s="112">
        <v>5</v>
      </c>
      <c r="G61" s="112">
        <v>5</v>
      </c>
      <c r="H61" s="112">
        <v>5</v>
      </c>
      <c r="I61" s="112">
        <v>5</v>
      </c>
    </row>
    <row r="62" spans="2:9" ht="12.75">
      <c r="B62" s="31" t="s">
        <v>215</v>
      </c>
      <c r="C62" s="112">
        <v>5</v>
      </c>
      <c r="D62" s="112">
        <v>5</v>
      </c>
      <c r="E62" s="112">
        <v>5</v>
      </c>
      <c r="F62" s="112">
        <v>5</v>
      </c>
      <c r="G62" s="112">
        <v>5</v>
      </c>
      <c r="H62" s="112">
        <v>5</v>
      </c>
      <c r="I62" s="112">
        <v>5</v>
      </c>
    </row>
    <row r="63" spans="2:9" ht="12.75">
      <c r="B63" s="31" t="s">
        <v>216</v>
      </c>
      <c r="C63" s="112">
        <v>10</v>
      </c>
      <c r="D63" s="112">
        <v>10</v>
      </c>
      <c r="E63" s="112">
        <v>10</v>
      </c>
      <c r="F63" s="112">
        <v>10</v>
      </c>
      <c r="G63" s="112">
        <v>10</v>
      </c>
      <c r="H63" s="112">
        <v>10</v>
      </c>
      <c r="I63" s="112">
        <v>10</v>
      </c>
    </row>
    <row r="64" spans="2:9" ht="12.75">
      <c r="B64" s="31" t="s">
        <v>217</v>
      </c>
      <c r="C64" s="112">
        <v>25</v>
      </c>
      <c r="D64" s="112">
        <v>25</v>
      </c>
      <c r="E64" s="112">
        <v>25</v>
      </c>
      <c r="F64" s="112">
        <v>25</v>
      </c>
      <c r="G64" s="112">
        <v>25</v>
      </c>
      <c r="H64" s="112">
        <v>25</v>
      </c>
      <c r="I64" s="112">
        <v>25</v>
      </c>
    </row>
    <row r="66" spans="3:9" ht="12.75">
      <c r="C66" s="111">
        <f>C58</f>
        <v>2006</v>
      </c>
      <c r="D66" s="111">
        <f aca="true" t="shared" si="9" ref="D66:I66">D58</f>
        <v>2007</v>
      </c>
      <c r="E66" s="111">
        <f t="shared" si="9"/>
        <v>2008</v>
      </c>
      <c r="F66" s="111">
        <f t="shared" si="9"/>
        <v>2009</v>
      </c>
      <c r="G66" s="111">
        <f t="shared" si="9"/>
        <v>2010</v>
      </c>
      <c r="H66" s="111">
        <f t="shared" si="9"/>
        <v>2011</v>
      </c>
      <c r="I66" s="111" t="str">
        <f t="shared" si="9"/>
        <v>Later</v>
      </c>
    </row>
    <row r="67" spans="2:9" ht="15.75">
      <c r="B67" s="52" t="s">
        <v>218</v>
      </c>
      <c r="C67" s="111" t="str">
        <f>C59</f>
        <v>Audited Actual</v>
      </c>
      <c r="D67" s="111" t="str">
        <f aca="true" t="shared" si="10" ref="D67:I67">D59</f>
        <v>Audited Actual</v>
      </c>
      <c r="E67" s="111" t="str">
        <f t="shared" si="10"/>
        <v>Audited Actual</v>
      </c>
      <c r="F67" s="111" t="str">
        <f t="shared" si="10"/>
        <v>Audited Actual</v>
      </c>
      <c r="G67" s="111" t="str">
        <f t="shared" si="10"/>
        <v>Actual</v>
      </c>
      <c r="H67" s="111" t="str">
        <f t="shared" si="10"/>
        <v>Forecasted</v>
      </c>
      <c r="I67" s="111" t="str">
        <f t="shared" si="10"/>
        <v>Forecasted</v>
      </c>
    </row>
    <row r="68" spans="2:9" ht="12.75">
      <c r="B68" s="7" t="s">
        <v>221</v>
      </c>
      <c r="C68" s="111">
        <v>47</v>
      </c>
      <c r="D68" s="111">
        <v>47</v>
      </c>
      <c r="E68" s="111">
        <v>47</v>
      </c>
      <c r="F68" s="111">
        <v>47</v>
      </c>
      <c r="G68" s="111">
        <v>47</v>
      </c>
      <c r="H68" s="111">
        <v>47</v>
      </c>
      <c r="I68" s="111">
        <v>47</v>
      </c>
    </row>
    <row r="69" spans="2:9" ht="12.75">
      <c r="B69" s="31" t="s">
        <v>8</v>
      </c>
      <c r="C69" s="113">
        <v>0.08</v>
      </c>
      <c r="D69" s="113">
        <v>0.08</v>
      </c>
      <c r="E69" s="113">
        <v>0.08</v>
      </c>
      <c r="F69" s="113">
        <v>0.08</v>
      </c>
      <c r="G69" s="113">
        <v>0.08</v>
      </c>
      <c r="H69" s="113">
        <v>0.08</v>
      </c>
      <c r="I69" s="113">
        <v>0.08</v>
      </c>
    </row>
    <row r="71" spans="2:9" ht="12.75">
      <c r="B71" s="7" t="s">
        <v>221</v>
      </c>
      <c r="C71" s="111">
        <v>45</v>
      </c>
      <c r="D71" s="111">
        <v>50</v>
      </c>
      <c r="E71" s="111">
        <v>50</v>
      </c>
      <c r="F71" s="111">
        <v>50</v>
      </c>
      <c r="G71" s="111">
        <v>50</v>
      </c>
      <c r="H71" s="111">
        <v>50</v>
      </c>
      <c r="I71" s="111">
        <v>50</v>
      </c>
    </row>
    <row r="72" spans="2:9" ht="12.75">
      <c r="B72" s="31" t="s">
        <v>220</v>
      </c>
      <c r="C72" s="113">
        <v>0.45</v>
      </c>
      <c r="D72" s="113">
        <v>0.55</v>
      </c>
      <c r="E72" s="113">
        <v>0.55</v>
      </c>
      <c r="F72" s="113">
        <v>0.55</v>
      </c>
      <c r="G72" s="113">
        <v>0.55</v>
      </c>
      <c r="H72" s="113">
        <v>0.55</v>
      </c>
      <c r="I72" s="113">
        <v>0.55</v>
      </c>
    </row>
    <row r="74" spans="2:9" ht="12.75">
      <c r="B74" s="7" t="s">
        <v>221</v>
      </c>
      <c r="C74" s="111">
        <v>8</v>
      </c>
      <c r="D74" s="111">
        <v>8</v>
      </c>
      <c r="E74" s="111">
        <v>8</v>
      </c>
      <c r="F74" s="111">
        <v>8</v>
      </c>
      <c r="G74" s="111">
        <v>8</v>
      </c>
      <c r="H74" s="111">
        <v>8</v>
      </c>
      <c r="I74" s="111">
        <v>8</v>
      </c>
    </row>
    <row r="75" spans="2:9" ht="12.75">
      <c r="B75" s="31" t="s">
        <v>222</v>
      </c>
      <c r="C75" s="113">
        <v>0.2</v>
      </c>
      <c r="D75" s="113">
        <v>0.2</v>
      </c>
      <c r="E75" s="113">
        <v>0.2</v>
      </c>
      <c r="F75" s="113">
        <v>0.2</v>
      </c>
      <c r="G75" s="113">
        <v>0.2</v>
      </c>
      <c r="H75" s="113">
        <v>0.2</v>
      </c>
      <c r="I75" s="113">
        <v>0.2</v>
      </c>
    </row>
  </sheetData>
  <sheetProtection formatColumns="0" selectLockedCells="1"/>
  <mergeCells count="1">
    <mergeCell ref="B1:G1"/>
  </mergeCells>
  <printOptions/>
  <pageMargins left="0.77" right="0.75" top="0.52" bottom="0.5" header="0.5" footer="0.5"/>
  <pageSetup fitToHeight="1" fitToWidth="1" horizontalDpi="600" verticalDpi="600" orientation="landscape" scale="52" r:id="rId1"/>
  <headerFooter alignWithMargins="0">
    <oddFooter>&amp;L&amp;A&amp;C&amp;BWelland Hydro-Electric Systems Corp. Confidential&amp;B&amp;RPage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1"/>
  <sheetViews>
    <sheetView showGridLines="0" zoomScale="75" zoomScaleNormal="75" zoomScalePageLayoutView="0" workbookViewId="0" topLeftCell="A1">
      <selection activeCell="B36" sqref="B36:P36"/>
    </sheetView>
  </sheetViews>
  <sheetFormatPr defaultColWidth="9.140625" defaultRowHeight="12.75"/>
  <cols>
    <col min="1" max="1" width="26.00390625" style="7" customWidth="1"/>
    <col min="2" max="2" width="68.28125" style="7" bestFit="1" customWidth="1"/>
    <col min="3" max="4" width="16.140625" style="7" customWidth="1"/>
    <col min="5" max="5" width="19.421875" style="7" customWidth="1"/>
    <col min="6" max="6" width="16.8515625" style="7" customWidth="1"/>
    <col min="7" max="7" width="16.8515625" style="74" customWidth="1"/>
    <col min="8" max="8" width="19.8515625" style="7" customWidth="1"/>
    <col min="9" max="10" width="17.28125" style="7" customWidth="1"/>
    <col min="11" max="11" width="19.8515625" style="7" customWidth="1"/>
    <col min="12" max="13" width="17.57421875" style="7" customWidth="1"/>
    <col min="14" max="14" width="19.421875" style="7" customWidth="1"/>
    <col min="15" max="16" width="17.28125" style="7" bestFit="1" customWidth="1"/>
    <col min="17" max="17" width="20.421875" style="7" bestFit="1" customWidth="1"/>
    <col min="18" max="19" width="17.28125" style="7" bestFit="1" customWidth="1"/>
    <col min="20" max="20" width="20.421875" style="7" bestFit="1" customWidth="1"/>
    <col min="21" max="22" width="17.28125" style="7" bestFit="1" customWidth="1"/>
    <col min="23" max="23" width="20.421875" style="7" bestFit="1" customWidth="1"/>
    <col min="24" max="16384" width="9.140625" style="7" customWidth="1"/>
  </cols>
  <sheetData>
    <row r="1" spans="1:7" s="3" customFormat="1" ht="21" customHeight="1">
      <c r="A1" s="1"/>
      <c r="B1" s="176" t="s">
        <v>229</v>
      </c>
      <c r="C1" s="176"/>
      <c r="D1" s="176"/>
      <c r="E1" s="26"/>
      <c r="F1" s="1"/>
      <c r="G1" s="59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7" ht="12.75">
      <c r="A3" s="5"/>
      <c r="B3" s="5"/>
      <c r="C3" s="5"/>
      <c r="D3" s="5"/>
      <c r="E3" s="5"/>
      <c r="F3" s="5"/>
      <c r="G3" s="59"/>
    </row>
    <row r="4" spans="1:7" ht="26.25">
      <c r="A4" s="60" t="s">
        <v>228</v>
      </c>
      <c r="B4" s="5"/>
      <c r="C4" s="5"/>
      <c r="D4" s="5"/>
      <c r="E4" s="5"/>
      <c r="F4" s="5"/>
      <c r="G4" s="59"/>
    </row>
    <row r="5" spans="1:7" ht="13.5" thickBot="1">
      <c r="A5" s="5"/>
      <c r="B5" s="5"/>
      <c r="C5" s="5"/>
      <c r="D5" s="5"/>
      <c r="E5" s="5"/>
      <c r="F5" s="5"/>
      <c r="G5" s="59"/>
    </row>
    <row r="6" spans="1:23" ht="18">
      <c r="A6" s="5"/>
      <c r="B6" s="28" t="s">
        <v>128</v>
      </c>
      <c r="C6" s="170">
        <f>'2. Smart Meter Data'!D4</f>
        <v>2006</v>
      </c>
      <c r="D6" s="171"/>
      <c r="E6" s="172"/>
      <c r="F6" s="170">
        <f>'2. Smart Meter Data'!E4</f>
        <v>2007</v>
      </c>
      <c r="G6" s="171"/>
      <c r="H6" s="172"/>
      <c r="I6" s="170">
        <f>'2. Smart Meter Data'!F4</f>
        <v>2008</v>
      </c>
      <c r="J6" s="171"/>
      <c r="K6" s="172"/>
      <c r="L6" s="170">
        <f>'2. Smart Meter Data'!G4</f>
        <v>2009</v>
      </c>
      <c r="M6" s="171"/>
      <c r="N6" s="172"/>
      <c r="O6" s="170">
        <f>'2. Smart Meter Data'!H4</f>
        <v>2010</v>
      </c>
      <c r="P6" s="171"/>
      <c r="Q6" s="172"/>
      <c r="R6" s="170">
        <f>'2. Smart Meter Data'!I4</f>
        <v>2011</v>
      </c>
      <c r="S6" s="171"/>
      <c r="T6" s="172"/>
      <c r="U6" s="170" t="str">
        <f>'2. Smart Meter Data'!J4</f>
        <v>Later</v>
      </c>
      <c r="V6" s="171"/>
      <c r="W6" s="172"/>
    </row>
    <row r="7" spans="1:23" ht="18.75" thickBot="1">
      <c r="A7" s="5"/>
      <c r="B7" s="28"/>
      <c r="C7" s="173" t="str">
        <f>'2. Smart Meter Data'!D5</f>
        <v>Audited Actual</v>
      </c>
      <c r="D7" s="174"/>
      <c r="E7" s="175"/>
      <c r="F7" s="173" t="str">
        <f>'2. Smart Meter Data'!E5</f>
        <v>Audited Actual</v>
      </c>
      <c r="G7" s="174"/>
      <c r="H7" s="175"/>
      <c r="I7" s="173" t="str">
        <f>'2. Smart Meter Data'!F5</f>
        <v>Audited Actual</v>
      </c>
      <c r="J7" s="174"/>
      <c r="K7" s="175"/>
      <c r="L7" s="173" t="str">
        <f>'2. Smart Meter Data'!G5</f>
        <v>Audited Actual</v>
      </c>
      <c r="M7" s="174"/>
      <c r="N7" s="175"/>
      <c r="O7" s="173" t="str">
        <f>'2. Smart Meter Data'!H5</f>
        <v>Actual</v>
      </c>
      <c r="P7" s="174"/>
      <c r="Q7" s="175"/>
      <c r="R7" s="173" t="str">
        <f>'2. Smart Meter Data'!I5</f>
        <v>Forecasted</v>
      </c>
      <c r="S7" s="174"/>
      <c r="T7" s="175"/>
      <c r="U7" s="173" t="str">
        <f>'2. Smart Meter Data'!J5</f>
        <v>Forecasted</v>
      </c>
      <c r="V7" s="174"/>
      <c r="W7" s="175"/>
    </row>
    <row r="8" spans="1:23" ht="12.75">
      <c r="A8" s="5"/>
      <c r="B8" s="61" t="s">
        <v>129</v>
      </c>
      <c r="C8" s="150">
        <f>'6. Avg Nt Fix Ass &amp;UCC'!C18</f>
        <v>0</v>
      </c>
      <c r="D8" s="6"/>
      <c r="E8" s="62"/>
      <c r="F8" s="150">
        <f>'6. Avg Nt Fix Ass &amp;UCC'!D18</f>
        <v>0</v>
      </c>
      <c r="G8" s="6"/>
      <c r="H8" s="62"/>
      <c r="I8" s="150">
        <f>'6. Avg Nt Fix Ass &amp;UCC'!E18</f>
        <v>0</v>
      </c>
      <c r="J8" s="6"/>
      <c r="K8" s="62"/>
      <c r="L8" s="150">
        <f>'6. Avg Nt Fix Ass &amp;UCC'!F18</f>
        <v>1145834.8243333332</v>
      </c>
      <c r="M8" s="6"/>
      <c r="N8" s="62"/>
      <c r="O8" s="150">
        <f>'6. Avg Nt Fix Ass &amp;UCC'!G18</f>
        <v>2439656.2469999995</v>
      </c>
      <c r="P8" s="6"/>
      <c r="Q8" s="62"/>
      <c r="R8" s="150">
        <f>'6. Avg Nt Fix Ass &amp;UCC'!H18</f>
        <v>2515862.820833333</v>
      </c>
      <c r="S8" s="6"/>
      <c r="T8" s="62"/>
      <c r="U8" s="150">
        <f>'6. Avg Nt Fix Ass &amp;UCC'!M18</f>
        <v>0</v>
      </c>
      <c r="V8" s="6"/>
      <c r="W8" s="62"/>
    </row>
    <row r="9" spans="1:23" ht="12.75">
      <c r="A9" s="5"/>
      <c r="B9" s="61" t="s">
        <v>130</v>
      </c>
      <c r="C9" s="150">
        <f>'6. Avg Nt Fix Ass &amp;UCC'!C33</f>
        <v>0</v>
      </c>
      <c r="D9" s="63"/>
      <c r="E9" s="62"/>
      <c r="F9" s="150">
        <f>'6. Avg Nt Fix Ass &amp;UCC'!D33</f>
        <v>0</v>
      </c>
      <c r="G9" s="63"/>
      <c r="H9" s="62"/>
      <c r="I9" s="150">
        <f>'6. Avg Nt Fix Ass &amp;UCC'!E33</f>
        <v>0</v>
      </c>
      <c r="J9" s="63"/>
      <c r="K9" s="62"/>
      <c r="L9" s="150">
        <f>'6. Avg Nt Fix Ass &amp;UCC'!F33</f>
        <v>12283.5195</v>
      </c>
      <c r="M9" s="63"/>
      <c r="N9" s="62"/>
      <c r="O9" s="150">
        <f>'6. Avg Nt Fix Ass &amp;UCC'!G33</f>
        <v>21837.368000000002</v>
      </c>
      <c r="P9" s="63"/>
      <c r="Q9" s="62"/>
      <c r="R9" s="150">
        <f>'6. Avg Nt Fix Ass &amp;UCC'!H33</f>
        <v>16378.026</v>
      </c>
      <c r="S9" s="63"/>
      <c r="T9" s="62"/>
      <c r="U9" s="150">
        <f>'6. Avg Nt Fix Ass &amp;UCC'!I33</f>
        <v>0</v>
      </c>
      <c r="V9" s="63"/>
      <c r="W9" s="62"/>
    </row>
    <row r="10" spans="1:23" ht="12.75">
      <c r="A10" s="5"/>
      <c r="B10" s="61" t="s">
        <v>131</v>
      </c>
      <c r="C10" s="150">
        <f>'6. Avg Nt Fix Ass &amp;UCC'!C48</f>
        <v>0</v>
      </c>
      <c r="D10" s="64"/>
      <c r="E10" s="62"/>
      <c r="F10" s="150">
        <f>'6. Avg Nt Fix Ass &amp;UCC'!D48</f>
        <v>0</v>
      </c>
      <c r="G10" s="64"/>
      <c r="H10" s="62"/>
      <c r="I10" s="150">
        <f>'6. Avg Nt Fix Ass &amp;UCC'!E48</f>
        <v>0</v>
      </c>
      <c r="J10" s="64"/>
      <c r="K10" s="62"/>
      <c r="L10" s="150">
        <f>'6. Avg Nt Fix Ass &amp;UCC'!F48</f>
        <v>2052</v>
      </c>
      <c r="M10" s="64"/>
      <c r="N10" s="62"/>
      <c r="O10" s="150">
        <f>'6. Avg Nt Fix Ass &amp;UCC'!G48</f>
        <v>15162.609</v>
      </c>
      <c r="P10" s="64"/>
      <c r="Q10" s="62"/>
      <c r="R10" s="150">
        <f>'6. Avg Nt Fix Ass &amp;UCC'!H48</f>
        <v>36706.416</v>
      </c>
      <c r="S10" s="64"/>
      <c r="T10" s="62"/>
      <c r="U10" s="150">
        <f>'6. Avg Nt Fix Ass &amp;UCC'!I48</f>
        <v>0</v>
      </c>
      <c r="V10" s="64"/>
      <c r="W10" s="62"/>
    </row>
    <row r="11" spans="1:23" ht="12.75">
      <c r="A11" s="5"/>
      <c r="B11" s="61" t="s">
        <v>132</v>
      </c>
      <c r="C11" s="150">
        <f>'6. Avg Nt Fix Ass &amp;UCC'!C63</f>
        <v>0</v>
      </c>
      <c r="D11" s="64"/>
      <c r="E11" s="62"/>
      <c r="F11" s="150">
        <f>'6. Avg Nt Fix Ass &amp;UCC'!D63</f>
        <v>0</v>
      </c>
      <c r="G11" s="64"/>
      <c r="H11" s="62"/>
      <c r="I11" s="150">
        <f>'6. Avg Nt Fix Ass &amp;UCC'!E63</f>
        <v>0</v>
      </c>
      <c r="J11" s="64"/>
      <c r="K11" s="62"/>
      <c r="L11" s="150">
        <f>'6. Avg Nt Fix Ass &amp;UCC'!F63</f>
        <v>0</v>
      </c>
      <c r="M11" s="64"/>
      <c r="N11" s="62"/>
      <c r="O11" s="150">
        <f>'6. Avg Nt Fix Ass &amp;UCC'!G63</f>
        <v>0</v>
      </c>
      <c r="P11" s="64"/>
      <c r="Q11" s="62"/>
      <c r="R11" s="150">
        <f>'6. Avg Nt Fix Ass &amp;UCC'!H63</f>
        <v>0</v>
      </c>
      <c r="S11" s="64"/>
      <c r="T11" s="62"/>
      <c r="U11" s="150">
        <f>'6. Avg Nt Fix Ass &amp;UCC'!I63</f>
        <v>0</v>
      </c>
      <c r="V11" s="64"/>
      <c r="W11" s="62"/>
    </row>
    <row r="12" spans="1:23" ht="12.75">
      <c r="A12" s="5"/>
      <c r="B12" s="61" t="s">
        <v>133</v>
      </c>
      <c r="C12" s="150">
        <f>'6. Avg Nt Fix Ass &amp;UCC'!C78</f>
        <v>0</v>
      </c>
      <c r="D12" s="64"/>
      <c r="E12" s="62"/>
      <c r="F12" s="150">
        <f>'6. Avg Nt Fix Ass &amp;UCC'!D78</f>
        <v>0</v>
      </c>
      <c r="G12" s="64"/>
      <c r="H12" s="62"/>
      <c r="I12" s="150">
        <f>'6. Avg Nt Fix Ass &amp;UCC'!E78</f>
        <v>0</v>
      </c>
      <c r="J12" s="64"/>
      <c r="K12" s="62"/>
      <c r="L12" s="150">
        <f>'6. Avg Nt Fix Ass &amp;UCC'!F78</f>
        <v>3318.1673</v>
      </c>
      <c r="M12" s="64"/>
      <c r="N12" s="62"/>
      <c r="O12" s="150">
        <f>'6. Avg Nt Fix Ass &amp;UCC'!G78</f>
        <v>6530.2992</v>
      </c>
      <c r="P12" s="64"/>
      <c r="Q12" s="62"/>
      <c r="R12" s="150">
        <f>'6. Avg Nt Fix Ass &amp;UCC'!H78</f>
        <v>6287.6284000000005</v>
      </c>
      <c r="S12" s="64"/>
      <c r="T12" s="62"/>
      <c r="U12" s="150">
        <f>'6. Avg Nt Fix Ass &amp;UCC'!I78</f>
        <v>0</v>
      </c>
      <c r="V12" s="64"/>
      <c r="W12" s="62"/>
    </row>
    <row r="13" spans="1:23" ht="12.75">
      <c r="A13" s="5"/>
      <c r="B13" s="61" t="s">
        <v>134</v>
      </c>
      <c r="C13" s="151">
        <f>SUM(C8:C12)</f>
        <v>0</v>
      </c>
      <c r="D13" s="152">
        <f>C13</f>
        <v>0</v>
      </c>
      <c r="E13" s="62"/>
      <c r="F13" s="151">
        <f>SUM(F8:F12)</f>
        <v>0</v>
      </c>
      <c r="G13" s="152">
        <f>F13</f>
        <v>0</v>
      </c>
      <c r="H13" s="62"/>
      <c r="I13" s="151">
        <f>SUM(I8:I12)</f>
        <v>0</v>
      </c>
      <c r="J13" s="152">
        <f>I13</f>
        <v>0</v>
      </c>
      <c r="K13" s="62"/>
      <c r="L13" s="151">
        <f>SUM(L8:L12)</f>
        <v>1163488.5111333332</v>
      </c>
      <c r="M13" s="152">
        <f>L13</f>
        <v>1163488.5111333332</v>
      </c>
      <c r="N13" s="62"/>
      <c r="O13" s="151">
        <f>SUM(O8:O12)</f>
        <v>2483186.5231999992</v>
      </c>
      <c r="P13" s="152">
        <f>O13</f>
        <v>2483186.5231999992</v>
      </c>
      <c r="Q13" s="62"/>
      <c r="R13" s="151">
        <f>SUM(R8:R12)</f>
        <v>2575234.891233333</v>
      </c>
      <c r="S13" s="152">
        <f>R13</f>
        <v>2575234.891233333</v>
      </c>
      <c r="T13" s="62"/>
      <c r="U13" s="151">
        <f>SUM(U8:U12)</f>
        <v>0</v>
      </c>
      <c r="V13" s="152">
        <f>U13</f>
        <v>0</v>
      </c>
      <c r="W13" s="62"/>
    </row>
    <row r="14" spans="1:23" ht="12.75">
      <c r="A14" s="5"/>
      <c r="B14" s="61"/>
      <c r="C14" s="65"/>
      <c r="D14" s="6"/>
      <c r="E14" s="62"/>
      <c r="F14" s="65"/>
      <c r="G14" s="6"/>
      <c r="H14" s="62"/>
      <c r="I14" s="65"/>
      <c r="J14" s="6"/>
      <c r="K14" s="62"/>
      <c r="L14" s="65"/>
      <c r="M14" s="6"/>
      <c r="N14" s="62"/>
      <c r="O14" s="65"/>
      <c r="P14" s="6"/>
      <c r="Q14" s="62"/>
      <c r="R14" s="65"/>
      <c r="S14" s="6"/>
      <c r="T14" s="62"/>
      <c r="U14" s="65"/>
      <c r="V14" s="6"/>
      <c r="W14" s="62"/>
    </row>
    <row r="15" spans="1:23" ht="18">
      <c r="A15" s="5"/>
      <c r="B15" s="28" t="s">
        <v>135</v>
      </c>
      <c r="C15" s="65"/>
      <c r="D15" s="6"/>
      <c r="E15" s="62"/>
      <c r="F15" s="65"/>
      <c r="G15" s="6"/>
      <c r="H15" s="62"/>
      <c r="I15" s="65"/>
      <c r="J15" s="6"/>
      <c r="K15" s="62"/>
      <c r="L15" s="65"/>
      <c r="M15" s="6"/>
      <c r="N15" s="62"/>
      <c r="O15" s="65"/>
      <c r="P15" s="6"/>
      <c r="Q15" s="62"/>
      <c r="R15" s="65"/>
      <c r="S15" s="6"/>
      <c r="T15" s="62"/>
      <c r="U15" s="65"/>
      <c r="V15" s="6"/>
      <c r="W15" s="62"/>
    </row>
    <row r="16" spans="1:23" ht="12.75">
      <c r="A16" s="5"/>
      <c r="B16" s="61" t="s">
        <v>117</v>
      </c>
      <c r="C16" s="153">
        <f>E33</f>
        <v>0</v>
      </c>
      <c r="D16" s="64"/>
      <c r="E16" s="67"/>
      <c r="F16" s="153">
        <f>H33</f>
        <v>14069.84</v>
      </c>
      <c r="G16" s="64"/>
      <c r="H16" s="67"/>
      <c r="I16" s="153">
        <f>K33</f>
        <v>11729.76</v>
      </c>
      <c r="J16" s="64"/>
      <c r="K16" s="67"/>
      <c r="L16" s="153">
        <f>N33</f>
        <v>95384.01999999999</v>
      </c>
      <c r="M16" s="64"/>
      <c r="N16" s="67"/>
      <c r="O16" s="153">
        <f>Q33</f>
        <v>60476.619999999995</v>
      </c>
      <c r="P16" s="64"/>
      <c r="Q16" s="67"/>
      <c r="R16" s="153">
        <f>T33</f>
        <v>75975.48</v>
      </c>
      <c r="S16" s="64"/>
      <c r="T16" s="67"/>
      <c r="U16" s="153">
        <f>W33</f>
        <v>0</v>
      </c>
      <c r="V16" s="64"/>
      <c r="W16" s="67"/>
    </row>
    <row r="17" spans="1:23" ht="12.75">
      <c r="A17" s="5"/>
      <c r="B17" s="61" t="str">
        <f>"Working Capital  %"</f>
        <v>Working Capital  %</v>
      </c>
      <c r="C17" s="153">
        <f>C16*'3.  LDC Assumptions and Data'!$C$23</f>
        <v>0</v>
      </c>
      <c r="D17" s="152">
        <f>C17</f>
        <v>0</v>
      </c>
      <c r="E17" s="67"/>
      <c r="F17" s="153">
        <f>F16*'3.  LDC Assumptions and Data'!$D$23</f>
        <v>2110.476</v>
      </c>
      <c r="G17" s="152">
        <f>F17</f>
        <v>2110.476</v>
      </c>
      <c r="H17" s="67"/>
      <c r="I17" s="153">
        <f>I16*'3.  LDC Assumptions and Data'!$E$23</f>
        <v>1759.464</v>
      </c>
      <c r="J17" s="152">
        <f>I17</f>
        <v>1759.464</v>
      </c>
      <c r="K17" s="67"/>
      <c r="L17" s="153">
        <f>L16*'3.  LDC Assumptions and Data'!$F$23</f>
        <v>14307.602999999997</v>
      </c>
      <c r="M17" s="152">
        <f>L17</f>
        <v>14307.602999999997</v>
      </c>
      <c r="N17" s="67"/>
      <c r="O17" s="153">
        <f>O16*'3.  LDC Assumptions and Data'!$G$23</f>
        <v>9071.492999999999</v>
      </c>
      <c r="P17" s="152">
        <f>O17</f>
        <v>9071.492999999999</v>
      </c>
      <c r="Q17" s="67"/>
      <c r="R17" s="153">
        <f>R16*'3.  LDC Assumptions and Data'!$H$23</f>
        <v>11396.321999999998</v>
      </c>
      <c r="S17" s="152">
        <f>R17</f>
        <v>11396.321999999998</v>
      </c>
      <c r="T17" s="67"/>
      <c r="U17" s="153">
        <f>U16*'3.  LDC Assumptions and Data'!$I$23</f>
        <v>0</v>
      </c>
      <c r="V17" s="152">
        <f>U17</f>
        <v>0</v>
      </c>
      <c r="W17" s="67"/>
    </row>
    <row r="18" spans="1:23" ht="12.75">
      <c r="A18" s="5"/>
      <c r="B18" s="61"/>
      <c r="C18" s="66"/>
      <c r="D18" s="64"/>
      <c r="E18" s="67"/>
      <c r="F18" s="66"/>
      <c r="G18" s="64"/>
      <c r="H18" s="67"/>
      <c r="I18" s="66"/>
      <c r="J18" s="64"/>
      <c r="K18" s="67"/>
      <c r="L18" s="66"/>
      <c r="M18" s="64"/>
      <c r="N18" s="67"/>
      <c r="O18" s="66"/>
      <c r="P18" s="64"/>
      <c r="Q18" s="67"/>
      <c r="R18" s="66"/>
      <c r="S18" s="64"/>
      <c r="T18" s="67"/>
      <c r="U18" s="66"/>
      <c r="V18" s="64"/>
      <c r="W18" s="67"/>
    </row>
    <row r="19" spans="1:23" ht="15.75">
      <c r="A19" s="5"/>
      <c r="B19" s="52" t="s">
        <v>136</v>
      </c>
      <c r="C19" s="66"/>
      <c r="D19" s="140">
        <f>SUM(D9:D17)</f>
        <v>0</v>
      </c>
      <c r="E19" s="67"/>
      <c r="F19" s="66"/>
      <c r="G19" s="140">
        <f>SUM(G9:G17)</f>
        <v>2110.476</v>
      </c>
      <c r="H19" s="67"/>
      <c r="I19" s="66"/>
      <c r="J19" s="140">
        <f>SUM(J9:J17)</f>
        <v>1759.464</v>
      </c>
      <c r="K19" s="67"/>
      <c r="L19" s="66"/>
      <c r="M19" s="140">
        <f>SUM(M9:M17)</f>
        <v>1177796.114133333</v>
      </c>
      <c r="N19" s="67"/>
      <c r="O19" s="66"/>
      <c r="P19" s="140">
        <f>SUM(P9:P17)</f>
        <v>2492258.016199999</v>
      </c>
      <c r="Q19" s="67"/>
      <c r="R19" s="66"/>
      <c r="S19" s="140">
        <f>SUM(S9:S17)</f>
        <v>2586631.213233333</v>
      </c>
      <c r="T19" s="67"/>
      <c r="U19" s="66"/>
      <c r="V19" s="140">
        <f>SUM(V9:V17)</f>
        <v>0</v>
      </c>
      <c r="W19" s="67"/>
    </row>
    <row r="20" spans="1:23" ht="12.75">
      <c r="A20" s="5"/>
      <c r="B20" s="61"/>
      <c r="C20" s="65"/>
      <c r="D20" s="6"/>
      <c r="E20" s="62"/>
      <c r="F20" s="65"/>
      <c r="G20" s="6"/>
      <c r="H20" s="62"/>
      <c r="I20" s="65"/>
      <c r="J20" s="6"/>
      <c r="K20" s="62"/>
      <c r="L20" s="65"/>
      <c r="M20" s="6"/>
      <c r="N20" s="62"/>
      <c r="O20" s="65"/>
      <c r="P20" s="6"/>
      <c r="Q20" s="62"/>
      <c r="R20" s="65"/>
      <c r="S20" s="6"/>
      <c r="T20" s="62"/>
      <c r="U20" s="65"/>
      <c r="V20" s="6"/>
      <c r="W20" s="62"/>
    </row>
    <row r="21" spans="1:23" ht="18">
      <c r="A21" s="5"/>
      <c r="B21" s="28" t="s">
        <v>118</v>
      </c>
      <c r="C21" s="65"/>
      <c r="D21" s="6"/>
      <c r="E21" s="62"/>
      <c r="F21" s="65"/>
      <c r="G21" s="6"/>
      <c r="H21" s="62"/>
      <c r="I21" s="65"/>
      <c r="J21" s="6"/>
      <c r="K21" s="62"/>
      <c r="L21" s="65"/>
      <c r="M21" s="6"/>
      <c r="N21" s="62"/>
      <c r="O21" s="65"/>
      <c r="P21" s="6"/>
      <c r="Q21" s="62"/>
      <c r="R21" s="65"/>
      <c r="S21" s="6"/>
      <c r="T21" s="62"/>
      <c r="U21" s="65"/>
      <c r="V21" s="6"/>
      <c r="W21" s="62"/>
    </row>
    <row r="22" spans="1:23" ht="12.75">
      <c r="A22" s="5"/>
      <c r="B22" s="2" t="s">
        <v>249</v>
      </c>
      <c r="C22" s="65"/>
      <c r="D22" s="6"/>
      <c r="E22" s="62"/>
      <c r="F22" s="65"/>
      <c r="G22" s="6"/>
      <c r="H22" s="62"/>
      <c r="I22" s="65">
        <f>'3.  LDC Assumptions and Data'!$E$14</f>
        <v>0</v>
      </c>
      <c r="J22" s="6"/>
      <c r="K22" s="62"/>
      <c r="L22" s="65">
        <f>'3.  LDC Assumptions and Data'!$F14</f>
        <v>0.04</v>
      </c>
      <c r="M22" s="6"/>
      <c r="N22" s="62"/>
      <c r="O22" s="65">
        <f>'3.  LDC Assumptions and Data'!$G14</f>
        <v>0.04</v>
      </c>
      <c r="P22" s="6"/>
      <c r="Q22" s="62"/>
      <c r="R22" s="65">
        <f>'3.  LDC Assumptions and Data'!$H14</f>
        <v>0.04</v>
      </c>
      <c r="S22" s="6"/>
      <c r="T22" s="62"/>
      <c r="U22" s="65">
        <f>'3.  LDC Assumptions and Data'!$I14</f>
        <v>0.04</v>
      </c>
      <c r="V22" s="6"/>
      <c r="W22" s="62"/>
    </row>
    <row r="23" spans="1:23" ht="12.75">
      <c r="A23" s="5"/>
      <c r="B23" s="2" t="s">
        <v>247</v>
      </c>
      <c r="C23" s="68">
        <f>'3.  LDC Assumptions and Data'!$C$15</f>
        <v>0.5</v>
      </c>
      <c r="D23" s="152">
        <f>D19*C23</f>
        <v>0</v>
      </c>
      <c r="E23" s="62"/>
      <c r="F23" s="68">
        <f>'3.  LDC Assumptions and Data'!$D$15</f>
        <v>0.5</v>
      </c>
      <c r="G23" s="152">
        <f>G19*F23</f>
        <v>1055.238</v>
      </c>
      <c r="H23" s="62"/>
      <c r="I23" s="68">
        <f>'3.  LDC Assumptions and Data'!$E$15</f>
        <v>0.533</v>
      </c>
      <c r="J23" s="152">
        <f>J19*I23</f>
        <v>937.794312</v>
      </c>
      <c r="K23" s="62"/>
      <c r="L23" s="68">
        <f>'3.  LDC Assumptions and Data'!$F15</f>
        <v>0.527</v>
      </c>
      <c r="M23" s="152">
        <f>M19*L23</f>
        <v>620698.5521482666</v>
      </c>
      <c r="N23" s="62"/>
      <c r="O23" s="68">
        <f>'3.  LDC Assumptions and Data'!$G15</f>
        <v>0.56</v>
      </c>
      <c r="P23" s="152">
        <f>P19*O23</f>
        <v>1395664.4890719997</v>
      </c>
      <c r="Q23" s="62"/>
      <c r="R23" s="68">
        <f>'3.  LDC Assumptions and Data'!$H15</f>
        <v>0.56</v>
      </c>
      <c r="S23" s="152">
        <f>S19*R23</f>
        <v>1448513.4794106667</v>
      </c>
      <c r="T23" s="62"/>
      <c r="U23" s="68">
        <f>'3.  LDC Assumptions and Data'!$I15</f>
        <v>0.56</v>
      </c>
      <c r="V23" s="152">
        <f>V19*U23</f>
        <v>0</v>
      </c>
      <c r="W23" s="62"/>
    </row>
    <row r="24" spans="1:23" ht="12.75">
      <c r="A24" s="5"/>
      <c r="B24" s="2" t="s">
        <v>248</v>
      </c>
      <c r="C24" s="68">
        <f>'3.  LDC Assumptions and Data'!$C$16</f>
        <v>0.5</v>
      </c>
      <c r="D24" s="152">
        <f>D19*C24</f>
        <v>0</v>
      </c>
      <c r="E24" s="62"/>
      <c r="F24" s="68">
        <f>'3.  LDC Assumptions and Data'!$D$16</f>
        <v>0.5</v>
      </c>
      <c r="G24" s="152">
        <f>G19*F24</f>
        <v>1055.238</v>
      </c>
      <c r="H24" s="62"/>
      <c r="I24" s="68">
        <f>'3.  LDC Assumptions and Data'!$E$16</f>
        <v>0.46699999999999997</v>
      </c>
      <c r="J24" s="152">
        <f>J19*I24</f>
        <v>821.669688</v>
      </c>
      <c r="K24" s="62"/>
      <c r="L24" s="68">
        <f>'3.  LDC Assumptions and Data'!$F$16</f>
        <v>0.433</v>
      </c>
      <c r="M24" s="152">
        <f>M19*L24</f>
        <v>509985.71741973324</v>
      </c>
      <c r="N24" s="62"/>
      <c r="O24" s="68">
        <f>'3.  LDC Assumptions and Data'!$G$16</f>
        <v>0.39999999999999997</v>
      </c>
      <c r="P24" s="152">
        <f>P19*O24</f>
        <v>996903.2064799995</v>
      </c>
      <c r="Q24" s="62"/>
      <c r="R24" s="68">
        <f>'3.  LDC Assumptions and Data'!$H$16</f>
        <v>0.39999999999999997</v>
      </c>
      <c r="S24" s="152">
        <f>S19*R24</f>
        <v>1034652.4852933332</v>
      </c>
      <c r="T24" s="62"/>
      <c r="U24" s="68">
        <f>'3.  LDC Assumptions and Data'!$I$16</f>
        <v>0.39999999999999997</v>
      </c>
      <c r="V24" s="152">
        <f>V19*U24</f>
        <v>0</v>
      </c>
      <c r="W24" s="62"/>
    </row>
    <row r="25" spans="1:23" ht="12.75">
      <c r="A25" s="5"/>
      <c r="B25" s="61"/>
      <c r="C25" s="69"/>
      <c r="D25" s="140">
        <f>SUM(D23:D24)</f>
        <v>0</v>
      </c>
      <c r="E25" s="62"/>
      <c r="F25" s="69"/>
      <c r="G25" s="140">
        <f>SUM(G23:G24)</f>
        <v>2110.476</v>
      </c>
      <c r="H25" s="62"/>
      <c r="I25" s="69"/>
      <c r="J25" s="140">
        <f>SUM(J23:J24)</f>
        <v>1759.464</v>
      </c>
      <c r="K25" s="62"/>
      <c r="L25" s="69"/>
      <c r="M25" s="140">
        <f>SUM(M23:M24)</f>
        <v>1130684.2695679998</v>
      </c>
      <c r="N25" s="62"/>
      <c r="O25" s="69"/>
      <c r="P25" s="140">
        <f>SUM(P23:P24)</f>
        <v>2392567.695551999</v>
      </c>
      <c r="Q25" s="62"/>
      <c r="R25" s="69"/>
      <c r="S25" s="140">
        <f>SUM(S23:S24)</f>
        <v>2483165.964704</v>
      </c>
      <c r="T25" s="62"/>
      <c r="U25" s="69"/>
      <c r="V25" s="140">
        <f>SUM(V23:V24)</f>
        <v>0</v>
      </c>
      <c r="W25" s="62"/>
    </row>
    <row r="26" spans="1:23" ht="12.75">
      <c r="A26" s="5"/>
      <c r="B26" s="61"/>
      <c r="C26" s="69"/>
      <c r="D26" s="64"/>
      <c r="E26" s="62"/>
      <c r="F26" s="69"/>
      <c r="G26" s="64"/>
      <c r="H26" s="62"/>
      <c r="I26" s="69"/>
      <c r="J26" s="64"/>
      <c r="K26" s="62"/>
      <c r="L26" s="69"/>
      <c r="M26" s="64"/>
      <c r="N26" s="62"/>
      <c r="O26" s="69"/>
      <c r="P26" s="64"/>
      <c r="Q26" s="62"/>
      <c r="R26" s="69"/>
      <c r="S26" s="64"/>
      <c r="T26" s="62"/>
      <c r="U26" s="69"/>
      <c r="V26" s="64"/>
      <c r="W26" s="62"/>
    </row>
    <row r="27" spans="1:23" ht="12.75">
      <c r="A27" s="5"/>
      <c r="B27" s="2" t="s">
        <v>251</v>
      </c>
      <c r="C27" s="68"/>
      <c r="D27" s="6"/>
      <c r="E27" s="62"/>
      <c r="F27" s="68"/>
      <c r="G27" s="6"/>
      <c r="H27" s="62"/>
      <c r="I27" s="68">
        <f>'3.  LDC Assumptions and Data'!$E$18</f>
        <v>0</v>
      </c>
      <c r="J27" s="6"/>
      <c r="K27" s="62"/>
      <c r="L27" s="68">
        <f>'3.  LDC Assumptions and Data'!$F18</f>
        <v>0.0133</v>
      </c>
      <c r="M27" s="6"/>
      <c r="N27" s="62"/>
      <c r="O27" s="68">
        <f>'3.  LDC Assumptions and Data'!$G18</f>
        <v>0.0133</v>
      </c>
      <c r="P27" s="6"/>
      <c r="Q27" s="62"/>
      <c r="R27" s="68">
        <f>'3.  LDC Assumptions and Data'!$H18</f>
        <v>0.0133</v>
      </c>
      <c r="S27" s="6"/>
      <c r="T27" s="62"/>
      <c r="U27" s="68">
        <f>'3.  LDC Assumptions and Data'!$I18</f>
        <v>0.0113</v>
      </c>
      <c r="V27" s="6"/>
      <c r="W27" s="62"/>
    </row>
    <row r="28" spans="1:23" ht="12.75">
      <c r="A28" s="5"/>
      <c r="B28" s="61" t="s">
        <v>196</v>
      </c>
      <c r="C28" s="68">
        <f>'3.  LDC Assumptions and Data'!$C$19</f>
        <v>0.0625</v>
      </c>
      <c r="D28" s="152">
        <f>D23*C28</f>
        <v>0</v>
      </c>
      <c r="E28" s="67"/>
      <c r="F28" s="68">
        <f>'3.  LDC Assumptions and Data'!$D$19</f>
        <v>0.0625</v>
      </c>
      <c r="G28" s="152">
        <f>G23*F28</f>
        <v>65.952375</v>
      </c>
      <c r="H28" s="67"/>
      <c r="I28" s="68">
        <f>'3.  LDC Assumptions and Data'!$E$19</f>
        <v>0.0625</v>
      </c>
      <c r="J28" s="152">
        <f>J23*I28</f>
        <v>58.6121445</v>
      </c>
      <c r="K28" s="67"/>
      <c r="L28" s="68">
        <f>'3.  LDC Assumptions and Data'!$F19</f>
        <v>0.0762</v>
      </c>
      <c r="M28" s="152">
        <f>M23*L28</f>
        <v>47297.22967369792</v>
      </c>
      <c r="N28" s="67"/>
      <c r="O28" s="68">
        <f>'3.  LDC Assumptions and Data'!$G19</f>
        <v>0.0762</v>
      </c>
      <c r="P28" s="152">
        <f>P23*O28</f>
        <v>106349.63406728637</v>
      </c>
      <c r="Q28" s="67"/>
      <c r="R28" s="68">
        <f>'3.  LDC Assumptions and Data'!$H19</f>
        <v>0.0762</v>
      </c>
      <c r="S28" s="152">
        <f>S23*R28</f>
        <v>110376.7271310928</v>
      </c>
      <c r="T28" s="67"/>
      <c r="U28" s="68">
        <f>'3.  LDC Assumptions and Data'!$I19</f>
        <v>0.0762</v>
      </c>
      <c r="V28" s="152">
        <f>V23*U28</f>
        <v>0</v>
      </c>
      <c r="W28" s="67"/>
    </row>
    <row r="29" spans="1:23" ht="12.75">
      <c r="A29" s="5"/>
      <c r="B29" s="61" t="s">
        <v>197</v>
      </c>
      <c r="C29" s="68">
        <f>'3.  LDC Assumptions and Data'!$C$20</f>
        <v>0.09</v>
      </c>
      <c r="D29" s="152">
        <f>D24*C29</f>
        <v>0</v>
      </c>
      <c r="E29" s="67"/>
      <c r="F29" s="68">
        <f>'3.  LDC Assumptions and Data'!$D$20</f>
        <v>0.09</v>
      </c>
      <c r="G29" s="152">
        <f>G24*F29</f>
        <v>94.97142</v>
      </c>
      <c r="H29" s="67"/>
      <c r="I29" s="68">
        <f>'3.  LDC Assumptions and Data'!$E$20</f>
        <v>0.09</v>
      </c>
      <c r="J29" s="152">
        <f>J24*I29</f>
        <v>73.95027191999999</v>
      </c>
      <c r="K29" s="67"/>
      <c r="L29" s="68">
        <f>'3.  LDC Assumptions and Data'!$F$20</f>
        <v>0.0801</v>
      </c>
      <c r="M29" s="152">
        <f>M24*L29</f>
        <v>40849.85596532063</v>
      </c>
      <c r="N29" s="67"/>
      <c r="O29" s="68">
        <f>'3.  LDC Assumptions and Data'!$G$20</f>
        <v>0.0801</v>
      </c>
      <c r="P29" s="152">
        <f>P24*O29</f>
        <v>79851.94683904796</v>
      </c>
      <c r="Q29" s="67"/>
      <c r="R29" s="68">
        <f>'3.  LDC Assumptions and Data'!$H$20</f>
        <v>0.0801</v>
      </c>
      <c r="S29" s="152">
        <f>S24*R29</f>
        <v>82875.664071996</v>
      </c>
      <c r="T29" s="67"/>
      <c r="U29" s="68">
        <f>'3.  LDC Assumptions and Data'!$I$20</f>
        <v>0.0801</v>
      </c>
      <c r="V29" s="152">
        <f>V24*U29</f>
        <v>0</v>
      </c>
      <c r="W29" s="67"/>
    </row>
    <row r="30" spans="1:23" ht="15.75">
      <c r="A30" s="5"/>
      <c r="B30" s="52" t="s">
        <v>118</v>
      </c>
      <c r="C30" s="65"/>
      <c r="D30" s="140">
        <f>SUM(D28:D29)</f>
        <v>0</v>
      </c>
      <c r="E30" s="154">
        <f>D30</f>
        <v>0</v>
      </c>
      <c r="F30" s="65"/>
      <c r="G30" s="140">
        <f>SUM(G28:G29)</f>
        <v>160.92379499999998</v>
      </c>
      <c r="H30" s="154">
        <f>G30</f>
        <v>160.92379499999998</v>
      </c>
      <c r="I30" s="65"/>
      <c r="J30" s="140">
        <f>SUM(J28:J29)</f>
        <v>132.56241641999998</v>
      </c>
      <c r="K30" s="154">
        <f>J30</f>
        <v>132.56241641999998</v>
      </c>
      <c r="L30" s="65"/>
      <c r="M30" s="140">
        <f>SUM(M28:M29)</f>
        <v>88147.08563901855</v>
      </c>
      <c r="N30" s="154">
        <f>M30</f>
        <v>88147.08563901855</v>
      </c>
      <c r="O30" s="65"/>
      <c r="P30" s="140">
        <f>SUM(P28:P29)</f>
        <v>186201.58090633433</v>
      </c>
      <c r="Q30" s="154">
        <f>P30</f>
        <v>186201.58090633433</v>
      </c>
      <c r="R30" s="65"/>
      <c r="S30" s="140">
        <f>SUM(S28:S29)</f>
        <v>193252.3912030888</v>
      </c>
      <c r="T30" s="154">
        <f>S30</f>
        <v>193252.3912030888</v>
      </c>
      <c r="U30" s="65"/>
      <c r="V30" s="140">
        <f>SUM(V28:V29)</f>
        <v>0</v>
      </c>
      <c r="W30" s="154">
        <f>V30</f>
        <v>0</v>
      </c>
    </row>
    <row r="31" spans="1:23" ht="15.75">
      <c r="A31" s="5"/>
      <c r="B31" s="52"/>
      <c r="C31" s="65"/>
      <c r="D31" s="63"/>
      <c r="E31" s="70"/>
      <c r="F31" s="65"/>
      <c r="G31" s="63"/>
      <c r="H31" s="70"/>
      <c r="I31" s="65"/>
      <c r="J31" s="63"/>
      <c r="K31" s="70"/>
      <c r="L31" s="65"/>
      <c r="M31" s="63"/>
      <c r="N31" s="70"/>
      <c r="O31" s="65"/>
      <c r="P31" s="63"/>
      <c r="Q31" s="70"/>
      <c r="R31" s="65"/>
      <c r="S31" s="63"/>
      <c r="T31" s="70"/>
      <c r="U31" s="65"/>
      <c r="V31" s="63"/>
      <c r="W31" s="70"/>
    </row>
    <row r="32" spans="1:23" ht="18">
      <c r="A32" s="5"/>
      <c r="B32" s="28" t="s">
        <v>119</v>
      </c>
      <c r="C32" s="65"/>
      <c r="D32" s="63"/>
      <c r="E32" s="70"/>
      <c r="F32" s="65"/>
      <c r="G32" s="63"/>
      <c r="H32" s="70"/>
      <c r="I32" s="65"/>
      <c r="J32" s="63"/>
      <c r="K32" s="70"/>
      <c r="L32" s="65"/>
      <c r="M32" s="63"/>
      <c r="N32" s="70"/>
      <c r="O32" s="65"/>
      <c r="P32" s="63"/>
      <c r="Q32" s="70"/>
      <c r="R32" s="65"/>
      <c r="S32" s="63"/>
      <c r="T32" s="70"/>
      <c r="U32" s="65"/>
      <c r="V32" s="63"/>
      <c r="W32" s="70"/>
    </row>
    <row r="33" spans="1:23" ht="12.75">
      <c r="A33" s="5"/>
      <c r="B33" s="57" t="s">
        <v>198</v>
      </c>
      <c r="C33" s="65"/>
      <c r="D33" s="64"/>
      <c r="E33" s="155">
        <f>'3.  LDC Assumptions and Data'!C46</f>
        <v>0</v>
      </c>
      <c r="F33" s="65"/>
      <c r="G33" s="64"/>
      <c r="H33" s="155">
        <f>'3.  LDC Assumptions and Data'!D46</f>
        <v>14069.84</v>
      </c>
      <c r="I33" s="65"/>
      <c r="J33" s="64"/>
      <c r="K33" s="155">
        <f>'3.  LDC Assumptions and Data'!E46</f>
        <v>11729.76</v>
      </c>
      <c r="L33" s="65"/>
      <c r="M33" s="64"/>
      <c r="N33" s="155">
        <f>'3.  LDC Assumptions and Data'!F46</f>
        <v>95384.01999999999</v>
      </c>
      <c r="O33" s="65"/>
      <c r="P33" s="64"/>
      <c r="Q33" s="155">
        <f>'3.  LDC Assumptions and Data'!G46</f>
        <v>60476.619999999995</v>
      </c>
      <c r="R33" s="65"/>
      <c r="S33" s="64"/>
      <c r="T33" s="155">
        <f>'3.  LDC Assumptions and Data'!H46</f>
        <v>75975.48</v>
      </c>
      <c r="U33" s="65"/>
      <c r="V33" s="64"/>
      <c r="W33" s="155">
        <f>'3.  LDC Assumptions and Data'!I46</f>
        <v>0</v>
      </c>
    </row>
    <row r="34" spans="1:23" ht="12.75">
      <c r="A34" s="5"/>
      <c r="B34" s="61"/>
      <c r="C34" s="65"/>
      <c r="D34" s="63"/>
      <c r="E34" s="70"/>
      <c r="F34" s="65"/>
      <c r="G34" s="63"/>
      <c r="H34" s="70"/>
      <c r="I34" s="65"/>
      <c r="J34" s="63"/>
      <c r="K34" s="70"/>
      <c r="L34" s="65"/>
      <c r="M34" s="63"/>
      <c r="N34" s="70"/>
      <c r="O34" s="65"/>
      <c r="P34" s="63"/>
      <c r="Q34" s="70"/>
      <c r="R34" s="65"/>
      <c r="S34" s="63"/>
      <c r="T34" s="70"/>
      <c r="U34" s="65"/>
      <c r="V34" s="63"/>
      <c r="W34" s="70"/>
    </row>
    <row r="35" spans="1:23" ht="18">
      <c r="A35" s="5"/>
      <c r="B35" s="28" t="s">
        <v>121</v>
      </c>
      <c r="C35" s="65"/>
      <c r="D35" s="63"/>
      <c r="E35" s="70"/>
      <c r="F35" s="65"/>
      <c r="G35" s="63"/>
      <c r="H35" s="70"/>
      <c r="I35" s="65"/>
      <c r="J35" s="63"/>
      <c r="K35" s="70"/>
      <c r="L35" s="65"/>
      <c r="M35" s="63"/>
      <c r="N35" s="70"/>
      <c r="O35" s="65"/>
      <c r="P35" s="63"/>
      <c r="Q35" s="70"/>
      <c r="R35" s="65"/>
      <c r="S35" s="63"/>
      <c r="T35" s="70"/>
      <c r="U35" s="65"/>
      <c r="V35" s="63"/>
      <c r="W35" s="70"/>
    </row>
    <row r="36" spans="1:23" ht="12.75">
      <c r="A36" s="5"/>
      <c r="B36" s="57" t="s">
        <v>137</v>
      </c>
      <c r="C36" s="65"/>
      <c r="D36" s="142">
        <f>SUM('6. Avg Nt Fix Ass &amp;UCC'!C13:C13)</f>
        <v>0</v>
      </c>
      <c r="E36" s="67"/>
      <c r="F36" s="65"/>
      <c r="G36" s="142">
        <f>SUM('6. Avg Nt Fix Ass &amp;UCC'!D13:D13)</f>
        <v>0</v>
      </c>
      <c r="H36" s="67"/>
      <c r="I36" s="65"/>
      <c r="J36" s="142">
        <f>SUM('6. Avg Nt Fix Ass &amp;UCC'!E13:E13)</f>
        <v>0</v>
      </c>
      <c r="K36" s="67"/>
      <c r="L36" s="65"/>
      <c r="M36" s="142">
        <f>SUM('6. Avg Nt Fix Ass &amp;UCC'!F13:F13)</f>
        <v>79023.09133333333</v>
      </c>
      <c r="N36" s="67"/>
      <c r="O36" s="65"/>
      <c r="P36" s="142">
        <f>SUM('6. Avg Nt Fix Ass &amp;UCC'!G13:G13)</f>
        <v>173702.02333333332</v>
      </c>
      <c r="Q36" s="67"/>
      <c r="R36" s="65"/>
      <c r="S36" s="142">
        <f>SUM('6. Avg Nt Fix Ass &amp;UCC'!H13:H13)</f>
        <v>190937.099</v>
      </c>
      <c r="T36" s="67"/>
      <c r="U36" s="65"/>
      <c r="V36" s="142">
        <f>SUM('6. Avg Nt Fix Ass &amp;UCC'!I13:I13)</f>
        <v>0</v>
      </c>
      <c r="W36" s="67"/>
    </row>
    <row r="37" spans="1:23" ht="12.75">
      <c r="A37" s="5"/>
      <c r="B37" s="57" t="s">
        <v>138</v>
      </c>
      <c r="C37" s="65"/>
      <c r="D37" s="142">
        <f>SUM('6. Avg Nt Fix Ass &amp;UCC'!C28:C28)</f>
        <v>0</v>
      </c>
      <c r="E37" s="67"/>
      <c r="F37" s="65"/>
      <c r="G37" s="142">
        <f>SUM('6. Avg Nt Fix Ass &amp;UCC'!D28:D28)</f>
        <v>0</v>
      </c>
      <c r="H37" s="67"/>
      <c r="I37" s="65"/>
      <c r="J37" s="142">
        <f>SUM('6. Avg Nt Fix Ass &amp;UCC'!E28:E28)</f>
        <v>0</v>
      </c>
      <c r="K37" s="67"/>
      <c r="L37" s="65"/>
      <c r="M37" s="142">
        <f>SUM('6. Avg Nt Fix Ass &amp;UCC'!F28:F28)</f>
        <v>2729.671</v>
      </c>
      <c r="N37" s="67"/>
      <c r="O37" s="65"/>
      <c r="P37" s="142">
        <f>SUM('6. Avg Nt Fix Ass &amp;UCC'!G28:G28)</f>
        <v>5459.342</v>
      </c>
      <c r="Q37" s="67"/>
      <c r="R37" s="65"/>
      <c r="S37" s="142">
        <f>SUM('6. Avg Nt Fix Ass &amp;UCC'!H28:H28)</f>
        <v>5459.342</v>
      </c>
      <c r="T37" s="67"/>
      <c r="U37" s="65"/>
      <c r="V37" s="142">
        <f>SUM('6. Avg Nt Fix Ass &amp;UCC'!I28:I28)</f>
        <v>0</v>
      </c>
      <c r="W37" s="67"/>
    </row>
    <row r="38" spans="1:23" ht="12.75">
      <c r="A38" s="5"/>
      <c r="B38" s="57" t="s">
        <v>139</v>
      </c>
      <c r="C38" s="65"/>
      <c r="D38" s="142">
        <f>SUM('6. Avg Nt Fix Ass &amp;UCC'!C43:C43)</f>
        <v>0</v>
      </c>
      <c r="E38" s="67"/>
      <c r="F38" s="65"/>
      <c r="G38" s="142">
        <f>SUM('6. Avg Nt Fix Ass &amp;UCC'!D43:D43)</f>
        <v>0</v>
      </c>
      <c r="H38" s="67"/>
      <c r="I38" s="65"/>
      <c r="J38" s="142">
        <f>SUM('6. Avg Nt Fix Ass &amp;UCC'!E43:E43)</f>
        <v>0</v>
      </c>
      <c r="K38" s="67"/>
      <c r="L38" s="65"/>
      <c r="M38" s="142">
        <f>SUM('6. Avg Nt Fix Ass &amp;UCC'!F43:F43)</f>
        <v>456</v>
      </c>
      <c r="N38" s="67"/>
      <c r="O38" s="65"/>
      <c r="P38" s="142">
        <f>SUM('6. Avg Nt Fix Ass &amp;UCC'!G43:G43)</f>
        <v>3470.802</v>
      </c>
      <c r="Q38" s="67"/>
      <c r="R38" s="65"/>
      <c r="S38" s="142">
        <f>SUM('6. Avg Nt Fix Ass &amp;UCC'!H43:H43)</f>
        <v>9029.604</v>
      </c>
      <c r="T38" s="67"/>
      <c r="U38" s="65"/>
      <c r="V38" s="142">
        <f>SUM('6. Avg Nt Fix Ass &amp;UCC'!I43:I43)</f>
        <v>0</v>
      </c>
      <c r="W38" s="67"/>
    </row>
    <row r="39" spans="1:23" ht="12.75">
      <c r="A39" s="5"/>
      <c r="B39" s="57" t="s">
        <v>140</v>
      </c>
      <c r="C39" s="65"/>
      <c r="D39" s="142">
        <f>SUM('6. Avg Nt Fix Ass &amp;UCC'!C58:C58)</f>
        <v>0</v>
      </c>
      <c r="E39" s="67"/>
      <c r="F39" s="65"/>
      <c r="G39" s="142">
        <f>SUM('6. Avg Nt Fix Ass &amp;UCC'!D58:D58)</f>
        <v>0</v>
      </c>
      <c r="H39" s="67"/>
      <c r="I39" s="65"/>
      <c r="J39" s="142">
        <f>SUM('6. Avg Nt Fix Ass &amp;UCC'!E58:E58)</f>
        <v>0</v>
      </c>
      <c r="K39" s="67"/>
      <c r="L39" s="65"/>
      <c r="M39" s="142">
        <f>SUM('6. Avg Nt Fix Ass &amp;UCC'!F58:F58)</f>
        <v>0</v>
      </c>
      <c r="N39" s="67"/>
      <c r="O39" s="65"/>
      <c r="P39" s="142">
        <f>SUM('6. Avg Nt Fix Ass &amp;UCC'!G58:G58)</f>
        <v>0</v>
      </c>
      <c r="Q39" s="67"/>
      <c r="R39" s="65"/>
      <c r="S39" s="142">
        <f>SUM('6. Avg Nt Fix Ass &amp;UCC'!H58:H58)</f>
        <v>0</v>
      </c>
      <c r="T39" s="67"/>
      <c r="U39" s="65"/>
      <c r="V39" s="142">
        <f>SUM('6. Avg Nt Fix Ass &amp;UCC'!I58:I58)</f>
        <v>0</v>
      </c>
      <c r="W39" s="67"/>
    </row>
    <row r="40" spans="1:23" ht="12.75">
      <c r="A40" s="5"/>
      <c r="B40" s="57" t="s">
        <v>141</v>
      </c>
      <c r="C40" s="65"/>
      <c r="D40" s="142">
        <f>SUM('6. Avg Nt Fix Ass &amp;UCC'!C73:C73)</f>
        <v>0</v>
      </c>
      <c r="E40" s="67"/>
      <c r="F40" s="65"/>
      <c r="G40" s="142">
        <f>SUM('6. Avg Nt Fix Ass &amp;UCC'!D73:D73)</f>
        <v>0</v>
      </c>
      <c r="H40" s="67"/>
      <c r="I40" s="65"/>
      <c r="J40" s="142">
        <f>SUM('6. Avg Nt Fix Ass &amp;UCC'!E73:E73)</f>
        <v>0</v>
      </c>
      <c r="K40" s="67"/>
      <c r="L40" s="65"/>
      <c r="M40" s="142">
        <f>SUM('6. Avg Nt Fix Ass &amp;UCC'!F73:F73)</f>
        <v>135.43540000000002</v>
      </c>
      <c r="N40" s="67"/>
      <c r="O40" s="65"/>
      <c r="P40" s="142">
        <f>SUM('6. Avg Nt Fix Ass &amp;UCC'!G73:G73)</f>
        <v>272.0708</v>
      </c>
      <c r="Q40" s="67"/>
      <c r="R40" s="65"/>
      <c r="S40" s="142">
        <f>SUM('6. Avg Nt Fix Ass &amp;UCC'!H73:H73)</f>
        <v>273.2708</v>
      </c>
      <c r="T40" s="67"/>
      <c r="U40" s="65"/>
      <c r="V40" s="142">
        <f>SUM('6. Avg Nt Fix Ass &amp;UCC'!I73:I73)</f>
        <v>0</v>
      </c>
      <c r="W40" s="67"/>
    </row>
    <row r="41" spans="1:23" ht="15.75">
      <c r="A41" s="5"/>
      <c r="B41" s="52" t="s">
        <v>142</v>
      </c>
      <c r="C41" s="65"/>
      <c r="D41" s="64"/>
      <c r="E41" s="156">
        <f>SUM(D36:D40)</f>
        <v>0</v>
      </c>
      <c r="F41" s="65"/>
      <c r="G41" s="64"/>
      <c r="H41" s="156">
        <f>SUM(G36:G40)</f>
        <v>0</v>
      </c>
      <c r="I41" s="65"/>
      <c r="J41" s="64"/>
      <c r="K41" s="156">
        <f>SUM(J36:J40)</f>
        <v>0</v>
      </c>
      <c r="L41" s="65"/>
      <c r="M41" s="64"/>
      <c r="N41" s="156">
        <f>SUM(M36:M40)</f>
        <v>82344.19773333333</v>
      </c>
      <c r="O41" s="65"/>
      <c r="P41" s="64"/>
      <c r="Q41" s="156">
        <f>SUM(P36:P40)</f>
        <v>182904.2381333333</v>
      </c>
      <c r="R41" s="65"/>
      <c r="S41" s="64"/>
      <c r="T41" s="156">
        <f>SUM(S36:S40)</f>
        <v>205699.31579999998</v>
      </c>
      <c r="U41" s="65"/>
      <c r="V41" s="64"/>
      <c r="W41" s="156">
        <f>SUM(V36:V40)</f>
        <v>0</v>
      </c>
    </row>
    <row r="42" spans="1:23" ht="12.75">
      <c r="A42" s="5"/>
      <c r="B42" s="61"/>
      <c r="C42" s="65"/>
      <c r="D42" s="64"/>
      <c r="E42" s="67"/>
      <c r="F42" s="65"/>
      <c r="G42" s="64"/>
      <c r="H42" s="67"/>
      <c r="I42" s="65"/>
      <c r="J42" s="64"/>
      <c r="K42" s="67"/>
      <c r="L42" s="65"/>
      <c r="M42" s="64"/>
      <c r="N42" s="67"/>
      <c r="O42" s="65"/>
      <c r="P42" s="64"/>
      <c r="Q42" s="67"/>
      <c r="R42" s="65"/>
      <c r="S42" s="64"/>
      <c r="T42" s="67"/>
      <c r="U42" s="65"/>
      <c r="V42" s="64"/>
      <c r="W42" s="67"/>
    </row>
    <row r="43" spans="1:23" ht="15.75">
      <c r="A43" s="5"/>
      <c r="B43" s="52" t="s">
        <v>122</v>
      </c>
      <c r="C43" s="65"/>
      <c r="D43" s="64"/>
      <c r="E43" s="157">
        <f>SUM(E30,E41,E33)</f>
        <v>0</v>
      </c>
      <c r="F43" s="65"/>
      <c r="G43" s="64"/>
      <c r="H43" s="157">
        <f>SUM(H30,H41,H33)</f>
        <v>14230.763795</v>
      </c>
      <c r="I43" s="65"/>
      <c r="J43" s="64"/>
      <c r="K43" s="157">
        <f>SUM(K30,K41,K33)</f>
        <v>11862.32241642</v>
      </c>
      <c r="L43" s="65"/>
      <c r="M43" s="64"/>
      <c r="N43" s="157">
        <f>SUM(N30,N41,N33)</f>
        <v>265875.3033723519</v>
      </c>
      <c r="O43" s="65"/>
      <c r="P43" s="64"/>
      <c r="Q43" s="157">
        <f>SUM(Q30,Q41,Q33)</f>
        <v>429582.4390396676</v>
      </c>
      <c r="R43" s="65"/>
      <c r="S43" s="64"/>
      <c r="T43" s="157">
        <f>SUM(T30,T41,T33)</f>
        <v>474927.18700308877</v>
      </c>
      <c r="U43" s="65"/>
      <c r="V43" s="64"/>
      <c r="W43" s="157">
        <f>SUM(W30,W41,W33)</f>
        <v>0</v>
      </c>
    </row>
    <row r="44" spans="1:23" ht="15.75">
      <c r="A44" s="5"/>
      <c r="B44" s="52"/>
      <c r="C44" s="65"/>
      <c r="D44" s="64"/>
      <c r="E44" s="67"/>
      <c r="F44" s="65"/>
      <c r="G44" s="64"/>
      <c r="H44" s="67"/>
      <c r="I44" s="65"/>
      <c r="J44" s="64"/>
      <c r="K44" s="67"/>
      <c r="L44" s="65"/>
      <c r="M44" s="64"/>
      <c r="N44" s="67"/>
      <c r="O44" s="65"/>
      <c r="P44" s="64"/>
      <c r="Q44" s="67"/>
      <c r="R44" s="65"/>
      <c r="S44" s="64"/>
      <c r="T44" s="67"/>
      <c r="U44" s="65"/>
      <c r="V44" s="64"/>
      <c r="W44" s="67"/>
    </row>
    <row r="45" spans="1:23" ht="18">
      <c r="A45" s="5"/>
      <c r="B45" s="28" t="s">
        <v>143</v>
      </c>
      <c r="C45" s="65"/>
      <c r="D45" s="64"/>
      <c r="E45" s="67"/>
      <c r="F45" s="65"/>
      <c r="G45" s="64"/>
      <c r="H45" s="67"/>
      <c r="I45" s="65"/>
      <c r="J45" s="64"/>
      <c r="K45" s="67"/>
      <c r="L45" s="65"/>
      <c r="M45" s="64"/>
      <c r="N45" s="67"/>
      <c r="O45" s="65"/>
      <c r="P45" s="64"/>
      <c r="Q45" s="67"/>
      <c r="R45" s="65"/>
      <c r="S45" s="64"/>
      <c r="T45" s="67"/>
      <c r="U45" s="65"/>
      <c r="V45" s="64"/>
      <c r="W45" s="67"/>
    </row>
    <row r="46" spans="1:23" ht="12.75">
      <c r="A46" s="5"/>
      <c r="B46" s="57" t="s">
        <v>120</v>
      </c>
      <c r="C46" s="65"/>
      <c r="D46" s="64"/>
      <c r="E46" s="154">
        <f>-E33</f>
        <v>0</v>
      </c>
      <c r="F46" s="65"/>
      <c r="G46" s="64"/>
      <c r="H46" s="154">
        <f>-H33</f>
        <v>-14069.84</v>
      </c>
      <c r="I46" s="65"/>
      <c r="J46" s="64"/>
      <c r="K46" s="154">
        <f>-K33</f>
        <v>-11729.76</v>
      </c>
      <c r="L46" s="65"/>
      <c r="M46" s="64"/>
      <c r="N46" s="154">
        <f>-N33</f>
        <v>-95384.01999999999</v>
      </c>
      <c r="O46" s="65"/>
      <c r="P46" s="64"/>
      <c r="Q46" s="154">
        <f>-Q33</f>
        <v>-60476.619999999995</v>
      </c>
      <c r="R46" s="65"/>
      <c r="S46" s="64"/>
      <c r="T46" s="154">
        <f>-T33</f>
        <v>-75975.48</v>
      </c>
      <c r="U46" s="65"/>
      <c r="V46" s="64"/>
      <c r="W46" s="154">
        <f>-W33</f>
        <v>0</v>
      </c>
    </row>
    <row r="47" spans="1:23" ht="12.75">
      <c r="A47" s="5"/>
      <c r="B47" s="57" t="s">
        <v>144</v>
      </c>
      <c r="C47" s="65"/>
      <c r="D47" s="64"/>
      <c r="E47" s="154">
        <f>-E41</f>
        <v>0</v>
      </c>
      <c r="F47" s="65"/>
      <c r="G47" s="64"/>
      <c r="H47" s="154">
        <f>-H41</f>
        <v>0</v>
      </c>
      <c r="I47" s="65"/>
      <c r="J47" s="64"/>
      <c r="K47" s="154">
        <f>-K41</f>
        <v>0</v>
      </c>
      <c r="L47" s="65"/>
      <c r="M47" s="64"/>
      <c r="N47" s="154">
        <f>-N41</f>
        <v>-82344.19773333333</v>
      </c>
      <c r="O47" s="65"/>
      <c r="P47" s="64"/>
      <c r="Q47" s="154">
        <f>-Q41</f>
        <v>-182904.2381333333</v>
      </c>
      <c r="R47" s="65"/>
      <c r="S47" s="64"/>
      <c r="T47" s="154">
        <f>-T41</f>
        <v>-205699.31579999998</v>
      </c>
      <c r="U47" s="65"/>
      <c r="V47" s="64"/>
      <c r="W47" s="154">
        <f>-W41</f>
        <v>0</v>
      </c>
    </row>
    <row r="48" spans="1:23" ht="12.75">
      <c r="A48" s="5"/>
      <c r="B48" s="57" t="s">
        <v>145</v>
      </c>
      <c r="C48" s="65"/>
      <c r="D48" s="64"/>
      <c r="E48" s="154">
        <f>-D28</f>
        <v>0</v>
      </c>
      <c r="F48" s="65"/>
      <c r="G48" s="64"/>
      <c r="H48" s="154">
        <f>-G28</f>
        <v>-65.952375</v>
      </c>
      <c r="I48" s="65"/>
      <c r="J48" s="64"/>
      <c r="K48" s="154">
        <f>-J28</f>
        <v>-58.6121445</v>
      </c>
      <c r="L48" s="65"/>
      <c r="M48" s="64"/>
      <c r="N48" s="154">
        <f>-M28</f>
        <v>-47297.22967369792</v>
      </c>
      <c r="O48" s="65"/>
      <c r="P48" s="64"/>
      <c r="Q48" s="154">
        <f>-P28</f>
        <v>-106349.63406728637</v>
      </c>
      <c r="R48" s="65"/>
      <c r="S48" s="64"/>
      <c r="T48" s="154">
        <f>-S28</f>
        <v>-110376.7271310928</v>
      </c>
      <c r="U48" s="65"/>
      <c r="V48" s="64"/>
      <c r="W48" s="154">
        <f>-V28</f>
        <v>0</v>
      </c>
    </row>
    <row r="49" spans="1:23" ht="15.75">
      <c r="A49" s="5"/>
      <c r="B49" s="52" t="s">
        <v>146</v>
      </c>
      <c r="C49" s="65"/>
      <c r="D49" s="64"/>
      <c r="E49" s="158">
        <f>SUM(E43:E48)</f>
        <v>0</v>
      </c>
      <c r="F49" s="65"/>
      <c r="G49" s="64"/>
      <c r="H49" s="158">
        <f>SUM(H43:H48)</f>
        <v>94.9714200000006</v>
      </c>
      <c r="I49" s="65"/>
      <c r="J49" s="64"/>
      <c r="K49" s="158">
        <f>SUM(K43:K48)</f>
        <v>73.95027191999986</v>
      </c>
      <c r="L49" s="65"/>
      <c r="M49" s="64"/>
      <c r="N49" s="158">
        <f>SUM(N43:N48)</f>
        <v>40849.855965320676</v>
      </c>
      <c r="O49" s="65"/>
      <c r="P49" s="64"/>
      <c r="Q49" s="158">
        <f>SUM(Q43:Q48)</f>
        <v>79851.94683904793</v>
      </c>
      <c r="R49" s="65"/>
      <c r="S49" s="64"/>
      <c r="T49" s="158">
        <f>SUM(T43:T48)</f>
        <v>82875.664071996</v>
      </c>
      <c r="U49" s="65"/>
      <c r="V49" s="64"/>
      <c r="W49" s="158">
        <f>SUM(W43:W48)</f>
        <v>0</v>
      </c>
    </row>
    <row r="50" spans="1:23" ht="15.75">
      <c r="A50" s="5"/>
      <c r="B50" s="52"/>
      <c r="C50" s="65"/>
      <c r="D50" s="64"/>
      <c r="E50" s="71"/>
      <c r="F50" s="65"/>
      <c r="G50" s="64"/>
      <c r="H50" s="71"/>
      <c r="I50" s="65"/>
      <c r="J50" s="64"/>
      <c r="K50" s="71"/>
      <c r="L50" s="65"/>
      <c r="M50" s="64"/>
      <c r="N50" s="71"/>
      <c r="O50" s="65"/>
      <c r="P50" s="64"/>
      <c r="Q50" s="71"/>
      <c r="R50" s="65"/>
      <c r="S50" s="64"/>
      <c r="T50" s="71"/>
      <c r="U50" s="65"/>
      <c r="V50" s="64"/>
      <c r="W50" s="71"/>
    </row>
    <row r="51" spans="1:23" ht="15.75">
      <c r="A51" s="5"/>
      <c r="B51" s="52" t="s">
        <v>199</v>
      </c>
      <c r="C51" s="65"/>
      <c r="D51" s="64"/>
      <c r="E51" s="155">
        <f>'5. PILs'!C42</f>
        <v>0</v>
      </c>
      <c r="F51" s="65"/>
      <c r="G51" s="64"/>
      <c r="H51" s="155">
        <f>'5. PILs'!D42</f>
        <v>53.70018300563591</v>
      </c>
      <c r="I51" s="65"/>
      <c r="J51" s="64"/>
      <c r="K51" s="155">
        <f>'5. PILs'!E42</f>
        <v>37.25314450105257</v>
      </c>
      <c r="L51" s="65"/>
      <c r="M51" s="64"/>
      <c r="N51" s="155">
        <f>'5. PILs'!F42</f>
        <v>14543.79447270646</v>
      </c>
      <c r="O51" s="65"/>
      <c r="P51" s="64"/>
      <c r="Q51" s="155">
        <f>'5. PILs'!G42</f>
        <v>21238.487186311762</v>
      </c>
      <c r="R51" s="65"/>
      <c r="S51" s="64"/>
      <c r="T51" s="155">
        <f>'5. PILs'!H42</f>
        <v>25431.175809056065</v>
      </c>
      <c r="U51" s="65"/>
      <c r="V51" s="64"/>
      <c r="W51" s="155">
        <f>'5. PILs'!I42</f>
        <v>0</v>
      </c>
    </row>
    <row r="52" spans="1:23" ht="12.75">
      <c r="A52" s="5"/>
      <c r="B52" s="61"/>
      <c r="C52" s="65"/>
      <c r="D52" s="64"/>
      <c r="E52" s="71"/>
      <c r="F52" s="65"/>
      <c r="G52" s="64"/>
      <c r="H52" s="71"/>
      <c r="I52" s="65"/>
      <c r="J52" s="64"/>
      <c r="K52" s="71"/>
      <c r="L52" s="65"/>
      <c r="M52" s="64"/>
      <c r="N52" s="71"/>
      <c r="O52" s="65"/>
      <c r="P52" s="64"/>
      <c r="Q52" s="71"/>
      <c r="R52" s="65"/>
      <c r="S52" s="64"/>
      <c r="T52" s="71"/>
      <c r="U52" s="65"/>
      <c r="V52" s="64"/>
      <c r="W52" s="71"/>
    </row>
    <row r="53" spans="1:23" ht="12.75">
      <c r="A53" s="5"/>
      <c r="B53" s="61" t="str">
        <f>B43</f>
        <v>Revenue Requirement Before PILs</v>
      </c>
      <c r="C53" s="65"/>
      <c r="D53" s="64"/>
      <c r="E53" s="159">
        <f>E43</f>
        <v>0</v>
      </c>
      <c r="F53" s="65"/>
      <c r="G53" s="64"/>
      <c r="H53" s="159">
        <f>H43</f>
        <v>14230.763795</v>
      </c>
      <c r="I53" s="65"/>
      <c r="J53" s="64"/>
      <c r="K53" s="159">
        <f>K43</f>
        <v>11862.32241642</v>
      </c>
      <c r="L53" s="65"/>
      <c r="M53" s="64"/>
      <c r="N53" s="159">
        <f>N43</f>
        <v>265875.3033723519</v>
      </c>
      <c r="O53" s="65"/>
      <c r="P53" s="64"/>
      <c r="Q53" s="159">
        <f>Q43</f>
        <v>429582.4390396676</v>
      </c>
      <c r="R53" s="65"/>
      <c r="S53" s="64"/>
      <c r="T53" s="159">
        <f>T43</f>
        <v>474927.18700308877</v>
      </c>
      <c r="U53" s="65"/>
      <c r="V53" s="64"/>
      <c r="W53" s="159">
        <f>W43</f>
        <v>0</v>
      </c>
    </row>
    <row r="54" spans="1:23" ht="12.75">
      <c r="A54" s="5"/>
      <c r="B54" s="61" t="s">
        <v>147</v>
      </c>
      <c r="C54" s="65"/>
      <c r="D54" s="64"/>
      <c r="E54" s="159">
        <f>E51</f>
        <v>0</v>
      </c>
      <c r="F54" s="65"/>
      <c r="G54" s="64"/>
      <c r="H54" s="159">
        <f>H51</f>
        <v>53.70018300563591</v>
      </c>
      <c r="I54" s="65"/>
      <c r="J54" s="64"/>
      <c r="K54" s="159">
        <f>K51</f>
        <v>37.25314450105257</v>
      </c>
      <c r="L54" s="65"/>
      <c r="M54" s="64"/>
      <c r="N54" s="159">
        <f>N51</f>
        <v>14543.79447270646</v>
      </c>
      <c r="O54" s="65"/>
      <c r="P54" s="64"/>
      <c r="Q54" s="159">
        <f>Q51</f>
        <v>21238.487186311762</v>
      </c>
      <c r="R54" s="65"/>
      <c r="S54" s="64"/>
      <c r="T54" s="159">
        <f>T51</f>
        <v>25431.175809056065</v>
      </c>
      <c r="U54" s="65"/>
      <c r="V54" s="64"/>
      <c r="W54" s="159">
        <f>W51</f>
        <v>0</v>
      </c>
    </row>
    <row r="55" spans="1:23" ht="16.5" thickBot="1">
      <c r="A55" s="5"/>
      <c r="B55" s="52" t="s">
        <v>123</v>
      </c>
      <c r="C55" s="65"/>
      <c r="D55" s="64"/>
      <c r="E55" s="160">
        <f>SUM(E53:E54)</f>
        <v>0</v>
      </c>
      <c r="F55" s="65"/>
      <c r="G55" s="64"/>
      <c r="H55" s="160">
        <f>SUM(H53:H54)</f>
        <v>14284.463978005637</v>
      </c>
      <c r="I55" s="65"/>
      <c r="J55" s="64"/>
      <c r="K55" s="160">
        <f>SUM(K53:K54)</f>
        <v>11899.575560921052</v>
      </c>
      <c r="L55" s="65"/>
      <c r="M55" s="64"/>
      <c r="N55" s="160">
        <f>SUM(N53:N54)</f>
        <v>280419.09784505836</v>
      </c>
      <c r="O55" s="65"/>
      <c r="P55" s="64"/>
      <c r="Q55" s="160">
        <f>SUM(Q53:Q54)</f>
        <v>450820.92622597935</v>
      </c>
      <c r="R55" s="65"/>
      <c r="S55" s="64"/>
      <c r="T55" s="160">
        <f>SUM(T53:T54)</f>
        <v>500358.36281214486</v>
      </c>
      <c r="U55" s="65"/>
      <c r="V55" s="64"/>
      <c r="W55" s="160">
        <f>SUM(W53:W54)</f>
        <v>0</v>
      </c>
    </row>
    <row r="56" spans="1:23" ht="13.5" thickBot="1">
      <c r="A56" s="5"/>
      <c r="B56" s="61"/>
      <c r="C56" s="72"/>
      <c r="D56" s="73"/>
      <c r="E56" s="116"/>
      <c r="F56" s="72"/>
      <c r="G56" s="73"/>
      <c r="H56" s="116"/>
      <c r="I56" s="72"/>
      <c r="J56" s="73"/>
      <c r="K56" s="116"/>
      <c r="L56" s="72"/>
      <c r="M56" s="73"/>
      <c r="N56" s="116"/>
      <c r="O56" s="72"/>
      <c r="P56" s="73"/>
      <c r="Q56" s="116"/>
      <c r="R56" s="72"/>
      <c r="S56" s="73"/>
      <c r="T56" s="116"/>
      <c r="U56" s="72"/>
      <c r="V56" s="73"/>
      <c r="W56" s="116"/>
    </row>
    <row r="57" spans="1:7" ht="67.5" customHeight="1">
      <c r="A57" s="5"/>
      <c r="B57" s="61"/>
      <c r="C57" s="5"/>
      <c r="D57" s="5"/>
      <c r="E57" s="5"/>
      <c r="F57"/>
      <c r="G57" s="59"/>
    </row>
    <row r="58" spans="1:7" ht="12.75">
      <c r="A58" s="5"/>
      <c r="B58" s="5"/>
      <c r="C58" s="5"/>
      <c r="D58" s="5"/>
      <c r="E58" s="5"/>
      <c r="F58" s="5"/>
      <c r="G58" s="59"/>
    </row>
    <row r="59" spans="1:7" ht="12.75">
      <c r="A59" s="5"/>
      <c r="B59" s="5"/>
      <c r="C59" s="5"/>
      <c r="D59" s="5"/>
      <c r="E59" s="5"/>
      <c r="F59" s="5"/>
      <c r="G59" s="59"/>
    </row>
    <row r="60" spans="1:7" ht="21.75" customHeight="1">
      <c r="A60" s="5"/>
      <c r="B60" s="5"/>
      <c r="C60" s="5"/>
      <c r="D60" s="5"/>
      <c r="E60" s="5"/>
      <c r="F60" s="5"/>
      <c r="G60" s="59"/>
    </row>
    <row r="61" spans="1:7" ht="45.75" customHeight="1">
      <c r="A61" s="5"/>
      <c r="B61" s="61"/>
      <c r="C61" s="5"/>
      <c r="D61" s="5"/>
      <c r="E61" s="5"/>
      <c r="F61" s="5"/>
      <c r="G61" s="59"/>
    </row>
  </sheetData>
  <sheetProtection formatColumns="0" selectLockedCells="1"/>
  <mergeCells count="15">
    <mergeCell ref="B1:D1"/>
    <mergeCell ref="C7:E7"/>
    <mergeCell ref="F7:H7"/>
    <mergeCell ref="I7:K7"/>
    <mergeCell ref="I6:K6"/>
    <mergeCell ref="C6:E6"/>
    <mergeCell ref="F6:H6"/>
    <mergeCell ref="U6:W6"/>
    <mergeCell ref="U7:W7"/>
    <mergeCell ref="L7:N7"/>
    <mergeCell ref="O7:Q7"/>
    <mergeCell ref="R6:T6"/>
    <mergeCell ref="R7:T7"/>
    <mergeCell ref="L6:N6"/>
    <mergeCell ref="O6:Q6"/>
  </mergeCells>
  <printOptions/>
  <pageMargins left="0.43" right="0.43" top="0.71" bottom="0.76" header="0.5" footer="0.5"/>
  <pageSetup fitToHeight="1" fitToWidth="1" horizontalDpi="600" verticalDpi="600" orientation="landscape" scale="31" r:id="rId1"/>
  <headerFooter alignWithMargins="0">
    <oddFooter>&amp;L&amp;A&amp;C&amp;"Arial,Bold"Welland Hydro-Electric Systems Corp. Confidential&amp;RPage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2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16.28125" style="7" customWidth="1"/>
    <col min="2" max="2" width="33.00390625" style="7" bestFit="1" customWidth="1"/>
    <col min="3" max="4" width="13.28125" style="7" bestFit="1" customWidth="1"/>
    <col min="5" max="5" width="13.57421875" style="7" customWidth="1"/>
    <col min="6" max="7" width="14.00390625" style="7" customWidth="1"/>
    <col min="8" max="8" width="13.8515625" style="7" customWidth="1"/>
    <col min="9" max="9" width="15.28125" style="7" bestFit="1" customWidth="1"/>
    <col min="10" max="16384" width="9.140625" style="7" customWidth="1"/>
  </cols>
  <sheetData>
    <row r="1" spans="1:6" s="3" customFormat="1" ht="21" customHeight="1">
      <c r="A1" s="1"/>
      <c r="B1" s="176" t="s">
        <v>148</v>
      </c>
      <c r="C1" s="176"/>
      <c r="D1" s="176"/>
      <c r="E1" s="176"/>
      <c r="F1" s="1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6" ht="12.75">
      <c r="A3" s="5"/>
      <c r="B3" s="5"/>
      <c r="C3" s="5"/>
      <c r="D3" s="5"/>
      <c r="E3" s="5"/>
      <c r="F3" s="5"/>
    </row>
    <row r="4" spans="1:6" ht="26.25">
      <c r="A4" s="5"/>
      <c r="B4" s="60" t="s">
        <v>149</v>
      </c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9" ht="12.75">
      <c r="A6" s="5"/>
      <c r="B6" s="5"/>
      <c r="C6" s="24">
        <f>'2. Smart Meter Data'!D4</f>
        <v>2006</v>
      </c>
      <c r="D6" s="24">
        <f>'2. Smart Meter Data'!E4</f>
        <v>2007</v>
      </c>
      <c r="E6" s="24">
        <f>'2. Smart Meter Data'!F4</f>
        <v>2008</v>
      </c>
      <c r="F6" s="24">
        <f>'2. Smart Meter Data'!G4</f>
        <v>2009</v>
      </c>
      <c r="G6" s="24">
        <f>'2. Smart Meter Data'!H4</f>
        <v>2010</v>
      </c>
      <c r="H6" s="24">
        <f>'2. Smart Meter Data'!I4</f>
        <v>2011</v>
      </c>
      <c r="I6" s="24" t="str">
        <f>'2. Smart Meter Data'!J4</f>
        <v>Later</v>
      </c>
    </row>
    <row r="7" spans="1:9" ht="12.75">
      <c r="A7" s="5"/>
      <c r="B7" s="34" t="s">
        <v>150</v>
      </c>
      <c r="C7" s="24" t="str">
        <f>'2. Smart Meter Data'!D5</f>
        <v>Audited Actual</v>
      </c>
      <c r="D7" s="24" t="str">
        <f>'2. Smart Meter Data'!E5</f>
        <v>Audited Actual</v>
      </c>
      <c r="E7" s="24" t="str">
        <f>'2. Smart Meter Data'!F5</f>
        <v>Audited Actual</v>
      </c>
      <c r="F7" s="24" t="str">
        <f>'2. Smart Meter Data'!G5</f>
        <v>Audited Actual</v>
      </c>
      <c r="G7" s="24" t="str">
        <f>'2. Smart Meter Data'!H5</f>
        <v>Actual</v>
      </c>
      <c r="H7" s="24" t="str">
        <f>'2. Smart Meter Data'!I5</f>
        <v>Forecasted</v>
      </c>
      <c r="I7" s="24" t="str">
        <f>'2. Smart Meter Data'!J5</f>
        <v>Forecasted</v>
      </c>
    </row>
    <row r="8" spans="1:9" ht="12.75">
      <c r="A8" s="5"/>
      <c r="B8" s="5" t="s">
        <v>151</v>
      </c>
      <c r="C8" s="139">
        <f>'4. Smart Meter Rev Req'!E49</f>
        <v>0</v>
      </c>
      <c r="D8" s="139">
        <f>'4. Smart Meter Rev Req'!H49</f>
        <v>94.9714200000006</v>
      </c>
      <c r="E8" s="139">
        <f>'4. Smart Meter Rev Req'!K49</f>
        <v>73.95027191999986</v>
      </c>
      <c r="F8" s="139">
        <f>'4. Smart Meter Rev Req'!N49</f>
        <v>40849.855965320676</v>
      </c>
      <c r="G8" s="139">
        <f>'4. Smart Meter Rev Req'!Q49</f>
        <v>79851.94683904793</v>
      </c>
      <c r="H8" s="139">
        <f>'4. Smart Meter Rev Req'!T49</f>
        <v>82875.664071996</v>
      </c>
      <c r="I8" s="139">
        <f>'4. Smart Meter Rev Req'!W49</f>
        <v>0</v>
      </c>
    </row>
    <row r="9" spans="1:9" ht="12.75">
      <c r="A9" s="5"/>
      <c r="B9" s="5" t="s">
        <v>200</v>
      </c>
      <c r="C9" s="139">
        <f>-'4. Smart Meter Rev Req'!E47</f>
        <v>0</v>
      </c>
      <c r="D9" s="139">
        <f>-'4. Smart Meter Rev Req'!H47</f>
        <v>0</v>
      </c>
      <c r="E9" s="139">
        <f>-'4. Smart Meter Rev Req'!K47</f>
        <v>0</v>
      </c>
      <c r="F9" s="139">
        <f>-'4. Smart Meter Rev Req'!N47</f>
        <v>82344.19773333333</v>
      </c>
      <c r="G9" s="139">
        <f>-'4. Smart Meter Rev Req'!Q47</f>
        <v>182904.2381333333</v>
      </c>
      <c r="H9" s="139">
        <f>-'4. Smart Meter Rev Req'!T47</f>
        <v>205699.31579999998</v>
      </c>
      <c r="I9" s="139">
        <f>-'4. Smart Meter Rev Req'!W47</f>
        <v>0</v>
      </c>
    </row>
    <row r="10" spans="1:9" ht="12.75">
      <c r="A10" s="5"/>
      <c r="B10" s="5" t="s">
        <v>225</v>
      </c>
      <c r="C10" s="139">
        <f>-'6. Avg Nt Fix Ass &amp;UCC'!C93</f>
        <v>0</v>
      </c>
      <c r="D10" s="139">
        <f>-'6. Avg Nt Fix Ass &amp;UCC'!D93</f>
        <v>0</v>
      </c>
      <c r="E10" s="139">
        <f>-'6. Avg Nt Fix Ass &amp;UCC'!E93</f>
        <v>0</v>
      </c>
      <c r="F10" s="139">
        <f>-'6. Avg Nt Fix Ass &amp;UCC'!F93</f>
        <v>-94827.70959999999</v>
      </c>
      <c r="G10" s="139">
        <f>-'6. Avg Nt Fix Ass &amp;UCC'!G93</f>
        <v>-200856.21123199997</v>
      </c>
      <c r="H10" s="139">
        <f>-'6. Avg Nt Fix Ass &amp;UCC'!H93</f>
        <v>-205469.80513343995</v>
      </c>
      <c r="I10" s="139">
        <f>-'6. Avg Nt Fix Ass &amp;UCC'!I93</f>
        <v>0</v>
      </c>
    </row>
    <row r="11" spans="1:9" ht="12.75">
      <c r="A11" s="5"/>
      <c r="B11" s="5" t="s">
        <v>227</v>
      </c>
      <c r="C11" s="139">
        <f>-'6. Avg Nt Fix Ass &amp;UCC'!C107</f>
        <v>0</v>
      </c>
      <c r="D11" s="139">
        <f>-'6. Avg Nt Fix Ass &amp;UCC'!D107</f>
        <v>0</v>
      </c>
      <c r="E11" s="139">
        <f>-'6. Avg Nt Fix Ass &amp;UCC'!E107</f>
        <v>0</v>
      </c>
      <c r="F11" s="139">
        <f>-'6. Avg Nt Fix Ass &amp;UCC'!F107</f>
        <v>-8760.59525</v>
      </c>
      <c r="G11" s="139">
        <f>-'6. Avg Nt Fix Ass &amp;UCC'!G107</f>
        <v>-19739.568612500003</v>
      </c>
      <c r="H11" s="139">
        <f>-'6. Avg Nt Fix Ass &amp;UCC'!H107</f>
        <v>-24169.511375624996</v>
      </c>
      <c r="I11" s="139">
        <f>-'6. Avg Nt Fix Ass &amp;UCC'!I107</f>
        <v>0</v>
      </c>
    </row>
    <row r="12" spans="1:9" ht="12.75">
      <c r="A12" s="5"/>
      <c r="B12" s="5" t="s">
        <v>226</v>
      </c>
      <c r="C12" s="139">
        <f>-'6. Avg Nt Fix Ass &amp;UCC'!C121</f>
        <v>0</v>
      </c>
      <c r="D12" s="139">
        <f>-'6. Avg Nt Fix Ass &amp;UCC'!D121</f>
        <v>0</v>
      </c>
      <c r="E12" s="139">
        <f>-'6. Avg Nt Fix Ass &amp;UCC'!E121</f>
        <v>0</v>
      </c>
      <c r="F12" s="139">
        <f>-'6. Avg Nt Fix Ass &amp;UCC'!F121</f>
        <v>-677.1770000000001</v>
      </c>
      <c r="G12" s="139">
        <f>-'6. Avg Nt Fix Ass &amp;UCC'!G121</f>
        <v>-1224.9186000000002</v>
      </c>
      <c r="H12" s="139">
        <f>-'6. Avg Nt Fix Ass &amp;UCC'!H121</f>
        <v>-985.9348800000002</v>
      </c>
      <c r="I12" s="139">
        <f>-'6. Avg Nt Fix Ass &amp;UCC'!I121</f>
        <v>0</v>
      </c>
    </row>
    <row r="13" spans="1:9" ht="12.75">
      <c r="A13" s="5"/>
      <c r="B13" s="5" t="s">
        <v>152</v>
      </c>
      <c r="C13" s="140">
        <f aca="true" t="shared" si="0" ref="C13:I13">SUM(C8:C12)</f>
        <v>0</v>
      </c>
      <c r="D13" s="140">
        <f t="shared" si="0"/>
        <v>94.9714200000006</v>
      </c>
      <c r="E13" s="140">
        <f t="shared" si="0"/>
        <v>73.95027191999986</v>
      </c>
      <c r="F13" s="140">
        <f t="shared" si="0"/>
        <v>18928.571848654025</v>
      </c>
      <c r="G13" s="140">
        <f t="shared" si="0"/>
        <v>40935.48652788124</v>
      </c>
      <c r="H13" s="140">
        <f t="shared" si="0"/>
        <v>57949.72848293104</v>
      </c>
      <c r="I13" s="140">
        <f t="shared" si="0"/>
        <v>0</v>
      </c>
    </row>
    <row r="14" spans="1:9" ht="12.75">
      <c r="A14" s="5"/>
      <c r="B14" s="5" t="s">
        <v>201</v>
      </c>
      <c r="C14" s="141">
        <f>'3.  LDC Assumptions and Data'!C26</f>
        <v>0.3612</v>
      </c>
      <c r="D14" s="141">
        <f>'3.  LDC Assumptions and Data'!D26</f>
        <v>0.3612</v>
      </c>
      <c r="E14" s="141">
        <f>'3.  LDC Assumptions and Data'!E26</f>
        <v>0.335</v>
      </c>
      <c r="F14" s="141">
        <f>'3.  LDC Assumptions and Data'!F26</f>
        <v>0.33</v>
      </c>
      <c r="G14" s="141">
        <f>'3.  LDC Assumptions and Data'!G26</f>
        <v>0.32</v>
      </c>
      <c r="H14" s="141">
        <f>'3.  LDC Assumptions and Data'!H26</f>
        <v>0.305</v>
      </c>
      <c r="I14" s="141">
        <f>'3.  LDC Assumptions and Data'!I26</f>
        <v>0.29</v>
      </c>
    </row>
    <row r="15" spans="1:9" ht="12.75">
      <c r="A15" s="5"/>
      <c r="B15" s="5" t="s">
        <v>153</v>
      </c>
      <c r="C15" s="140">
        <f aca="true" t="shared" si="1" ref="C15:I15">C13*C14</f>
        <v>0</v>
      </c>
      <c r="D15" s="140">
        <f t="shared" si="1"/>
        <v>34.30367690400022</v>
      </c>
      <c r="E15" s="140">
        <f t="shared" si="1"/>
        <v>24.773341093199956</v>
      </c>
      <c r="F15" s="140">
        <f t="shared" si="1"/>
        <v>6246.428710055829</v>
      </c>
      <c r="G15" s="140">
        <f t="shared" si="1"/>
        <v>13099.355688921998</v>
      </c>
      <c r="H15" s="140">
        <f t="shared" si="1"/>
        <v>17674.667187293966</v>
      </c>
      <c r="I15" s="140">
        <f t="shared" si="1"/>
        <v>0</v>
      </c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34" t="s">
        <v>154</v>
      </c>
      <c r="C17" s="5"/>
      <c r="D17" s="5"/>
      <c r="E17" s="5"/>
      <c r="F17" s="5"/>
      <c r="G17" s="5"/>
    </row>
    <row r="18" spans="1:9" ht="12.75">
      <c r="A18" s="5"/>
      <c r="B18" s="61" t="s">
        <v>116</v>
      </c>
      <c r="C18" s="139">
        <f>'6. Avg Nt Fix Ass &amp;UCC'!C17</f>
        <v>0</v>
      </c>
      <c r="D18" s="139">
        <f>'6. Avg Nt Fix Ass &amp;UCC'!D17</f>
        <v>0</v>
      </c>
      <c r="E18" s="139">
        <f>'6. Avg Nt Fix Ass &amp;UCC'!E17</f>
        <v>0</v>
      </c>
      <c r="F18" s="139">
        <f>'6. Avg Nt Fix Ass &amp;UCC'!F17</f>
        <v>2291669.6486666664</v>
      </c>
      <c r="G18" s="139">
        <f>'6. Avg Nt Fix Ass &amp;UCC'!G17</f>
        <v>2587642.845333333</v>
      </c>
      <c r="H18" s="139">
        <f>'6. Avg Nt Fix Ass &amp;UCC'!H17</f>
        <v>2444082.796333333</v>
      </c>
      <c r="I18" s="139">
        <f>'6. Avg Nt Fix Ass &amp;UCC'!I17</f>
        <v>0</v>
      </c>
    </row>
    <row r="19" spans="1:9" ht="12.75">
      <c r="A19" s="5"/>
      <c r="B19" s="61" t="s">
        <v>98</v>
      </c>
      <c r="C19" s="139">
        <f>'6. Avg Nt Fix Ass &amp;UCC'!C32</f>
        <v>0</v>
      </c>
      <c r="D19" s="139">
        <f>'6. Avg Nt Fix Ass &amp;UCC'!D32</f>
        <v>0</v>
      </c>
      <c r="E19" s="139">
        <f>'6. Avg Nt Fix Ass &amp;UCC'!E32</f>
        <v>0</v>
      </c>
      <c r="F19" s="139">
        <f>'6. Avg Nt Fix Ass &amp;UCC'!F32</f>
        <v>24567.039</v>
      </c>
      <c r="G19" s="139">
        <f>'6. Avg Nt Fix Ass &amp;UCC'!G32</f>
        <v>19107.697</v>
      </c>
      <c r="H19" s="139">
        <f>'6. Avg Nt Fix Ass &amp;UCC'!H32</f>
        <v>13648.355</v>
      </c>
      <c r="I19" s="139">
        <f>'6. Avg Nt Fix Ass &amp;UCC'!I32</f>
        <v>0</v>
      </c>
    </row>
    <row r="20" spans="1:9" ht="12.75">
      <c r="A20" s="5"/>
      <c r="B20" s="61" t="s">
        <v>99</v>
      </c>
      <c r="C20" s="142">
        <f>'6. Avg Nt Fix Ass &amp;UCC'!C47</f>
        <v>0</v>
      </c>
      <c r="D20" s="142">
        <f>'6. Avg Nt Fix Ass &amp;UCC'!D47</f>
        <v>0</v>
      </c>
      <c r="E20" s="142">
        <f>'6. Avg Nt Fix Ass &amp;UCC'!E47</f>
        <v>0</v>
      </c>
      <c r="F20" s="142">
        <f>'6. Avg Nt Fix Ass &amp;UCC'!F47</f>
        <v>4104</v>
      </c>
      <c r="G20" s="142">
        <f>'6. Avg Nt Fix Ass &amp;UCC'!G47</f>
        <v>26221.218</v>
      </c>
      <c r="H20" s="142">
        <f>'6. Avg Nt Fix Ass &amp;UCC'!H47</f>
        <v>47191.614</v>
      </c>
      <c r="I20" s="142">
        <f>'6. Avg Nt Fix Ass &amp;UCC'!I47</f>
        <v>0</v>
      </c>
    </row>
    <row r="21" spans="1:9" ht="12.75">
      <c r="A21" s="5"/>
      <c r="B21" s="61" t="s">
        <v>11</v>
      </c>
      <c r="C21" s="142">
        <f>'6. Avg Nt Fix Ass &amp;UCC'!C62</f>
        <v>0</v>
      </c>
      <c r="D21" s="142">
        <f>'6. Avg Nt Fix Ass &amp;UCC'!D62</f>
        <v>0</v>
      </c>
      <c r="E21" s="142">
        <f>'6. Avg Nt Fix Ass &amp;UCC'!E62</f>
        <v>0</v>
      </c>
      <c r="F21" s="142">
        <f>'6. Avg Nt Fix Ass &amp;UCC'!F62</f>
        <v>0</v>
      </c>
      <c r="G21" s="142">
        <f>'6. Avg Nt Fix Ass &amp;UCC'!G62</f>
        <v>0</v>
      </c>
      <c r="H21" s="142">
        <f>'6. Avg Nt Fix Ass &amp;UCC'!H62</f>
        <v>0</v>
      </c>
      <c r="I21" s="142">
        <f>'6. Avg Nt Fix Ass &amp;UCC'!I62</f>
        <v>0</v>
      </c>
    </row>
    <row r="22" spans="1:9" ht="12.75">
      <c r="A22" s="5"/>
      <c r="B22" s="61" t="s">
        <v>13</v>
      </c>
      <c r="C22" s="143">
        <f>'6. Avg Nt Fix Ass &amp;UCC'!C77</f>
        <v>0</v>
      </c>
      <c r="D22" s="143">
        <f>'6. Avg Nt Fix Ass &amp;UCC'!D77</f>
        <v>0</v>
      </c>
      <c r="E22" s="143">
        <f>'6. Avg Nt Fix Ass &amp;UCC'!E77</f>
        <v>0</v>
      </c>
      <c r="F22" s="143">
        <f>'6. Avg Nt Fix Ass &amp;UCC'!F77</f>
        <v>6636.3346</v>
      </c>
      <c r="G22" s="143">
        <f>'6. Avg Nt Fix Ass &amp;UCC'!G77</f>
        <v>6424.263800000001</v>
      </c>
      <c r="H22" s="143">
        <f>'6. Avg Nt Fix Ass &amp;UCC'!H77</f>
        <v>6150.993</v>
      </c>
      <c r="I22" s="143">
        <f>'6. Avg Nt Fix Ass &amp;UCC'!I77</f>
        <v>0</v>
      </c>
    </row>
    <row r="23" spans="1:9" ht="12.75">
      <c r="A23" s="5"/>
      <c r="B23" s="5" t="s">
        <v>155</v>
      </c>
      <c r="C23" s="102">
        <f aca="true" t="shared" si="2" ref="C23:I23">SUM(C18:C20)</f>
        <v>0</v>
      </c>
      <c r="D23" s="102">
        <f t="shared" si="2"/>
        <v>0</v>
      </c>
      <c r="E23" s="102">
        <f t="shared" si="2"/>
        <v>0</v>
      </c>
      <c r="F23" s="102">
        <f t="shared" si="2"/>
        <v>2320340.687666666</v>
      </c>
      <c r="G23" s="102">
        <f t="shared" si="2"/>
        <v>2632971.760333333</v>
      </c>
      <c r="H23" s="102">
        <f t="shared" si="2"/>
        <v>2504922.765333333</v>
      </c>
      <c r="I23" s="102">
        <f t="shared" si="2"/>
        <v>0</v>
      </c>
    </row>
    <row r="24" spans="1:9" ht="12.75">
      <c r="A24" s="5"/>
      <c r="B24" s="5" t="s">
        <v>156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</row>
    <row r="25" spans="1:9" ht="12.75">
      <c r="A25" s="5"/>
      <c r="B25" s="5" t="s">
        <v>157</v>
      </c>
      <c r="C25" s="140">
        <f aca="true" t="shared" si="3" ref="C25:I25">C23-C24</f>
        <v>0</v>
      </c>
      <c r="D25" s="140">
        <f t="shared" si="3"/>
        <v>0</v>
      </c>
      <c r="E25" s="140">
        <f t="shared" si="3"/>
        <v>0</v>
      </c>
      <c r="F25" s="140">
        <f t="shared" si="3"/>
        <v>2320340.687666666</v>
      </c>
      <c r="G25" s="140">
        <f t="shared" si="3"/>
        <v>2632971.760333333</v>
      </c>
      <c r="H25" s="140">
        <f t="shared" si="3"/>
        <v>2504922.765333333</v>
      </c>
      <c r="I25" s="140">
        <f t="shared" si="3"/>
        <v>0</v>
      </c>
    </row>
    <row r="26" spans="1:9" ht="12.75">
      <c r="A26" s="5"/>
      <c r="B26" s="5" t="s">
        <v>158</v>
      </c>
      <c r="C26" s="144">
        <v>0.003</v>
      </c>
      <c r="D26" s="145">
        <v>0.00225</v>
      </c>
      <c r="E26" s="145">
        <v>0.00225</v>
      </c>
      <c r="F26" s="145">
        <v>0.00225</v>
      </c>
      <c r="G26" s="145">
        <f>0.15%/2</f>
        <v>0.00075</v>
      </c>
      <c r="H26" s="144">
        <v>0</v>
      </c>
      <c r="I26" s="144">
        <v>0</v>
      </c>
    </row>
    <row r="27" spans="1:9" ht="12.75">
      <c r="A27" s="5"/>
      <c r="B27" s="5" t="s">
        <v>159</v>
      </c>
      <c r="C27" s="140">
        <f aca="true" t="shared" si="4" ref="C27:I27">C25*C26</f>
        <v>0</v>
      </c>
      <c r="D27" s="140">
        <f t="shared" si="4"/>
        <v>0</v>
      </c>
      <c r="E27" s="140">
        <f t="shared" si="4"/>
        <v>0</v>
      </c>
      <c r="F27" s="140">
        <f t="shared" si="4"/>
        <v>5220.766547249998</v>
      </c>
      <c r="G27" s="140">
        <f t="shared" si="4"/>
        <v>1974.72882025</v>
      </c>
      <c r="H27" s="140">
        <f t="shared" si="4"/>
        <v>0</v>
      </c>
      <c r="I27" s="140">
        <f t="shared" si="4"/>
        <v>0</v>
      </c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5.75">
      <c r="A30" s="5"/>
      <c r="B30" s="75" t="s">
        <v>160</v>
      </c>
      <c r="C30" s="5"/>
      <c r="D30" s="5"/>
      <c r="E30" s="5"/>
      <c r="F30" s="5"/>
      <c r="G30" s="5"/>
    </row>
    <row r="31" spans="1:9" ht="12.75">
      <c r="A31" s="5"/>
      <c r="B31" s="5"/>
      <c r="C31" s="24" t="s">
        <v>161</v>
      </c>
      <c r="D31" s="24" t="s">
        <v>161</v>
      </c>
      <c r="E31" s="24" t="s">
        <v>161</v>
      </c>
      <c r="F31" s="24" t="s">
        <v>161</v>
      </c>
      <c r="G31" s="24" t="s">
        <v>161</v>
      </c>
      <c r="H31" s="24" t="s">
        <v>161</v>
      </c>
      <c r="I31" s="24" t="s">
        <v>161</v>
      </c>
    </row>
    <row r="32" spans="1:9" ht="12.75">
      <c r="A32" s="5"/>
      <c r="B32" s="5" t="s">
        <v>162</v>
      </c>
      <c r="C32" s="102">
        <f aca="true" t="shared" si="5" ref="C32:I32">C15</f>
        <v>0</v>
      </c>
      <c r="D32" s="102">
        <f t="shared" si="5"/>
        <v>34.30367690400022</v>
      </c>
      <c r="E32" s="102">
        <f t="shared" si="5"/>
        <v>24.773341093199956</v>
      </c>
      <c r="F32" s="102">
        <f t="shared" si="5"/>
        <v>6246.428710055829</v>
      </c>
      <c r="G32" s="102">
        <f t="shared" si="5"/>
        <v>13099.355688921998</v>
      </c>
      <c r="H32" s="102">
        <f t="shared" si="5"/>
        <v>17674.667187293966</v>
      </c>
      <c r="I32" s="102">
        <f t="shared" si="5"/>
        <v>0</v>
      </c>
    </row>
    <row r="33" spans="1:9" ht="12.75">
      <c r="A33" s="5"/>
      <c r="B33" s="5" t="s">
        <v>163</v>
      </c>
      <c r="C33" s="102">
        <f aca="true" t="shared" si="6" ref="C33:I33">C27</f>
        <v>0</v>
      </c>
      <c r="D33" s="102">
        <f t="shared" si="6"/>
        <v>0</v>
      </c>
      <c r="E33" s="102">
        <f t="shared" si="6"/>
        <v>0</v>
      </c>
      <c r="F33" s="102">
        <f t="shared" si="6"/>
        <v>5220.766547249998</v>
      </c>
      <c r="G33" s="102">
        <f t="shared" si="6"/>
        <v>1974.72882025</v>
      </c>
      <c r="H33" s="102">
        <f t="shared" si="6"/>
        <v>0</v>
      </c>
      <c r="I33" s="102">
        <f t="shared" si="6"/>
        <v>0</v>
      </c>
    </row>
    <row r="34" spans="1:9" ht="12.75">
      <c r="A34" s="5"/>
      <c r="B34" s="5" t="s">
        <v>164</v>
      </c>
      <c r="C34" s="140">
        <f aca="true" t="shared" si="7" ref="C34:I34">SUM(C32:C33)</f>
        <v>0</v>
      </c>
      <c r="D34" s="140">
        <f t="shared" si="7"/>
        <v>34.30367690400022</v>
      </c>
      <c r="E34" s="140">
        <f t="shared" si="7"/>
        <v>24.773341093199956</v>
      </c>
      <c r="F34" s="140">
        <f t="shared" si="7"/>
        <v>11467.195257305826</v>
      </c>
      <c r="G34" s="140">
        <f t="shared" si="7"/>
        <v>15074.084509171998</v>
      </c>
      <c r="H34" s="140">
        <f t="shared" si="7"/>
        <v>17674.667187293966</v>
      </c>
      <c r="I34" s="140">
        <f t="shared" si="7"/>
        <v>0</v>
      </c>
    </row>
    <row r="35" ht="13.5" customHeight="1"/>
    <row r="36" spans="3:9" ht="12.75">
      <c r="C36" s="24" t="s">
        <v>160</v>
      </c>
      <c r="D36" s="24" t="s">
        <v>160</v>
      </c>
      <c r="E36" s="24" t="s">
        <v>160</v>
      </c>
      <c r="F36" s="24" t="s">
        <v>160</v>
      </c>
      <c r="G36" s="24" t="s">
        <v>160</v>
      </c>
      <c r="H36" s="24" t="s">
        <v>160</v>
      </c>
      <c r="I36" s="24" t="s">
        <v>160</v>
      </c>
    </row>
    <row r="37" spans="3:9" ht="12.75">
      <c r="C37" s="76">
        <f>C14</f>
        <v>0.3612</v>
      </c>
      <c r="D37" s="76">
        <f aca="true" t="shared" si="8" ref="D37:I37">D14</f>
        <v>0.3612</v>
      </c>
      <c r="E37" s="76">
        <f t="shared" si="8"/>
        <v>0.335</v>
      </c>
      <c r="F37" s="76">
        <f t="shared" si="8"/>
        <v>0.33</v>
      </c>
      <c r="G37" s="76">
        <f t="shared" si="8"/>
        <v>0.32</v>
      </c>
      <c r="H37" s="76">
        <f t="shared" si="8"/>
        <v>0.305</v>
      </c>
      <c r="I37" s="76">
        <f t="shared" si="8"/>
        <v>0.29</v>
      </c>
    </row>
    <row r="39" spans="3:9" ht="25.5">
      <c r="C39" s="77" t="s">
        <v>165</v>
      </c>
      <c r="D39" s="77" t="s">
        <v>165</v>
      </c>
      <c r="E39" s="77" t="s">
        <v>165</v>
      </c>
      <c r="F39" s="77" t="s">
        <v>165</v>
      </c>
      <c r="G39" s="77" t="s">
        <v>165</v>
      </c>
      <c r="H39" s="77" t="s">
        <v>165</v>
      </c>
      <c r="I39" s="77" t="s">
        <v>165</v>
      </c>
    </row>
    <row r="40" spans="2:9" ht="12.75">
      <c r="B40" s="5" t="s">
        <v>162</v>
      </c>
      <c r="C40" s="102">
        <f aca="true" t="shared" si="9" ref="C40:I40">C32/(1-C37)</f>
        <v>0</v>
      </c>
      <c r="D40" s="102">
        <f t="shared" si="9"/>
        <v>53.70018300563591</v>
      </c>
      <c r="E40" s="102">
        <f t="shared" si="9"/>
        <v>37.25314450105257</v>
      </c>
      <c r="F40" s="102">
        <f t="shared" si="9"/>
        <v>9323.027925456461</v>
      </c>
      <c r="G40" s="102">
        <f t="shared" si="9"/>
        <v>19263.758366061764</v>
      </c>
      <c r="H40" s="102">
        <f t="shared" si="9"/>
        <v>25431.175809056065</v>
      </c>
      <c r="I40" s="102">
        <f t="shared" si="9"/>
        <v>0</v>
      </c>
    </row>
    <row r="41" spans="2:9" ht="12.75">
      <c r="B41" s="5" t="s">
        <v>163</v>
      </c>
      <c r="C41" s="102">
        <f aca="true" t="shared" si="10" ref="C41:I41">C33</f>
        <v>0</v>
      </c>
      <c r="D41" s="102">
        <f t="shared" si="10"/>
        <v>0</v>
      </c>
      <c r="E41" s="102">
        <f t="shared" si="10"/>
        <v>0</v>
      </c>
      <c r="F41" s="102">
        <f t="shared" si="10"/>
        <v>5220.766547249998</v>
      </c>
      <c r="G41" s="102">
        <f t="shared" si="10"/>
        <v>1974.72882025</v>
      </c>
      <c r="H41" s="102">
        <f t="shared" si="10"/>
        <v>0</v>
      </c>
      <c r="I41" s="102">
        <f t="shared" si="10"/>
        <v>0</v>
      </c>
    </row>
    <row r="42" spans="2:9" ht="12.75">
      <c r="B42" s="5" t="s">
        <v>164</v>
      </c>
      <c r="C42" s="146">
        <f aca="true" t="shared" si="11" ref="C42:I42">SUM(C40:C41)</f>
        <v>0</v>
      </c>
      <c r="D42" s="146">
        <f t="shared" si="11"/>
        <v>53.70018300563591</v>
      </c>
      <c r="E42" s="146">
        <f t="shared" si="11"/>
        <v>37.25314450105257</v>
      </c>
      <c r="F42" s="146">
        <f t="shared" si="11"/>
        <v>14543.79447270646</v>
      </c>
      <c r="G42" s="146">
        <f t="shared" si="11"/>
        <v>21238.487186311762</v>
      </c>
      <c r="H42" s="146">
        <f t="shared" si="11"/>
        <v>25431.175809056065</v>
      </c>
      <c r="I42" s="146">
        <f t="shared" si="11"/>
        <v>0</v>
      </c>
    </row>
  </sheetData>
  <sheetProtection formatColumns="0" selectLockedCells="1"/>
  <mergeCells count="1">
    <mergeCell ref="B1:E1"/>
  </mergeCells>
  <printOptions/>
  <pageMargins left="0.42" right="0.44" top="0.64" bottom="0.64" header="0.5" footer="0.5"/>
  <pageSetup fitToHeight="1" fitToWidth="1" horizontalDpi="600" verticalDpi="600" orientation="landscape" scale="90" r:id="rId1"/>
  <headerFooter alignWithMargins="0">
    <oddFooter>&amp;L&amp;A&amp;C&amp;BWelland Hydro-Electric Systems Corp. Confidential&amp;B&amp;RPage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1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57421875" style="7" customWidth="1"/>
    <col min="2" max="2" width="75.28125" style="7" bestFit="1" customWidth="1"/>
    <col min="3" max="7" width="15.00390625" style="7" bestFit="1" customWidth="1"/>
    <col min="8" max="8" width="15.00390625" style="7" customWidth="1"/>
    <col min="9" max="16384" width="9.140625" style="7" customWidth="1"/>
  </cols>
  <sheetData>
    <row r="1" spans="1:9" s="3" customFormat="1" ht="21" customHeight="1">
      <c r="A1" s="1"/>
      <c r="B1" s="169" t="s">
        <v>219</v>
      </c>
      <c r="C1" s="169"/>
      <c r="D1" s="169"/>
      <c r="E1" s="169"/>
      <c r="F1" s="26"/>
      <c r="G1" s="26"/>
      <c r="H1" s="1"/>
      <c r="I1" s="1"/>
    </row>
    <row r="2" spans="1:9" s="3" customFormat="1" ht="6" customHeight="1">
      <c r="A2" s="27"/>
      <c r="B2" s="27"/>
      <c r="C2" s="27"/>
      <c r="D2" s="27"/>
      <c r="E2" s="27"/>
      <c r="F2" s="27"/>
      <c r="G2" s="1"/>
      <c r="H2" s="1"/>
      <c r="I2" s="1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6.25">
      <c r="A4" s="5"/>
      <c r="B4" s="60" t="s">
        <v>166</v>
      </c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24">
        <f>'2. Smart Meter Data'!D4</f>
        <v>2006</v>
      </c>
      <c r="D5" s="24">
        <f>'2. Smart Meter Data'!E4</f>
        <v>2007</v>
      </c>
      <c r="E5" s="24">
        <f>'2. Smart Meter Data'!F4</f>
        <v>2008</v>
      </c>
      <c r="F5" s="24">
        <f>'2. Smart Meter Data'!G4</f>
        <v>2009</v>
      </c>
      <c r="G5" s="24">
        <f>'2. Smart Meter Data'!H4</f>
        <v>2010</v>
      </c>
      <c r="H5" s="24">
        <f>'2. Smart Meter Data'!I4</f>
        <v>2011</v>
      </c>
      <c r="I5" s="5"/>
    </row>
    <row r="6" spans="1:9" ht="18">
      <c r="A6" s="5"/>
      <c r="B6" s="28" t="s">
        <v>167</v>
      </c>
      <c r="C6" s="24" t="str">
        <f>'2. Smart Meter Data'!D5</f>
        <v>Audited Actual</v>
      </c>
      <c r="D6" s="24" t="str">
        <f>'2. Smart Meter Data'!E5</f>
        <v>Audited Actual</v>
      </c>
      <c r="E6" s="24" t="str">
        <f>'2. Smart Meter Data'!F5</f>
        <v>Audited Actual</v>
      </c>
      <c r="F6" s="24" t="str">
        <f>'2. Smart Meter Data'!G5</f>
        <v>Audited Actual</v>
      </c>
      <c r="G6" s="24" t="str">
        <f>'2. Smart Meter Data'!H5</f>
        <v>Actual</v>
      </c>
      <c r="H6" s="24" t="str">
        <f>'2. Smart Meter Data'!I5</f>
        <v>Forecasted</v>
      </c>
      <c r="I6" s="78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 t="s">
        <v>168</v>
      </c>
      <c r="C8" s="140">
        <v>0</v>
      </c>
      <c r="D8" s="140">
        <f>C10</f>
        <v>0</v>
      </c>
      <c r="E8" s="140">
        <f>D10</f>
        <v>0</v>
      </c>
      <c r="F8" s="140">
        <f>E10</f>
        <v>0</v>
      </c>
      <c r="G8" s="140">
        <f>F10</f>
        <v>2370692.7399999998</v>
      </c>
      <c r="H8" s="140">
        <f>G10</f>
        <v>2840367.96</v>
      </c>
      <c r="I8" s="5"/>
    </row>
    <row r="9" spans="1:9" ht="12.75">
      <c r="A9" s="5"/>
      <c r="B9" s="5" t="s">
        <v>202</v>
      </c>
      <c r="C9" s="142">
        <f>'3.  LDC Assumptions and Data'!C31</f>
        <v>0</v>
      </c>
      <c r="D9" s="142">
        <f>'3.  LDC Assumptions and Data'!D31</f>
        <v>0</v>
      </c>
      <c r="E9" s="142">
        <f>'3.  LDC Assumptions and Data'!E31</f>
        <v>0</v>
      </c>
      <c r="F9" s="142">
        <f>'3.  LDC Assumptions and Data'!F31</f>
        <v>2370692.7399999998</v>
      </c>
      <c r="G9" s="142">
        <f>'3.  LDC Assumptions and Data'!G31</f>
        <v>469675.22</v>
      </c>
      <c r="H9" s="142">
        <f>'3.  LDC Assumptions and Data'!H31</f>
        <v>47377.05</v>
      </c>
      <c r="I9" s="5"/>
    </row>
    <row r="10" spans="1:9" ht="12.75">
      <c r="A10" s="5"/>
      <c r="B10" s="5" t="s">
        <v>169</v>
      </c>
      <c r="C10" s="140">
        <f aca="true" t="shared" si="0" ref="C10:H10">SUM(C8:C9)</f>
        <v>0</v>
      </c>
      <c r="D10" s="140">
        <f t="shared" si="0"/>
        <v>0</v>
      </c>
      <c r="E10" s="140">
        <f t="shared" si="0"/>
        <v>0</v>
      </c>
      <c r="F10" s="140">
        <f t="shared" si="0"/>
        <v>2370692.7399999998</v>
      </c>
      <c r="G10" s="140">
        <f t="shared" si="0"/>
        <v>2840367.96</v>
      </c>
      <c r="H10" s="140">
        <f t="shared" si="0"/>
        <v>2887745.01</v>
      </c>
      <c r="I10" s="5"/>
    </row>
    <row r="11" spans="1:9" ht="12.75">
      <c r="A11" s="5"/>
      <c r="B11" s="5"/>
      <c r="C11" s="63"/>
      <c r="D11" s="63"/>
      <c r="E11" s="63"/>
      <c r="F11" s="63"/>
      <c r="G11" s="63"/>
      <c r="H11" s="5"/>
      <c r="I11" s="5"/>
    </row>
    <row r="12" spans="1:9" ht="12.75">
      <c r="A12" s="5"/>
      <c r="B12" s="5" t="s">
        <v>170</v>
      </c>
      <c r="C12" s="140">
        <v>0</v>
      </c>
      <c r="D12" s="140">
        <f>C14</f>
        <v>0</v>
      </c>
      <c r="E12" s="140">
        <f>D14</f>
        <v>0</v>
      </c>
      <c r="F12" s="140">
        <f>E14</f>
        <v>0</v>
      </c>
      <c r="G12" s="140">
        <f>F14</f>
        <v>79023.09133333333</v>
      </c>
      <c r="H12" s="140">
        <f>G14</f>
        <v>252725.11466666666</v>
      </c>
      <c r="I12" s="5"/>
    </row>
    <row r="13" spans="1:9" ht="12.75">
      <c r="A13" s="5"/>
      <c r="B13" s="5" t="str">
        <f>"Amortization ("&amp;'3.  LDC Assumptions and Data'!C60&amp;" Years  Straight Line)"</f>
        <v>Amortization (15 Years  Straight Line)</v>
      </c>
      <c r="C13" s="102">
        <f>IF(C12+(C8/'3.  LDC Assumptions and Data'!C60)+(C9/'3.  LDC Assumptions and Data'!C60/2)&lt;C10,(C8/'3.  LDC Assumptions and Data'!C60)+(C9/'3.  LDC Assumptions and Data'!C60/2),C10-C12)</f>
        <v>0</v>
      </c>
      <c r="D13" s="102">
        <f>IF(D12+(D8/'3.  LDC Assumptions and Data'!D60)+(D9/'3.  LDC Assumptions and Data'!D60/2)&lt;D10,(D8/'3.  LDC Assumptions and Data'!D60)+(D9/'3.  LDC Assumptions and Data'!D60/2),D10-D12)</f>
        <v>0</v>
      </c>
      <c r="E13" s="102">
        <f>IF(E12+(E8/'3.  LDC Assumptions and Data'!E60)+(E9/'3.  LDC Assumptions and Data'!E60/2)&lt;E10,(E8/'3.  LDC Assumptions and Data'!E60)+(E9/'3.  LDC Assumptions and Data'!E60/2),E10-E12)</f>
        <v>0</v>
      </c>
      <c r="F13" s="102">
        <f>IF(F12+(F8/'3.  LDC Assumptions and Data'!F60)+(F9/'3.  LDC Assumptions and Data'!F60/2)&lt;F10,(F8/'3.  LDC Assumptions and Data'!F60)+(F9/'3.  LDC Assumptions and Data'!F60/2),F10-F12)</f>
        <v>79023.09133333333</v>
      </c>
      <c r="G13" s="102">
        <f>IF(G12+(G8/'3.  LDC Assumptions and Data'!G60)+(G9/'3.  LDC Assumptions and Data'!G60/2)&lt;G10,(G8/'3.  LDC Assumptions and Data'!G60)+(G9/'3.  LDC Assumptions and Data'!G60/2),G10-G12)</f>
        <v>173702.02333333332</v>
      </c>
      <c r="H13" s="102">
        <f>IF(H12+(H8/'3.  LDC Assumptions and Data'!H60)+(H9/'3.  LDC Assumptions and Data'!H60/2)&lt;H10,(H8/'3.  LDC Assumptions and Data'!H60)+(H9/'3.  LDC Assumptions and Data'!H60/2),H10-H12)</f>
        <v>190937.099</v>
      </c>
      <c r="I13" s="5"/>
    </row>
    <row r="14" spans="1:9" ht="12.75">
      <c r="A14" s="5"/>
      <c r="B14" s="5" t="s">
        <v>171</v>
      </c>
      <c r="C14" s="140">
        <f aca="true" t="shared" si="1" ref="C14:H14">SUM(C12:C13)</f>
        <v>0</v>
      </c>
      <c r="D14" s="140">
        <f t="shared" si="1"/>
        <v>0</v>
      </c>
      <c r="E14" s="140">
        <f t="shared" si="1"/>
        <v>0</v>
      </c>
      <c r="F14" s="140">
        <f t="shared" si="1"/>
        <v>79023.09133333333</v>
      </c>
      <c r="G14" s="140">
        <f t="shared" si="1"/>
        <v>252725.11466666666</v>
      </c>
      <c r="H14" s="140">
        <f t="shared" si="1"/>
        <v>443662.21366666665</v>
      </c>
      <c r="I14" s="5"/>
    </row>
    <row r="15" spans="1:9" ht="12.75">
      <c r="A15" s="5"/>
      <c r="B15" s="5"/>
      <c r="H15" s="5"/>
      <c r="I15" s="5"/>
    </row>
    <row r="16" spans="1:9" ht="16.5" customHeight="1">
      <c r="A16" s="5"/>
      <c r="B16" s="5" t="s">
        <v>172</v>
      </c>
      <c r="C16" s="102">
        <f>0</f>
        <v>0</v>
      </c>
      <c r="D16" s="102">
        <f>C17</f>
        <v>0</v>
      </c>
      <c r="E16" s="102">
        <f>D17</f>
        <v>0</v>
      </c>
      <c r="F16" s="102">
        <f>E17</f>
        <v>0</v>
      </c>
      <c r="G16" s="102">
        <f>F17</f>
        <v>2291669.6486666664</v>
      </c>
      <c r="H16" s="102">
        <f>G17</f>
        <v>2587642.845333333</v>
      </c>
      <c r="I16" s="5"/>
    </row>
    <row r="17" spans="1:8" ht="12.75">
      <c r="A17" s="5"/>
      <c r="B17" s="5" t="s">
        <v>173</v>
      </c>
      <c r="C17" s="140">
        <f aca="true" t="shared" si="2" ref="C17:H17">C10-C14</f>
        <v>0</v>
      </c>
      <c r="D17" s="140">
        <f t="shared" si="2"/>
        <v>0</v>
      </c>
      <c r="E17" s="140">
        <f t="shared" si="2"/>
        <v>0</v>
      </c>
      <c r="F17" s="140">
        <f t="shared" si="2"/>
        <v>2291669.6486666664</v>
      </c>
      <c r="G17" s="140">
        <f t="shared" si="2"/>
        <v>2587642.845333333</v>
      </c>
      <c r="H17" s="140">
        <f t="shared" si="2"/>
        <v>2444082.796333333</v>
      </c>
    </row>
    <row r="18" spans="1:8" ht="13.5" thickBot="1">
      <c r="A18" s="5"/>
      <c r="B18" s="5" t="s">
        <v>174</v>
      </c>
      <c r="C18" s="147">
        <f aca="true" t="shared" si="3" ref="C18:H18">(C17+C16)/2</f>
        <v>0</v>
      </c>
      <c r="D18" s="147">
        <f t="shared" si="3"/>
        <v>0</v>
      </c>
      <c r="E18" s="147">
        <f t="shared" si="3"/>
        <v>0</v>
      </c>
      <c r="F18" s="147">
        <f t="shared" si="3"/>
        <v>1145834.8243333332</v>
      </c>
      <c r="G18" s="147">
        <f t="shared" si="3"/>
        <v>2439656.2469999995</v>
      </c>
      <c r="H18" s="147">
        <f t="shared" si="3"/>
        <v>2515862.820833333</v>
      </c>
    </row>
    <row r="19" spans="1:8" ht="12.75">
      <c r="A19" s="5"/>
      <c r="B19" s="5"/>
      <c r="C19" s="64"/>
      <c r="D19" s="64"/>
      <c r="E19" s="64"/>
      <c r="F19" s="64"/>
      <c r="G19" s="64"/>
      <c r="H19" s="64"/>
    </row>
    <row r="20" spans="1:9" ht="12.75">
      <c r="A20" s="5"/>
      <c r="B20" s="5"/>
      <c r="C20" s="24">
        <f aca="true" t="shared" si="4" ref="C20:H21">C5</f>
        <v>2006</v>
      </c>
      <c r="D20" s="24">
        <f t="shared" si="4"/>
        <v>2007</v>
      </c>
      <c r="E20" s="24">
        <f t="shared" si="4"/>
        <v>2008</v>
      </c>
      <c r="F20" s="24">
        <f t="shared" si="4"/>
        <v>2009</v>
      </c>
      <c r="G20" s="24">
        <f t="shared" si="4"/>
        <v>2010</v>
      </c>
      <c r="H20" s="24">
        <f t="shared" si="4"/>
        <v>2011</v>
      </c>
      <c r="I20" s="5"/>
    </row>
    <row r="21" spans="1:9" ht="18">
      <c r="A21" s="5"/>
      <c r="B21" s="28" t="s">
        <v>175</v>
      </c>
      <c r="C21" s="24" t="str">
        <f t="shared" si="4"/>
        <v>Audited Actual</v>
      </c>
      <c r="D21" s="24" t="str">
        <f t="shared" si="4"/>
        <v>Audited Actual</v>
      </c>
      <c r="E21" s="24" t="str">
        <f t="shared" si="4"/>
        <v>Audited Actual</v>
      </c>
      <c r="F21" s="24" t="str">
        <f t="shared" si="4"/>
        <v>Audited Actual</v>
      </c>
      <c r="G21" s="24" t="str">
        <f t="shared" si="4"/>
        <v>Actual</v>
      </c>
      <c r="H21" s="24" t="str">
        <f t="shared" si="4"/>
        <v>Forecasted</v>
      </c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 t="s">
        <v>168</v>
      </c>
      <c r="C23" s="140">
        <v>0</v>
      </c>
      <c r="D23" s="140">
        <f>C25</f>
        <v>0</v>
      </c>
      <c r="E23" s="140">
        <f>D25</f>
        <v>0</v>
      </c>
      <c r="F23" s="140">
        <f>E25</f>
        <v>0</v>
      </c>
      <c r="G23" s="140">
        <f>F25</f>
        <v>27296.71</v>
      </c>
      <c r="H23" s="140">
        <f>G25</f>
        <v>27296.71</v>
      </c>
      <c r="I23" s="5"/>
    </row>
    <row r="24" spans="1:9" ht="12.75">
      <c r="A24" s="5"/>
      <c r="B24" s="5" t="s">
        <v>203</v>
      </c>
      <c r="C24" s="142">
        <f>'3.  LDC Assumptions and Data'!C32</f>
        <v>0</v>
      </c>
      <c r="D24" s="142">
        <f>'3.  LDC Assumptions and Data'!D32</f>
        <v>0</v>
      </c>
      <c r="E24" s="142">
        <f>'3.  LDC Assumptions and Data'!E32</f>
        <v>0</v>
      </c>
      <c r="F24" s="142">
        <f>'3.  LDC Assumptions and Data'!F32</f>
        <v>27296.71</v>
      </c>
      <c r="G24" s="142">
        <f>'3.  LDC Assumptions and Data'!G32</f>
        <v>0</v>
      </c>
      <c r="H24" s="142">
        <f>'3.  LDC Assumptions and Data'!H32</f>
        <v>0</v>
      </c>
      <c r="I24" s="5"/>
    </row>
    <row r="25" spans="1:9" ht="12.75">
      <c r="A25" s="5"/>
      <c r="B25" s="5" t="s">
        <v>169</v>
      </c>
      <c r="C25" s="140">
        <f aca="true" t="shared" si="5" ref="C25:H25">SUM(C23:C24)</f>
        <v>0</v>
      </c>
      <c r="D25" s="140">
        <f t="shared" si="5"/>
        <v>0</v>
      </c>
      <c r="E25" s="140">
        <f t="shared" si="5"/>
        <v>0</v>
      </c>
      <c r="F25" s="140">
        <f t="shared" si="5"/>
        <v>27296.71</v>
      </c>
      <c r="G25" s="140">
        <f t="shared" si="5"/>
        <v>27296.71</v>
      </c>
      <c r="H25" s="140">
        <f t="shared" si="5"/>
        <v>27296.71</v>
      </c>
      <c r="I25" s="5"/>
    </row>
    <row r="26" spans="1:9" ht="12.75">
      <c r="A26" s="5"/>
      <c r="B26" s="5"/>
      <c r="C26" s="64"/>
      <c r="D26" s="64"/>
      <c r="E26" s="64"/>
      <c r="F26" s="64"/>
      <c r="G26" s="64"/>
      <c r="H26" s="5"/>
      <c r="I26" s="5"/>
    </row>
    <row r="27" spans="1:9" ht="12.75">
      <c r="A27" s="5"/>
      <c r="B27" s="5" t="s">
        <v>170</v>
      </c>
      <c r="C27" s="140">
        <v>0</v>
      </c>
      <c r="D27" s="140">
        <f>C29</f>
        <v>0</v>
      </c>
      <c r="E27" s="140">
        <f>D29</f>
        <v>0</v>
      </c>
      <c r="F27" s="140">
        <f>E29</f>
        <v>0</v>
      </c>
      <c r="G27" s="140">
        <f>F29</f>
        <v>2729.671</v>
      </c>
      <c r="H27" s="140">
        <f>G29</f>
        <v>8189.012999999999</v>
      </c>
      <c r="I27" s="5"/>
    </row>
    <row r="28" spans="1:9" ht="12.75">
      <c r="A28" s="5"/>
      <c r="B28" s="5" t="str">
        <f>"Amortization ("&amp;'3.  LDC Assumptions and Data'!C61&amp;" Years  Straight Line)"</f>
        <v>Amortization (5 Years  Straight Line)</v>
      </c>
      <c r="C28" s="102">
        <f>IF(C27+(C23/'3.  LDC Assumptions and Data'!C61)+(C24/'3.  LDC Assumptions and Data'!C61/2)&lt;C25,(C23/'3.  LDC Assumptions and Data'!C61)+(C24/'3.  LDC Assumptions and Data'!C61/2),C25-C27)</f>
        <v>0</v>
      </c>
      <c r="D28" s="102">
        <f>IF(D27+(D23/'3.  LDC Assumptions and Data'!C61)+(D24/'3.  LDC Assumptions and Data'!C61/2)&lt;D25,(D23/'3.  LDC Assumptions and Data'!C61)+(D24/'3.  LDC Assumptions and Data'!C61/2),D25-D27)</f>
        <v>0</v>
      </c>
      <c r="E28" s="102">
        <f>IF(E27+(E23/'3.  LDC Assumptions and Data'!C61)+(E24/'3.  LDC Assumptions and Data'!C61/2)&lt;E25,(E23/'3.  LDC Assumptions and Data'!C61)+(E24/'3.  LDC Assumptions and Data'!C61/2),E25-E27)</f>
        <v>0</v>
      </c>
      <c r="F28" s="102">
        <f>IF(F27+(F23/'3.  LDC Assumptions and Data'!C61)+(F24/'3.  LDC Assumptions and Data'!C61/2)&lt;F25,(F23/'3.  LDC Assumptions and Data'!C61)+(F24/'3.  LDC Assumptions and Data'!C61/2),F25-F27)</f>
        <v>2729.671</v>
      </c>
      <c r="G28" s="102">
        <f>IF(G27+(G23/'3.  LDC Assumptions and Data'!C61)+(G24/'3.  LDC Assumptions and Data'!C61/2)&lt;G25,(G23/'3.  LDC Assumptions and Data'!C61)+(G24/'3.  LDC Assumptions and Data'!C61/2),G25-G27)</f>
        <v>5459.342</v>
      </c>
      <c r="H28" s="102">
        <f>IF(H27+(H23/'3.  LDC Assumptions and Data'!D61)+(H24/'3.  LDC Assumptions and Data'!D61/2)&lt;H25,(H23/'3.  LDC Assumptions and Data'!D61)+(H24/'3.  LDC Assumptions and Data'!D61/2),H25-H27)</f>
        <v>5459.342</v>
      </c>
      <c r="I28" s="5"/>
    </row>
    <row r="29" spans="1:9" ht="12.75">
      <c r="A29" s="5"/>
      <c r="B29" s="5" t="s">
        <v>171</v>
      </c>
      <c r="C29" s="140">
        <f aca="true" t="shared" si="6" ref="C29:H29">SUM(C27:C28)</f>
        <v>0</v>
      </c>
      <c r="D29" s="140">
        <f t="shared" si="6"/>
        <v>0</v>
      </c>
      <c r="E29" s="140">
        <f t="shared" si="6"/>
        <v>0</v>
      </c>
      <c r="F29" s="140">
        <f t="shared" si="6"/>
        <v>2729.671</v>
      </c>
      <c r="G29" s="140">
        <f t="shared" si="6"/>
        <v>8189.012999999999</v>
      </c>
      <c r="H29" s="140">
        <f t="shared" si="6"/>
        <v>13648.355</v>
      </c>
      <c r="I29" s="5"/>
    </row>
    <row r="30" spans="1:9" ht="12.75">
      <c r="A30" s="5"/>
      <c r="B30" s="5"/>
      <c r="H30" s="5"/>
      <c r="I30" s="5"/>
    </row>
    <row r="31" spans="1:9" ht="12.75">
      <c r="A31" s="5"/>
      <c r="B31" s="5" t="s">
        <v>172</v>
      </c>
      <c r="C31" s="102">
        <f>0</f>
        <v>0</v>
      </c>
      <c r="D31" s="102">
        <f>C32</f>
        <v>0</v>
      </c>
      <c r="E31" s="102">
        <f>D32</f>
        <v>0</v>
      </c>
      <c r="F31" s="102">
        <f>E32</f>
        <v>0</v>
      </c>
      <c r="G31" s="102">
        <f>F32</f>
        <v>24567.039</v>
      </c>
      <c r="H31" s="102">
        <f>G32</f>
        <v>19107.697</v>
      </c>
      <c r="I31" s="5"/>
    </row>
    <row r="32" spans="1:9" ht="12.75">
      <c r="A32" s="5"/>
      <c r="B32" s="5" t="s">
        <v>173</v>
      </c>
      <c r="C32" s="140">
        <f aca="true" t="shared" si="7" ref="C32:H32">C25-C29</f>
        <v>0</v>
      </c>
      <c r="D32" s="148">
        <f t="shared" si="7"/>
        <v>0</v>
      </c>
      <c r="E32" s="148">
        <f t="shared" si="7"/>
        <v>0</v>
      </c>
      <c r="F32" s="148">
        <f t="shared" si="7"/>
        <v>24567.039</v>
      </c>
      <c r="G32" s="148">
        <f t="shared" si="7"/>
        <v>19107.697</v>
      </c>
      <c r="H32" s="148">
        <f t="shared" si="7"/>
        <v>13648.355</v>
      </c>
      <c r="I32" s="5"/>
    </row>
    <row r="33" spans="1:9" ht="13.5" thickBot="1">
      <c r="A33" s="5"/>
      <c r="B33" s="5" t="s">
        <v>174</v>
      </c>
      <c r="C33" s="147">
        <f aca="true" t="shared" si="8" ref="C33:H33">(C32+C31)/2</f>
        <v>0</v>
      </c>
      <c r="D33" s="149">
        <f t="shared" si="8"/>
        <v>0</v>
      </c>
      <c r="E33" s="149">
        <f t="shared" si="8"/>
        <v>0</v>
      </c>
      <c r="F33" s="149">
        <f t="shared" si="8"/>
        <v>12283.5195</v>
      </c>
      <c r="G33" s="149">
        <f t="shared" si="8"/>
        <v>21837.368000000002</v>
      </c>
      <c r="H33" s="149">
        <f t="shared" si="8"/>
        <v>16378.026</v>
      </c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24">
        <f aca="true" t="shared" si="9" ref="C35:H36">C20</f>
        <v>2006</v>
      </c>
      <c r="D35" s="24">
        <f t="shared" si="9"/>
        <v>2007</v>
      </c>
      <c r="E35" s="24">
        <f t="shared" si="9"/>
        <v>2008</v>
      </c>
      <c r="F35" s="24">
        <f t="shared" si="9"/>
        <v>2009</v>
      </c>
      <c r="G35" s="24">
        <f t="shared" si="9"/>
        <v>2010</v>
      </c>
      <c r="H35" s="24">
        <f t="shared" si="9"/>
        <v>2011</v>
      </c>
      <c r="I35" s="5"/>
    </row>
    <row r="36" spans="1:9" ht="18">
      <c r="A36" s="5"/>
      <c r="B36" s="28" t="s">
        <v>176</v>
      </c>
      <c r="C36" s="24" t="str">
        <f t="shared" si="9"/>
        <v>Audited Actual</v>
      </c>
      <c r="D36" s="24" t="str">
        <f t="shared" si="9"/>
        <v>Audited Actual</v>
      </c>
      <c r="E36" s="24" t="str">
        <f t="shared" si="9"/>
        <v>Audited Actual</v>
      </c>
      <c r="F36" s="24" t="str">
        <f t="shared" si="9"/>
        <v>Audited Actual</v>
      </c>
      <c r="G36" s="24" t="str">
        <f t="shared" si="9"/>
        <v>Actual</v>
      </c>
      <c r="H36" s="24" t="str">
        <f t="shared" si="9"/>
        <v>Forecasted</v>
      </c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 t="s">
        <v>168</v>
      </c>
      <c r="C38" s="140">
        <v>0</v>
      </c>
      <c r="D38" s="140">
        <f>C40</f>
        <v>0</v>
      </c>
      <c r="E38" s="140">
        <f>D40</f>
        <v>0</v>
      </c>
      <c r="F38" s="140">
        <f>E40</f>
        <v>0</v>
      </c>
      <c r="G38" s="140">
        <f>F40</f>
        <v>4560</v>
      </c>
      <c r="H38" s="140">
        <f>G40</f>
        <v>30148.02</v>
      </c>
      <c r="I38" s="5"/>
    </row>
    <row r="39" spans="1:9" ht="12.75">
      <c r="A39" s="5"/>
      <c r="B39" s="5" t="s">
        <v>202</v>
      </c>
      <c r="C39" s="142">
        <f>'3.  LDC Assumptions and Data'!C33</f>
        <v>0</v>
      </c>
      <c r="D39" s="142">
        <f>'3.  LDC Assumptions and Data'!D33</f>
        <v>0</v>
      </c>
      <c r="E39" s="142">
        <f>'3.  LDC Assumptions and Data'!E33</f>
        <v>0</v>
      </c>
      <c r="F39" s="142">
        <f>'3.  LDC Assumptions and Data'!F33</f>
        <v>4560</v>
      </c>
      <c r="G39" s="142">
        <f>'3.  LDC Assumptions and Data'!G33</f>
        <v>25588.02</v>
      </c>
      <c r="H39" s="142">
        <f>'3.  LDC Assumptions and Data'!H33</f>
        <v>30000</v>
      </c>
      <c r="I39" s="5"/>
    </row>
    <row r="40" spans="1:9" ht="12.75">
      <c r="A40" s="5"/>
      <c r="B40" s="5" t="s">
        <v>169</v>
      </c>
      <c r="C40" s="140">
        <f aca="true" t="shared" si="10" ref="C40:H40">SUM(C38:C39)</f>
        <v>0</v>
      </c>
      <c r="D40" s="140">
        <f t="shared" si="10"/>
        <v>0</v>
      </c>
      <c r="E40" s="140">
        <f t="shared" si="10"/>
        <v>0</v>
      </c>
      <c r="F40" s="140">
        <f t="shared" si="10"/>
        <v>4560</v>
      </c>
      <c r="G40" s="140">
        <f t="shared" si="10"/>
        <v>30148.02</v>
      </c>
      <c r="H40" s="140">
        <f t="shared" si="10"/>
        <v>60148.020000000004</v>
      </c>
      <c r="I40" s="5"/>
    </row>
    <row r="41" spans="1:9" ht="12.75">
      <c r="A41" s="5"/>
      <c r="B41" s="5"/>
      <c r="C41" s="64"/>
      <c r="D41" s="64"/>
      <c r="E41" s="64"/>
      <c r="F41" s="64"/>
      <c r="G41" s="64"/>
      <c r="H41" s="5"/>
      <c r="I41" s="5"/>
    </row>
    <row r="42" spans="1:9" ht="12.75">
      <c r="A42" s="5"/>
      <c r="B42" s="5" t="s">
        <v>170</v>
      </c>
      <c r="C42" s="140">
        <v>0</v>
      </c>
      <c r="D42" s="140">
        <f>C44</f>
        <v>0</v>
      </c>
      <c r="E42" s="140">
        <f>D44</f>
        <v>0</v>
      </c>
      <c r="F42" s="140">
        <f>E44</f>
        <v>0</v>
      </c>
      <c r="G42" s="140">
        <f>F44</f>
        <v>456</v>
      </c>
      <c r="H42" s="140">
        <f>G44</f>
        <v>3926.802</v>
      </c>
      <c r="I42" s="5"/>
    </row>
    <row r="43" spans="1:9" ht="12.75">
      <c r="A43" s="5"/>
      <c r="B43" s="5" t="str">
        <f>"Amortization Year 1 ("&amp;'3.  LDC Assumptions and Data'!C62&amp;" Years Straight Line)"</f>
        <v>Amortization Year 1 (5 Years Straight Line)</v>
      </c>
      <c r="C43" s="102">
        <f>IF(C42+(C38/'3.  LDC Assumptions and Data'!C62)+(C39/'3.  LDC Assumptions and Data'!C62/2)&lt;C40,(C38/'3.  LDC Assumptions and Data'!C62)+(C39/'3.  LDC Assumptions and Data'!C62/2),C40-C42)</f>
        <v>0</v>
      </c>
      <c r="D43" s="102">
        <f>IF(D42+(D38/'3.  LDC Assumptions and Data'!C62)+(D39/'3.  LDC Assumptions and Data'!C62/2)&lt;D40,(D38/'3.  LDC Assumptions and Data'!C62)+(D39/'3.  LDC Assumptions and Data'!C62/2),D40-D42)</f>
        <v>0</v>
      </c>
      <c r="E43" s="102">
        <f>IF(E42+(E38/'3.  LDC Assumptions and Data'!C62)+(E39/'3.  LDC Assumptions and Data'!C62/2)&lt;E40,(E38/'3.  LDC Assumptions and Data'!C62)+(E39/'3.  LDC Assumptions and Data'!C62/2),E40-E42)</f>
        <v>0</v>
      </c>
      <c r="F43" s="102">
        <f>IF(F42+(F38/'3.  LDC Assumptions and Data'!C62)+(F39/'3.  LDC Assumptions and Data'!C62/2)&lt;F40,(F38/'3.  LDC Assumptions and Data'!C62)+(F39/'3.  LDC Assumptions and Data'!C62/2),F40-F42)</f>
        <v>456</v>
      </c>
      <c r="G43" s="102">
        <f>IF(G42+(G38/'3.  LDC Assumptions and Data'!C62)+(G39/'3.  LDC Assumptions and Data'!C62/2)&lt;G40,(G38/'3.  LDC Assumptions and Data'!C62)+(G39/'3.  LDC Assumptions and Data'!C62/2),G40-G42)</f>
        <v>3470.802</v>
      </c>
      <c r="H43" s="102">
        <f>IF(H42+(H38/'3.  LDC Assumptions and Data'!D62)+(H39/'3.  LDC Assumptions and Data'!D62/2)&lt;H40,(H38/'3.  LDC Assumptions and Data'!D62)+(H39/'3.  LDC Assumptions and Data'!D62/2),H40-H42)</f>
        <v>9029.604</v>
      </c>
      <c r="I43" s="5"/>
    </row>
    <row r="44" spans="1:9" ht="12.75">
      <c r="A44" s="5"/>
      <c r="B44" s="5" t="s">
        <v>171</v>
      </c>
      <c r="C44" s="140">
        <f aca="true" t="shared" si="11" ref="C44:H44">SUM(C42:C43)</f>
        <v>0</v>
      </c>
      <c r="D44" s="140">
        <f t="shared" si="11"/>
        <v>0</v>
      </c>
      <c r="E44" s="140">
        <f t="shared" si="11"/>
        <v>0</v>
      </c>
      <c r="F44" s="140">
        <f t="shared" si="11"/>
        <v>456</v>
      </c>
      <c r="G44" s="140">
        <f t="shared" si="11"/>
        <v>3926.802</v>
      </c>
      <c r="H44" s="140">
        <f t="shared" si="11"/>
        <v>12956.405999999999</v>
      </c>
      <c r="I44" s="5"/>
    </row>
    <row r="45" spans="1:9" ht="12.75">
      <c r="A45" s="5"/>
      <c r="B45" s="5"/>
      <c r="H45" s="5"/>
      <c r="I45" s="5"/>
    </row>
    <row r="46" spans="1:9" ht="12.75">
      <c r="A46" s="5"/>
      <c r="B46" s="5" t="s">
        <v>172</v>
      </c>
      <c r="C46" s="102">
        <f>0</f>
        <v>0</v>
      </c>
      <c r="D46" s="102">
        <f>C47</f>
        <v>0</v>
      </c>
      <c r="E46" s="102">
        <f>D47</f>
        <v>0</v>
      </c>
      <c r="F46" s="102">
        <f>E47</f>
        <v>0</v>
      </c>
      <c r="G46" s="102">
        <f>F47</f>
        <v>4104</v>
      </c>
      <c r="H46" s="102">
        <f>G47</f>
        <v>26221.218</v>
      </c>
      <c r="I46" s="5"/>
    </row>
    <row r="47" spans="1:9" ht="12.75">
      <c r="A47" s="5"/>
      <c r="B47" s="5" t="s">
        <v>173</v>
      </c>
      <c r="C47" s="140">
        <f aca="true" t="shared" si="12" ref="C47:H47">C40-C44</f>
        <v>0</v>
      </c>
      <c r="D47" s="148">
        <f t="shared" si="12"/>
        <v>0</v>
      </c>
      <c r="E47" s="148">
        <f t="shared" si="12"/>
        <v>0</v>
      </c>
      <c r="F47" s="148">
        <f t="shared" si="12"/>
        <v>4104</v>
      </c>
      <c r="G47" s="148">
        <f t="shared" si="12"/>
        <v>26221.218</v>
      </c>
      <c r="H47" s="148">
        <f t="shared" si="12"/>
        <v>47191.614</v>
      </c>
      <c r="I47" s="5"/>
    </row>
    <row r="48" spans="1:9" ht="13.5" thickBot="1">
      <c r="A48" s="5"/>
      <c r="B48" s="5" t="s">
        <v>174</v>
      </c>
      <c r="C48" s="147">
        <f aca="true" t="shared" si="13" ref="C48:H48">(C47+C46)/2</f>
        <v>0</v>
      </c>
      <c r="D48" s="149">
        <f t="shared" si="13"/>
        <v>0</v>
      </c>
      <c r="E48" s="149">
        <f t="shared" si="13"/>
        <v>0</v>
      </c>
      <c r="F48" s="149">
        <f t="shared" si="13"/>
        <v>2052</v>
      </c>
      <c r="G48" s="149">
        <f t="shared" si="13"/>
        <v>15162.609</v>
      </c>
      <c r="H48" s="149">
        <f t="shared" si="13"/>
        <v>36706.416</v>
      </c>
      <c r="I48" s="5"/>
    </row>
    <row r="49" spans="1:9" ht="12.75">
      <c r="A49" s="5"/>
      <c r="B49" s="5"/>
      <c r="C49" s="63"/>
      <c r="D49" s="63"/>
      <c r="E49" s="5"/>
      <c r="F49" s="5"/>
      <c r="G49" s="5"/>
      <c r="H49" s="5"/>
      <c r="I49" s="5"/>
    </row>
    <row r="50" spans="1:9" ht="12.75">
      <c r="A50" s="5"/>
      <c r="B50" s="5"/>
      <c r="C50" s="24">
        <f aca="true" t="shared" si="14" ref="C50:H51">C35</f>
        <v>2006</v>
      </c>
      <c r="D50" s="24">
        <f t="shared" si="14"/>
        <v>2007</v>
      </c>
      <c r="E50" s="24">
        <f t="shared" si="14"/>
        <v>2008</v>
      </c>
      <c r="F50" s="24">
        <f t="shared" si="14"/>
        <v>2009</v>
      </c>
      <c r="G50" s="24">
        <f t="shared" si="14"/>
        <v>2010</v>
      </c>
      <c r="H50" s="24">
        <f t="shared" si="14"/>
        <v>2011</v>
      </c>
      <c r="I50" s="5"/>
    </row>
    <row r="51" spans="1:9" ht="18">
      <c r="A51" s="5"/>
      <c r="B51" s="28" t="s">
        <v>177</v>
      </c>
      <c r="C51" s="24" t="str">
        <f t="shared" si="14"/>
        <v>Audited Actual</v>
      </c>
      <c r="D51" s="24" t="str">
        <f t="shared" si="14"/>
        <v>Audited Actual</v>
      </c>
      <c r="E51" s="24" t="str">
        <f t="shared" si="14"/>
        <v>Audited Actual</v>
      </c>
      <c r="F51" s="24" t="str">
        <f t="shared" si="14"/>
        <v>Audited Actual</v>
      </c>
      <c r="G51" s="24" t="str">
        <f t="shared" si="14"/>
        <v>Actual</v>
      </c>
      <c r="H51" s="24" t="str">
        <f t="shared" si="14"/>
        <v>Forecasted</v>
      </c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 t="s">
        <v>168</v>
      </c>
      <c r="C53" s="140">
        <v>0</v>
      </c>
      <c r="D53" s="140">
        <f>C55</f>
        <v>0</v>
      </c>
      <c r="E53" s="140">
        <f>D55</f>
        <v>0</v>
      </c>
      <c r="F53" s="140">
        <f>E55</f>
        <v>0</v>
      </c>
      <c r="G53" s="140">
        <f>F55</f>
        <v>0</v>
      </c>
      <c r="H53" s="140">
        <f>G55</f>
        <v>0</v>
      </c>
      <c r="I53" s="5"/>
    </row>
    <row r="54" spans="1:9" ht="12.75">
      <c r="A54" s="5"/>
      <c r="B54" s="5" t="s">
        <v>202</v>
      </c>
      <c r="C54" s="142">
        <f>'3.  LDC Assumptions and Data'!C34</f>
        <v>0</v>
      </c>
      <c r="D54" s="142">
        <f>'3.  LDC Assumptions and Data'!D34</f>
        <v>0</v>
      </c>
      <c r="E54" s="142">
        <f>'3.  LDC Assumptions and Data'!E34</f>
        <v>0</v>
      </c>
      <c r="F54" s="142">
        <f>'3.  LDC Assumptions and Data'!F34</f>
        <v>0</v>
      </c>
      <c r="G54" s="142">
        <f>'3.  LDC Assumptions and Data'!G34</f>
        <v>0</v>
      </c>
      <c r="H54" s="142">
        <f>'3.  LDC Assumptions and Data'!H34</f>
        <v>0</v>
      </c>
      <c r="I54" s="5"/>
    </row>
    <row r="55" spans="1:9" ht="12.75">
      <c r="A55" s="5"/>
      <c r="B55" s="5" t="s">
        <v>169</v>
      </c>
      <c r="C55" s="140">
        <f aca="true" t="shared" si="15" ref="C55:H55">SUM(C53:C54)</f>
        <v>0</v>
      </c>
      <c r="D55" s="140">
        <f t="shared" si="15"/>
        <v>0</v>
      </c>
      <c r="E55" s="140">
        <f t="shared" si="15"/>
        <v>0</v>
      </c>
      <c r="F55" s="140">
        <f t="shared" si="15"/>
        <v>0</v>
      </c>
      <c r="G55" s="140">
        <f t="shared" si="15"/>
        <v>0</v>
      </c>
      <c r="H55" s="140">
        <f t="shared" si="15"/>
        <v>0</v>
      </c>
      <c r="I55" s="5"/>
    </row>
    <row r="56" spans="1:9" ht="12.75">
      <c r="A56" s="5"/>
      <c r="B56" s="5"/>
      <c r="C56" s="64"/>
      <c r="D56" s="64"/>
      <c r="E56" s="64"/>
      <c r="F56" s="64"/>
      <c r="G56" s="64"/>
      <c r="H56" s="5"/>
      <c r="I56" s="5"/>
    </row>
    <row r="57" spans="1:9" ht="12.75">
      <c r="A57" s="5"/>
      <c r="B57" s="5" t="s">
        <v>170</v>
      </c>
      <c r="C57" s="140">
        <v>0</v>
      </c>
      <c r="D57" s="140">
        <f>C59</f>
        <v>0</v>
      </c>
      <c r="E57" s="140">
        <f>D59</f>
        <v>0</v>
      </c>
      <c r="F57" s="140">
        <f>E59</f>
        <v>0</v>
      </c>
      <c r="G57" s="140">
        <f>F59</f>
        <v>0</v>
      </c>
      <c r="H57" s="140">
        <f>G59</f>
        <v>0</v>
      </c>
      <c r="I57" s="5"/>
    </row>
    <row r="58" spans="1:9" ht="12.75">
      <c r="A58" s="5"/>
      <c r="B58" s="5" t="str">
        <f>"Amortization Year 1 ("&amp;'3.  LDC Assumptions and Data'!C63&amp;" Years Straight Line)"</f>
        <v>Amortization Year 1 (10 Years Straight Line)</v>
      </c>
      <c r="C58" s="102">
        <f>IF(C57+(C53/'3.  LDC Assumptions and Data'!C63)+(C54/'3.  LDC Assumptions and Data'!C63/2)&lt;C55,(C53/'3.  LDC Assumptions and Data'!C63)+(C54/'3.  LDC Assumptions and Data'!C63/2),C55-C57)</f>
        <v>0</v>
      </c>
      <c r="D58" s="102">
        <f>IF(D57+(D53/'3.  LDC Assumptions and Data'!C63)+(D54/'3.  LDC Assumptions and Data'!C63/2)&lt;D55,(D53/'3.  LDC Assumptions and Data'!C63)+(D54/'3.  LDC Assumptions and Data'!C63/2),D55-D57)</f>
        <v>0</v>
      </c>
      <c r="E58" s="102">
        <f>IF(E57+(E53/'3.  LDC Assumptions and Data'!C63)+(E54/'3.  LDC Assumptions and Data'!C63/2)&lt;E55,(E53/'3.  LDC Assumptions and Data'!C63)+(E54/'3.  LDC Assumptions and Data'!C63/2),E55-E57)</f>
        <v>0</v>
      </c>
      <c r="F58" s="102">
        <f>IF(F57+(F53/'3.  LDC Assumptions and Data'!C63)+(F54/'3.  LDC Assumptions and Data'!C63/2)&lt;F55,(F53/'3.  LDC Assumptions and Data'!C63)+(F54/'3.  LDC Assumptions and Data'!C63/2),F55-F57)</f>
        <v>0</v>
      </c>
      <c r="G58" s="102">
        <f>IF(G57+(G53/'3.  LDC Assumptions and Data'!C63)+(G54/'3.  LDC Assumptions and Data'!C63/2)&lt;G55,(G53/'3.  LDC Assumptions and Data'!C63)+(G54/'3.  LDC Assumptions and Data'!C63/2),G55-G57)</f>
        <v>0</v>
      </c>
      <c r="H58" s="102">
        <f>IF(H57+(H53/'3.  LDC Assumptions and Data'!D63)+(H54/'3.  LDC Assumptions and Data'!D63/2)&lt;H55,(H53/'3.  LDC Assumptions and Data'!D63)+(H54/'3.  LDC Assumptions and Data'!D63/2),H55-H57)</f>
        <v>0</v>
      </c>
      <c r="I58" s="5"/>
    </row>
    <row r="59" spans="1:9" ht="12.75">
      <c r="A59" s="5"/>
      <c r="B59" s="5" t="s">
        <v>171</v>
      </c>
      <c r="C59" s="140">
        <f aca="true" t="shared" si="16" ref="C59:H59">SUM(C57:C58)</f>
        <v>0</v>
      </c>
      <c r="D59" s="140">
        <f t="shared" si="16"/>
        <v>0</v>
      </c>
      <c r="E59" s="140">
        <f t="shared" si="16"/>
        <v>0</v>
      </c>
      <c r="F59" s="140">
        <f t="shared" si="16"/>
        <v>0</v>
      </c>
      <c r="G59" s="140">
        <f t="shared" si="16"/>
        <v>0</v>
      </c>
      <c r="H59" s="140">
        <f t="shared" si="16"/>
        <v>0</v>
      </c>
      <c r="I59" s="5"/>
    </row>
    <row r="60" spans="1:9" ht="12.75">
      <c r="A60" s="5"/>
      <c r="B60" s="5"/>
      <c r="H60" s="5"/>
      <c r="I60" s="5"/>
    </row>
    <row r="61" spans="1:9" ht="12.75">
      <c r="A61" s="5"/>
      <c r="B61" s="5" t="s">
        <v>172</v>
      </c>
      <c r="C61" s="102">
        <f>0</f>
        <v>0</v>
      </c>
      <c r="D61" s="102">
        <f>C62</f>
        <v>0</v>
      </c>
      <c r="E61" s="102">
        <f>D62</f>
        <v>0</v>
      </c>
      <c r="F61" s="102">
        <f>E62</f>
        <v>0</v>
      </c>
      <c r="G61" s="102">
        <f>F62</f>
        <v>0</v>
      </c>
      <c r="H61" s="102">
        <f>G62</f>
        <v>0</v>
      </c>
      <c r="I61" s="5"/>
    </row>
    <row r="62" spans="1:9" ht="12.75">
      <c r="A62" s="5"/>
      <c r="B62" s="5" t="s">
        <v>173</v>
      </c>
      <c r="C62" s="140">
        <f aca="true" t="shared" si="17" ref="C62:H62">C55-C59</f>
        <v>0</v>
      </c>
      <c r="D62" s="148">
        <f t="shared" si="17"/>
        <v>0</v>
      </c>
      <c r="E62" s="148">
        <f t="shared" si="17"/>
        <v>0</v>
      </c>
      <c r="F62" s="148">
        <f t="shared" si="17"/>
        <v>0</v>
      </c>
      <c r="G62" s="148">
        <f t="shared" si="17"/>
        <v>0</v>
      </c>
      <c r="H62" s="148">
        <f t="shared" si="17"/>
        <v>0</v>
      </c>
      <c r="I62" s="5"/>
    </row>
    <row r="63" spans="1:9" ht="13.5" thickBot="1">
      <c r="A63" s="5"/>
      <c r="B63" s="5" t="s">
        <v>174</v>
      </c>
      <c r="C63" s="147">
        <f aca="true" t="shared" si="18" ref="C63:H63">(C62+C61)/2</f>
        <v>0</v>
      </c>
      <c r="D63" s="149">
        <f t="shared" si="18"/>
        <v>0</v>
      </c>
      <c r="E63" s="149">
        <f t="shared" si="18"/>
        <v>0</v>
      </c>
      <c r="F63" s="149">
        <f t="shared" si="18"/>
        <v>0</v>
      </c>
      <c r="G63" s="149">
        <f t="shared" si="18"/>
        <v>0</v>
      </c>
      <c r="H63" s="149">
        <f t="shared" si="18"/>
        <v>0</v>
      </c>
      <c r="I63" s="5"/>
    </row>
    <row r="64" spans="1:9" ht="12.75">
      <c r="A64" s="5"/>
      <c r="B64" s="5"/>
      <c r="C64" s="63"/>
      <c r="D64" s="63"/>
      <c r="E64" s="5"/>
      <c r="F64" s="5"/>
      <c r="G64" s="5"/>
      <c r="H64" s="5"/>
      <c r="I64" s="5"/>
    </row>
    <row r="65" spans="1:9" ht="12.75">
      <c r="A65" s="5"/>
      <c r="B65" s="5"/>
      <c r="C65" s="24">
        <f aca="true" t="shared" si="19" ref="C65:H66">C50</f>
        <v>2006</v>
      </c>
      <c r="D65" s="24">
        <f t="shared" si="19"/>
        <v>2007</v>
      </c>
      <c r="E65" s="24">
        <f t="shared" si="19"/>
        <v>2008</v>
      </c>
      <c r="F65" s="24">
        <f t="shared" si="19"/>
        <v>2009</v>
      </c>
      <c r="G65" s="24">
        <f t="shared" si="19"/>
        <v>2010</v>
      </c>
      <c r="H65" s="24">
        <f t="shared" si="19"/>
        <v>2011</v>
      </c>
      <c r="I65" s="5"/>
    </row>
    <row r="66" spans="1:9" ht="18">
      <c r="A66" s="5"/>
      <c r="B66" s="28" t="s">
        <v>178</v>
      </c>
      <c r="C66" s="24" t="str">
        <f t="shared" si="19"/>
        <v>Audited Actual</v>
      </c>
      <c r="D66" s="24" t="str">
        <f t="shared" si="19"/>
        <v>Audited Actual</v>
      </c>
      <c r="E66" s="24" t="str">
        <f t="shared" si="19"/>
        <v>Audited Actual</v>
      </c>
      <c r="F66" s="24" t="str">
        <f t="shared" si="19"/>
        <v>Audited Actual</v>
      </c>
      <c r="G66" s="24" t="str">
        <f t="shared" si="19"/>
        <v>Actual</v>
      </c>
      <c r="H66" s="24" t="str">
        <f t="shared" si="19"/>
        <v>Forecasted</v>
      </c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 t="s">
        <v>168</v>
      </c>
      <c r="C68" s="140">
        <v>0</v>
      </c>
      <c r="D68" s="140">
        <f>C70</f>
        <v>0</v>
      </c>
      <c r="E68" s="140">
        <f>D70</f>
        <v>0</v>
      </c>
      <c r="F68" s="140">
        <f>E70</f>
        <v>0</v>
      </c>
      <c r="G68" s="140">
        <f>F70</f>
        <v>6771.77</v>
      </c>
      <c r="H68" s="140">
        <f>G70</f>
        <v>6831.77</v>
      </c>
      <c r="I68" s="5"/>
    </row>
    <row r="69" spans="1:9" ht="12.75">
      <c r="A69" s="5"/>
      <c r="B69" s="5" t="s">
        <v>202</v>
      </c>
      <c r="C69" s="142">
        <f>'3.  LDC Assumptions and Data'!C35</f>
        <v>0</v>
      </c>
      <c r="D69" s="142">
        <f>'3.  LDC Assumptions and Data'!D35</f>
        <v>0</v>
      </c>
      <c r="E69" s="142">
        <f>'3.  LDC Assumptions and Data'!E35</f>
        <v>0</v>
      </c>
      <c r="F69" s="142">
        <f>'3.  LDC Assumptions and Data'!F35</f>
        <v>6771.77</v>
      </c>
      <c r="G69" s="142">
        <f>'3.  LDC Assumptions and Data'!G35</f>
        <v>60</v>
      </c>
      <c r="H69" s="142">
        <f>'3.  LDC Assumptions and Data'!H35</f>
        <v>0</v>
      </c>
      <c r="I69" s="5"/>
    </row>
    <row r="70" spans="1:9" ht="12.75">
      <c r="A70" s="5"/>
      <c r="B70" s="5" t="s">
        <v>169</v>
      </c>
      <c r="C70" s="140">
        <f aca="true" t="shared" si="20" ref="C70:H70">SUM(C68:C69)</f>
        <v>0</v>
      </c>
      <c r="D70" s="140">
        <f t="shared" si="20"/>
        <v>0</v>
      </c>
      <c r="E70" s="140">
        <f t="shared" si="20"/>
        <v>0</v>
      </c>
      <c r="F70" s="140">
        <f t="shared" si="20"/>
        <v>6771.77</v>
      </c>
      <c r="G70" s="140">
        <f t="shared" si="20"/>
        <v>6831.77</v>
      </c>
      <c r="H70" s="140">
        <f t="shared" si="20"/>
        <v>6831.77</v>
      </c>
      <c r="I70" s="5"/>
    </row>
    <row r="71" spans="1:9" ht="12.75">
      <c r="A71" s="5"/>
      <c r="B71" s="5"/>
      <c r="C71" s="64"/>
      <c r="D71" s="64"/>
      <c r="E71" s="64"/>
      <c r="F71" s="64"/>
      <c r="G71" s="64"/>
      <c r="H71" s="64"/>
      <c r="I71" s="5"/>
    </row>
    <row r="72" spans="1:9" ht="12.75">
      <c r="A72" s="5"/>
      <c r="B72" s="5" t="s">
        <v>170</v>
      </c>
      <c r="C72" s="140">
        <v>0</v>
      </c>
      <c r="D72" s="140">
        <f>C74</f>
        <v>0</v>
      </c>
      <c r="E72" s="140">
        <f>D74</f>
        <v>0</v>
      </c>
      <c r="F72" s="140">
        <f>E74</f>
        <v>0</v>
      </c>
      <c r="G72" s="140">
        <f>F74</f>
        <v>135.43540000000002</v>
      </c>
      <c r="H72" s="140">
        <f>G74</f>
        <v>407.50620000000004</v>
      </c>
      <c r="I72" s="5"/>
    </row>
    <row r="73" spans="1:9" ht="12.75">
      <c r="A73" s="5"/>
      <c r="B73" s="5" t="str">
        <f>"Amortization Year 1 ("&amp;'3.  LDC Assumptions and Data'!C64&amp;" Years Straight Line)"</f>
        <v>Amortization Year 1 (25 Years Straight Line)</v>
      </c>
      <c r="C73" s="102">
        <f>IF(C72+(C68/'3.  LDC Assumptions and Data'!C64)+(C69/'3.  LDC Assumptions and Data'!C64/2)&lt;C70,(C68/'3.  LDC Assumptions and Data'!C64)+(C69/'3.  LDC Assumptions and Data'!C64/2),C70-C72)</f>
        <v>0</v>
      </c>
      <c r="D73" s="102">
        <f>IF(D72+(D68/'3.  LDC Assumptions and Data'!C64)+(D69/'3.  LDC Assumptions and Data'!C64/2)&lt;D70,(D68/'3.  LDC Assumptions and Data'!C64)+(D69/'3.  LDC Assumptions and Data'!C64/2),D70-D72)</f>
        <v>0</v>
      </c>
      <c r="E73" s="102">
        <f>IF(E72+(E68/'3.  LDC Assumptions and Data'!C64)+(E69/'3.  LDC Assumptions and Data'!C64/2)&lt;E70,(E68/'3.  LDC Assumptions and Data'!C64)+(E69/'3.  LDC Assumptions and Data'!C64/2),E70-E72)</f>
        <v>0</v>
      </c>
      <c r="F73" s="102">
        <f>IF(F72+(F68/'3.  LDC Assumptions and Data'!C64)+(F69/'3.  LDC Assumptions and Data'!C64/2)&lt;F70,(F68/'3.  LDC Assumptions and Data'!C64)+(F69/'3.  LDC Assumptions and Data'!C64/2),F70-F72)</f>
        <v>135.43540000000002</v>
      </c>
      <c r="G73" s="102">
        <f>IF(G72+(G68/'3.  LDC Assumptions and Data'!C64)+(G69/'3.  LDC Assumptions and Data'!C64/2)&lt;G70,(G68/'3.  LDC Assumptions and Data'!C64)+(G69/'3.  LDC Assumptions and Data'!C64/2),G70-G72)</f>
        <v>272.0708</v>
      </c>
      <c r="H73" s="102">
        <f>IF(H72+(H68/'3.  LDC Assumptions and Data'!D64)+(H69/'3.  LDC Assumptions and Data'!D64/2)&lt;H70,(H68/'3.  LDC Assumptions and Data'!D64)+(H69/'3.  LDC Assumptions and Data'!D64/2),H70-H72)</f>
        <v>273.2708</v>
      </c>
      <c r="I73" s="5"/>
    </row>
    <row r="74" spans="1:9" ht="12.75">
      <c r="A74" s="5"/>
      <c r="B74" s="5" t="s">
        <v>171</v>
      </c>
      <c r="C74" s="140">
        <f aca="true" t="shared" si="21" ref="C74:H74">SUM(C72:C73)</f>
        <v>0</v>
      </c>
      <c r="D74" s="140">
        <f t="shared" si="21"/>
        <v>0</v>
      </c>
      <c r="E74" s="140">
        <f t="shared" si="21"/>
        <v>0</v>
      </c>
      <c r="F74" s="140">
        <f t="shared" si="21"/>
        <v>135.43540000000002</v>
      </c>
      <c r="G74" s="140">
        <f t="shared" si="21"/>
        <v>407.50620000000004</v>
      </c>
      <c r="H74" s="140">
        <f t="shared" si="21"/>
        <v>680.777</v>
      </c>
      <c r="I74" s="5"/>
    </row>
    <row r="75" spans="1:9" ht="12.75">
      <c r="A75" s="5"/>
      <c r="B75" s="5"/>
      <c r="C75" s="64"/>
      <c r="D75" s="64"/>
      <c r="E75" s="64"/>
      <c r="F75" s="64"/>
      <c r="G75" s="64"/>
      <c r="H75" s="64"/>
      <c r="I75" s="5"/>
    </row>
    <row r="76" spans="1:9" ht="12.75">
      <c r="A76" s="5"/>
      <c r="B76" s="5" t="s">
        <v>172</v>
      </c>
      <c r="C76" s="102">
        <f>0</f>
        <v>0</v>
      </c>
      <c r="D76" s="102">
        <f>C77</f>
        <v>0</v>
      </c>
      <c r="E76" s="102">
        <f>D77</f>
        <v>0</v>
      </c>
      <c r="F76" s="102">
        <f>E77</f>
        <v>0</v>
      </c>
      <c r="G76" s="102">
        <f>F77</f>
        <v>6636.3346</v>
      </c>
      <c r="H76" s="102">
        <f>G77</f>
        <v>6424.263800000001</v>
      </c>
      <c r="I76" s="5"/>
    </row>
    <row r="77" spans="1:9" ht="12.75">
      <c r="A77" s="5"/>
      <c r="B77" s="5" t="s">
        <v>173</v>
      </c>
      <c r="C77" s="140">
        <f aca="true" t="shared" si="22" ref="C77:H77">C70-C74</f>
        <v>0</v>
      </c>
      <c r="D77" s="148">
        <f t="shared" si="22"/>
        <v>0</v>
      </c>
      <c r="E77" s="148">
        <f t="shared" si="22"/>
        <v>0</v>
      </c>
      <c r="F77" s="148">
        <f t="shared" si="22"/>
        <v>6636.3346</v>
      </c>
      <c r="G77" s="148">
        <f t="shared" si="22"/>
        <v>6424.263800000001</v>
      </c>
      <c r="H77" s="148">
        <f t="shared" si="22"/>
        <v>6150.993</v>
      </c>
      <c r="I77" s="5"/>
    </row>
    <row r="78" spans="1:9" ht="13.5" thickBot="1">
      <c r="A78" s="5"/>
      <c r="B78" s="5" t="s">
        <v>174</v>
      </c>
      <c r="C78" s="147">
        <f aca="true" t="shared" si="23" ref="C78:H78">(C77+C76)/2</f>
        <v>0</v>
      </c>
      <c r="D78" s="149">
        <f t="shared" si="23"/>
        <v>0</v>
      </c>
      <c r="E78" s="149">
        <f t="shared" si="23"/>
        <v>0</v>
      </c>
      <c r="F78" s="149">
        <f t="shared" si="23"/>
        <v>3318.1673</v>
      </c>
      <c r="G78" s="149">
        <f t="shared" si="23"/>
        <v>6530.2992</v>
      </c>
      <c r="H78" s="149">
        <f t="shared" si="23"/>
        <v>6287.6284000000005</v>
      </c>
      <c r="I78" s="5"/>
    </row>
    <row r="79" spans="1:9" ht="12.75">
      <c r="A79" s="5"/>
      <c r="B79" s="5"/>
      <c r="C79" s="63"/>
      <c r="D79" s="63"/>
      <c r="E79" s="5"/>
      <c r="F79" s="5"/>
      <c r="G79" s="5"/>
      <c r="H79" s="5"/>
      <c r="I79" s="5"/>
    </row>
    <row r="80" spans="1:9" ht="12.75">
      <c r="A80" s="5"/>
      <c r="B80" s="5"/>
      <c r="C80" s="63"/>
      <c r="D80" s="63"/>
      <c r="E80" s="5"/>
      <c r="F80" s="5"/>
      <c r="G80" s="5"/>
      <c r="H80" s="5"/>
      <c r="I80" s="5"/>
    </row>
    <row r="81" spans="1:9" ht="26.25">
      <c r="A81" s="5"/>
      <c r="B81" s="60" t="s">
        <v>179</v>
      </c>
      <c r="C81" s="63"/>
      <c r="D81" s="63"/>
      <c r="E81" s="5"/>
      <c r="F81" s="5"/>
      <c r="G81" s="5"/>
      <c r="H81" s="5"/>
      <c r="I81" s="5"/>
    </row>
    <row r="82" spans="1:9" ht="12.75">
      <c r="A82" s="5"/>
      <c r="B82" s="5"/>
      <c r="C82" s="63"/>
      <c r="D82" s="63"/>
      <c r="E82" s="5"/>
      <c r="F82" s="5"/>
      <c r="G82" s="5"/>
      <c r="H82" s="5"/>
      <c r="I82" s="5"/>
    </row>
    <row r="83" spans="1:8" ht="18">
      <c r="A83" s="5"/>
      <c r="B83" s="28" t="s">
        <v>180</v>
      </c>
      <c r="C83" s="24">
        <f aca="true" t="shared" si="24" ref="C83:H84">C65</f>
        <v>2006</v>
      </c>
      <c r="D83" s="24">
        <f t="shared" si="24"/>
        <v>2007</v>
      </c>
      <c r="E83" s="24">
        <f t="shared" si="24"/>
        <v>2008</v>
      </c>
      <c r="F83" s="24">
        <f t="shared" si="24"/>
        <v>2009</v>
      </c>
      <c r="G83" s="24">
        <f t="shared" si="24"/>
        <v>2010</v>
      </c>
      <c r="H83" s="24">
        <f t="shared" si="24"/>
        <v>2011</v>
      </c>
    </row>
    <row r="84" spans="1:8" ht="12.75">
      <c r="A84" s="5"/>
      <c r="B84" s="5"/>
      <c r="C84" s="24" t="str">
        <f t="shared" si="24"/>
        <v>Audited Actual</v>
      </c>
      <c r="D84" s="24" t="str">
        <f t="shared" si="24"/>
        <v>Audited Actual</v>
      </c>
      <c r="E84" s="24" t="str">
        <f t="shared" si="24"/>
        <v>Audited Actual</v>
      </c>
      <c r="F84" s="24" t="str">
        <f t="shared" si="24"/>
        <v>Audited Actual</v>
      </c>
      <c r="G84" s="24" t="str">
        <f t="shared" si="24"/>
        <v>Actual</v>
      </c>
      <c r="H84" s="24" t="str">
        <f t="shared" si="24"/>
        <v>Forecasted</v>
      </c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 t="s">
        <v>181</v>
      </c>
      <c r="C86" s="140">
        <v>0</v>
      </c>
      <c r="D86" s="140">
        <f>C88-C93</f>
        <v>0</v>
      </c>
      <c r="E86" s="140">
        <f>D88-D93</f>
        <v>0</v>
      </c>
      <c r="F86" s="140">
        <f>E88-E93</f>
        <v>0</v>
      </c>
      <c r="G86" s="140">
        <f>F88-F93</f>
        <v>2275865.0303999996</v>
      </c>
      <c r="H86" s="140">
        <f>G88-G93</f>
        <v>2544684.0391679993</v>
      </c>
      <c r="I86" s="5"/>
    </row>
    <row r="87" spans="1:9" ht="12.75">
      <c r="A87" s="5"/>
      <c r="B87" s="5" t="s">
        <v>182</v>
      </c>
      <c r="C87" s="102">
        <f aca="true" t="shared" si="25" ref="C87:H87">C9</f>
        <v>0</v>
      </c>
      <c r="D87" s="102">
        <f t="shared" si="25"/>
        <v>0</v>
      </c>
      <c r="E87" s="102">
        <f t="shared" si="25"/>
        <v>0</v>
      </c>
      <c r="F87" s="102">
        <f t="shared" si="25"/>
        <v>2370692.7399999998</v>
      </c>
      <c r="G87" s="102">
        <f t="shared" si="25"/>
        <v>469675.22</v>
      </c>
      <c r="H87" s="102">
        <f t="shared" si="25"/>
        <v>47377.05</v>
      </c>
      <c r="I87" s="5"/>
    </row>
    <row r="88" spans="1:9" ht="12.75">
      <c r="A88" s="5"/>
      <c r="B88" s="5" t="s">
        <v>183</v>
      </c>
      <c r="C88" s="140">
        <f aca="true" t="shared" si="26" ref="C88:H88">SUM(C86:C87)</f>
        <v>0</v>
      </c>
      <c r="D88" s="140">
        <f t="shared" si="26"/>
        <v>0</v>
      </c>
      <c r="E88" s="140">
        <f t="shared" si="26"/>
        <v>0</v>
      </c>
      <c r="F88" s="140">
        <f t="shared" si="26"/>
        <v>2370692.7399999998</v>
      </c>
      <c r="G88" s="140">
        <f t="shared" si="26"/>
        <v>2745540.2503999993</v>
      </c>
      <c r="H88" s="140">
        <f t="shared" si="26"/>
        <v>2592061.089167999</v>
      </c>
      <c r="I88" s="5"/>
    </row>
    <row r="89" spans="1:9" ht="12.75">
      <c r="A89" s="5"/>
      <c r="B89" s="5" t="s">
        <v>184</v>
      </c>
      <c r="C89" s="102">
        <f aca="true" t="shared" si="27" ref="C89:H89">SUM(C87:C87)/2</f>
        <v>0</v>
      </c>
      <c r="D89" s="102">
        <f t="shared" si="27"/>
        <v>0</v>
      </c>
      <c r="E89" s="102">
        <f t="shared" si="27"/>
        <v>0</v>
      </c>
      <c r="F89" s="102">
        <f t="shared" si="27"/>
        <v>1185346.3699999999</v>
      </c>
      <c r="G89" s="102">
        <f t="shared" si="27"/>
        <v>234837.61</v>
      </c>
      <c r="H89" s="102">
        <f t="shared" si="27"/>
        <v>23688.525</v>
      </c>
      <c r="I89" s="5"/>
    </row>
    <row r="90" spans="1:9" ht="12.75">
      <c r="A90" s="5"/>
      <c r="B90" s="5" t="s">
        <v>185</v>
      </c>
      <c r="C90" s="140">
        <f aca="true" t="shared" si="28" ref="C90:H90">C86+C89</f>
        <v>0</v>
      </c>
      <c r="D90" s="140">
        <f t="shared" si="28"/>
        <v>0</v>
      </c>
      <c r="E90" s="140">
        <f t="shared" si="28"/>
        <v>0</v>
      </c>
      <c r="F90" s="140">
        <f t="shared" si="28"/>
        <v>1185346.3699999999</v>
      </c>
      <c r="G90" s="140">
        <f t="shared" si="28"/>
        <v>2510702.6403999995</v>
      </c>
      <c r="H90" s="140">
        <f t="shared" si="28"/>
        <v>2568372.564167999</v>
      </c>
      <c r="I90" s="5"/>
    </row>
    <row r="91" spans="1:9" ht="12.75">
      <c r="A91" s="5"/>
      <c r="B91" s="5" t="s">
        <v>223</v>
      </c>
      <c r="C91" s="114">
        <f>'3.  LDC Assumptions and Data'!C68</f>
        <v>47</v>
      </c>
      <c r="D91" s="114">
        <f>'3.  LDC Assumptions and Data'!D68</f>
        <v>47</v>
      </c>
      <c r="E91" s="114">
        <f>'3.  LDC Assumptions and Data'!E68</f>
        <v>47</v>
      </c>
      <c r="F91" s="114">
        <f>'3.  LDC Assumptions and Data'!F68</f>
        <v>47</v>
      </c>
      <c r="G91" s="114">
        <f>'3.  LDC Assumptions and Data'!G68</f>
        <v>47</v>
      </c>
      <c r="H91" s="114">
        <f>'3.  LDC Assumptions and Data'!H68</f>
        <v>47</v>
      </c>
      <c r="I91" s="5"/>
    </row>
    <row r="92" spans="1:9" ht="12.75">
      <c r="A92" s="5"/>
      <c r="B92" s="5" t="s">
        <v>224</v>
      </c>
      <c r="C92" s="115">
        <f>'3.  LDC Assumptions and Data'!C69</f>
        <v>0.08</v>
      </c>
      <c r="D92" s="115">
        <f>'3.  LDC Assumptions and Data'!D69</f>
        <v>0.08</v>
      </c>
      <c r="E92" s="115">
        <f>'3.  LDC Assumptions and Data'!E69</f>
        <v>0.08</v>
      </c>
      <c r="F92" s="115">
        <f>'3.  LDC Assumptions and Data'!F69</f>
        <v>0.08</v>
      </c>
      <c r="G92" s="115">
        <f>'3.  LDC Assumptions and Data'!G69</f>
        <v>0.08</v>
      </c>
      <c r="H92" s="115">
        <f>'3.  LDC Assumptions and Data'!H69</f>
        <v>0.08</v>
      </c>
      <c r="I92" s="5"/>
    </row>
    <row r="93" spans="1:9" ht="12.75">
      <c r="A93" s="5"/>
      <c r="B93" s="5" t="s">
        <v>186</v>
      </c>
      <c r="C93" s="140">
        <f aca="true" t="shared" si="29" ref="C93:H93">IF((C90*C92)&lt;C90,(C90*C92),C90)</f>
        <v>0</v>
      </c>
      <c r="D93" s="140">
        <f t="shared" si="29"/>
        <v>0</v>
      </c>
      <c r="E93" s="140">
        <f t="shared" si="29"/>
        <v>0</v>
      </c>
      <c r="F93" s="140">
        <f t="shared" si="29"/>
        <v>94827.70959999999</v>
      </c>
      <c r="G93" s="140">
        <f t="shared" si="29"/>
        <v>200856.21123199997</v>
      </c>
      <c r="H93" s="140">
        <f t="shared" si="29"/>
        <v>205469.80513343995</v>
      </c>
      <c r="I93" s="5"/>
    </row>
    <row r="94" spans="1:9" ht="13.5" thickBot="1">
      <c r="A94" s="5"/>
      <c r="B94" s="5" t="s">
        <v>187</v>
      </c>
      <c r="C94" s="147">
        <f aca="true" t="shared" si="30" ref="C94:H94">IF((C88-C93)&lt;0,0,(C88-C93))</f>
        <v>0</v>
      </c>
      <c r="D94" s="147">
        <f t="shared" si="30"/>
        <v>0</v>
      </c>
      <c r="E94" s="147">
        <f t="shared" si="30"/>
        <v>0</v>
      </c>
      <c r="F94" s="147">
        <f t="shared" si="30"/>
        <v>2275865.0303999996</v>
      </c>
      <c r="G94" s="147">
        <f t="shared" si="30"/>
        <v>2544684.0391679993</v>
      </c>
      <c r="H94" s="147">
        <f t="shared" si="30"/>
        <v>2386591.284034559</v>
      </c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8">
      <c r="A96" s="5"/>
      <c r="B96" s="28" t="s">
        <v>188</v>
      </c>
      <c r="C96" s="24">
        <f aca="true" t="shared" si="31" ref="C96:H97">C83</f>
        <v>2006</v>
      </c>
      <c r="D96" s="24">
        <f t="shared" si="31"/>
        <v>2007</v>
      </c>
      <c r="E96" s="24">
        <f t="shared" si="31"/>
        <v>2008</v>
      </c>
      <c r="F96" s="24">
        <f t="shared" si="31"/>
        <v>2009</v>
      </c>
      <c r="G96" s="24">
        <f t="shared" si="31"/>
        <v>2010</v>
      </c>
      <c r="H96" s="24">
        <f t="shared" si="31"/>
        <v>2011</v>
      </c>
      <c r="I96" s="5"/>
    </row>
    <row r="97" spans="1:9" ht="12.75">
      <c r="A97" s="5"/>
      <c r="B97" s="5"/>
      <c r="C97" s="24" t="str">
        <f t="shared" si="31"/>
        <v>Audited Actual</v>
      </c>
      <c r="D97" s="24" t="str">
        <f t="shared" si="31"/>
        <v>Audited Actual</v>
      </c>
      <c r="E97" s="24" t="str">
        <f t="shared" si="31"/>
        <v>Audited Actual</v>
      </c>
      <c r="F97" s="24" t="str">
        <f t="shared" si="31"/>
        <v>Audited Actual</v>
      </c>
      <c r="G97" s="24" t="str">
        <f t="shared" si="31"/>
        <v>Actual</v>
      </c>
      <c r="H97" s="24" t="str">
        <f t="shared" si="31"/>
        <v>Forecasted</v>
      </c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 t="s">
        <v>181</v>
      </c>
      <c r="C99" s="140">
        <v>0</v>
      </c>
      <c r="D99" s="140">
        <f>C108</f>
        <v>0</v>
      </c>
      <c r="E99" s="140">
        <f>D108</f>
        <v>0</v>
      </c>
      <c r="F99" s="140">
        <f>E108</f>
        <v>0</v>
      </c>
      <c r="G99" s="140">
        <f>F108</f>
        <v>23096.11475</v>
      </c>
      <c r="H99" s="140">
        <f>G108</f>
        <v>28944.566137499995</v>
      </c>
      <c r="I99" s="5"/>
    </row>
    <row r="100" spans="1:9" ht="12.75">
      <c r="A100" s="5"/>
      <c r="B100" s="5" t="s">
        <v>189</v>
      </c>
      <c r="C100" s="102">
        <f aca="true" t="shared" si="32" ref="C100:H100">C24</f>
        <v>0</v>
      </c>
      <c r="D100" s="102">
        <f t="shared" si="32"/>
        <v>0</v>
      </c>
      <c r="E100" s="102">
        <f t="shared" si="32"/>
        <v>0</v>
      </c>
      <c r="F100" s="102">
        <f t="shared" si="32"/>
        <v>27296.71</v>
      </c>
      <c r="G100" s="102">
        <f t="shared" si="32"/>
        <v>0</v>
      </c>
      <c r="H100" s="102">
        <f t="shared" si="32"/>
        <v>0</v>
      </c>
      <c r="I100" s="5"/>
    </row>
    <row r="101" spans="1:9" ht="12.75">
      <c r="A101" s="5"/>
      <c r="B101" s="5" t="s">
        <v>190</v>
      </c>
      <c r="C101" s="102">
        <f aca="true" t="shared" si="33" ref="C101:H101">C39</f>
        <v>0</v>
      </c>
      <c r="D101" s="102">
        <f t="shared" si="33"/>
        <v>0</v>
      </c>
      <c r="E101" s="102">
        <f t="shared" si="33"/>
        <v>0</v>
      </c>
      <c r="F101" s="102">
        <f t="shared" si="33"/>
        <v>4560</v>
      </c>
      <c r="G101" s="102">
        <f t="shared" si="33"/>
        <v>25588.02</v>
      </c>
      <c r="H101" s="102">
        <f t="shared" si="33"/>
        <v>30000</v>
      </c>
      <c r="I101" s="5"/>
    </row>
    <row r="102" spans="1:9" ht="12.75">
      <c r="A102" s="5"/>
      <c r="B102" s="5" t="s">
        <v>183</v>
      </c>
      <c r="C102" s="140">
        <f aca="true" t="shared" si="34" ref="C102:H102">SUM(C99:C101)</f>
        <v>0</v>
      </c>
      <c r="D102" s="140">
        <f t="shared" si="34"/>
        <v>0</v>
      </c>
      <c r="E102" s="140">
        <f t="shared" si="34"/>
        <v>0</v>
      </c>
      <c r="F102" s="140">
        <f t="shared" si="34"/>
        <v>31856.71</v>
      </c>
      <c r="G102" s="140">
        <f t="shared" si="34"/>
        <v>48684.13475</v>
      </c>
      <c r="H102" s="140">
        <f t="shared" si="34"/>
        <v>58944.56613749999</v>
      </c>
      <c r="I102" s="5"/>
    </row>
    <row r="103" spans="1:9" ht="12.75">
      <c r="A103" s="5"/>
      <c r="B103" s="5" t="s">
        <v>184</v>
      </c>
      <c r="C103" s="102">
        <f aca="true" t="shared" si="35" ref="C103:H103">SUM(C100:C101)/2</f>
        <v>0</v>
      </c>
      <c r="D103" s="102">
        <f t="shared" si="35"/>
        <v>0</v>
      </c>
      <c r="E103" s="102">
        <f t="shared" si="35"/>
        <v>0</v>
      </c>
      <c r="F103" s="102">
        <f t="shared" si="35"/>
        <v>15928.355</v>
      </c>
      <c r="G103" s="102">
        <f t="shared" si="35"/>
        <v>12794.01</v>
      </c>
      <c r="H103" s="102">
        <f t="shared" si="35"/>
        <v>15000</v>
      </c>
      <c r="I103" s="5"/>
    </row>
    <row r="104" spans="1:9" ht="12.75">
      <c r="A104" s="5"/>
      <c r="B104" s="5" t="s">
        <v>185</v>
      </c>
      <c r="C104" s="140">
        <f aca="true" t="shared" si="36" ref="C104:H104">C99+C103</f>
        <v>0</v>
      </c>
      <c r="D104" s="140">
        <f t="shared" si="36"/>
        <v>0</v>
      </c>
      <c r="E104" s="140">
        <f t="shared" si="36"/>
        <v>0</v>
      </c>
      <c r="F104" s="140">
        <f t="shared" si="36"/>
        <v>15928.355</v>
      </c>
      <c r="G104" s="140">
        <f t="shared" si="36"/>
        <v>35890.12475</v>
      </c>
      <c r="H104" s="140">
        <f t="shared" si="36"/>
        <v>43944.56613749999</v>
      </c>
      <c r="I104" s="5"/>
    </row>
    <row r="105" spans="1:9" ht="12.75">
      <c r="A105" s="5"/>
      <c r="B105" s="5" t="s">
        <v>223</v>
      </c>
      <c r="C105" s="114">
        <f>'3.  LDC Assumptions and Data'!C71</f>
        <v>45</v>
      </c>
      <c r="D105" s="114">
        <f>'3.  LDC Assumptions and Data'!D71</f>
        <v>50</v>
      </c>
      <c r="E105" s="114">
        <f>'3.  LDC Assumptions and Data'!E71</f>
        <v>50</v>
      </c>
      <c r="F105" s="114">
        <f>'3.  LDC Assumptions and Data'!F71</f>
        <v>50</v>
      </c>
      <c r="G105" s="114">
        <f>'3.  LDC Assumptions and Data'!G71</f>
        <v>50</v>
      </c>
      <c r="H105" s="114">
        <f>'3.  LDC Assumptions and Data'!H71</f>
        <v>50</v>
      </c>
      <c r="I105" s="5"/>
    </row>
    <row r="106" spans="1:9" ht="12.75">
      <c r="A106" s="5"/>
      <c r="B106" s="5" t="s">
        <v>224</v>
      </c>
      <c r="C106" s="115">
        <f>'3.  LDC Assumptions and Data'!C72</f>
        <v>0.45</v>
      </c>
      <c r="D106" s="115">
        <f>'3.  LDC Assumptions and Data'!D72</f>
        <v>0.55</v>
      </c>
      <c r="E106" s="115">
        <f>'3.  LDC Assumptions and Data'!E72</f>
        <v>0.55</v>
      </c>
      <c r="F106" s="115">
        <f>'3.  LDC Assumptions and Data'!F72</f>
        <v>0.55</v>
      </c>
      <c r="G106" s="115">
        <f>'3.  LDC Assumptions and Data'!G72</f>
        <v>0.55</v>
      </c>
      <c r="H106" s="115">
        <f>'3.  LDC Assumptions and Data'!H72</f>
        <v>0.55</v>
      </c>
      <c r="I106" s="5"/>
    </row>
    <row r="107" spans="1:9" ht="12.75">
      <c r="A107" s="5"/>
      <c r="B107" s="5" t="s">
        <v>186</v>
      </c>
      <c r="C107" s="140">
        <f aca="true" t="shared" si="37" ref="C107:H107">IF((C104*C106)&lt;C104,(C104*C106),C104)</f>
        <v>0</v>
      </c>
      <c r="D107" s="140">
        <f t="shared" si="37"/>
        <v>0</v>
      </c>
      <c r="E107" s="140">
        <f t="shared" si="37"/>
        <v>0</v>
      </c>
      <c r="F107" s="140">
        <f t="shared" si="37"/>
        <v>8760.59525</v>
      </c>
      <c r="G107" s="140">
        <f t="shared" si="37"/>
        <v>19739.568612500003</v>
      </c>
      <c r="H107" s="140">
        <f t="shared" si="37"/>
        <v>24169.511375624996</v>
      </c>
      <c r="I107" s="5"/>
    </row>
    <row r="108" spans="1:9" ht="13.5" thickBot="1">
      <c r="A108" s="5"/>
      <c r="B108" s="5" t="s">
        <v>187</v>
      </c>
      <c r="C108" s="147">
        <f aca="true" t="shared" si="38" ref="C108:H108">IF((C102-C107)&lt;0,0,(C102-C107))</f>
        <v>0</v>
      </c>
      <c r="D108" s="147">
        <f t="shared" si="38"/>
        <v>0</v>
      </c>
      <c r="E108" s="147">
        <f t="shared" si="38"/>
        <v>0</v>
      </c>
      <c r="F108" s="147">
        <f t="shared" si="38"/>
        <v>23096.11475</v>
      </c>
      <c r="G108" s="147">
        <f t="shared" si="38"/>
        <v>28944.566137499995</v>
      </c>
      <c r="H108" s="147">
        <f t="shared" si="38"/>
        <v>34775.054761875</v>
      </c>
      <c r="I108" s="5"/>
    </row>
    <row r="110" spans="1:9" ht="18">
      <c r="A110" s="5"/>
      <c r="B110" s="28" t="s">
        <v>191</v>
      </c>
      <c r="C110" s="24">
        <f aca="true" t="shared" si="39" ref="C110:H111">C96</f>
        <v>2006</v>
      </c>
      <c r="D110" s="24">
        <f t="shared" si="39"/>
        <v>2007</v>
      </c>
      <c r="E110" s="24">
        <f t="shared" si="39"/>
        <v>2008</v>
      </c>
      <c r="F110" s="24">
        <f t="shared" si="39"/>
        <v>2009</v>
      </c>
      <c r="G110" s="24">
        <f t="shared" si="39"/>
        <v>2010</v>
      </c>
      <c r="H110" s="24">
        <f t="shared" si="39"/>
        <v>2011</v>
      </c>
      <c r="I110" s="5"/>
    </row>
    <row r="111" spans="1:9" ht="12.75">
      <c r="A111" s="5"/>
      <c r="B111" s="5"/>
      <c r="C111" s="24" t="str">
        <f t="shared" si="39"/>
        <v>Audited Actual</v>
      </c>
      <c r="D111" s="24" t="str">
        <f t="shared" si="39"/>
        <v>Audited Actual</v>
      </c>
      <c r="E111" s="24" t="str">
        <f t="shared" si="39"/>
        <v>Audited Actual</v>
      </c>
      <c r="F111" s="24" t="str">
        <f t="shared" si="39"/>
        <v>Audited Actual</v>
      </c>
      <c r="G111" s="24" t="str">
        <f t="shared" si="39"/>
        <v>Actual</v>
      </c>
      <c r="H111" s="24" t="str">
        <f t="shared" si="39"/>
        <v>Forecasted</v>
      </c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 t="s">
        <v>181</v>
      </c>
      <c r="C113" s="140">
        <v>0</v>
      </c>
      <c r="D113" s="140">
        <f>C122</f>
        <v>0</v>
      </c>
      <c r="E113" s="140">
        <f>D122</f>
        <v>0</v>
      </c>
      <c r="F113" s="140">
        <f>E122</f>
        <v>0</v>
      </c>
      <c r="G113" s="140">
        <f>F122</f>
        <v>6094.593000000001</v>
      </c>
      <c r="H113" s="140">
        <f>G122</f>
        <v>4929.674400000001</v>
      </c>
      <c r="I113" s="5"/>
    </row>
    <row r="114" spans="1:9" ht="12.75">
      <c r="A114" s="5"/>
      <c r="B114" s="5" t="s">
        <v>192</v>
      </c>
      <c r="C114" s="102">
        <f aca="true" t="shared" si="40" ref="C114:H114">C54</f>
        <v>0</v>
      </c>
      <c r="D114" s="102">
        <f t="shared" si="40"/>
        <v>0</v>
      </c>
      <c r="E114" s="102">
        <f t="shared" si="40"/>
        <v>0</v>
      </c>
      <c r="F114" s="102">
        <f t="shared" si="40"/>
        <v>0</v>
      </c>
      <c r="G114" s="102">
        <f t="shared" si="40"/>
        <v>0</v>
      </c>
      <c r="H114" s="102">
        <f t="shared" si="40"/>
        <v>0</v>
      </c>
      <c r="I114" s="5"/>
    </row>
    <row r="115" spans="1:9" ht="12.75">
      <c r="A115" s="5"/>
      <c r="B115" s="5" t="s">
        <v>193</v>
      </c>
      <c r="C115" s="102">
        <f aca="true" t="shared" si="41" ref="C115:H115">C69</f>
        <v>0</v>
      </c>
      <c r="D115" s="102">
        <f t="shared" si="41"/>
        <v>0</v>
      </c>
      <c r="E115" s="102">
        <f t="shared" si="41"/>
        <v>0</v>
      </c>
      <c r="F115" s="102">
        <f t="shared" si="41"/>
        <v>6771.77</v>
      </c>
      <c r="G115" s="102">
        <f t="shared" si="41"/>
        <v>60</v>
      </c>
      <c r="H115" s="102">
        <f t="shared" si="41"/>
        <v>0</v>
      </c>
      <c r="I115" s="5"/>
    </row>
    <row r="116" spans="1:9" ht="12.75">
      <c r="A116" s="5"/>
      <c r="B116" s="5" t="s">
        <v>183</v>
      </c>
      <c r="C116" s="140">
        <f aca="true" t="shared" si="42" ref="C116:H116">SUM(C113:C115)</f>
        <v>0</v>
      </c>
      <c r="D116" s="140">
        <f t="shared" si="42"/>
        <v>0</v>
      </c>
      <c r="E116" s="140">
        <f t="shared" si="42"/>
        <v>0</v>
      </c>
      <c r="F116" s="140">
        <f t="shared" si="42"/>
        <v>6771.77</v>
      </c>
      <c r="G116" s="140">
        <f t="shared" si="42"/>
        <v>6154.593000000001</v>
      </c>
      <c r="H116" s="140">
        <f t="shared" si="42"/>
        <v>4929.674400000001</v>
      </c>
      <c r="I116" s="5"/>
    </row>
    <row r="117" spans="1:9" ht="12.75">
      <c r="A117" s="5"/>
      <c r="B117" s="5" t="s">
        <v>184</v>
      </c>
      <c r="C117" s="102">
        <f aca="true" t="shared" si="43" ref="C117:H117">SUM(C114:C115)/2</f>
        <v>0</v>
      </c>
      <c r="D117" s="102">
        <f t="shared" si="43"/>
        <v>0</v>
      </c>
      <c r="E117" s="102">
        <f t="shared" si="43"/>
        <v>0</v>
      </c>
      <c r="F117" s="102">
        <f t="shared" si="43"/>
        <v>3385.885</v>
      </c>
      <c r="G117" s="102">
        <f t="shared" si="43"/>
        <v>30</v>
      </c>
      <c r="H117" s="102">
        <f t="shared" si="43"/>
        <v>0</v>
      </c>
      <c r="I117" s="5"/>
    </row>
    <row r="118" spans="1:9" ht="12.75">
      <c r="A118" s="5"/>
      <c r="B118" s="5" t="s">
        <v>185</v>
      </c>
      <c r="C118" s="140">
        <f aca="true" t="shared" si="44" ref="C118:H118">C113+C117</f>
        <v>0</v>
      </c>
      <c r="D118" s="140">
        <f t="shared" si="44"/>
        <v>0</v>
      </c>
      <c r="E118" s="140">
        <f t="shared" si="44"/>
        <v>0</v>
      </c>
      <c r="F118" s="140">
        <f t="shared" si="44"/>
        <v>3385.885</v>
      </c>
      <c r="G118" s="140">
        <f t="shared" si="44"/>
        <v>6124.593000000001</v>
      </c>
      <c r="H118" s="140">
        <f t="shared" si="44"/>
        <v>4929.674400000001</v>
      </c>
      <c r="I118" s="5"/>
    </row>
    <row r="119" spans="1:9" ht="12.75">
      <c r="A119" s="5"/>
      <c r="B119" s="5" t="s">
        <v>223</v>
      </c>
      <c r="C119" s="114">
        <f>'3.  LDC Assumptions and Data'!C74</f>
        <v>8</v>
      </c>
      <c r="D119" s="114">
        <f>'3.  LDC Assumptions and Data'!D74</f>
        <v>8</v>
      </c>
      <c r="E119" s="114">
        <f>'3.  LDC Assumptions and Data'!E74</f>
        <v>8</v>
      </c>
      <c r="F119" s="114">
        <f>'3.  LDC Assumptions and Data'!F74</f>
        <v>8</v>
      </c>
      <c r="G119" s="114">
        <f>'3.  LDC Assumptions and Data'!G74</f>
        <v>8</v>
      </c>
      <c r="H119" s="114">
        <f>'3.  LDC Assumptions and Data'!H74</f>
        <v>8</v>
      </c>
      <c r="I119" s="5"/>
    </row>
    <row r="120" spans="1:9" ht="12.75">
      <c r="A120" s="5"/>
      <c r="B120" s="5" t="s">
        <v>224</v>
      </c>
      <c r="C120" s="115">
        <f>'3.  LDC Assumptions and Data'!C75</f>
        <v>0.2</v>
      </c>
      <c r="D120" s="115">
        <f>'3.  LDC Assumptions and Data'!D75</f>
        <v>0.2</v>
      </c>
      <c r="E120" s="115">
        <f>'3.  LDC Assumptions and Data'!E75</f>
        <v>0.2</v>
      </c>
      <c r="F120" s="115">
        <f>'3.  LDC Assumptions and Data'!F75</f>
        <v>0.2</v>
      </c>
      <c r="G120" s="115">
        <f>'3.  LDC Assumptions and Data'!G75</f>
        <v>0.2</v>
      </c>
      <c r="H120" s="115">
        <f>'3.  LDC Assumptions and Data'!H75</f>
        <v>0.2</v>
      </c>
      <c r="I120" s="5"/>
    </row>
    <row r="121" spans="1:9" ht="12.75">
      <c r="A121" s="5"/>
      <c r="B121" s="5" t="s">
        <v>186</v>
      </c>
      <c r="C121" s="140">
        <f aca="true" t="shared" si="45" ref="C121:H121">IF((C118*C120)&lt;C118,(C118*C120),C118)</f>
        <v>0</v>
      </c>
      <c r="D121" s="140">
        <f t="shared" si="45"/>
        <v>0</v>
      </c>
      <c r="E121" s="140">
        <f t="shared" si="45"/>
        <v>0</v>
      </c>
      <c r="F121" s="140">
        <f t="shared" si="45"/>
        <v>677.1770000000001</v>
      </c>
      <c r="G121" s="140">
        <f t="shared" si="45"/>
        <v>1224.9186000000002</v>
      </c>
      <c r="H121" s="140">
        <f t="shared" si="45"/>
        <v>985.9348800000002</v>
      </c>
      <c r="I121" s="5"/>
    </row>
    <row r="122" spans="1:9" ht="13.5" thickBot="1">
      <c r="A122" s="5"/>
      <c r="B122" s="5" t="s">
        <v>187</v>
      </c>
      <c r="C122" s="147">
        <f aca="true" t="shared" si="46" ref="C122:H122">IF((C116-C121)&lt;0,0,(C116-C121))</f>
        <v>0</v>
      </c>
      <c r="D122" s="147">
        <f t="shared" si="46"/>
        <v>0</v>
      </c>
      <c r="E122" s="147">
        <f t="shared" si="46"/>
        <v>0</v>
      </c>
      <c r="F122" s="147">
        <f t="shared" si="46"/>
        <v>6094.593000000001</v>
      </c>
      <c r="G122" s="147">
        <f t="shared" si="46"/>
        <v>4929.674400000001</v>
      </c>
      <c r="H122" s="147">
        <f t="shared" si="46"/>
        <v>3943.7395200000005</v>
      </c>
      <c r="I122" s="5"/>
    </row>
    <row r="126" ht="15">
      <c r="B126" s="25"/>
    </row>
    <row r="127" ht="15">
      <c r="B127" s="25"/>
    </row>
  </sheetData>
  <sheetProtection formatColumns="0" selectLockedCells="1"/>
  <mergeCells count="1">
    <mergeCell ref="B1:E1"/>
  </mergeCells>
  <printOptions/>
  <pageMargins left="0.53" right="0.44" top="0.55" bottom="0.55" header="0.5" footer="0.5"/>
  <pageSetup fitToHeight="2" horizontalDpi="600" verticalDpi="600" orientation="landscape" scale="65" r:id="rId1"/>
  <headerFooter alignWithMargins="0">
    <oddFooter>&amp;L&amp;A&amp;C&amp;BWelland Hydro-Electric Systems Corp. Confidential&amp;B&amp;RPage &amp;P</oddFooter>
  </headerFooter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81"/>
  <sheetViews>
    <sheetView zoomScalePageLayoutView="0" workbookViewId="0" topLeftCell="A37">
      <selection activeCell="D64" sqref="D64"/>
    </sheetView>
  </sheetViews>
  <sheetFormatPr defaultColWidth="11.421875" defaultRowHeight="12.75"/>
  <cols>
    <col min="1" max="1" width="23.8515625" style="132" customWidth="1"/>
    <col min="2" max="2" width="14.140625" style="133" bestFit="1" customWidth="1"/>
    <col min="3" max="3" width="13.7109375" style="133" customWidth="1"/>
    <col min="4" max="4" width="11.421875" style="133" customWidth="1"/>
    <col min="5" max="5" width="12.7109375" style="133" customWidth="1"/>
    <col min="6" max="6" width="14.140625" style="133" bestFit="1" customWidth="1"/>
    <col min="7" max="9" width="11.421875" style="133" customWidth="1"/>
    <col min="10" max="10" width="25.7109375" style="132" customWidth="1"/>
    <col min="11" max="11" width="22.7109375" style="132" customWidth="1"/>
    <col min="12" max="16384" width="11.421875" style="133" customWidth="1"/>
  </cols>
  <sheetData>
    <row r="1" spans="2:11" ht="48">
      <c r="B1" s="26" t="s">
        <v>259</v>
      </c>
      <c r="C1" s="26"/>
      <c r="D1" s="26"/>
      <c r="E1" s="26"/>
      <c r="F1" s="26"/>
      <c r="G1" s="26"/>
      <c r="I1" s="120"/>
      <c r="J1" s="121" t="s">
        <v>231</v>
      </c>
      <c r="K1" s="121" t="s">
        <v>233</v>
      </c>
    </row>
    <row r="2" spans="9:11" ht="94.5">
      <c r="I2" s="120"/>
      <c r="J2" s="121" t="s">
        <v>232</v>
      </c>
      <c r="K2" s="121" t="s">
        <v>234</v>
      </c>
    </row>
    <row r="3" spans="1:11" ht="15.75">
      <c r="A3" s="134" t="s">
        <v>273</v>
      </c>
      <c r="B3" s="134" t="s">
        <v>124</v>
      </c>
      <c r="C3" s="134" t="s">
        <v>230</v>
      </c>
      <c r="D3" s="134" t="s">
        <v>125</v>
      </c>
      <c r="E3" s="134" t="s">
        <v>126</v>
      </c>
      <c r="F3" s="134" t="s">
        <v>127</v>
      </c>
      <c r="I3" s="120" t="s">
        <v>246</v>
      </c>
      <c r="J3" s="122">
        <v>4.14</v>
      </c>
      <c r="K3" s="122">
        <v>4.68</v>
      </c>
    </row>
    <row r="4" spans="1:11" ht="15.75">
      <c r="A4" s="135">
        <v>38718</v>
      </c>
      <c r="B4" s="118">
        <v>0</v>
      </c>
      <c r="C4" s="117">
        <v>0</v>
      </c>
      <c r="D4" s="136">
        <f>'3.  LDC Assumptions and Data'!$C$19</f>
        <v>0.0625</v>
      </c>
      <c r="E4" s="118">
        <f aca="true" t="shared" si="0" ref="E4:E27">(B4*D4)/12</f>
        <v>0</v>
      </c>
      <c r="F4" s="118">
        <f>SUM(B4:C4,E4)</f>
        <v>0</v>
      </c>
      <c r="I4" s="120" t="s">
        <v>245</v>
      </c>
      <c r="J4" s="122">
        <v>4.59</v>
      </c>
      <c r="K4" s="122">
        <v>5.05</v>
      </c>
    </row>
    <row r="5" spans="1:11" ht="15.75">
      <c r="A5" s="135">
        <v>38749</v>
      </c>
      <c r="B5" s="119">
        <f aca="true" t="shared" si="1" ref="B5:B28">F4</f>
        <v>0</v>
      </c>
      <c r="C5" s="117">
        <v>0</v>
      </c>
      <c r="D5" s="136">
        <f>'3.  LDC Assumptions and Data'!$C$19</f>
        <v>0.0625</v>
      </c>
      <c r="E5" s="118">
        <f t="shared" si="0"/>
        <v>0</v>
      </c>
      <c r="F5" s="118">
        <f aca="true" t="shared" si="2" ref="F5:F27">SUM(B5:C5,E5)</f>
        <v>0</v>
      </c>
      <c r="I5" s="120" t="s">
        <v>244</v>
      </c>
      <c r="J5" s="122">
        <v>4.59</v>
      </c>
      <c r="K5" s="122">
        <v>4.72</v>
      </c>
    </row>
    <row r="6" spans="1:11" ht="15.75">
      <c r="A6" s="135">
        <v>38777</v>
      </c>
      <c r="B6" s="119">
        <f t="shared" si="1"/>
        <v>0</v>
      </c>
      <c r="C6" s="117">
        <v>0</v>
      </c>
      <c r="D6" s="136">
        <f>'3.  LDC Assumptions and Data'!$C$19</f>
        <v>0.0625</v>
      </c>
      <c r="E6" s="118">
        <f t="shared" si="0"/>
        <v>0</v>
      </c>
      <c r="F6" s="118">
        <f t="shared" si="2"/>
        <v>0</v>
      </c>
      <c r="I6" s="120" t="s">
        <v>243</v>
      </c>
      <c r="J6" s="122">
        <v>4.59</v>
      </c>
      <c r="K6" s="122">
        <v>4.72</v>
      </c>
    </row>
    <row r="7" spans="1:11" ht="15.75">
      <c r="A7" s="135">
        <v>38808</v>
      </c>
      <c r="B7" s="119">
        <f t="shared" si="1"/>
        <v>0</v>
      </c>
      <c r="C7" s="117">
        <v>0</v>
      </c>
      <c r="D7" s="137">
        <v>0.0414</v>
      </c>
      <c r="E7" s="118">
        <f t="shared" si="0"/>
        <v>0</v>
      </c>
      <c r="F7" s="118">
        <f t="shared" si="2"/>
        <v>0</v>
      </c>
      <c r="I7" s="120" t="s">
        <v>242</v>
      </c>
      <c r="J7" s="122">
        <v>4.59</v>
      </c>
      <c r="K7" s="122">
        <v>4.72</v>
      </c>
    </row>
    <row r="8" spans="1:11" ht="15.75">
      <c r="A8" s="135">
        <v>38838</v>
      </c>
      <c r="B8" s="119">
        <f t="shared" si="1"/>
        <v>0</v>
      </c>
      <c r="C8" s="117">
        <v>0</v>
      </c>
      <c r="D8" s="137">
        <v>0.0414</v>
      </c>
      <c r="E8" s="118">
        <f t="shared" si="0"/>
        <v>0</v>
      </c>
      <c r="F8" s="118">
        <f t="shared" si="2"/>
        <v>0</v>
      </c>
      <c r="I8" s="120" t="s">
        <v>241</v>
      </c>
      <c r="J8" s="122">
        <v>4.59</v>
      </c>
      <c r="K8" s="122">
        <v>5.18</v>
      </c>
    </row>
    <row r="9" spans="1:11" ht="15.75">
      <c r="A9" s="135">
        <v>38869</v>
      </c>
      <c r="B9" s="119">
        <f t="shared" si="1"/>
        <v>0</v>
      </c>
      <c r="C9" s="117">
        <v>5703</v>
      </c>
      <c r="D9" s="137">
        <v>0.0414</v>
      </c>
      <c r="E9" s="118">
        <f t="shared" si="0"/>
        <v>0</v>
      </c>
      <c r="F9" s="118">
        <f t="shared" si="2"/>
        <v>5703</v>
      </c>
      <c r="I9" s="120" t="s">
        <v>240</v>
      </c>
      <c r="J9" s="122">
        <v>5.14</v>
      </c>
      <c r="K9" s="122">
        <v>5.18</v>
      </c>
    </row>
    <row r="10" spans="1:11" ht="15.75">
      <c r="A10" s="135">
        <v>38899</v>
      </c>
      <c r="B10" s="119">
        <f t="shared" si="1"/>
        <v>5703</v>
      </c>
      <c r="C10" s="117">
        <v>6199</v>
      </c>
      <c r="D10" s="137">
        <v>0.0459</v>
      </c>
      <c r="E10" s="118">
        <f t="shared" si="0"/>
        <v>21.813975</v>
      </c>
      <c r="F10" s="118">
        <f t="shared" si="2"/>
        <v>11923.813975</v>
      </c>
      <c r="I10" s="120" t="s">
        <v>239</v>
      </c>
      <c r="J10" s="122">
        <v>5.14</v>
      </c>
      <c r="K10" s="122">
        <v>5.18</v>
      </c>
    </row>
    <row r="11" spans="1:11" ht="15.75">
      <c r="A11" s="135">
        <v>38930</v>
      </c>
      <c r="B11" s="119">
        <f t="shared" si="1"/>
        <v>11923.813975</v>
      </c>
      <c r="C11" s="117">
        <v>5020</v>
      </c>
      <c r="D11" s="137">
        <v>0.0459</v>
      </c>
      <c r="E11" s="118">
        <f t="shared" si="0"/>
        <v>45.608588454374996</v>
      </c>
      <c r="F11" s="118">
        <f t="shared" si="2"/>
        <v>16989.422563454373</v>
      </c>
      <c r="I11" s="120" t="s">
        <v>238</v>
      </c>
      <c r="J11" s="122">
        <v>4.08</v>
      </c>
      <c r="K11" s="122">
        <v>5.18</v>
      </c>
    </row>
    <row r="12" spans="1:11" ht="15.75">
      <c r="A12" s="135">
        <v>38961</v>
      </c>
      <c r="B12" s="119">
        <f t="shared" si="1"/>
        <v>16989.422563454373</v>
      </c>
      <c r="C12" s="117">
        <v>6621</v>
      </c>
      <c r="D12" s="137">
        <v>0.0459</v>
      </c>
      <c r="E12" s="118">
        <f t="shared" si="0"/>
        <v>64.98454130521297</v>
      </c>
      <c r="F12" s="118">
        <f t="shared" si="2"/>
        <v>23675.407104759586</v>
      </c>
      <c r="I12" s="120" t="s">
        <v>237</v>
      </c>
      <c r="J12" s="122">
        <v>3.35</v>
      </c>
      <c r="K12" s="122">
        <v>5.43</v>
      </c>
    </row>
    <row r="13" spans="1:11" ht="15.75">
      <c r="A13" s="135">
        <v>38991</v>
      </c>
      <c r="B13" s="119">
        <f t="shared" si="1"/>
        <v>23675.407104759586</v>
      </c>
      <c r="C13" s="117">
        <v>5167</v>
      </c>
      <c r="D13" s="137">
        <v>0.0459</v>
      </c>
      <c r="E13" s="118">
        <f t="shared" si="0"/>
        <v>90.55843217570542</v>
      </c>
      <c r="F13" s="118">
        <f t="shared" si="2"/>
        <v>28932.96553693529</v>
      </c>
      <c r="I13" s="120" t="s">
        <v>236</v>
      </c>
      <c r="J13" s="122">
        <v>3.35</v>
      </c>
      <c r="K13" s="122">
        <v>5.43</v>
      </c>
    </row>
    <row r="14" spans="1:11" ht="15.75">
      <c r="A14" s="135">
        <v>39022</v>
      </c>
      <c r="B14" s="119">
        <f t="shared" si="1"/>
        <v>28932.96553693529</v>
      </c>
      <c r="C14" s="117">
        <v>6648</v>
      </c>
      <c r="D14" s="137">
        <v>0.0459</v>
      </c>
      <c r="E14" s="118">
        <f t="shared" si="0"/>
        <v>110.6685931787775</v>
      </c>
      <c r="F14" s="118">
        <f t="shared" si="2"/>
        <v>35691.63413011407</v>
      </c>
      <c r="I14" s="120" t="s">
        <v>252</v>
      </c>
      <c r="J14" s="125">
        <v>2.45</v>
      </c>
      <c r="K14" s="125">
        <v>6.61</v>
      </c>
    </row>
    <row r="15" spans="1:11" ht="15.75">
      <c r="A15" s="135">
        <v>39052</v>
      </c>
      <c r="B15" s="119">
        <f t="shared" si="1"/>
        <v>35691.63413011407</v>
      </c>
      <c r="C15" s="117">
        <v>4535</v>
      </c>
      <c r="D15" s="137">
        <v>0.0459</v>
      </c>
      <c r="E15" s="118">
        <f t="shared" si="0"/>
        <v>136.52050054768634</v>
      </c>
      <c r="F15" s="118">
        <f t="shared" si="2"/>
        <v>40363.15463066176</v>
      </c>
      <c r="I15" s="120" t="s">
        <v>253</v>
      </c>
      <c r="J15" s="125">
        <v>1</v>
      </c>
      <c r="K15" s="125">
        <v>6.61</v>
      </c>
    </row>
    <row r="16" spans="1:11" ht="15.75">
      <c r="A16" s="135">
        <v>39083</v>
      </c>
      <c r="B16" s="119">
        <f t="shared" si="1"/>
        <v>40363.15463066176</v>
      </c>
      <c r="C16" s="117">
        <v>7047</v>
      </c>
      <c r="D16" s="137">
        <v>0.0459</v>
      </c>
      <c r="E16" s="118">
        <f t="shared" si="0"/>
        <v>154.38906646228125</v>
      </c>
      <c r="F16" s="118">
        <f t="shared" si="2"/>
        <v>47564.54369712404</v>
      </c>
      <c r="I16" s="120" t="s">
        <v>254</v>
      </c>
      <c r="J16" s="125">
        <v>0.55</v>
      </c>
      <c r="K16" s="125">
        <v>5.67</v>
      </c>
    </row>
    <row r="17" spans="1:11" ht="15.75">
      <c r="A17" s="135">
        <v>39114</v>
      </c>
      <c r="B17" s="119">
        <f t="shared" si="1"/>
        <v>47564.54369712404</v>
      </c>
      <c r="C17" s="117">
        <v>4914</v>
      </c>
      <c r="D17" s="137">
        <v>0.0459</v>
      </c>
      <c r="E17" s="118">
        <f t="shared" si="0"/>
        <v>181.93437964149948</v>
      </c>
      <c r="F17" s="118">
        <f t="shared" si="2"/>
        <v>52660.47807676554</v>
      </c>
      <c r="I17" s="120" t="s">
        <v>256</v>
      </c>
      <c r="J17" s="125">
        <v>0.55</v>
      </c>
      <c r="K17" s="125">
        <v>4.66</v>
      </c>
    </row>
    <row r="18" spans="1:11" ht="15.75">
      <c r="A18" s="135">
        <v>39142</v>
      </c>
      <c r="B18" s="119">
        <f t="shared" si="1"/>
        <v>52660.47807676554</v>
      </c>
      <c r="C18" s="117">
        <v>7001</v>
      </c>
      <c r="D18" s="137">
        <v>0.0459</v>
      </c>
      <c r="E18" s="118">
        <f t="shared" si="0"/>
        <v>201.42632864362818</v>
      </c>
      <c r="F18" s="118">
        <f t="shared" si="2"/>
        <v>59862.904405409165</v>
      </c>
      <c r="I18" s="120" t="s">
        <v>257</v>
      </c>
      <c r="J18" s="125">
        <v>0.55</v>
      </c>
      <c r="K18" s="125">
        <v>4.34</v>
      </c>
    </row>
    <row r="19" spans="1:11" ht="15.75">
      <c r="A19" s="135">
        <v>39173</v>
      </c>
      <c r="B19" s="119">
        <f t="shared" si="1"/>
        <v>59862.904405409165</v>
      </c>
      <c r="C19" s="117">
        <v>4663</v>
      </c>
      <c r="D19" s="137">
        <v>0.0459</v>
      </c>
      <c r="E19" s="118">
        <f t="shared" si="0"/>
        <v>228.97560935069006</v>
      </c>
      <c r="F19" s="118">
        <f t="shared" si="2"/>
        <v>64754.88001475985</v>
      </c>
      <c r="I19" s="120" t="s">
        <v>258</v>
      </c>
      <c r="J19" s="125">
        <v>0.55</v>
      </c>
      <c r="K19" s="125">
        <v>4.34</v>
      </c>
    </row>
    <row r="20" spans="1:11" ht="15.75">
      <c r="A20" s="135">
        <v>39203</v>
      </c>
      <c r="B20" s="119">
        <f t="shared" si="1"/>
        <v>64754.88001475985</v>
      </c>
      <c r="C20" s="117">
        <v>6623</v>
      </c>
      <c r="D20" s="137">
        <v>0.0459</v>
      </c>
      <c r="E20" s="118">
        <f t="shared" si="0"/>
        <v>247.68741605645644</v>
      </c>
      <c r="F20" s="118">
        <f t="shared" si="2"/>
        <v>71625.56743081631</v>
      </c>
      <c r="I20" s="120" t="s">
        <v>255</v>
      </c>
      <c r="J20" s="125">
        <v>0.89</v>
      </c>
      <c r="K20" s="125">
        <v>4.66</v>
      </c>
    </row>
    <row r="21" spans="1:6" ht="15">
      <c r="A21" s="135">
        <v>39234</v>
      </c>
      <c r="B21" s="119">
        <f t="shared" si="1"/>
        <v>71625.56743081631</v>
      </c>
      <c r="C21" s="117">
        <v>5562</v>
      </c>
      <c r="D21" s="137">
        <v>0.0459</v>
      </c>
      <c r="E21" s="118">
        <f t="shared" si="0"/>
        <v>273.9677954228724</v>
      </c>
      <c r="F21" s="118">
        <f t="shared" si="2"/>
        <v>77461.53522623918</v>
      </c>
    </row>
    <row r="22" spans="1:6" ht="15">
      <c r="A22" s="135">
        <v>39264</v>
      </c>
      <c r="B22" s="119">
        <f t="shared" si="1"/>
        <v>77461.53522623918</v>
      </c>
      <c r="C22" s="117">
        <v>6127</v>
      </c>
      <c r="D22" s="137">
        <v>0.0459</v>
      </c>
      <c r="E22" s="118">
        <f t="shared" si="0"/>
        <v>296.2903722403649</v>
      </c>
      <c r="F22" s="118">
        <f t="shared" si="2"/>
        <v>83884.82559847955</v>
      </c>
    </row>
    <row r="23" spans="1:10" ht="15">
      <c r="A23" s="135">
        <v>39295</v>
      </c>
      <c r="B23" s="119">
        <f t="shared" si="1"/>
        <v>83884.82559847955</v>
      </c>
      <c r="C23" s="117">
        <v>4753</v>
      </c>
      <c r="D23" s="137">
        <v>0.0459</v>
      </c>
      <c r="E23" s="118">
        <f t="shared" si="0"/>
        <v>320.8594579141843</v>
      </c>
      <c r="F23" s="118">
        <f t="shared" si="2"/>
        <v>88958.68505639373</v>
      </c>
      <c r="J23" s="132" t="s">
        <v>235</v>
      </c>
    </row>
    <row r="24" spans="1:6" ht="15">
      <c r="A24" s="135">
        <v>39326</v>
      </c>
      <c r="B24" s="119">
        <f t="shared" si="1"/>
        <v>88958.68505639373</v>
      </c>
      <c r="C24" s="117">
        <v>6665</v>
      </c>
      <c r="D24" s="137">
        <v>0.0459</v>
      </c>
      <c r="E24" s="118">
        <f t="shared" si="0"/>
        <v>340.26697034070605</v>
      </c>
      <c r="F24" s="118">
        <f t="shared" si="2"/>
        <v>95963.95202673443</v>
      </c>
    </row>
    <row r="25" spans="1:6" ht="15">
      <c r="A25" s="135">
        <v>39356</v>
      </c>
      <c r="B25" s="119">
        <f t="shared" si="1"/>
        <v>95963.95202673443</v>
      </c>
      <c r="C25" s="117">
        <v>5038</v>
      </c>
      <c r="D25" s="137">
        <v>0.0514</v>
      </c>
      <c r="E25" s="118">
        <f t="shared" si="0"/>
        <v>411.0455945145125</v>
      </c>
      <c r="F25" s="118">
        <f t="shared" si="2"/>
        <v>101412.99762124894</v>
      </c>
    </row>
    <row r="26" spans="1:6" ht="15">
      <c r="A26" s="135">
        <v>39387</v>
      </c>
      <c r="B26" s="119">
        <f t="shared" si="1"/>
        <v>101412.99762124894</v>
      </c>
      <c r="C26" s="117">
        <v>6951</v>
      </c>
      <c r="D26" s="137">
        <v>0.0514</v>
      </c>
      <c r="E26" s="118">
        <f t="shared" si="0"/>
        <v>434.3856731443496</v>
      </c>
      <c r="F26" s="118">
        <f t="shared" si="2"/>
        <v>108798.3832943933</v>
      </c>
    </row>
    <row r="27" spans="1:6" ht="15">
      <c r="A27" s="135">
        <v>39417</v>
      </c>
      <c r="B27" s="119">
        <f t="shared" si="1"/>
        <v>108798.3832943933</v>
      </c>
      <c r="C27" s="117">
        <v>4755</v>
      </c>
      <c r="D27" s="137">
        <v>0.0514</v>
      </c>
      <c r="E27" s="118">
        <f t="shared" si="0"/>
        <v>466.0197417776513</v>
      </c>
      <c r="F27" s="118">
        <f t="shared" si="2"/>
        <v>114019.40303617094</v>
      </c>
    </row>
    <row r="28" spans="1:6" ht="15">
      <c r="A28" s="135">
        <v>39448</v>
      </c>
      <c r="B28" s="119">
        <f t="shared" si="1"/>
        <v>114019.40303617094</v>
      </c>
      <c r="C28" s="117">
        <v>7167</v>
      </c>
      <c r="D28" s="137">
        <v>0.0514</v>
      </c>
      <c r="E28" s="118">
        <f aca="true" t="shared" si="3" ref="E28:E80">(B28*D28)/12</f>
        <v>488.3831096715989</v>
      </c>
      <c r="F28" s="118">
        <f aca="true" t="shared" si="4" ref="F28:F80">SUM(B28:C28,E28)</f>
        <v>121674.78614584255</v>
      </c>
    </row>
    <row r="29" spans="1:6" ht="15">
      <c r="A29" s="135">
        <v>39479</v>
      </c>
      <c r="B29" s="119">
        <f aca="true" t="shared" si="5" ref="B29:B80">F28</f>
        <v>121674.78614584255</v>
      </c>
      <c r="C29" s="117">
        <v>5325</v>
      </c>
      <c r="D29" s="137">
        <v>0.0514</v>
      </c>
      <c r="E29" s="118">
        <f t="shared" si="3"/>
        <v>521.1736673246922</v>
      </c>
      <c r="F29" s="118">
        <f t="shared" si="4"/>
        <v>127520.95981316724</v>
      </c>
    </row>
    <row r="30" spans="1:6" ht="15">
      <c r="A30" s="135">
        <v>39508</v>
      </c>
      <c r="B30" s="119">
        <f t="shared" si="5"/>
        <v>127520.95981316724</v>
      </c>
      <c r="C30" s="117">
        <v>6053</v>
      </c>
      <c r="D30" s="137">
        <v>0.0514</v>
      </c>
      <c r="E30" s="118">
        <f t="shared" si="3"/>
        <v>546.2147778663997</v>
      </c>
      <c r="F30" s="118">
        <f t="shared" si="4"/>
        <v>134120.17459103363</v>
      </c>
    </row>
    <row r="31" spans="1:10" ht="15">
      <c r="A31" s="135">
        <v>39539</v>
      </c>
      <c r="B31" s="119">
        <f t="shared" si="5"/>
        <v>134120.17459103363</v>
      </c>
      <c r="C31" s="117">
        <v>6007</v>
      </c>
      <c r="D31" s="137">
        <v>0.0408</v>
      </c>
      <c r="E31" s="118">
        <f t="shared" si="3"/>
        <v>456.00859360951443</v>
      </c>
      <c r="F31" s="118">
        <f t="shared" si="4"/>
        <v>140583.18318464316</v>
      </c>
      <c r="J31" s="132" t="s">
        <v>235</v>
      </c>
    </row>
    <row r="32" spans="1:6" ht="15">
      <c r="A32" s="135">
        <v>39569</v>
      </c>
      <c r="B32" s="119">
        <f t="shared" si="5"/>
        <v>140583.18318464316</v>
      </c>
      <c r="C32" s="117">
        <v>5678</v>
      </c>
      <c r="D32" s="137">
        <v>0.0408</v>
      </c>
      <c r="E32" s="118">
        <f t="shared" si="3"/>
        <v>477.9828228277868</v>
      </c>
      <c r="F32" s="118">
        <f t="shared" si="4"/>
        <v>146739.16600747095</v>
      </c>
    </row>
    <row r="33" spans="1:6" ht="15">
      <c r="A33" s="135">
        <v>39600</v>
      </c>
      <c r="B33" s="119">
        <f t="shared" si="5"/>
        <v>146739.16600747095</v>
      </c>
      <c r="C33" s="117">
        <v>4897</v>
      </c>
      <c r="D33" s="137">
        <v>0.0408</v>
      </c>
      <c r="E33" s="118">
        <f t="shared" si="3"/>
        <v>498.91316442540125</v>
      </c>
      <c r="F33" s="118">
        <f t="shared" si="4"/>
        <v>152135.07917189636</v>
      </c>
    </row>
    <row r="34" spans="1:6" ht="15">
      <c r="A34" s="135">
        <v>39630</v>
      </c>
      <c r="B34" s="119">
        <f t="shared" si="5"/>
        <v>152135.07917189636</v>
      </c>
      <c r="C34" s="117">
        <v>6738</v>
      </c>
      <c r="D34" s="137">
        <v>0.0335</v>
      </c>
      <c r="E34" s="118">
        <f t="shared" si="3"/>
        <v>424.71042935487736</v>
      </c>
      <c r="F34" s="118">
        <f t="shared" si="4"/>
        <v>159297.78960125125</v>
      </c>
    </row>
    <row r="35" spans="1:10" ht="15">
      <c r="A35" s="135">
        <v>39661</v>
      </c>
      <c r="B35" s="119">
        <f t="shared" si="5"/>
        <v>159297.78960125125</v>
      </c>
      <c r="C35" s="117">
        <v>4719</v>
      </c>
      <c r="D35" s="137">
        <v>0.0335</v>
      </c>
      <c r="E35" s="118">
        <f t="shared" si="3"/>
        <v>444.7063293034931</v>
      </c>
      <c r="F35" s="118">
        <f t="shared" si="4"/>
        <v>164461.49593055475</v>
      </c>
      <c r="J35" s="132" t="s">
        <v>235</v>
      </c>
    </row>
    <row r="36" spans="1:6" ht="15">
      <c r="A36" s="135">
        <v>39692</v>
      </c>
      <c r="B36" s="119">
        <f t="shared" si="5"/>
        <v>164461.49593055475</v>
      </c>
      <c r="C36" s="117">
        <v>6536</v>
      </c>
      <c r="D36" s="137">
        <v>0.0335</v>
      </c>
      <c r="E36" s="118">
        <f t="shared" si="3"/>
        <v>459.12167613946536</v>
      </c>
      <c r="F36" s="118">
        <f t="shared" si="4"/>
        <v>171456.61760669423</v>
      </c>
    </row>
    <row r="37" spans="1:6" ht="15">
      <c r="A37" s="135">
        <v>39722</v>
      </c>
      <c r="B37" s="119">
        <f t="shared" si="5"/>
        <v>171456.61760669423</v>
      </c>
      <c r="C37" s="117">
        <v>5977</v>
      </c>
      <c r="D37" s="137">
        <v>0.0335</v>
      </c>
      <c r="E37" s="118">
        <f t="shared" si="3"/>
        <v>478.6497241520214</v>
      </c>
      <c r="F37" s="118">
        <f t="shared" si="4"/>
        <v>177912.26733084625</v>
      </c>
    </row>
    <row r="38" spans="1:6" ht="15">
      <c r="A38" s="135">
        <v>39753</v>
      </c>
      <c r="B38" s="119">
        <f t="shared" si="5"/>
        <v>177912.26733084625</v>
      </c>
      <c r="C38" s="117">
        <v>6065</v>
      </c>
      <c r="D38" s="137">
        <v>0.0335</v>
      </c>
      <c r="E38" s="118">
        <f t="shared" si="3"/>
        <v>496.6717462986125</v>
      </c>
      <c r="F38" s="118">
        <f t="shared" si="4"/>
        <v>184473.93907714487</v>
      </c>
    </row>
    <row r="39" spans="1:10" ht="15">
      <c r="A39" s="135">
        <v>39783</v>
      </c>
      <c r="B39" s="119">
        <f t="shared" si="5"/>
        <v>184473.93907714487</v>
      </c>
      <c r="C39" s="117">
        <v>5531</v>
      </c>
      <c r="D39" s="137">
        <v>0.0335</v>
      </c>
      <c r="E39" s="118">
        <f t="shared" si="3"/>
        <v>514.9897465903628</v>
      </c>
      <c r="F39" s="118">
        <f t="shared" si="4"/>
        <v>190519.92882373522</v>
      </c>
      <c r="J39" s="132" t="s">
        <v>235</v>
      </c>
    </row>
    <row r="40" spans="1:6" ht="15">
      <c r="A40" s="135">
        <v>39814</v>
      </c>
      <c r="B40" s="119">
        <f t="shared" si="5"/>
        <v>190519.92882373522</v>
      </c>
      <c r="C40" s="117">
        <v>6898</v>
      </c>
      <c r="D40" s="137">
        <v>0.0245</v>
      </c>
      <c r="E40" s="118">
        <f t="shared" si="3"/>
        <v>388.9781880151261</v>
      </c>
      <c r="F40" s="118">
        <f t="shared" si="4"/>
        <v>197806.90701175033</v>
      </c>
    </row>
    <row r="41" spans="1:6" ht="15">
      <c r="A41" s="135">
        <v>39845</v>
      </c>
      <c r="B41" s="119">
        <f t="shared" si="5"/>
        <v>197806.90701175033</v>
      </c>
      <c r="C41" s="117">
        <v>5065</v>
      </c>
      <c r="D41" s="137">
        <v>0.0245</v>
      </c>
      <c r="E41" s="118">
        <f t="shared" si="3"/>
        <v>403.8557684823236</v>
      </c>
      <c r="F41" s="118">
        <f t="shared" si="4"/>
        <v>203275.76278023265</v>
      </c>
    </row>
    <row r="42" spans="1:6" ht="15">
      <c r="A42" s="135">
        <v>39873</v>
      </c>
      <c r="B42" s="119">
        <f t="shared" si="5"/>
        <v>203275.76278023265</v>
      </c>
      <c r="C42" s="117">
        <v>6872</v>
      </c>
      <c r="D42" s="137">
        <v>0.0245</v>
      </c>
      <c r="E42" s="118">
        <f t="shared" si="3"/>
        <v>415.02134900964165</v>
      </c>
      <c r="F42" s="118">
        <f t="shared" si="4"/>
        <v>210562.7841292423</v>
      </c>
    </row>
    <row r="43" spans="1:10" ht="15">
      <c r="A43" s="135">
        <v>39904</v>
      </c>
      <c r="B43" s="119">
        <f t="shared" si="5"/>
        <v>210562.7841292423</v>
      </c>
      <c r="C43" s="117">
        <v>4664</v>
      </c>
      <c r="D43" s="137">
        <v>0.01</v>
      </c>
      <c r="E43" s="118">
        <f t="shared" si="3"/>
        <v>175.46898677436857</v>
      </c>
      <c r="F43" s="118">
        <f t="shared" si="4"/>
        <v>215402.25311601665</v>
      </c>
      <c r="J43" s="132" t="s">
        <v>235</v>
      </c>
    </row>
    <row r="44" spans="1:6" ht="15">
      <c r="A44" s="135">
        <v>39934</v>
      </c>
      <c r="B44" s="119">
        <f t="shared" si="5"/>
        <v>215402.25311601665</v>
      </c>
      <c r="C44" s="117">
        <v>6569</v>
      </c>
      <c r="D44" s="137">
        <v>0.01</v>
      </c>
      <c r="E44" s="118">
        <f t="shared" si="3"/>
        <v>179.50187759668054</v>
      </c>
      <c r="F44" s="118">
        <f t="shared" si="4"/>
        <v>222150.75499361334</v>
      </c>
    </row>
    <row r="45" spans="1:6" ht="15">
      <c r="A45" s="135">
        <v>39965</v>
      </c>
      <c r="B45" s="119">
        <f t="shared" si="5"/>
        <v>222150.75499361334</v>
      </c>
      <c r="C45" s="117">
        <v>5033</v>
      </c>
      <c r="D45" s="137">
        <v>0.01</v>
      </c>
      <c r="E45" s="118">
        <f t="shared" si="3"/>
        <v>185.12562916134445</v>
      </c>
      <c r="F45" s="118">
        <f t="shared" si="4"/>
        <v>227368.88062277468</v>
      </c>
    </row>
    <row r="46" spans="1:6" ht="15">
      <c r="A46" s="135">
        <v>39995</v>
      </c>
      <c r="B46" s="119">
        <f t="shared" si="5"/>
        <v>227368.88062277468</v>
      </c>
      <c r="C46" s="117">
        <v>5639</v>
      </c>
      <c r="D46" s="137">
        <v>0.0055</v>
      </c>
      <c r="E46" s="118">
        <f t="shared" si="3"/>
        <v>104.21073695210505</v>
      </c>
      <c r="F46" s="118">
        <f t="shared" si="4"/>
        <v>233112.0913597268</v>
      </c>
    </row>
    <row r="47" spans="1:10" ht="15">
      <c r="A47" s="135">
        <v>40026</v>
      </c>
      <c r="B47" s="119">
        <f t="shared" si="5"/>
        <v>233112.0913597268</v>
      </c>
      <c r="C47" s="117">
        <v>5140</v>
      </c>
      <c r="D47" s="137">
        <v>0.0055</v>
      </c>
      <c r="E47" s="118">
        <f t="shared" si="3"/>
        <v>106.84304187320811</v>
      </c>
      <c r="F47" s="118">
        <f t="shared" si="4"/>
        <v>238358.9344016</v>
      </c>
      <c r="J47" s="132" t="s">
        <v>235</v>
      </c>
    </row>
    <row r="48" spans="1:6" ht="15">
      <c r="A48" s="135">
        <v>40057</v>
      </c>
      <c r="B48" s="119">
        <f t="shared" si="5"/>
        <v>238358.9344016</v>
      </c>
      <c r="C48" s="117">
        <v>7030</v>
      </c>
      <c r="D48" s="137">
        <v>0.0055</v>
      </c>
      <c r="E48" s="118">
        <f t="shared" si="3"/>
        <v>109.24784493406666</v>
      </c>
      <c r="F48" s="118">
        <f t="shared" si="4"/>
        <v>245498.18224653407</v>
      </c>
    </row>
    <row r="49" spans="1:6" ht="15">
      <c r="A49" s="135">
        <v>40087</v>
      </c>
      <c r="B49" s="119">
        <f t="shared" si="5"/>
        <v>245498.18224653407</v>
      </c>
      <c r="C49" s="117">
        <v>5606</v>
      </c>
      <c r="D49" s="137">
        <v>0.0055</v>
      </c>
      <c r="E49" s="118">
        <f t="shared" si="3"/>
        <v>112.52000019632811</v>
      </c>
      <c r="F49" s="118">
        <f t="shared" si="4"/>
        <v>251216.7022467304</v>
      </c>
    </row>
    <row r="50" spans="1:6" ht="15">
      <c r="A50" s="135">
        <v>40118</v>
      </c>
      <c r="B50" s="119">
        <f t="shared" si="5"/>
        <v>251216.7022467304</v>
      </c>
      <c r="C50" s="117">
        <v>6762</v>
      </c>
      <c r="D50" s="137">
        <v>0.0055</v>
      </c>
      <c r="E50" s="118">
        <f t="shared" si="3"/>
        <v>115.14098852975143</v>
      </c>
      <c r="F50" s="118">
        <f t="shared" si="4"/>
        <v>258093.84323526014</v>
      </c>
    </row>
    <row r="51" spans="1:10" ht="15">
      <c r="A51" s="135">
        <v>40148</v>
      </c>
      <c r="B51" s="119">
        <f t="shared" si="5"/>
        <v>258093.84323526014</v>
      </c>
      <c r="C51" s="117">
        <v>4505</v>
      </c>
      <c r="D51" s="137">
        <v>0.0055</v>
      </c>
      <c r="E51" s="118">
        <f t="shared" si="3"/>
        <v>118.29301148282757</v>
      </c>
      <c r="F51" s="118">
        <f t="shared" si="4"/>
        <v>262717.1362467429</v>
      </c>
      <c r="J51" s="132" t="s">
        <v>235</v>
      </c>
    </row>
    <row r="52" spans="1:6" ht="15">
      <c r="A52" s="135">
        <v>40179</v>
      </c>
      <c r="B52" s="119">
        <f t="shared" si="5"/>
        <v>262717.1362467429</v>
      </c>
      <c r="C52" s="117">
        <v>6602</v>
      </c>
      <c r="D52" s="137">
        <v>0.0055</v>
      </c>
      <c r="E52" s="118">
        <f t="shared" si="3"/>
        <v>120.41202077975716</v>
      </c>
      <c r="F52" s="118">
        <f t="shared" si="4"/>
        <v>269439.54826752265</v>
      </c>
    </row>
    <row r="53" spans="1:6" ht="15">
      <c r="A53" s="135">
        <v>40210</v>
      </c>
      <c r="B53" s="119">
        <f t="shared" si="5"/>
        <v>269439.54826752265</v>
      </c>
      <c r="C53" s="117">
        <v>5534</v>
      </c>
      <c r="D53" s="137">
        <v>0.0055</v>
      </c>
      <c r="E53" s="118">
        <f t="shared" si="3"/>
        <v>123.49312628928122</v>
      </c>
      <c r="F53" s="118">
        <f t="shared" si="4"/>
        <v>275097.04139381193</v>
      </c>
    </row>
    <row r="54" spans="1:6" ht="15">
      <c r="A54" s="135">
        <v>40238</v>
      </c>
      <c r="B54" s="119">
        <f t="shared" si="5"/>
        <v>275097.04139381193</v>
      </c>
      <c r="C54" s="117">
        <v>6583</v>
      </c>
      <c r="D54" s="137">
        <v>0.0055</v>
      </c>
      <c r="E54" s="118">
        <f t="shared" si="3"/>
        <v>126.08614397216378</v>
      </c>
      <c r="F54" s="118">
        <f t="shared" si="4"/>
        <v>281806.1275377841</v>
      </c>
    </row>
    <row r="55" spans="1:10" ht="15">
      <c r="A55" s="135">
        <v>40269</v>
      </c>
      <c r="B55" s="119">
        <f t="shared" si="5"/>
        <v>281806.1275377841</v>
      </c>
      <c r="C55" s="117">
        <v>4917</v>
      </c>
      <c r="D55" s="137">
        <v>0.0055</v>
      </c>
      <c r="E55" s="118">
        <f t="shared" si="3"/>
        <v>129.16114178815104</v>
      </c>
      <c r="F55" s="118">
        <f t="shared" si="4"/>
        <v>286852.2886795723</v>
      </c>
      <c r="J55" s="132" t="s">
        <v>235</v>
      </c>
    </row>
    <row r="56" spans="1:6" ht="15">
      <c r="A56" s="135">
        <v>40299</v>
      </c>
      <c r="B56" s="119">
        <f t="shared" si="5"/>
        <v>286852.2886795723</v>
      </c>
      <c r="C56" s="117">
        <v>8606</v>
      </c>
      <c r="D56" s="137">
        <v>0.0055</v>
      </c>
      <c r="E56" s="118">
        <f t="shared" si="3"/>
        <v>131.47396564480394</v>
      </c>
      <c r="F56" s="118">
        <f t="shared" si="4"/>
        <v>295589.76264521707</v>
      </c>
    </row>
    <row r="57" spans="1:6" ht="15">
      <c r="A57" s="135">
        <v>40330</v>
      </c>
      <c r="B57" s="119">
        <f t="shared" si="5"/>
        <v>295589.76264521707</v>
      </c>
      <c r="C57" s="117">
        <v>19606</v>
      </c>
      <c r="D57" s="137">
        <v>0.0055</v>
      </c>
      <c r="E57" s="118">
        <f t="shared" si="3"/>
        <v>135.47864121239115</v>
      </c>
      <c r="F57" s="118">
        <f t="shared" si="4"/>
        <v>315331.24128642946</v>
      </c>
    </row>
    <row r="58" spans="1:6" ht="15">
      <c r="A58" s="135">
        <v>40360</v>
      </c>
      <c r="B58" s="119">
        <f t="shared" si="5"/>
        <v>315331.24128642946</v>
      </c>
      <c r="C58" s="117">
        <v>41916</v>
      </c>
      <c r="D58" s="137">
        <v>0.0089</v>
      </c>
      <c r="E58" s="118">
        <f t="shared" si="3"/>
        <v>233.8706706207685</v>
      </c>
      <c r="F58" s="118">
        <f t="shared" si="4"/>
        <v>357481.1119570502</v>
      </c>
    </row>
    <row r="59" spans="1:6" ht="15">
      <c r="A59" s="135">
        <v>40391</v>
      </c>
      <c r="B59" s="119">
        <f t="shared" si="5"/>
        <v>357481.1119570502</v>
      </c>
      <c r="C59" s="117">
        <v>35562</v>
      </c>
      <c r="D59" s="137">
        <v>0.0089</v>
      </c>
      <c r="E59" s="118">
        <f t="shared" si="3"/>
        <v>265.13182470147893</v>
      </c>
      <c r="F59" s="118">
        <f t="shared" si="4"/>
        <v>393308.2437817517</v>
      </c>
    </row>
    <row r="60" spans="1:6" ht="15">
      <c r="A60" s="135">
        <v>40422</v>
      </c>
      <c r="B60" s="119">
        <f t="shared" si="5"/>
        <v>393308.2437817517</v>
      </c>
      <c r="C60" s="117">
        <v>39290</v>
      </c>
      <c r="D60" s="137">
        <v>0.0089</v>
      </c>
      <c r="E60" s="118">
        <f t="shared" si="3"/>
        <v>291.70361413813254</v>
      </c>
      <c r="F60" s="118">
        <f t="shared" si="4"/>
        <v>432889.94739588985</v>
      </c>
    </row>
    <row r="61" spans="1:6" ht="15">
      <c r="A61" s="135">
        <v>40452</v>
      </c>
      <c r="B61" s="119">
        <f t="shared" si="5"/>
        <v>432889.94739588985</v>
      </c>
      <c r="C61" s="117">
        <v>39290</v>
      </c>
      <c r="D61" s="137">
        <v>0.0089</v>
      </c>
      <c r="E61" s="118">
        <f t="shared" si="3"/>
        <v>321.0600443186183</v>
      </c>
      <c r="F61" s="118">
        <f t="shared" si="4"/>
        <v>472501.00744020846</v>
      </c>
    </row>
    <row r="62" spans="1:6" ht="15">
      <c r="A62" s="135">
        <v>40483</v>
      </c>
      <c r="B62" s="119">
        <f t="shared" si="5"/>
        <v>472501.00744020846</v>
      </c>
      <c r="C62" s="117">
        <v>39290</v>
      </c>
      <c r="D62" s="137">
        <v>0.0089</v>
      </c>
      <c r="E62" s="118">
        <f t="shared" si="3"/>
        <v>350.43824718482125</v>
      </c>
      <c r="F62" s="118">
        <f t="shared" si="4"/>
        <v>512141.44568739325</v>
      </c>
    </row>
    <row r="63" spans="1:6" ht="15">
      <c r="A63" s="135">
        <v>40513</v>
      </c>
      <c r="B63" s="119">
        <f t="shared" si="5"/>
        <v>512141.44568739325</v>
      </c>
      <c r="C63" s="117">
        <v>39290</v>
      </c>
      <c r="D63" s="137">
        <v>0.0089</v>
      </c>
      <c r="E63" s="118">
        <f t="shared" si="3"/>
        <v>379.8382388848167</v>
      </c>
      <c r="F63" s="118">
        <f t="shared" si="4"/>
        <v>551811.283926278</v>
      </c>
    </row>
    <row r="64" spans="1:6" ht="15">
      <c r="A64" s="135">
        <v>40544</v>
      </c>
      <c r="B64" s="119">
        <f t="shared" si="5"/>
        <v>551811.283926278</v>
      </c>
      <c r="C64" s="117">
        <v>0</v>
      </c>
      <c r="D64" s="137"/>
      <c r="E64" s="118">
        <f t="shared" si="3"/>
        <v>0</v>
      </c>
      <c r="F64" s="118">
        <f t="shared" si="4"/>
        <v>551811.283926278</v>
      </c>
    </row>
    <row r="65" spans="1:6" ht="15">
      <c r="A65" s="135">
        <v>40575</v>
      </c>
      <c r="B65" s="119">
        <f t="shared" si="5"/>
        <v>551811.283926278</v>
      </c>
      <c r="C65" s="117">
        <v>0</v>
      </c>
      <c r="D65" s="137"/>
      <c r="E65" s="118">
        <f t="shared" si="3"/>
        <v>0</v>
      </c>
      <c r="F65" s="118">
        <f t="shared" si="4"/>
        <v>551811.283926278</v>
      </c>
    </row>
    <row r="66" spans="1:6" ht="15">
      <c r="A66" s="135">
        <v>40603</v>
      </c>
      <c r="B66" s="119">
        <f t="shared" si="5"/>
        <v>551811.283926278</v>
      </c>
      <c r="C66" s="117">
        <v>0</v>
      </c>
      <c r="D66" s="137"/>
      <c r="E66" s="118">
        <f t="shared" si="3"/>
        <v>0</v>
      </c>
      <c r="F66" s="118">
        <f t="shared" si="4"/>
        <v>551811.283926278</v>
      </c>
    </row>
    <row r="67" spans="1:6" ht="15">
      <c r="A67" s="135">
        <v>40634</v>
      </c>
      <c r="B67" s="119">
        <f t="shared" si="5"/>
        <v>551811.283926278</v>
      </c>
      <c r="C67" s="117">
        <v>0</v>
      </c>
      <c r="D67" s="137"/>
      <c r="E67" s="118">
        <f t="shared" si="3"/>
        <v>0</v>
      </c>
      <c r="F67" s="118">
        <f t="shared" si="4"/>
        <v>551811.283926278</v>
      </c>
    </row>
    <row r="68" spans="1:6" ht="15">
      <c r="A68" s="135">
        <v>40664</v>
      </c>
      <c r="B68" s="119">
        <f t="shared" si="5"/>
        <v>551811.283926278</v>
      </c>
      <c r="C68" s="117">
        <v>0</v>
      </c>
      <c r="D68" s="137"/>
      <c r="E68" s="118">
        <f t="shared" si="3"/>
        <v>0</v>
      </c>
      <c r="F68" s="118">
        <f t="shared" si="4"/>
        <v>551811.283926278</v>
      </c>
    </row>
    <row r="69" spans="1:6" ht="15">
      <c r="A69" s="135">
        <v>40695</v>
      </c>
      <c r="B69" s="119">
        <f t="shared" si="5"/>
        <v>551811.283926278</v>
      </c>
      <c r="C69" s="117">
        <v>0</v>
      </c>
      <c r="D69" s="137"/>
      <c r="E69" s="118">
        <f t="shared" si="3"/>
        <v>0</v>
      </c>
      <c r="F69" s="118">
        <f t="shared" si="4"/>
        <v>551811.283926278</v>
      </c>
    </row>
    <row r="70" spans="1:6" ht="15">
      <c r="A70" s="135">
        <v>40725</v>
      </c>
      <c r="B70" s="119">
        <f t="shared" si="5"/>
        <v>551811.283926278</v>
      </c>
      <c r="C70" s="117">
        <v>0</v>
      </c>
      <c r="D70" s="137"/>
      <c r="E70" s="118">
        <f t="shared" si="3"/>
        <v>0</v>
      </c>
      <c r="F70" s="118">
        <f t="shared" si="4"/>
        <v>551811.283926278</v>
      </c>
    </row>
    <row r="71" spans="1:6" ht="15">
      <c r="A71" s="135">
        <v>40756</v>
      </c>
      <c r="B71" s="119">
        <f t="shared" si="5"/>
        <v>551811.283926278</v>
      </c>
      <c r="C71" s="117">
        <v>0</v>
      </c>
      <c r="D71" s="137"/>
      <c r="E71" s="118">
        <f t="shared" si="3"/>
        <v>0</v>
      </c>
      <c r="F71" s="118">
        <f t="shared" si="4"/>
        <v>551811.283926278</v>
      </c>
    </row>
    <row r="72" spans="1:6" ht="15">
      <c r="A72" s="135">
        <v>40787</v>
      </c>
      <c r="B72" s="119">
        <f t="shared" si="5"/>
        <v>551811.283926278</v>
      </c>
      <c r="C72" s="117">
        <v>0</v>
      </c>
      <c r="D72" s="137"/>
      <c r="E72" s="118">
        <f t="shared" si="3"/>
        <v>0</v>
      </c>
      <c r="F72" s="118">
        <f t="shared" si="4"/>
        <v>551811.283926278</v>
      </c>
    </row>
    <row r="73" spans="1:6" ht="15">
      <c r="A73" s="135">
        <v>40817</v>
      </c>
      <c r="B73" s="119">
        <f t="shared" si="5"/>
        <v>551811.283926278</v>
      </c>
      <c r="C73" s="117">
        <v>0</v>
      </c>
      <c r="D73" s="137"/>
      <c r="E73" s="118">
        <f t="shared" si="3"/>
        <v>0</v>
      </c>
      <c r="F73" s="118">
        <f t="shared" si="4"/>
        <v>551811.283926278</v>
      </c>
    </row>
    <row r="74" spans="1:6" ht="15">
      <c r="A74" s="135">
        <v>40848</v>
      </c>
      <c r="B74" s="119">
        <f t="shared" si="5"/>
        <v>551811.283926278</v>
      </c>
      <c r="C74" s="117">
        <v>0</v>
      </c>
      <c r="D74" s="137"/>
      <c r="E74" s="118">
        <f t="shared" si="3"/>
        <v>0</v>
      </c>
      <c r="F74" s="118">
        <f t="shared" si="4"/>
        <v>551811.283926278</v>
      </c>
    </row>
    <row r="75" spans="1:6" ht="15">
      <c r="A75" s="135">
        <v>40878</v>
      </c>
      <c r="B75" s="119">
        <f t="shared" si="5"/>
        <v>551811.283926278</v>
      </c>
      <c r="C75" s="117">
        <v>0</v>
      </c>
      <c r="D75" s="137"/>
      <c r="E75" s="118">
        <f t="shared" si="3"/>
        <v>0</v>
      </c>
      <c r="F75" s="118">
        <f t="shared" si="4"/>
        <v>551811.283926278</v>
      </c>
    </row>
    <row r="76" spans="1:6" ht="15">
      <c r="A76" s="135">
        <v>40909</v>
      </c>
      <c r="B76" s="119">
        <f t="shared" si="5"/>
        <v>551811.283926278</v>
      </c>
      <c r="C76" s="117">
        <v>0</v>
      </c>
      <c r="D76" s="137"/>
      <c r="E76" s="118">
        <f t="shared" si="3"/>
        <v>0</v>
      </c>
      <c r="F76" s="118">
        <f t="shared" si="4"/>
        <v>551811.283926278</v>
      </c>
    </row>
    <row r="77" spans="1:6" ht="15">
      <c r="A77" s="135">
        <v>40940</v>
      </c>
      <c r="B77" s="119">
        <f t="shared" si="5"/>
        <v>551811.283926278</v>
      </c>
      <c r="C77" s="117">
        <v>0</v>
      </c>
      <c r="D77" s="137"/>
      <c r="E77" s="118">
        <f t="shared" si="3"/>
        <v>0</v>
      </c>
      <c r="F77" s="118">
        <f t="shared" si="4"/>
        <v>551811.283926278</v>
      </c>
    </row>
    <row r="78" spans="1:6" ht="15">
      <c r="A78" s="135">
        <v>40969</v>
      </c>
      <c r="B78" s="119">
        <f t="shared" si="5"/>
        <v>551811.283926278</v>
      </c>
      <c r="C78" s="117">
        <v>0</v>
      </c>
      <c r="D78" s="137"/>
      <c r="E78" s="118">
        <f t="shared" si="3"/>
        <v>0</v>
      </c>
      <c r="F78" s="118">
        <f t="shared" si="4"/>
        <v>551811.283926278</v>
      </c>
    </row>
    <row r="79" spans="1:6" ht="15">
      <c r="A79" s="135">
        <v>41000</v>
      </c>
      <c r="B79" s="119">
        <f t="shared" si="5"/>
        <v>551811.283926278</v>
      </c>
      <c r="C79" s="117">
        <v>0</v>
      </c>
      <c r="D79" s="137"/>
      <c r="E79" s="118">
        <f t="shared" si="3"/>
        <v>0</v>
      </c>
      <c r="F79" s="118">
        <f t="shared" si="4"/>
        <v>551811.283926278</v>
      </c>
    </row>
    <row r="80" spans="1:6" ht="15">
      <c r="A80" s="135">
        <v>41030</v>
      </c>
      <c r="B80" s="119">
        <f t="shared" si="5"/>
        <v>551811.283926278</v>
      </c>
      <c r="C80" s="117">
        <v>0</v>
      </c>
      <c r="D80" s="137"/>
      <c r="E80" s="118">
        <f t="shared" si="3"/>
        <v>0</v>
      </c>
      <c r="F80" s="118">
        <f t="shared" si="4"/>
        <v>551811.283926278</v>
      </c>
    </row>
    <row r="81" spans="3:6" ht="15.75" thickBot="1">
      <c r="C81" s="126">
        <f>SUM(C4:C80)</f>
        <v>536954</v>
      </c>
      <c r="E81" s="126">
        <f>SUM(E4:E80)</f>
        <v>14857.283926278129</v>
      </c>
      <c r="F81" s="58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Footer>&amp;L&amp;A&amp;C&amp;BWelland Hydro-Electric Systems Corp. Confidential&amp;B&amp;RPage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20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140625" style="7" customWidth="1"/>
    <col min="2" max="2" width="38.57421875" style="7" customWidth="1"/>
    <col min="3" max="3" width="18.28125" style="7" customWidth="1"/>
    <col min="4" max="16384" width="9.140625" style="7" customWidth="1"/>
  </cols>
  <sheetData>
    <row r="1" ht="20.25">
      <c r="B1" s="26" t="s">
        <v>260</v>
      </c>
    </row>
    <row r="4" spans="2:3" ht="12.75">
      <c r="B4" s="127" t="s">
        <v>269</v>
      </c>
      <c r="C4" s="127" t="s">
        <v>268</v>
      </c>
    </row>
    <row r="5" spans="2:3" ht="12.75">
      <c r="B5" s="128" t="s">
        <v>261</v>
      </c>
      <c r="C5" s="129">
        <f>'4. Smart Meter Rev Req'!E55</f>
        <v>0</v>
      </c>
    </row>
    <row r="6" spans="2:3" ht="12.75">
      <c r="B6" s="128" t="s">
        <v>262</v>
      </c>
      <c r="C6" s="129">
        <f>'4. Smart Meter Rev Req'!H55</f>
        <v>14284.463978005637</v>
      </c>
    </row>
    <row r="7" spans="2:3" ht="12.75">
      <c r="B7" s="128" t="s">
        <v>263</v>
      </c>
      <c r="C7" s="129">
        <f>'4. Smart Meter Rev Req'!K55</f>
        <v>11899.575560921052</v>
      </c>
    </row>
    <row r="8" spans="2:3" ht="12.75">
      <c r="B8" s="128" t="s">
        <v>264</v>
      </c>
      <c r="C8" s="129">
        <f>'4. Smart Meter Rev Req'!N55</f>
        <v>280419.09784505836</v>
      </c>
    </row>
    <row r="9" spans="2:3" ht="12.75">
      <c r="B9" s="128" t="s">
        <v>265</v>
      </c>
      <c r="C9" s="129">
        <f>'4. Smart Meter Rev Req'!Q55</f>
        <v>450820.92622597935</v>
      </c>
    </row>
    <row r="10" spans="2:3" ht="12.75">
      <c r="B10" s="128" t="s">
        <v>266</v>
      </c>
      <c r="C10" s="129">
        <f>'4. Smart Meter Rev Req'!T55</f>
        <v>500358.36281214486</v>
      </c>
    </row>
    <row r="11" spans="2:3" ht="13.5" thickBot="1">
      <c r="B11" s="7" t="s">
        <v>267</v>
      </c>
      <c r="C11" s="130">
        <f>SUM(C5:C10)</f>
        <v>1257782.4264221094</v>
      </c>
    </row>
    <row r="13" spans="2:3" ht="12.75">
      <c r="B13" s="7" t="s">
        <v>270</v>
      </c>
      <c r="C13" s="131">
        <f>-'7. Funding Adder Collected'!C81</f>
        <v>-536954</v>
      </c>
    </row>
    <row r="14" spans="2:3" ht="12.75">
      <c r="B14" s="7" t="s">
        <v>271</v>
      </c>
      <c r="C14" s="131">
        <f>-'7. Funding Adder Collected'!E81</f>
        <v>-14857.283926278129</v>
      </c>
    </row>
    <row r="16" spans="2:3" ht="13.5" thickBot="1">
      <c r="B16" s="7" t="s">
        <v>272</v>
      </c>
      <c r="C16" s="130">
        <f>SUM(C11:C14)</f>
        <v>705971.1424958312</v>
      </c>
    </row>
    <row r="18" spans="2:3" ht="12.75">
      <c r="B18" s="7" t="s">
        <v>274</v>
      </c>
      <c r="C18" s="37">
        <v>21586</v>
      </c>
    </row>
    <row r="20" spans="2:3" ht="12.75">
      <c r="B20" s="127" t="s">
        <v>275</v>
      </c>
      <c r="C20" s="138">
        <f>IF(C18&lt;&gt;0,C16/C18/12,0)</f>
        <v>2.7254205754340437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&amp;L&amp;A&amp;C&amp;BWelland Hydro-Electric Systems Corp. Confidential&amp;B&amp;RPage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warmstrong</cp:lastModifiedBy>
  <cp:lastPrinted>2010-09-30T12:44:48Z</cp:lastPrinted>
  <dcterms:created xsi:type="dcterms:W3CDTF">2007-08-13T15:48:29Z</dcterms:created>
  <dcterms:modified xsi:type="dcterms:W3CDTF">2010-09-30T13:26:38Z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